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30" windowWidth="11430" windowHeight="8160" tabRatio="763" activeTab="13"/>
  </bookViews>
  <sheets>
    <sheet name="0401" sheetId="2" r:id="rId1"/>
    <sheet name="0402" sheetId="3" r:id="rId2"/>
    <sheet name="0403" sheetId="4" r:id="rId3"/>
    <sheet name="405" sheetId="6" r:id="rId4"/>
    <sheet name="0406" sheetId="7" r:id="rId5"/>
    <sheet name="0409" sheetId="11" r:id="rId6"/>
    <sheet name="410-sahara" sheetId="20" r:id="rId7"/>
    <sheet name="414-Al ghurair" sheetId="21" r:id="rId8"/>
    <sheet name="415" sheetId="23" r:id="rId9"/>
    <sheet name="Rak_417" sheetId="25" r:id="rId10"/>
    <sheet name="Al Foah_418" sheetId="24" r:id="rId11"/>
    <sheet name="Wafi _419" sheetId="26" r:id="rId12"/>
    <sheet name="D.C." sheetId="8" r:id="rId13"/>
    <sheet name="Consoli" sheetId="12" r:id="rId14"/>
    <sheet name="Sheet2" sheetId="17" state="hidden" r:id="rId15"/>
    <sheet name="Sheet9" sheetId="18" state="hidden" r:id="rId16"/>
  </sheets>
  <definedNames>
    <definedName name="_xlnm._FilterDatabase" localSheetId="15" hidden="1">Sheet9!$A$1:$AB$114</definedName>
    <definedName name="_xlnm.Print_Area" localSheetId="0">'0401'!$A$1:$AD$152</definedName>
    <definedName name="_xlnm.Print_Area" localSheetId="1">'0402'!$A$1:$AD$152</definedName>
    <definedName name="_xlnm.Print_Area" localSheetId="2">'0403'!$A$1:$AD$152</definedName>
    <definedName name="_xlnm.Print_Area" localSheetId="4">'0406'!$A$1:$AD$152</definedName>
    <definedName name="_xlnm.Print_Area" localSheetId="5">'0409'!$A$1:$AD$152</definedName>
    <definedName name="_xlnm.Print_Area" localSheetId="3">'405'!$A$1:$AD$152</definedName>
    <definedName name="_xlnm.Print_Area" localSheetId="6">'410-sahara'!$A$1:$AD$152</definedName>
    <definedName name="_xlnm.Print_Area" localSheetId="7">'414-Al ghurair'!$A$1:$AD$152</definedName>
    <definedName name="_xlnm.Print_Area" localSheetId="8">'415'!$A$1:$AD$152</definedName>
    <definedName name="_xlnm.Print_Area" localSheetId="10">'Al Foah_418'!$A$1:$AD$152</definedName>
    <definedName name="_xlnm.Print_Area" localSheetId="12">D.C.!$A$1:$AD$152</definedName>
    <definedName name="_xlnm.Print_Area" localSheetId="9">Rak_417!$A$1:$AD$152</definedName>
    <definedName name="_xlnm.Print_Area" localSheetId="15">Sheet9!$A$32:$Q$51</definedName>
    <definedName name="_xlnm.Print_Area" localSheetId="11">'Wafi _419'!$A$1:$AD$152</definedName>
    <definedName name="_xlnm.Print_Titles" localSheetId="0">'0401'!$2:$3</definedName>
    <definedName name="_xlnm.Print_Titles" localSheetId="2">'0403'!$2:$2</definedName>
    <definedName name="_xlnm.Print_Titles" localSheetId="4">'0406'!$2:$3</definedName>
    <definedName name="_xlnm.Print_Titles" localSheetId="5">'0409'!$2:$3</definedName>
    <definedName name="_xlnm.Print_Titles" localSheetId="3">'405'!$2:$3</definedName>
    <definedName name="_xlnm.Print_Titles" localSheetId="6">'410-sahara'!$2:$3</definedName>
    <definedName name="_xlnm.Print_Titles" localSheetId="7">'414-Al ghurair'!$2:$3</definedName>
    <definedName name="_xlnm.Print_Titles" localSheetId="8">'415'!$2:$3</definedName>
    <definedName name="_xlnm.Print_Titles" localSheetId="10">'Al Foah_418'!$2:$3</definedName>
    <definedName name="_xlnm.Print_Titles" localSheetId="12">D.C.!$2:$3</definedName>
    <definedName name="_xlnm.Print_Titles" localSheetId="9">Rak_417!$2:$3</definedName>
    <definedName name="_xlnm.Print_Titles" localSheetId="11">'Wafi _419'!$2:$3</definedName>
    <definedName name="Z_02AA01BD_C75B_4B6E_A8E6_EEB6E90D29E4_.wvu.Cols" localSheetId="13" hidden="1">Consoli!#REF!</definedName>
    <definedName name="Z_02AA01BD_C75B_4B6E_A8E6_EEB6E90D29E4_.wvu.Rows" localSheetId="0" hidden="1">'0401'!#REF!,'0401'!#REF!</definedName>
    <definedName name="Z_02AA01BD_C75B_4B6E_A8E6_EEB6E90D29E4_.wvu.Rows" localSheetId="1" hidden="1">'0402'!#REF!</definedName>
    <definedName name="Z_02AA01BD_C75B_4B6E_A8E6_EEB6E90D29E4_.wvu.Rows" localSheetId="2" hidden="1">'0403'!#REF!,'0403'!#REF!</definedName>
    <definedName name="Z_02AA01BD_C75B_4B6E_A8E6_EEB6E90D29E4_.wvu.Rows" localSheetId="4" hidden="1">'0406'!#REF!</definedName>
    <definedName name="Z_02AA01BD_C75B_4B6E_A8E6_EEB6E90D29E4_.wvu.Rows" localSheetId="5" hidden="1">'0409'!#REF!</definedName>
    <definedName name="Z_02AA01BD_C75B_4B6E_A8E6_EEB6E90D29E4_.wvu.Rows" localSheetId="3" hidden="1">'405'!#REF!</definedName>
    <definedName name="Z_02AA01BD_C75B_4B6E_A8E6_EEB6E90D29E4_.wvu.Rows" localSheetId="10" hidden="1">'Al Foah_418'!#REF!,'Al Foah_418'!#REF!</definedName>
    <definedName name="Z_02AA01BD_C75B_4B6E_A8E6_EEB6E90D29E4_.wvu.Rows" localSheetId="13" hidden="1">Consoli!$153:$153</definedName>
    <definedName name="Z_02AA01BD_C75B_4B6E_A8E6_EEB6E90D29E4_.wvu.Rows" localSheetId="12" hidden="1">D.C.!#REF!</definedName>
    <definedName name="Z_02AA01BD_C75B_4B6E_A8E6_EEB6E90D29E4_.wvu.Rows" localSheetId="9" hidden="1">Rak_417!#REF!,Rak_417!#REF!</definedName>
    <definedName name="Z_02AA01BD_C75B_4B6E_A8E6_EEB6E90D29E4_.wvu.Rows" localSheetId="11" hidden="1">'Wafi _419'!#REF!,'Wafi _419'!#REF!</definedName>
    <definedName name="Z_209662B1_09B2_4060_A837_250CED7848ED_.wvu.Cols" localSheetId="13" hidden="1">Consoli!#REF!</definedName>
    <definedName name="Z_209662B1_09B2_4060_A837_250CED7848ED_.wvu.Rows" localSheetId="0" hidden="1">'0401'!#REF!,'0401'!#REF!</definedName>
    <definedName name="Z_209662B1_09B2_4060_A837_250CED7848ED_.wvu.Rows" localSheetId="1" hidden="1">'0402'!#REF!</definedName>
    <definedName name="Z_209662B1_09B2_4060_A837_250CED7848ED_.wvu.Rows" localSheetId="2" hidden="1">'0403'!#REF!,'0403'!#REF!</definedName>
    <definedName name="Z_209662B1_09B2_4060_A837_250CED7848ED_.wvu.Rows" localSheetId="4" hidden="1">'0406'!#REF!</definedName>
    <definedName name="Z_209662B1_09B2_4060_A837_250CED7848ED_.wvu.Rows" localSheetId="5" hidden="1">'0409'!#REF!</definedName>
    <definedName name="Z_209662B1_09B2_4060_A837_250CED7848ED_.wvu.Rows" localSheetId="3" hidden="1">'405'!#REF!</definedName>
    <definedName name="Z_209662B1_09B2_4060_A837_250CED7848ED_.wvu.Rows" localSheetId="10" hidden="1">'Al Foah_418'!#REF!,'Al Foah_418'!#REF!</definedName>
    <definedName name="Z_209662B1_09B2_4060_A837_250CED7848ED_.wvu.Rows" localSheetId="13" hidden="1">Consoli!$153:$153</definedName>
    <definedName name="Z_209662B1_09B2_4060_A837_250CED7848ED_.wvu.Rows" localSheetId="12" hidden="1">D.C.!#REF!</definedName>
    <definedName name="Z_209662B1_09B2_4060_A837_250CED7848ED_.wvu.Rows" localSheetId="9" hidden="1">Rak_417!#REF!,Rak_417!#REF!</definedName>
    <definedName name="Z_209662B1_09B2_4060_A837_250CED7848ED_.wvu.Rows" localSheetId="11" hidden="1">'Wafi _419'!#REF!,'Wafi _419'!#REF!</definedName>
    <definedName name="Z_879F34B1_DA85_44D2_99EE_74A633FB2C72_.wvu.Cols" localSheetId="13" hidden="1">Consoli!#REF!</definedName>
    <definedName name="Z_879F34B1_DA85_44D2_99EE_74A633FB2C72_.wvu.Rows" localSheetId="0" hidden="1">'0401'!#REF!,'0401'!#REF!</definedName>
    <definedName name="Z_879F34B1_DA85_44D2_99EE_74A633FB2C72_.wvu.Rows" localSheetId="1" hidden="1">'0402'!#REF!</definedName>
    <definedName name="Z_879F34B1_DA85_44D2_99EE_74A633FB2C72_.wvu.Rows" localSheetId="2" hidden="1">'0403'!#REF!,'0403'!#REF!</definedName>
    <definedName name="Z_879F34B1_DA85_44D2_99EE_74A633FB2C72_.wvu.Rows" localSheetId="4" hidden="1">'0406'!#REF!</definedName>
    <definedName name="Z_879F34B1_DA85_44D2_99EE_74A633FB2C72_.wvu.Rows" localSheetId="5" hidden="1">'0409'!#REF!</definedName>
    <definedName name="Z_879F34B1_DA85_44D2_99EE_74A633FB2C72_.wvu.Rows" localSheetId="3" hidden="1">'405'!#REF!</definedName>
    <definedName name="Z_879F34B1_DA85_44D2_99EE_74A633FB2C72_.wvu.Rows" localSheetId="10" hidden="1">'Al Foah_418'!#REF!,'Al Foah_418'!#REF!</definedName>
    <definedName name="Z_879F34B1_DA85_44D2_99EE_74A633FB2C72_.wvu.Rows" localSheetId="13" hidden="1">Consoli!$153:$153</definedName>
    <definedName name="Z_879F34B1_DA85_44D2_99EE_74A633FB2C72_.wvu.Rows" localSheetId="12" hidden="1">D.C.!#REF!</definedName>
    <definedName name="Z_879F34B1_DA85_44D2_99EE_74A633FB2C72_.wvu.Rows" localSheetId="9" hidden="1">Rak_417!#REF!,Rak_417!#REF!</definedName>
    <definedName name="Z_879F34B1_DA85_44D2_99EE_74A633FB2C72_.wvu.Rows" localSheetId="11" hidden="1">'Wafi _419'!#REF!,'Wafi _419'!#REF!</definedName>
    <definedName name="Z_A8167CC1_C909_4D11_B8D5_4313083C8125_.wvu.Cols" localSheetId="0" hidden="1">'0401'!#REF!</definedName>
    <definedName name="Z_A8167CC1_C909_4D11_B8D5_4313083C8125_.wvu.Cols" localSheetId="1" hidden="1">'0402'!#REF!</definedName>
    <definedName name="Z_A8167CC1_C909_4D11_B8D5_4313083C8125_.wvu.Cols" localSheetId="2" hidden="1">'0403'!#REF!</definedName>
    <definedName name="Z_A8167CC1_C909_4D11_B8D5_4313083C8125_.wvu.Cols" localSheetId="4" hidden="1">'0406'!#REF!</definedName>
    <definedName name="Z_A8167CC1_C909_4D11_B8D5_4313083C8125_.wvu.Cols" localSheetId="5" hidden="1">'0409'!#REF!</definedName>
    <definedName name="Z_A8167CC1_C909_4D11_B8D5_4313083C8125_.wvu.Cols" localSheetId="3" hidden="1">'405'!#REF!,'405'!#REF!</definedName>
    <definedName name="Z_A8167CC1_C909_4D11_B8D5_4313083C8125_.wvu.Cols" localSheetId="10" hidden="1">'Al Foah_418'!#REF!</definedName>
    <definedName name="Z_A8167CC1_C909_4D11_B8D5_4313083C8125_.wvu.Cols" localSheetId="13" hidden="1">Consoli!#REF!</definedName>
    <definedName name="Z_A8167CC1_C909_4D11_B8D5_4313083C8125_.wvu.Cols" localSheetId="12" hidden="1">D.C.!$AE:$AK</definedName>
    <definedName name="Z_A8167CC1_C909_4D11_B8D5_4313083C8125_.wvu.Cols" localSheetId="9" hidden="1">Rak_417!#REF!</definedName>
    <definedName name="Z_A8167CC1_C909_4D11_B8D5_4313083C8125_.wvu.Cols" localSheetId="11" hidden="1">'Wafi _419'!#REF!</definedName>
    <definedName name="Z_A8167CC1_C909_4D11_B8D5_4313083C8125_.wvu.Rows" localSheetId="0" hidden="1">'0401'!#REF!,'0401'!#REF!</definedName>
    <definedName name="Z_A8167CC1_C909_4D11_B8D5_4313083C8125_.wvu.Rows" localSheetId="1" hidden="1">'0402'!#REF!</definedName>
    <definedName name="Z_A8167CC1_C909_4D11_B8D5_4313083C8125_.wvu.Rows" localSheetId="2" hidden="1">'0403'!#REF!,'0403'!#REF!</definedName>
    <definedName name="Z_A8167CC1_C909_4D11_B8D5_4313083C8125_.wvu.Rows" localSheetId="4" hidden="1">'0406'!#REF!</definedName>
    <definedName name="Z_A8167CC1_C909_4D11_B8D5_4313083C8125_.wvu.Rows" localSheetId="5" hidden="1">'0409'!#REF!,'0409'!#REF!</definedName>
    <definedName name="Z_A8167CC1_C909_4D11_B8D5_4313083C8125_.wvu.Rows" localSheetId="3" hidden="1">'405'!#REF!</definedName>
    <definedName name="Z_A8167CC1_C909_4D11_B8D5_4313083C8125_.wvu.Rows" localSheetId="10" hidden="1">'Al Foah_418'!#REF!,'Al Foah_418'!#REF!</definedName>
    <definedName name="Z_A8167CC1_C909_4D11_B8D5_4313083C8125_.wvu.Rows" localSheetId="13" hidden="1">Consoli!$153:$153</definedName>
    <definedName name="Z_A8167CC1_C909_4D11_B8D5_4313083C8125_.wvu.Rows" localSheetId="12" hidden="1">D.C.!#REF!</definedName>
    <definedName name="Z_A8167CC1_C909_4D11_B8D5_4313083C8125_.wvu.Rows" localSheetId="9" hidden="1">Rak_417!#REF!,Rak_417!#REF!</definedName>
    <definedName name="Z_A8167CC1_C909_4D11_B8D5_4313083C8125_.wvu.Rows" localSheetId="11" hidden="1">'Wafi _419'!#REF!,'Wafi _419'!#REF!</definedName>
    <definedName name="Z_A879B074_133C_4DA1_A94D_0D1575EAAFB0_.wvu.Cols" localSheetId="0" hidden="1">'0401'!$C:$J</definedName>
    <definedName name="Z_A879B074_133C_4DA1_A94D_0D1575EAAFB0_.wvu.Cols" localSheetId="2" hidden="1">'0403'!$C:$N</definedName>
    <definedName name="Z_A879B074_133C_4DA1_A94D_0D1575EAAFB0_.wvu.Cols" localSheetId="10" hidden="1">'Al Foah_418'!$C:$N</definedName>
    <definedName name="Z_A879B074_133C_4DA1_A94D_0D1575EAAFB0_.wvu.Cols" localSheetId="9" hidden="1">Rak_417!$C:$N</definedName>
    <definedName name="Z_A879B074_133C_4DA1_A94D_0D1575EAAFB0_.wvu.Cols" localSheetId="11" hidden="1">'Wafi _419'!$C:$N</definedName>
    <definedName name="Z_AA4262F8_9AB3_4147_94E2_8DEF81F7E83C_.wvu.Cols" localSheetId="13" hidden="1">Consoli!#REF!</definedName>
    <definedName name="Z_AA4262F8_9AB3_4147_94E2_8DEF81F7E83C_.wvu.Rows" localSheetId="0" hidden="1">'0401'!#REF!,'0401'!#REF!</definedName>
    <definedName name="Z_AA4262F8_9AB3_4147_94E2_8DEF81F7E83C_.wvu.Rows" localSheetId="1" hidden="1">'0402'!#REF!</definedName>
    <definedName name="Z_AA4262F8_9AB3_4147_94E2_8DEF81F7E83C_.wvu.Rows" localSheetId="2" hidden="1">'0403'!#REF!,'0403'!#REF!</definedName>
    <definedName name="Z_AA4262F8_9AB3_4147_94E2_8DEF81F7E83C_.wvu.Rows" localSheetId="4" hidden="1">'0406'!#REF!</definedName>
    <definedName name="Z_AA4262F8_9AB3_4147_94E2_8DEF81F7E83C_.wvu.Rows" localSheetId="5" hidden="1">'0409'!#REF!</definedName>
    <definedName name="Z_AA4262F8_9AB3_4147_94E2_8DEF81F7E83C_.wvu.Rows" localSheetId="3" hidden="1">'405'!#REF!</definedName>
    <definedName name="Z_AA4262F8_9AB3_4147_94E2_8DEF81F7E83C_.wvu.Rows" localSheetId="10" hidden="1">'Al Foah_418'!#REF!,'Al Foah_418'!#REF!</definedName>
    <definedName name="Z_AA4262F8_9AB3_4147_94E2_8DEF81F7E83C_.wvu.Rows" localSheetId="13" hidden="1">Consoli!$153:$153</definedName>
    <definedName name="Z_AA4262F8_9AB3_4147_94E2_8DEF81F7E83C_.wvu.Rows" localSheetId="12" hidden="1">D.C.!#REF!</definedName>
    <definedName name="Z_AA4262F8_9AB3_4147_94E2_8DEF81F7E83C_.wvu.Rows" localSheetId="9" hidden="1">Rak_417!#REF!,Rak_417!#REF!</definedName>
    <definedName name="Z_AA4262F8_9AB3_4147_94E2_8DEF81F7E83C_.wvu.Rows" localSheetId="11" hidden="1">'Wafi _419'!#REF!,'Wafi _419'!#REF!</definedName>
    <definedName name="Z_B2BB7590_1CD2_4457_858D_F8835B99F338_.wvu.Cols" localSheetId="13" hidden="1">Consoli!#REF!</definedName>
    <definedName name="Z_B2BB7590_1CD2_4457_858D_F8835B99F338_.wvu.Rows" localSheetId="0" hidden="1">'0401'!#REF!,'0401'!#REF!</definedName>
    <definedName name="Z_B2BB7590_1CD2_4457_858D_F8835B99F338_.wvu.Rows" localSheetId="1" hidden="1">'0402'!#REF!</definedName>
    <definedName name="Z_B2BB7590_1CD2_4457_858D_F8835B99F338_.wvu.Rows" localSheetId="2" hidden="1">'0403'!#REF!,'0403'!#REF!</definedName>
    <definedName name="Z_B2BB7590_1CD2_4457_858D_F8835B99F338_.wvu.Rows" localSheetId="4" hidden="1">'0406'!#REF!</definedName>
    <definedName name="Z_B2BB7590_1CD2_4457_858D_F8835B99F338_.wvu.Rows" localSheetId="5" hidden="1">'0409'!#REF!</definedName>
    <definedName name="Z_B2BB7590_1CD2_4457_858D_F8835B99F338_.wvu.Rows" localSheetId="3" hidden="1">'405'!#REF!</definedName>
    <definedName name="Z_B2BB7590_1CD2_4457_858D_F8835B99F338_.wvu.Rows" localSheetId="10" hidden="1">'Al Foah_418'!#REF!,'Al Foah_418'!#REF!</definedName>
    <definedName name="Z_B2BB7590_1CD2_4457_858D_F8835B99F338_.wvu.Rows" localSheetId="13" hidden="1">Consoli!$153:$153</definedName>
    <definedName name="Z_B2BB7590_1CD2_4457_858D_F8835B99F338_.wvu.Rows" localSheetId="12" hidden="1">D.C.!#REF!</definedName>
    <definedName name="Z_B2BB7590_1CD2_4457_858D_F8835B99F338_.wvu.Rows" localSheetId="9" hidden="1">Rak_417!#REF!,Rak_417!#REF!</definedName>
    <definedName name="Z_B2BB7590_1CD2_4457_858D_F8835B99F338_.wvu.Rows" localSheetId="11" hidden="1">'Wafi _419'!#REF!,'Wafi _419'!#REF!</definedName>
    <definedName name="Z_BFB0E08A_7D07_48F2_93C4_BE631A8642F6_.wvu.Cols" localSheetId="13" hidden="1">Consoli!#REF!</definedName>
    <definedName name="Z_BFB0E08A_7D07_48F2_93C4_BE631A8642F6_.wvu.Rows" localSheetId="0" hidden="1">'0401'!#REF!,'0401'!#REF!</definedName>
    <definedName name="Z_BFB0E08A_7D07_48F2_93C4_BE631A8642F6_.wvu.Rows" localSheetId="1" hidden="1">'0402'!#REF!</definedName>
    <definedName name="Z_BFB0E08A_7D07_48F2_93C4_BE631A8642F6_.wvu.Rows" localSheetId="2" hidden="1">'0403'!#REF!,'0403'!#REF!</definedName>
    <definedName name="Z_BFB0E08A_7D07_48F2_93C4_BE631A8642F6_.wvu.Rows" localSheetId="4" hidden="1">'0406'!#REF!</definedName>
    <definedName name="Z_BFB0E08A_7D07_48F2_93C4_BE631A8642F6_.wvu.Rows" localSheetId="5" hidden="1">'0409'!#REF!</definedName>
    <definedName name="Z_BFB0E08A_7D07_48F2_93C4_BE631A8642F6_.wvu.Rows" localSheetId="3" hidden="1">'405'!#REF!</definedName>
    <definedName name="Z_BFB0E08A_7D07_48F2_93C4_BE631A8642F6_.wvu.Rows" localSheetId="10" hidden="1">'Al Foah_418'!#REF!,'Al Foah_418'!#REF!</definedName>
    <definedName name="Z_BFB0E08A_7D07_48F2_93C4_BE631A8642F6_.wvu.Rows" localSheetId="13" hidden="1">Consoli!$153:$153</definedName>
    <definedName name="Z_BFB0E08A_7D07_48F2_93C4_BE631A8642F6_.wvu.Rows" localSheetId="12" hidden="1">D.C.!#REF!</definedName>
    <definedName name="Z_BFB0E08A_7D07_48F2_93C4_BE631A8642F6_.wvu.Rows" localSheetId="9" hidden="1">Rak_417!#REF!,Rak_417!#REF!</definedName>
    <definedName name="Z_BFB0E08A_7D07_48F2_93C4_BE631A8642F6_.wvu.Rows" localSheetId="11" hidden="1">'Wafi _419'!#REF!,'Wafi _419'!#REF!</definedName>
    <definedName name="Z_D65E0E17_9A53_4B36_ADDE_FDFBD878E6A1_.wvu.Rows" localSheetId="4" hidden="1">'0406'!#REF!</definedName>
    <definedName name="Z_D65E0E17_9A53_4B36_ADDE_FDFBD878E6A1_.wvu.Rows" localSheetId="5" hidden="1">'0409'!#REF!</definedName>
    <definedName name="Z_D65E0E17_9A53_4B36_ADDE_FDFBD878E6A1_.wvu.Rows" localSheetId="3" hidden="1">'405'!#REF!</definedName>
    <definedName name="Z_D65E0E17_9A53_4B36_ADDE_FDFBD878E6A1_.wvu.Rows" localSheetId="12" hidden="1">D.C.!#REF!</definedName>
    <definedName name="Z_E19D3675_E478_4A54_8E7A_94A199F67811_.wvu.Cols" localSheetId="13" hidden="1">Consoli!#REF!</definedName>
    <definedName name="Z_E19D3675_E478_4A54_8E7A_94A199F67811_.wvu.Rows" localSheetId="0" hidden="1">'0401'!#REF!,'0401'!#REF!</definedName>
    <definedName name="Z_E19D3675_E478_4A54_8E7A_94A199F67811_.wvu.Rows" localSheetId="1" hidden="1">'0402'!#REF!</definedName>
    <definedName name="Z_E19D3675_E478_4A54_8E7A_94A199F67811_.wvu.Rows" localSheetId="2" hidden="1">'0403'!#REF!,'0403'!#REF!</definedName>
    <definedName name="Z_E19D3675_E478_4A54_8E7A_94A199F67811_.wvu.Rows" localSheetId="4" hidden="1">'0406'!#REF!</definedName>
    <definedName name="Z_E19D3675_E478_4A54_8E7A_94A199F67811_.wvu.Rows" localSheetId="5" hidden="1">'0409'!#REF!</definedName>
    <definedName name="Z_E19D3675_E478_4A54_8E7A_94A199F67811_.wvu.Rows" localSheetId="3" hidden="1">'405'!#REF!</definedName>
    <definedName name="Z_E19D3675_E478_4A54_8E7A_94A199F67811_.wvu.Rows" localSheetId="10" hidden="1">'Al Foah_418'!#REF!,'Al Foah_418'!#REF!</definedName>
    <definedName name="Z_E19D3675_E478_4A54_8E7A_94A199F67811_.wvu.Rows" localSheetId="13" hidden="1">Consoli!$153:$153</definedName>
    <definedName name="Z_E19D3675_E478_4A54_8E7A_94A199F67811_.wvu.Rows" localSheetId="12" hidden="1">D.C.!#REF!</definedName>
    <definedName name="Z_E19D3675_E478_4A54_8E7A_94A199F67811_.wvu.Rows" localSheetId="9" hidden="1">Rak_417!#REF!,Rak_417!#REF!</definedName>
    <definedName name="Z_E19D3675_E478_4A54_8E7A_94A199F67811_.wvu.Rows" localSheetId="11" hidden="1">'Wafi _419'!#REF!,'Wafi _419'!#REF!</definedName>
    <definedName name="Z_F3E5B7E7_D3C6_4CDC_BAA7_D62F15A870E4_.wvu.Rows" localSheetId="4" hidden="1">'0406'!#REF!</definedName>
    <definedName name="Z_F3E5B7E7_D3C6_4CDC_BAA7_D62F15A870E4_.wvu.Rows" localSheetId="5" hidden="1">'0409'!#REF!</definedName>
    <definedName name="Z_F3E5B7E7_D3C6_4CDC_BAA7_D62F15A870E4_.wvu.Rows" localSheetId="3" hidden="1">'405'!#REF!</definedName>
    <definedName name="Z_F3E5B7E7_D3C6_4CDC_BAA7_D62F15A870E4_.wvu.Rows" localSheetId="12" hidden="1">D.C.!#REF!</definedName>
  </definedNames>
  <calcPr calcId="125725"/>
  <customWorkbookViews>
    <customWorkbookView name="Nikhil Cheda - Personal View" guid="{E19D3675-E478-4A54-8E7A-94A199F67811}" mergeInterval="0" personalView="1" maximized="1" xWindow="1" yWindow="1" windowWidth="1356" windowHeight="525" tabRatio="844" activeSheetId="4"/>
    <customWorkbookView name="Nirav - Personal View" guid="{BFB0E08A-7D07-48F2-93C4-BE631A8642F6}" mergeInterval="0" personalView="1" maximized="1" xWindow="1" yWindow="1" windowWidth="1024" windowHeight="548" tabRatio="844" activeSheetId="8" showComments="commNone"/>
    <customWorkbookView name="M Sabeer_2 - Personal View" guid="{D65E0E17-9A53-4B36-ADDE-FDFBD878E6A1}" mergeInterval="0" personalView="1" maximized="1" xWindow="1" yWindow="1" windowWidth="1276" windowHeight="803" tabRatio="601" activeSheetId="11" showComments="commIndAndComment"/>
    <customWorkbookView name="Abdul Rouf - Personal View" guid="{F3E5B7E7-D3C6-4CDC-BAA7-D62F15A870E4}" mergeInterval="0" personalView="1" maximized="1" xWindow="1" yWindow="1" windowWidth="1276" windowHeight="739" tabRatio="601" activeSheetId="4"/>
    <customWorkbookView name="Rajesh - Personal View" guid="{879F34B1-DA85-44D2-99EE-74A633FB2C72}" mergeInterval="0" personalView="1" maximized="1" xWindow="1" yWindow="1" windowWidth="1356" windowHeight="548" tabRatio="844" activeSheetId="6"/>
    <customWorkbookView name="d.ramos - Personal View" guid="{02AA01BD-C75B-4B6E-A8E6-EEB6E90D29E4}" mergeInterval="0" personalView="1" maximized="1" xWindow="1" yWindow="1" windowWidth="1024" windowHeight="547" tabRatio="844" activeSheetId="9"/>
    <customWorkbookView name="Nikhil Chheda - Personal View" guid="{209662B1-09B2-4060-A837-250CED7848ED}" mergeInterval="0" personalView="1" maximized="1" xWindow="1" yWindow="1" windowWidth="1276" windowHeight="500" tabRatio="844" activeSheetId="1"/>
    <customWorkbookView name="bs.rajesh - Personal View" guid="{B2BB7590-1CD2-4457-858D-F8835B99F338}" mergeInterval="0" personalView="1" maximized="1" xWindow="1" yWindow="1" windowWidth="1024" windowHeight="547" tabRatio="601" activeSheetId="12"/>
    <customWorkbookView name="vasanth - Personal View" guid="{A879B074-133C-4DA1-A94D-0D1575EAAFB0}" mergeInterval="0" personalView="1" maximized="1" xWindow="1" yWindow="1" windowWidth="1020" windowHeight="550" tabRatio="601" activeSheetId="4" showComments="commIndAndComment"/>
    <customWorkbookView name="m.kaif - Personal View" guid="{C4C974E7-2FCF-4C3A-A063-03001047949F}" mergeInterval="0" personalView="1" maximized="1" xWindow="1" yWindow="1" windowWidth="1024" windowHeight="527" tabRatio="601" activeSheetId="9"/>
    <customWorkbookView name="Nick Chheda - Personal View" guid="{A8167CC1-C909-4D11-B8D5-4313083C8125}" mergeInterval="0" personalView="1" maximized="1" xWindow="1" yWindow="1" windowWidth="1356" windowHeight="525" tabRatio="796" activeSheetId="18"/>
    <customWorkbookView name="MatalanMIS - Personal View" guid="{AA4262F8-9AB3-4147-94E2-8DEF81F7E83C}" mergeInterval="0" personalView="1" maximized="1" xWindow="1" yWindow="1" windowWidth="1276" windowHeight="803" tabRatio="844" activeSheetId="1"/>
  </customWorkbookViews>
  <fileRecoveryPr autoRecover="0"/>
</workbook>
</file>

<file path=xl/calcChain.xml><?xml version="1.0" encoding="utf-8"?>
<calcChain xmlns="http://schemas.openxmlformats.org/spreadsheetml/2006/main">
  <c r="Z142" i="21"/>
  <c r="X142"/>
  <c r="V142"/>
  <c r="T142"/>
  <c r="R142"/>
  <c r="P142"/>
  <c r="N142"/>
  <c r="L142"/>
  <c r="J142"/>
  <c r="H142"/>
  <c r="F142"/>
  <c r="AA142"/>
  <c r="T142" i="2"/>
  <c r="AA142" i="24"/>
  <c r="AA142" i="23"/>
  <c r="AA142" i="11"/>
  <c r="AA142" i="7"/>
  <c r="Z117" i="26"/>
  <c r="X117"/>
  <c r="V117"/>
  <c r="T117"/>
  <c r="R117"/>
  <c r="P117"/>
  <c r="N117"/>
  <c r="L117"/>
  <c r="J117"/>
  <c r="H117"/>
  <c r="F117"/>
  <c r="D117"/>
  <c r="Z117" i="24"/>
  <c r="X117"/>
  <c r="V117"/>
  <c r="T117"/>
  <c r="R117"/>
  <c r="P117"/>
  <c r="N117"/>
  <c r="L117"/>
  <c r="J117"/>
  <c r="H117"/>
  <c r="F117"/>
  <c r="D117"/>
  <c r="Z117" i="25"/>
  <c r="X117"/>
  <c r="V117"/>
  <c r="T117"/>
  <c r="R117"/>
  <c r="P117"/>
  <c r="N117"/>
  <c r="L117"/>
  <c r="J117"/>
  <c r="H117"/>
  <c r="F117"/>
  <c r="D117"/>
  <c r="Z117" i="23"/>
  <c r="X117"/>
  <c r="V117"/>
  <c r="T117"/>
  <c r="R117"/>
  <c r="P117"/>
  <c r="N117"/>
  <c r="L117"/>
  <c r="J117"/>
  <c r="H117"/>
  <c r="F117"/>
  <c r="D117"/>
  <c r="Z117" i="21"/>
  <c r="X117"/>
  <c r="V117"/>
  <c r="T117"/>
  <c r="R117"/>
  <c r="P117"/>
  <c r="N117"/>
  <c r="L117"/>
  <c r="J117"/>
  <c r="H117"/>
  <c r="F117"/>
  <c r="D117"/>
  <c r="Z117" i="20"/>
  <c r="X117"/>
  <c r="V117"/>
  <c r="T117"/>
  <c r="R117"/>
  <c r="P117"/>
  <c r="N117"/>
  <c r="L117"/>
  <c r="J117"/>
  <c r="H117"/>
  <c r="F117"/>
  <c r="D117"/>
  <c r="Z117" i="11"/>
  <c r="X117"/>
  <c r="V117"/>
  <c r="T117"/>
  <c r="R117"/>
  <c r="P117"/>
  <c r="N117"/>
  <c r="L117"/>
  <c r="J117"/>
  <c r="H117"/>
  <c r="F117"/>
  <c r="D117"/>
  <c r="Z117" i="7"/>
  <c r="X117"/>
  <c r="V117"/>
  <c r="T117"/>
  <c r="R117"/>
  <c r="P117"/>
  <c r="N117"/>
  <c r="L117"/>
  <c r="J117"/>
  <c r="H117"/>
  <c r="F117"/>
  <c r="D117"/>
  <c r="Z117" i="6"/>
  <c r="X117"/>
  <c r="V117"/>
  <c r="T117"/>
  <c r="R117"/>
  <c r="P117"/>
  <c r="N117"/>
  <c r="L117"/>
  <c r="J117"/>
  <c r="H117"/>
  <c r="F117"/>
  <c r="D117"/>
  <c r="Z117" i="4"/>
  <c r="X117"/>
  <c r="V117"/>
  <c r="T117"/>
  <c r="R117"/>
  <c r="P117"/>
  <c r="N117"/>
  <c r="L117"/>
  <c r="J117"/>
  <c r="H117"/>
  <c r="F117"/>
  <c r="D117"/>
  <c r="Z117" i="3"/>
  <c r="X117"/>
  <c r="V117"/>
  <c r="T117"/>
  <c r="R117"/>
  <c r="P117"/>
  <c r="N117"/>
  <c r="L117"/>
  <c r="J117"/>
  <c r="H117"/>
  <c r="F117"/>
  <c r="D117"/>
  <c r="AA117" i="2"/>
  <c r="AA87" i="7"/>
  <c r="D90" i="20"/>
  <c r="Z88" i="24" l="1"/>
  <c r="X88"/>
  <c r="V88"/>
  <c r="T88"/>
  <c r="R88"/>
  <c r="P88"/>
  <c r="N88"/>
  <c r="L88"/>
  <c r="J88"/>
  <c r="H88"/>
  <c r="F88"/>
  <c r="D88"/>
  <c r="Z88" i="25"/>
  <c r="X88"/>
  <c r="V88"/>
  <c r="T88"/>
  <c r="R88"/>
  <c r="P88"/>
  <c r="N88"/>
  <c r="L88"/>
  <c r="J88"/>
  <c r="H88"/>
  <c r="F88"/>
  <c r="D88"/>
  <c r="Z88" i="23"/>
  <c r="X88"/>
  <c r="V88"/>
  <c r="T88"/>
  <c r="R88"/>
  <c r="P88"/>
  <c r="N88"/>
  <c r="L88"/>
  <c r="J88"/>
  <c r="H88"/>
  <c r="F88"/>
  <c r="D88"/>
  <c r="Z88" i="21"/>
  <c r="X88"/>
  <c r="V88"/>
  <c r="T88"/>
  <c r="R88"/>
  <c r="P88"/>
  <c r="N88"/>
  <c r="L88"/>
  <c r="J88"/>
  <c r="H88"/>
  <c r="F88"/>
  <c r="D88"/>
  <c r="Z88" i="20"/>
  <c r="X88"/>
  <c r="V88"/>
  <c r="T88"/>
  <c r="R88"/>
  <c r="P88"/>
  <c r="N88"/>
  <c r="L88"/>
  <c r="J88"/>
  <c r="H88"/>
  <c r="F88"/>
  <c r="D88"/>
  <c r="Z88" i="11"/>
  <c r="X88"/>
  <c r="V88"/>
  <c r="T88"/>
  <c r="R88"/>
  <c r="P88"/>
  <c r="N88"/>
  <c r="L88"/>
  <c r="J88"/>
  <c r="H88"/>
  <c r="F88"/>
  <c r="D88"/>
  <c r="Z88" i="7"/>
  <c r="X88"/>
  <c r="V88"/>
  <c r="T88"/>
  <c r="R88"/>
  <c r="P88"/>
  <c r="N88"/>
  <c r="L88"/>
  <c r="J88"/>
  <c r="H88"/>
  <c r="F88"/>
  <c r="D88"/>
  <c r="Z88" i="6"/>
  <c r="X88"/>
  <c r="V88"/>
  <c r="T88"/>
  <c r="R88"/>
  <c r="P88"/>
  <c r="N88"/>
  <c r="L88"/>
  <c r="J88"/>
  <c r="H88"/>
  <c r="F88"/>
  <c r="D88"/>
  <c r="Z88" i="4"/>
  <c r="X88"/>
  <c r="V88"/>
  <c r="T88"/>
  <c r="R88"/>
  <c r="P88"/>
  <c r="N88"/>
  <c r="L88"/>
  <c r="J88"/>
  <c r="H88"/>
  <c r="F88"/>
  <c r="D88"/>
  <c r="Z88" i="3"/>
  <c r="X88"/>
  <c r="V88"/>
  <c r="T88"/>
  <c r="R88"/>
  <c r="P88"/>
  <c r="N88"/>
  <c r="L88"/>
  <c r="J88"/>
  <c r="H88"/>
  <c r="F88"/>
  <c r="D88"/>
  <c r="Z88" i="2"/>
  <c r="X88"/>
  <c r="V88"/>
  <c r="T88"/>
  <c r="R88"/>
  <c r="P88"/>
  <c r="N88"/>
  <c r="L88"/>
  <c r="J88"/>
  <c r="H88"/>
  <c r="F88"/>
  <c r="D88"/>
  <c r="Y27" i="26"/>
  <c r="Z27" s="1"/>
  <c r="W27"/>
  <c r="X27" s="1"/>
  <c r="U27"/>
  <c r="V27" s="1"/>
  <c r="S27"/>
  <c r="T27" s="1"/>
  <c r="Q27"/>
  <c r="R27" s="1"/>
  <c r="O27"/>
  <c r="P27" s="1"/>
  <c r="M27"/>
  <c r="N27" s="1"/>
  <c r="K27"/>
  <c r="L27" s="1"/>
  <c r="I27"/>
  <c r="J27" s="1"/>
  <c r="G27"/>
  <c r="H27" s="1"/>
  <c r="E27"/>
  <c r="F27" s="1"/>
  <c r="C27"/>
  <c r="D27" s="1"/>
  <c r="Y27" i="24"/>
  <c r="Z27" s="1"/>
  <c r="W27"/>
  <c r="X27" s="1"/>
  <c r="U27"/>
  <c r="V27" s="1"/>
  <c r="S27"/>
  <c r="T27" s="1"/>
  <c r="Q27"/>
  <c r="R27" s="1"/>
  <c r="O27"/>
  <c r="P27" s="1"/>
  <c r="M27"/>
  <c r="N27" s="1"/>
  <c r="K27"/>
  <c r="L27" s="1"/>
  <c r="I27"/>
  <c r="J27" s="1"/>
  <c r="G27"/>
  <c r="H27" s="1"/>
  <c r="E27"/>
  <c r="F27" s="1"/>
  <c r="C27"/>
  <c r="D27" s="1"/>
  <c r="Y27" i="25"/>
  <c r="Z27" s="1"/>
  <c r="X27"/>
  <c r="W27"/>
  <c r="U27"/>
  <c r="V27" s="1"/>
  <c r="T27"/>
  <c r="S27"/>
  <c r="Q27"/>
  <c r="R27" s="1"/>
  <c r="P27"/>
  <c r="O27"/>
  <c r="M27"/>
  <c r="N27" s="1"/>
  <c r="L27"/>
  <c r="K27"/>
  <c r="I27"/>
  <c r="J27" s="1"/>
  <c r="H27"/>
  <c r="G27"/>
  <c r="E27"/>
  <c r="F27" s="1"/>
  <c r="D27"/>
  <c r="C27"/>
  <c r="Y27" i="23"/>
  <c r="Z27" s="1"/>
  <c r="X27"/>
  <c r="W27"/>
  <c r="U27"/>
  <c r="V27" s="1"/>
  <c r="T27"/>
  <c r="S27"/>
  <c r="Q27"/>
  <c r="R27" s="1"/>
  <c r="P27"/>
  <c r="O27"/>
  <c r="M27"/>
  <c r="N27" s="1"/>
  <c r="L27"/>
  <c r="K27"/>
  <c r="I27"/>
  <c r="J27" s="1"/>
  <c r="H27"/>
  <c r="G27"/>
  <c r="E27"/>
  <c r="F27" s="1"/>
  <c r="D27"/>
  <c r="C27"/>
  <c r="Y27" i="21"/>
  <c r="Z27" s="1"/>
  <c r="X27"/>
  <c r="W27"/>
  <c r="U27"/>
  <c r="V27" s="1"/>
  <c r="T27"/>
  <c r="S27"/>
  <c r="Q27"/>
  <c r="R27" s="1"/>
  <c r="P27"/>
  <c r="O27"/>
  <c r="M27"/>
  <c r="N27" s="1"/>
  <c r="L27"/>
  <c r="K27"/>
  <c r="I27"/>
  <c r="J27" s="1"/>
  <c r="H27"/>
  <c r="G27"/>
  <c r="E27"/>
  <c r="F27" s="1"/>
  <c r="D27"/>
  <c r="C27"/>
  <c r="Y27" i="20"/>
  <c r="Z27" s="1"/>
  <c r="X27"/>
  <c r="W27"/>
  <c r="U27"/>
  <c r="V27" s="1"/>
  <c r="T27"/>
  <c r="S27"/>
  <c r="Q27"/>
  <c r="R27" s="1"/>
  <c r="P27"/>
  <c r="O27"/>
  <c r="M27"/>
  <c r="N27" s="1"/>
  <c r="L27"/>
  <c r="K27"/>
  <c r="I27"/>
  <c r="J27" s="1"/>
  <c r="H27"/>
  <c r="G27"/>
  <c r="E27"/>
  <c r="F27" s="1"/>
  <c r="D27"/>
  <c r="C27"/>
  <c r="Y27" i="11"/>
  <c r="Z27" s="1"/>
  <c r="X27"/>
  <c r="W27"/>
  <c r="U27"/>
  <c r="V27" s="1"/>
  <c r="T27"/>
  <c r="S27"/>
  <c r="Q27"/>
  <c r="R27" s="1"/>
  <c r="P27"/>
  <c r="O27"/>
  <c r="M27"/>
  <c r="N27" s="1"/>
  <c r="L27"/>
  <c r="K27"/>
  <c r="I27"/>
  <c r="J27" s="1"/>
  <c r="H27"/>
  <c r="G27"/>
  <c r="E27"/>
  <c r="F27" s="1"/>
  <c r="D27"/>
  <c r="C27"/>
  <c r="Y27" i="7"/>
  <c r="Z27" s="1"/>
  <c r="W27"/>
  <c r="X27" s="1"/>
  <c r="U27"/>
  <c r="V27" s="1"/>
  <c r="S27"/>
  <c r="T27" s="1"/>
  <c r="Q27"/>
  <c r="R27" s="1"/>
  <c r="O27"/>
  <c r="P27" s="1"/>
  <c r="M27"/>
  <c r="N27" s="1"/>
  <c r="K27"/>
  <c r="L27" s="1"/>
  <c r="I27"/>
  <c r="J27" s="1"/>
  <c r="G27"/>
  <c r="H27" s="1"/>
  <c r="E27"/>
  <c r="F27" s="1"/>
  <c r="C27"/>
  <c r="D27" s="1"/>
  <c r="Y27" i="6"/>
  <c r="Z27" s="1"/>
  <c r="W27"/>
  <c r="X27" s="1"/>
  <c r="U27"/>
  <c r="V27" s="1"/>
  <c r="T27"/>
  <c r="S27"/>
  <c r="Q27"/>
  <c r="R27" s="1"/>
  <c r="P27"/>
  <c r="O27"/>
  <c r="M27"/>
  <c r="N27" s="1"/>
  <c r="L27"/>
  <c r="K27"/>
  <c r="I27"/>
  <c r="J27" s="1"/>
  <c r="H27"/>
  <c r="G27"/>
  <c r="E27"/>
  <c r="F27" s="1"/>
  <c r="D27"/>
  <c r="C27"/>
  <c r="Y27" i="4"/>
  <c r="Z27" s="1"/>
  <c r="X27"/>
  <c r="W27"/>
  <c r="U27"/>
  <c r="V27" s="1"/>
  <c r="T27"/>
  <c r="S27"/>
  <c r="Q27"/>
  <c r="R27" s="1"/>
  <c r="P27"/>
  <c r="O27"/>
  <c r="M27"/>
  <c r="N27" s="1"/>
  <c r="L27"/>
  <c r="K27"/>
  <c r="I27"/>
  <c r="J27" s="1"/>
  <c r="H27"/>
  <c r="G27"/>
  <c r="E27"/>
  <c r="F27" s="1"/>
  <c r="D27"/>
  <c r="C27"/>
  <c r="Y27" i="3"/>
  <c r="Z27" s="1"/>
  <c r="W27"/>
  <c r="X27" s="1"/>
  <c r="U27"/>
  <c r="V27" s="1"/>
  <c r="S27"/>
  <c r="T27" s="1"/>
  <c r="Q27"/>
  <c r="R27" s="1"/>
  <c r="O27"/>
  <c r="P27" s="1"/>
  <c r="M27"/>
  <c r="N27" s="1"/>
  <c r="K27"/>
  <c r="L27" s="1"/>
  <c r="I27"/>
  <c r="J27" s="1"/>
  <c r="G27"/>
  <c r="H27" s="1"/>
  <c r="E27"/>
  <c r="F27" s="1"/>
  <c r="C27"/>
  <c r="D27" s="1"/>
  <c r="Y27" i="2"/>
  <c r="W27"/>
  <c r="U27"/>
  <c r="S27"/>
  <c r="Q27"/>
  <c r="O27"/>
  <c r="M27"/>
  <c r="K27"/>
  <c r="I27"/>
  <c r="G27"/>
  <c r="E27"/>
  <c r="C27"/>
  <c r="I17" i="26"/>
  <c r="G17"/>
  <c r="E17"/>
  <c r="U17"/>
  <c r="O17"/>
  <c r="M17"/>
  <c r="K17"/>
  <c r="C17"/>
  <c r="Y17"/>
  <c r="U17" i="24"/>
  <c r="S17"/>
  <c r="Q17"/>
  <c r="O17"/>
  <c r="M17"/>
  <c r="K17"/>
  <c r="I17"/>
  <c r="G17"/>
  <c r="E17"/>
  <c r="C17"/>
  <c r="Y17"/>
  <c r="Y17" i="25"/>
  <c r="M17"/>
  <c r="K17"/>
  <c r="I17"/>
  <c r="G17"/>
  <c r="E17"/>
  <c r="AA17"/>
  <c r="S17" i="21"/>
  <c r="O17"/>
  <c r="M17"/>
  <c r="C17"/>
  <c r="U17"/>
  <c r="Q17"/>
  <c r="G17"/>
  <c r="E17"/>
  <c r="U17" i="20"/>
  <c r="Q17"/>
  <c r="O17"/>
  <c r="U17" i="11"/>
  <c r="S17"/>
  <c r="Q17"/>
  <c r="M17"/>
  <c r="E17"/>
  <c r="W17" i="7"/>
  <c r="U17"/>
  <c r="S17"/>
  <c r="Q17"/>
  <c r="K17"/>
  <c r="I17"/>
  <c r="G17"/>
  <c r="E17"/>
  <c r="C17"/>
  <c r="Y17"/>
  <c r="W17" i="6"/>
  <c r="G17"/>
  <c r="E17"/>
  <c r="U17"/>
  <c r="S17"/>
  <c r="O17"/>
  <c r="M17"/>
  <c r="U17" i="4"/>
  <c r="S17"/>
  <c r="I17"/>
  <c r="M17"/>
  <c r="G17" i="3"/>
  <c r="C17" i="2"/>
  <c r="Y17"/>
  <c r="E17"/>
  <c r="I17"/>
  <c r="K17"/>
  <c r="O17"/>
  <c r="U17"/>
  <c r="I21"/>
  <c r="S150" i="8"/>
  <c r="Q150"/>
  <c r="O150"/>
  <c r="M150"/>
  <c r="K150"/>
  <c r="K111" i="18"/>
  <c r="K112"/>
  <c r="I150" i="8"/>
  <c r="I111" i="18"/>
  <c r="I112"/>
  <c r="G150" i="8"/>
  <c r="E150"/>
  <c r="C150"/>
  <c r="U150"/>
  <c r="AA142" i="20"/>
  <c r="AC142" s="1"/>
  <c r="AC142" i="11"/>
  <c r="AA142" i="4"/>
  <c r="AA142" i="2"/>
  <c r="M17"/>
  <c r="G17"/>
  <c r="Q17"/>
  <c r="S17"/>
  <c r="W17"/>
  <c r="I17" i="3"/>
  <c r="Q17"/>
  <c r="C17"/>
  <c r="O17"/>
  <c r="M17"/>
  <c r="U17"/>
  <c r="S17"/>
  <c r="E17"/>
  <c r="E17" i="4"/>
  <c r="C17"/>
  <c r="Q17"/>
  <c r="O17"/>
  <c r="G17"/>
  <c r="Q17" i="6"/>
  <c r="K17"/>
  <c r="C17"/>
  <c r="O17" i="7"/>
  <c r="M17"/>
  <c r="W17" i="11"/>
  <c r="O17"/>
  <c r="C17"/>
  <c r="K17" i="20"/>
  <c r="S17"/>
  <c r="I17"/>
  <c r="G17"/>
  <c r="E17"/>
  <c r="S59" i="21"/>
  <c r="Q59"/>
  <c r="O59"/>
  <c r="M59"/>
  <c r="K59"/>
  <c r="I59"/>
  <c r="G59"/>
  <c r="E59"/>
  <c r="C59"/>
  <c r="T45"/>
  <c r="W17"/>
  <c r="Y17"/>
  <c r="Y42" i="23"/>
  <c r="W42"/>
  <c r="U42"/>
  <c r="S42"/>
  <c r="Q42"/>
  <c r="O42"/>
  <c r="M42"/>
  <c r="K42"/>
  <c r="I42"/>
  <c r="G42"/>
  <c r="E42"/>
  <c r="C42"/>
  <c r="S17"/>
  <c r="U17"/>
  <c r="G17"/>
  <c r="E17"/>
  <c r="C17"/>
  <c r="W17" i="25"/>
  <c r="U17"/>
  <c r="S17"/>
  <c r="Q17"/>
  <c r="O17"/>
  <c r="C17"/>
  <c r="Y42"/>
  <c r="W42"/>
  <c r="U42"/>
  <c r="S42"/>
  <c r="Q42"/>
  <c r="O42"/>
  <c r="M42"/>
  <c r="K42"/>
  <c r="I42"/>
  <c r="G42"/>
  <c r="E42"/>
  <c r="C42"/>
  <c r="Y42" i="24"/>
  <c r="W42"/>
  <c r="U42"/>
  <c r="S42"/>
  <c r="Q42"/>
  <c r="O42"/>
  <c r="M42"/>
  <c r="K42"/>
  <c r="I42"/>
  <c r="G42"/>
  <c r="E42"/>
  <c r="C42"/>
  <c r="Y76"/>
  <c r="W76"/>
  <c r="U76"/>
  <c r="S76"/>
  <c r="Q76"/>
  <c r="O76"/>
  <c r="M76"/>
  <c r="K76"/>
  <c r="I76"/>
  <c r="G76"/>
  <c r="E76"/>
  <c r="C76"/>
  <c r="Y76" i="25"/>
  <c r="W76"/>
  <c r="W21"/>
  <c r="U76"/>
  <c r="U21"/>
  <c r="S76"/>
  <c r="S21"/>
  <c r="Q76"/>
  <c r="Q21"/>
  <c r="O76"/>
  <c r="O21"/>
  <c r="M76"/>
  <c r="K76"/>
  <c r="I76"/>
  <c r="G76"/>
  <c r="E76"/>
  <c r="E21"/>
  <c r="C76"/>
  <c r="C21"/>
  <c r="Y35" i="23"/>
  <c r="Y36" s="1"/>
  <c r="Y76"/>
  <c r="W35"/>
  <c r="W36" s="1"/>
  <c r="W76"/>
  <c r="U35"/>
  <c r="U36" s="1"/>
  <c r="U21"/>
  <c r="U76"/>
  <c r="S35"/>
  <c r="S21"/>
  <c r="S36"/>
  <c r="S37" s="1"/>
  <c r="S76"/>
  <c r="Q35"/>
  <c r="Q36" s="1"/>
  <c r="Q76"/>
  <c r="O35"/>
  <c r="O36" s="1"/>
  <c r="O76"/>
  <c r="M35"/>
  <c r="M36" s="1"/>
  <c r="M76"/>
  <c r="K35"/>
  <c r="K36" s="1"/>
  <c r="K76"/>
  <c r="I35"/>
  <c r="I36" s="1"/>
  <c r="I76"/>
  <c r="G21"/>
  <c r="G35"/>
  <c r="G36" s="1"/>
  <c r="G76"/>
  <c r="E21"/>
  <c r="E35"/>
  <c r="E36" s="1"/>
  <c r="E76"/>
  <c r="C21"/>
  <c r="C35"/>
  <c r="C36"/>
  <c r="C37" s="1"/>
  <c r="C76"/>
  <c r="Y21" i="21"/>
  <c r="Y35"/>
  <c r="Y36"/>
  <c r="Y37" s="1"/>
  <c r="Y76"/>
  <c r="W21"/>
  <c r="W35"/>
  <c r="W36" s="1"/>
  <c r="W76"/>
  <c r="U21"/>
  <c r="U36" s="1"/>
  <c r="U35"/>
  <c r="U76"/>
  <c r="S21"/>
  <c r="S35"/>
  <c r="S76"/>
  <c r="Q21"/>
  <c r="Q35"/>
  <c r="Q36"/>
  <c r="Q37" s="1"/>
  <c r="Q76"/>
  <c r="O21"/>
  <c r="O35"/>
  <c r="O76"/>
  <c r="M21"/>
  <c r="M35"/>
  <c r="M36"/>
  <c r="M37" s="1"/>
  <c r="M76"/>
  <c r="K35"/>
  <c r="K36"/>
  <c r="K37"/>
  <c r="K76"/>
  <c r="I35"/>
  <c r="I36"/>
  <c r="I37"/>
  <c r="I76"/>
  <c r="G21"/>
  <c r="G35"/>
  <c r="G36"/>
  <c r="G37" s="1"/>
  <c r="G76"/>
  <c r="E21"/>
  <c r="E35"/>
  <c r="E36"/>
  <c r="E37" s="1"/>
  <c r="E76"/>
  <c r="C21"/>
  <c r="C35"/>
  <c r="C76"/>
  <c r="U21" i="20"/>
  <c r="S21"/>
  <c r="K21"/>
  <c r="I21"/>
  <c r="G21"/>
  <c r="E21"/>
  <c r="W21" i="11"/>
  <c r="U21"/>
  <c r="S21"/>
  <c r="Q21"/>
  <c r="O21"/>
  <c r="E21"/>
  <c r="C21"/>
  <c r="Y35" i="7"/>
  <c r="W35"/>
  <c r="U35"/>
  <c r="S35"/>
  <c r="S21"/>
  <c r="S36" s="1"/>
  <c r="Q35"/>
  <c r="Q21"/>
  <c r="O35"/>
  <c r="O21"/>
  <c r="O36"/>
  <c r="O37" s="1"/>
  <c r="M35"/>
  <c r="M36" s="1"/>
  <c r="M21"/>
  <c r="K35"/>
  <c r="I35"/>
  <c r="G35"/>
  <c r="G21"/>
  <c r="E35"/>
  <c r="E21"/>
  <c r="E36" s="1"/>
  <c r="C35"/>
  <c r="U21" i="6"/>
  <c r="S21"/>
  <c r="Q21"/>
  <c r="K21"/>
  <c r="E21"/>
  <c r="C21"/>
  <c r="Y35" i="4"/>
  <c r="Y36" s="1"/>
  <c r="Y76"/>
  <c r="W35"/>
  <c r="W36" s="1"/>
  <c r="W76"/>
  <c r="U21"/>
  <c r="U35"/>
  <c r="U76"/>
  <c r="S21"/>
  <c r="S35"/>
  <c r="S76"/>
  <c r="Q21"/>
  <c r="Q35"/>
  <c r="Q36"/>
  <c r="Q37" s="1"/>
  <c r="Q76"/>
  <c r="O21"/>
  <c r="O35"/>
  <c r="O36" s="1"/>
  <c r="O76"/>
  <c r="M35"/>
  <c r="M76"/>
  <c r="K35"/>
  <c r="K36" s="1"/>
  <c r="K76"/>
  <c r="I35"/>
  <c r="I76"/>
  <c r="G21"/>
  <c r="G35"/>
  <c r="G36" s="1"/>
  <c r="G76"/>
  <c r="E21"/>
  <c r="E35"/>
  <c r="E36" s="1"/>
  <c r="E76"/>
  <c r="C21"/>
  <c r="C35"/>
  <c r="C36" s="1"/>
  <c r="U21" i="3"/>
  <c r="S21"/>
  <c r="Q21"/>
  <c r="O21"/>
  <c r="M21"/>
  <c r="I21"/>
  <c r="G21"/>
  <c r="E21"/>
  <c r="C21"/>
  <c r="S21" i="2"/>
  <c r="Q21"/>
  <c r="O21"/>
  <c r="M21"/>
  <c r="K21"/>
  <c r="G21"/>
  <c r="E21"/>
  <c r="C21"/>
  <c r="Y52" i="3"/>
  <c r="W52"/>
  <c r="U52"/>
  <c r="S52"/>
  <c r="Q52"/>
  <c r="O52"/>
  <c r="M52"/>
  <c r="K52"/>
  <c r="I52"/>
  <c r="G52"/>
  <c r="E52"/>
  <c r="C52"/>
  <c r="W114" i="26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Y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X106"/>
  <c r="V106"/>
  <c r="T106"/>
  <c r="Q106"/>
  <c r="R106"/>
  <c r="P106"/>
  <c r="N106"/>
  <c r="K106"/>
  <c r="L106"/>
  <c r="J106"/>
  <c r="G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T103"/>
  <c r="R103"/>
  <c r="P103"/>
  <c r="N103"/>
  <c r="L103"/>
  <c r="J103"/>
  <c r="H103"/>
  <c r="F103"/>
  <c r="D103"/>
  <c r="Y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W114" i="24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Y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X106"/>
  <c r="V106"/>
  <c r="T106"/>
  <c r="Q106"/>
  <c r="R106"/>
  <c r="P106"/>
  <c r="N106"/>
  <c r="K106"/>
  <c r="L106"/>
  <c r="J106"/>
  <c r="G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S103"/>
  <c r="T103"/>
  <c r="R103"/>
  <c r="P103"/>
  <c r="N103"/>
  <c r="L103"/>
  <c r="J103"/>
  <c r="H103"/>
  <c r="F103"/>
  <c r="D103"/>
  <c r="X102"/>
  <c r="V102"/>
  <c r="T102"/>
  <c r="R102"/>
  <c r="P102"/>
  <c r="N102"/>
  <c r="L102"/>
  <c r="J102"/>
  <c r="H102"/>
  <c r="F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W114" i="25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Y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X106"/>
  <c r="V106"/>
  <c r="T106"/>
  <c r="Q106"/>
  <c r="R106"/>
  <c r="P106"/>
  <c r="N106"/>
  <c r="K106"/>
  <c r="L106"/>
  <c r="J106"/>
  <c r="G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T103"/>
  <c r="R103"/>
  <c r="P103"/>
  <c r="N103"/>
  <c r="L103"/>
  <c r="J103"/>
  <c r="H103"/>
  <c r="F103"/>
  <c r="D103"/>
  <c r="X102"/>
  <c r="U102"/>
  <c r="V102"/>
  <c r="S102"/>
  <c r="T102"/>
  <c r="R102"/>
  <c r="P102"/>
  <c r="N102"/>
  <c r="K102"/>
  <c r="L102"/>
  <c r="J102"/>
  <c r="H102"/>
  <c r="E102"/>
  <c r="F102"/>
  <c r="C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W114" i="23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Y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X106"/>
  <c r="V106"/>
  <c r="T106"/>
  <c r="Q106"/>
  <c r="R106"/>
  <c r="P106"/>
  <c r="N106"/>
  <c r="K106"/>
  <c r="L106"/>
  <c r="J106"/>
  <c r="G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S103"/>
  <c r="T103"/>
  <c r="R103"/>
  <c r="P103"/>
  <c r="N103"/>
  <c r="L103"/>
  <c r="J103"/>
  <c r="H103"/>
  <c r="E103"/>
  <c r="F103"/>
  <c r="D103"/>
  <c r="Y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W114" i="21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Y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X106"/>
  <c r="V106"/>
  <c r="T106"/>
  <c r="Q106"/>
  <c r="R106"/>
  <c r="P106"/>
  <c r="N106"/>
  <c r="K106"/>
  <c r="L106"/>
  <c r="J106"/>
  <c r="G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T103"/>
  <c r="R103"/>
  <c r="P103"/>
  <c r="N103"/>
  <c r="L103"/>
  <c r="J103"/>
  <c r="H103"/>
  <c r="F103"/>
  <c r="D103"/>
  <c r="Y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W114" i="20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Y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X106"/>
  <c r="V106"/>
  <c r="T106"/>
  <c r="Q106"/>
  <c r="R106"/>
  <c r="P106"/>
  <c r="N106"/>
  <c r="K106"/>
  <c r="L106"/>
  <c r="J106"/>
  <c r="G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T103"/>
  <c r="R103"/>
  <c r="P103"/>
  <c r="N103"/>
  <c r="L103"/>
  <c r="I103"/>
  <c r="J103"/>
  <c r="H103"/>
  <c r="E103"/>
  <c r="F103"/>
  <c r="D103"/>
  <c r="X102"/>
  <c r="U102"/>
  <c r="V102"/>
  <c r="S102"/>
  <c r="T102"/>
  <c r="R102"/>
  <c r="P102"/>
  <c r="N102"/>
  <c r="K102"/>
  <c r="L102"/>
  <c r="J102"/>
  <c r="H102"/>
  <c r="E102"/>
  <c r="F102"/>
  <c r="C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W114" i="11"/>
  <c r="X114"/>
  <c r="V114"/>
  <c r="T114"/>
  <c r="R114"/>
  <c r="P114"/>
  <c r="N114"/>
  <c r="L114"/>
  <c r="J114"/>
  <c r="H114"/>
  <c r="F114"/>
  <c r="D114"/>
  <c r="X113"/>
  <c r="V113"/>
  <c r="T113"/>
  <c r="R113"/>
  <c r="P113"/>
  <c r="N113"/>
  <c r="L113"/>
  <c r="J113"/>
  <c r="H113"/>
  <c r="F113"/>
  <c r="D113"/>
  <c r="Y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X110"/>
  <c r="V110"/>
  <c r="T110"/>
  <c r="R110"/>
  <c r="P110"/>
  <c r="N110"/>
  <c r="L110"/>
  <c r="J110"/>
  <c r="H110"/>
  <c r="F110"/>
  <c r="D110"/>
  <c r="X109"/>
  <c r="V109"/>
  <c r="T109"/>
  <c r="R109"/>
  <c r="P109"/>
  <c r="N109"/>
  <c r="L109"/>
  <c r="J109"/>
  <c r="H109"/>
  <c r="F109"/>
  <c r="D109"/>
  <c r="X108"/>
  <c r="V108"/>
  <c r="T108"/>
  <c r="R108"/>
  <c r="P108"/>
  <c r="N108"/>
  <c r="L108"/>
  <c r="J108"/>
  <c r="H108"/>
  <c r="F108"/>
  <c r="D108"/>
  <c r="Y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X106"/>
  <c r="V106"/>
  <c r="T106"/>
  <c r="Q106"/>
  <c r="R106"/>
  <c r="P106"/>
  <c r="N106"/>
  <c r="K106"/>
  <c r="L106"/>
  <c r="J106"/>
  <c r="G106"/>
  <c r="H106"/>
  <c r="F106"/>
  <c r="D106"/>
  <c r="X105"/>
  <c r="V105"/>
  <c r="T105"/>
  <c r="R105"/>
  <c r="P105"/>
  <c r="N105"/>
  <c r="L105"/>
  <c r="J105"/>
  <c r="H105"/>
  <c r="F105"/>
  <c r="D105"/>
  <c r="X104"/>
  <c r="V104"/>
  <c r="T104"/>
  <c r="R104"/>
  <c r="P104"/>
  <c r="N104"/>
  <c r="L104"/>
  <c r="J104"/>
  <c r="H104"/>
  <c r="F104"/>
  <c r="D104"/>
  <c r="X103"/>
  <c r="V103"/>
  <c r="T103"/>
  <c r="R103"/>
  <c r="P103"/>
  <c r="N103"/>
  <c r="L103"/>
  <c r="J103"/>
  <c r="H103"/>
  <c r="F103"/>
  <c r="D103"/>
  <c r="Y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X101"/>
  <c r="V101"/>
  <c r="T101"/>
  <c r="R101"/>
  <c r="P101"/>
  <c r="N101"/>
  <c r="L101"/>
  <c r="J101"/>
  <c r="H101"/>
  <c r="F101"/>
  <c r="D101"/>
  <c r="X100"/>
  <c r="V100"/>
  <c r="T100"/>
  <c r="R100"/>
  <c r="P100"/>
  <c r="N100"/>
  <c r="L100"/>
  <c r="J100"/>
  <c r="H100"/>
  <c r="F100"/>
  <c r="D100"/>
  <c r="X99"/>
  <c r="V99"/>
  <c r="T99"/>
  <c r="R99"/>
  <c r="P99"/>
  <c r="N99"/>
  <c r="L99"/>
  <c r="J99"/>
  <c r="H99"/>
  <c r="F99"/>
  <c r="D99"/>
  <c r="X98"/>
  <c r="V98"/>
  <c r="T98"/>
  <c r="R98"/>
  <c r="P98"/>
  <c r="N98"/>
  <c r="L98"/>
  <c r="J98"/>
  <c r="H98"/>
  <c r="F98"/>
  <c r="D98"/>
  <c r="X97"/>
  <c r="V97"/>
  <c r="T97"/>
  <c r="R97"/>
  <c r="P97"/>
  <c r="N97"/>
  <c r="L97"/>
  <c r="J97"/>
  <c r="H97"/>
  <c r="F97"/>
  <c r="D97"/>
  <c r="X96"/>
  <c r="V96"/>
  <c r="T96"/>
  <c r="R96"/>
  <c r="P96"/>
  <c r="N96"/>
  <c r="L96"/>
  <c r="J96"/>
  <c r="H96"/>
  <c r="F96"/>
  <c r="D96"/>
  <c r="X95"/>
  <c r="V95"/>
  <c r="T95"/>
  <c r="R95"/>
  <c r="P95"/>
  <c r="N95"/>
  <c r="L95"/>
  <c r="J95"/>
  <c r="H95"/>
  <c r="F95"/>
  <c r="D95"/>
  <c r="X94"/>
  <c r="V94"/>
  <c r="T94"/>
  <c r="R94"/>
  <c r="P94"/>
  <c r="N94"/>
  <c r="L94"/>
  <c r="J94"/>
  <c r="H94"/>
  <c r="F94"/>
  <c r="D94"/>
  <c r="Z114" i="7"/>
  <c r="W114"/>
  <c r="X114"/>
  <c r="V114"/>
  <c r="T114"/>
  <c r="R114"/>
  <c r="P114"/>
  <c r="N114"/>
  <c r="L114"/>
  <c r="J114"/>
  <c r="H114"/>
  <c r="F114"/>
  <c r="D114"/>
  <c r="Z113"/>
  <c r="X113"/>
  <c r="V113"/>
  <c r="T113"/>
  <c r="R113"/>
  <c r="P113"/>
  <c r="N113"/>
  <c r="L113"/>
  <c r="J113"/>
  <c r="H113"/>
  <c r="F113"/>
  <c r="D113"/>
  <c r="Y112"/>
  <c r="Z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Z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Z110"/>
  <c r="X110"/>
  <c r="V110"/>
  <c r="T110"/>
  <c r="R110"/>
  <c r="P110"/>
  <c r="N110"/>
  <c r="L110"/>
  <c r="J110"/>
  <c r="H110"/>
  <c r="F110"/>
  <c r="D110"/>
  <c r="Z109"/>
  <c r="X109"/>
  <c r="V109"/>
  <c r="T109"/>
  <c r="R109"/>
  <c r="P109"/>
  <c r="N109"/>
  <c r="L109"/>
  <c r="J109"/>
  <c r="H109"/>
  <c r="F109"/>
  <c r="D109"/>
  <c r="Z108"/>
  <c r="X108"/>
  <c r="V108"/>
  <c r="T108"/>
  <c r="R108"/>
  <c r="P108"/>
  <c r="N108"/>
  <c r="L108"/>
  <c r="J108"/>
  <c r="H108"/>
  <c r="F108"/>
  <c r="D108"/>
  <c r="Y107"/>
  <c r="Z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Z106"/>
  <c r="X106"/>
  <c r="V106"/>
  <c r="T106"/>
  <c r="Q106"/>
  <c r="R106"/>
  <c r="P106"/>
  <c r="N106"/>
  <c r="K106"/>
  <c r="L106"/>
  <c r="J106"/>
  <c r="G106"/>
  <c r="H106"/>
  <c r="F106"/>
  <c r="D106"/>
  <c r="Z105"/>
  <c r="X105"/>
  <c r="V105"/>
  <c r="T105"/>
  <c r="R105"/>
  <c r="P105"/>
  <c r="N105"/>
  <c r="L105"/>
  <c r="J105"/>
  <c r="H105"/>
  <c r="F105"/>
  <c r="D105"/>
  <c r="Z104"/>
  <c r="X104"/>
  <c r="V104"/>
  <c r="T104"/>
  <c r="R104"/>
  <c r="P104"/>
  <c r="N104"/>
  <c r="L104"/>
  <c r="J104"/>
  <c r="H104"/>
  <c r="F104"/>
  <c r="D104"/>
  <c r="Z103"/>
  <c r="X103"/>
  <c r="V103"/>
  <c r="S103"/>
  <c r="T103"/>
  <c r="R103"/>
  <c r="P103"/>
  <c r="N103"/>
  <c r="L103"/>
  <c r="J103"/>
  <c r="G103"/>
  <c r="H103"/>
  <c r="F103"/>
  <c r="D103"/>
  <c r="Z102"/>
  <c r="X102"/>
  <c r="U102"/>
  <c r="V102"/>
  <c r="S102"/>
  <c r="T102"/>
  <c r="R102"/>
  <c r="P102"/>
  <c r="N102"/>
  <c r="K102"/>
  <c r="L102"/>
  <c r="J102"/>
  <c r="H102"/>
  <c r="E102"/>
  <c r="F102"/>
  <c r="C102"/>
  <c r="D102"/>
  <c r="Z101"/>
  <c r="X101"/>
  <c r="V101"/>
  <c r="T101"/>
  <c r="R101"/>
  <c r="P101"/>
  <c r="N101"/>
  <c r="L101"/>
  <c r="J101"/>
  <c r="H101"/>
  <c r="F101"/>
  <c r="D101"/>
  <c r="Z100"/>
  <c r="X100"/>
  <c r="V100"/>
  <c r="T100"/>
  <c r="R100"/>
  <c r="P100"/>
  <c r="N100"/>
  <c r="L100"/>
  <c r="J100"/>
  <c r="H100"/>
  <c r="F100"/>
  <c r="D100"/>
  <c r="Z99"/>
  <c r="X99"/>
  <c r="V99"/>
  <c r="T99"/>
  <c r="R99"/>
  <c r="P99"/>
  <c r="N99"/>
  <c r="L99"/>
  <c r="J99"/>
  <c r="H99"/>
  <c r="F99"/>
  <c r="D99"/>
  <c r="Z98"/>
  <c r="X98"/>
  <c r="V98"/>
  <c r="T98"/>
  <c r="R98"/>
  <c r="P98"/>
  <c r="N98"/>
  <c r="L98"/>
  <c r="J98"/>
  <c r="H98"/>
  <c r="F98"/>
  <c r="D98"/>
  <c r="Z97"/>
  <c r="X97"/>
  <c r="V97"/>
  <c r="T97"/>
  <c r="R97"/>
  <c r="P97"/>
  <c r="N97"/>
  <c r="L97"/>
  <c r="J97"/>
  <c r="H97"/>
  <c r="F97"/>
  <c r="D97"/>
  <c r="Z96"/>
  <c r="X96"/>
  <c r="V96"/>
  <c r="T96"/>
  <c r="R96"/>
  <c r="P96"/>
  <c r="N96"/>
  <c r="L96"/>
  <c r="J96"/>
  <c r="H96"/>
  <c r="F96"/>
  <c r="D96"/>
  <c r="Z95"/>
  <c r="X95"/>
  <c r="V95"/>
  <c r="T95"/>
  <c r="R95"/>
  <c r="P95"/>
  <c r="N95"/>
  <c r="L95"/>
  <c r="J95"/>
  <c r="H95"/>
  <c r="F95"/>
  <c r="D95"/>
  <c r="Z94"/>
  <c r="X94"/>
  <c r="V94"/>
  <c r="T94"/>
  <c r="R94"/>
  <c r="P94"/>
  <c r="N94"/>
  <c r="L94"/>
  <c r="J94"/>
  <c r="H94"/>
  <c r="F94"/>
  <c r="D94"/>
  <c r="Z114" i="6"/>
  <c r="W114"/>
  <c r="X114"/>
  <c r="V114"/>
  <c r="T114"/>
  <c r="R114"/>
  <c r="P114"/>
  <c r="N114"/>
  <c r="L114"/>
  <c r="J114"/>
  <c r="H114"/>
  <c r="F114"/>
  <c r="D114"/>
  <c r="Z113"/>
  <c r="X113"/>
  <c r="V113"/>
  <c r="T113"/>
  <c r="R113"/>
  <c r="P113"/>
  <c r="N113"/>
  <c r="L113"/>
  <c r="J113"/>
  <c r="H113"/>
  <c r="F113"/>
  <c r="D113"/>
  <c r="Y112"/>
  <c r="Z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Z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Z110"/>
  <c r="X110"/>
  <c r="V110"/>
  <c r="T110"/>
  <c r="R110"/>
  <c r="P110"/>
  <c r="N110"/>
  <c r="L110"/>
  <c r="J110"/>
  <c r="H110"/>
  <c r="F110"/>
  <c r="D110"/>
  <c r="Z109"/>
  <c r="X109"/>
  <c r="V109"/>
  <c r="T109"/>
  <c r="R109"/>
  <c r="P109"/>
  <c r="N109"/>
  <c r="L109"/>
  <c r="J109"/>
  <c r="H109"/>
  <c r="F109"/>
  <c r="D109"/>
  <c r="Z108"/>
  <c r="X108"/>
  <c r="V108"/>
  <c r="T108"/>
  <c r="R108"/>
  <c r="P108"/>
  <c r="N108"/>
  <c r="L108"/>
  <c r="J108"/>
  <c r="H108"/>
  <c r="F108"/>
  <c r="D108"/>
  <c r="Y107"/>
  <c r="Z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Z106"/>
  <c r="X106"/>
  <c r="V106"/>
  <c r="T106"/>
  <c r="Q106"/>
  <c r="R106"/>
  <c r="P106"/>
  <c r="N106"/>
  <c r="K106"/>
  <c r="L106"/>
  <c r="J106"/>
  <c r="G106"/>
  <c r="H106"/>
  <c r="F106"/>
  <c r="D106"/>
  <c r="Z105"/>
  <c r="X105"/>
  <c r="V105"/>
  <c r="T105"/>
  <c r="R105"/>
  <c r="P105"/>
  <c r="N105"/>
  <c r="L105"/>
  <c r="J105"/>
  <c r="H105"/>
  <c r="F105"/>
  <c r="D105"/>
  <c r="Z104"/>
  <c r="X104"/>
  <c r="V104"/>
  <c r="T104"/>
  <c r="R104"/>
  <c r="P104"/>
  <c r="N104"/>
  <c r="L104"/>
  <c r="J104"/>
  <c r="H104"/>
  <c r="F104"/>
  <c r="D104"/>
  <c r="Z103"/>
  <c r="X103"/>
  <c r="V103"/>
  <c r="S103"/>
  <c r="T103"/>
  <c r="R103"/>
  <c r="P103"/>
  <c r="N103"/>
  <c r="L103"/>
  <c r="J103"/>
  <c r="H103"/>
  <c r="E103"/>
  <c r="F103"/>
  <c r="D103"/>
  <c r="Y102"/>
  <c r="Z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Z101"/>
  <c r="X101"/>
  <c r="V101"/>
  <c r="T101"/>
  <c r="R101"/>
  <c r="P101"/>
  <c r="N101"/>
  <c r="L101"/>
  <c r="J101"/>
  <c r="H101"/>
  <c r="F101"/>
  <c r="D101"/>
  <c r="Z100"/>
  <c r="X100"/>
  <c r="V100"/>
  <c r="T100"/>
  <c r="R100"/>
  <c r="P100"/>
  <c r="N100"/>
  <c r="L100"/>
  <c r="J100"/>
  <c r="H100"/>
  <c r="F100"/>
  <c r="D100"/>
  <c r="Z99"/>
  <c r="X99"/>
  <c r="V99"/>
  <c r="T99"/>
  <c r="R99"/>
  <c r="P99"/>
  <c r="N99"/>
  <c r="L99"/>
  <c r="J99"/>
  <c r="H99"/>
  <c r="F99"/>
  <c r="D99"/>
  <c r="Z98"/>
  <c r="X98"/>
  <c r="V98"/>
  <c r="T98"/>
  <c r="R98"/>
  <c r="P98"/>
  <c r="N98"/>
  <c r="L98"/>
  <c r="J98"/>
  <c r="H98"/>
  <c r="F98"/>
  <c r="D98"/>
  <c r="Z97"/>
  <c r="X97"/>
  <c r="V97"/>
  <c r="T97"/>
  <c r="R97"/>
  <c r="P97"/>
  <c r="N97"/>
  <c r="L97"/>
  <c r="J97"/>
  <c r="H97"/>
  <c r="F97"/>
  <c r="D97"/>
  <c r="Z96"/>
  <c r="X96"/>
  <c r="V96"/>
  <c r="T96"/>
  <c r="R96"/>
  <c r="P96"/>
  <c r="N96"/>
  <c r="L96"/>
  <c r="J96"/>
  <c r="H96"/>
  <c r="F96"/>
  <c r="D96"/>
  <c r="Z95"/>
  <c r="X95"/>
  <c r="V95"/>
  <c r="T95"/>
  <c r="R95"/>
  <c r="P95"/>
  <c r="N95"/>
  <c r="L95"/>
  <c r="J95"/>
  <c r="H95"/>
  <c r="F95"/>
  <c r="D95"/>
  <c r="Z94"/>
  <c r="X94"/>
  <c r="V94"/>
  <c r="T94"/>
  <c r="R94"/>
  <c r="P94"/>
  <c r="N94"/>
  <c r="L94"/>
  <c r="J94"/>
  <c r="H94"/>
  <c r="F94"/>
  <c r="D94"/>
  <c r="Z114" i="4"/>
  <c r="W114"/>
  <c r="X114"/>
  <c r="V114"/>
  <c r="T114"/>
  <c r="R114"/>
  <c r="P114"/>
  <c r="N114"/>
  <c r="L114"/>
  <c r="J114"/>
  <c r="H114"/>
  <c r="F114"/>
  <c r="D114"/>
  <c r="Z113"/>
  <c r="X113"/>
  <c r="V113"/>
  <c r="T113"/>
  <c r="R113"/>
  <c r="P113"/>
  <c r="N113"/>
  <c r="L113"/>
  <c r="J113"/>
  <c r="H113"/>
  <c r="F113"/>
  <c r="D113"/>
  <c r="Y112"/>
  <c r="Z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Z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Z110"/>
  <c r="X110"/>
  <c r="V110"/>
  <c r="T110"/>
  <c r="R110"/>
  <c r="P110"/>
  <c r="N110"/>
  <c r="L110"/>
  <c r="J110"/>
  <c r="H110"/>
  <c r="F110"/>
  <c r="D110"/>
  <c r="Z109"/>
  <c r="X109"/>
  <c r="V109"/>
  <c r="T109"/>
  <c r="R109"/>
  <c r="P109"/>
  <c r="N109"/>
  <c r="L109"/>
  <c r="J109"/>
  <c r="H109"/>
  <c r="F109"/>
  <c r="D109"/>
  <c r="Z108"/>
  <c r="X108"/>
  <c r="V108"/>
  <c r="T108"/>
  <c r="R108"/>
  <c r="P108"/>
  <c r="N108"/>
  <c r="L108"/>
  <c r="J108"/>
  <c r="H108"/>
  <c r="F108"/>
  <c r="D108"/>
  <c r="Y107"/>
  <c r="Z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Z106"/>
  <c r="X106"/>
  <c r="V106"/>
  <c r="T106"/>
  <c r="Q106"/>
  <c r="R106"/>
  <c r="P106"/>
  <c r="N106"/>
  <c r="K106"/>
  <c r="L106"/>
  <c r="J106"/>
  <c r="G106"/>
  <c r="H106"/>
  <c r="F106"/>
  <c r="D106"/>
  <c r="Z105"/>
  <c r="X105"/>
  <c r="V105"/>
  <c r="T105"/>
  <c r="R105"/>
  <c r="P105"/>
  <c r="N105"/>
  <c r="L105"/>
  <c r="J105"/>
  <c r="H105"/>
  <c r="F105"/>
  <c r="D105"/>
  <c r="Z104"/>
  <c r="X104"/>
  <c r="V104"/>
  <c r="T104"/>
  <c r="R104"/>
  <c r="P104"/>
  <c r="N104"/>
  <c r="L104"/>
  <c r="J104"/>
  <c r="H104"/>
  <c r="F104"/>
  <c r="D104"/>
  <c r="Z103"/>
  <c r="X103"/>
  <c r="V103"/>
  <c r="T103"/>
  <c r="R103"/>
  <c r="P103"/>
  <c r="N103"/>
  <c r="L103"/>
  <c r="J103"/>
  <c r="H103"/>
  <c r="F103"/>
  <c r="D103"/>
  <c r="Y102"/>
  <c r="Z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Z101"/>
  <c r="X101"/>
  <c r="V101"/>
  <c r="T101"/>
  <c r="R101"/>
  <c r="P101"/>
  <c r="N101"/>
  <c r="L101"/>
  <c r="J101"/>
  <c r="H101"/>
  <c r="F101"/>
  <c r="D101"/>
  <c r="Z100"/>
  <c r="X100"/>
  <c r="V100"/>
  <c r="T100"/>
  <c r="R100"/>
  <c r="P100"/>
  <c r="N100"/>
  <c r="L100"/>
  <c r="J100"/>
  <c r="H100"/>
  <c r="F100"/>
  <c r="D100"/>
  <c r="Z99"/>
  <c r="X99"/>
  <c r="V99"/>
  <c r="T99"/>
  <c r="R99"/>
  <c r="P99"/>
  <c r="N99"/>
  <c r="L99"/>
  <c r="J99"/>
  <c r="H99"/>
  <c r="F99"/>
  <c r="D99"/>
  <c r="Z98"/>
  <c r="X98"/>
  <c r="V98"/>
  <c r="T98"/>
  <c r="R98"/>
  <c r="P98"/>
  <c r="N98"/>
  <c r="L98"/>
  <c r="J98"/>
  <c r="H98"/>
  <c r="F98"/>
  <c r="D98"/>
  <c r="Z97"/>
  <c r="X97"/>
  <c r="V97"/>
  <c r="T97"/>
  <c r="R97"/>
  <c r="P97"/>
  <c r="N97"/>
  <c r="L97"/>
  <c r="J97"/>
  <c r="H97"/>
  <c r="F97"/>
  <c r="D97"/>
  <c r="Z96"/>
  <c r="X96"/>
  <c r="V96"/>
  <c r="T96"/>
  <c r="R96"/>
  <c r="P96"/>
  <c r="N96"/>
  <c r="L96"/>
  <c r="J96"/>
  <c r="H96"/>
  <c r="F96"/>
  <c r="D96"/>
  <c r="Z95"/>
  <c r="X95"/>
  <c r="V95"/>
  <c r="T95"/>
  <c r="R95"/>
  <c r="P95"/>
  <c r="N95"/>
  <c r="L95"/>
  <c r="J95"/>
  <c r="H95"/>
  <c r="F95"/>
  <c r="D95"/>
  <c r="Z94"/>
  <c r="X94"/>
  <c r="V94"/>
  <c r="T94"/>
  <c r="R94"/>
  <c r="P94"/>
  <c r="N94"/>
  <c r="L94"/>
  <c r="J94"/>
  <c r="H94"/>
  <c r="F94"/>
  <c r="D94"/>
  <c r="Z114" i="3"/>
  <c r="W114"/>
  <c r="X114"/>
  <c r="V114"/>
  <c r="T114"/>
  <c r="R114"/>
  <c r="P114"/>
  <c r="N114"/>
  <c r="L114"/>
  <c r="J114"/>
  <c r="H114"/>
  <c r="F114"/>
  <c r="D114"/>
  <c r="Z113"/>
  <c r="X113"/>
  <c r="V113"/>
  <c r="T113"/>
  <c r="R113"/>
  <c r="P113"/>
  <c r="N113"/>
  <c r="L113"/>
  <c r="J113"/>
  <c r="H113"/>
  <c r="F113"/>
  <c r="D113"/>
  <c r="Y112"/>
  <c r="Z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Z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Z110"/>
  <c r="X110"/>
  <c r="V110"/>
  <c r="T110"/>
  <c r="R110"/>
  <c r="P110"/>
  <c r="N110"/>
  <c r="L110"/>
  <c r="J110"/>
  <c r="H110"/>
  <c r="F110"/>
  <c r="D110"/>
  <c r="Z109"/>
  <c r="X109"/>
  <c r="V109"/>
  <c r="T109"/>
  <c r="R109"/>
  <c r="P109"/>
  <c r="N109"/>
  <c r="L109"/>
  <c r="J109"/>
  <c r="H109"/>
  <c r="F109"/>
  <c r="D109"/>
  <c r="Z108"/>
  <c r="X108"/>
  <c r="V108"/>
  <c r="T108"/>
  <c r="R108"/>
  <c r="P108"/>
  <c r="N108"/>
  <c r="L108"/>
  <c r="J108"/>
  <c r="H108"/>
  <c r="F108"/>
  <c r="D108"/>
  <c r="Y107"/>
  <c r="Z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Z106"/>
  <c r="X106"/>
  <c r="V106"/>
  <c r="T106"/>
  <c r="Q106"/>
  <c r="R106"/>
  <c r="P106"/>
  <c r="N106"/>
  <c r="K106"/>
  <c r="L106"/>
  <c r="J106"/>
  <c r="G106"/>
  <c r="H106"/>
  <c r="F106"/>
  <c r="D106"/>
  <c r="Z105"/>
  <c r="X105"/>
  <c r="V105"/>
  <c r="T105"/>
  <c r="R105"/>
  <c r="P105"/>
  <c r="N105"/>
  <c r="L105"/>
  <c r="J105"/>
  <c r="H105"/>
  <c r="F105"/>
  <c r="D105"/>
  <c r="Z104"/>
  <c r="X104"/>
  <c r="V104"/>
  <c r="T104"/>
  <c r="R104"/>
  <c r="P104"/>
  <c r="N104"/>
  <c r="L104"/>
  <c r="J104"/>
  <c r="H104"/>
  <c r="F104"/>
  <c r="D104"/>
  <c r="Z103"/>
  <c r="X103"/>
  <c r="V103"/>
  <c r="S103"/>
  <c r="T103"/>
  <c r="R103"/>
  <c r="P103"/>
  <c r="N103"/>
  <c r="L103"/>
  <c r="J103"/>
  <c r="H103"/>
  <c r="E103"/>
  <c r="F103"/>
  <c r="D103"/>
  <c r="Y102"/>
  <c r="Z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Z101"/>
  <c r="X101"/>
  <c r="V101"/>
  <c r="T101"/>
  <c r="R101"/>
  <c r="P101"/>
  <c r="N101"/>
  <c r="L101"/>
  <c r="J101"/>
  <c r="H101"/>
  <c r="F101"/>
  <c r="D101"/>
  <c r="Z100"/>
  <c r="X100"/>
  <c r="V100"/>
  <c r="T100"/>
  <c r="R100"/>
  <c r="P100"/>
  <c r="N100"/>
  <c r="L100"/>
  <c r="J100"/>
  <c r="H100"/>
  <c r="F100"/>
  <c r="D100"/>
  <c r="Z99"/>
  <c r="X99"/>
  <c r="V99"/>
  <c r="T99"/>
  <c r="R99"/>
  <c r="P99"/>
  <c r="N99"/>
  <c r="L99"/>
  <c r="J99"/>
  <c r="H99"/>
  <c r="F99"/>
  <c r="D99"/>
  <c r="Z98"/>
  <c r="X98"/>
  <c r="V98"/>
  <c r="T98"/>
  <c r="R98"/>
  <c r="P98"/>
  <c r="N98"/>
  <c r="L98"/>
  <c r="J98"/>
  <c r="H98"/>
  <c r="F98"/>
  <c r="D98"/>
  <c r="Z97"/>
  <c r="X97"/>
  <c r="V97"/>
  <c r="T97"/>
  <c r="R97"/>
  <c r="P97"/>
  <c r="N97"/>
  <c r="L97"/>
  <c r="J97"/>
  <c r="H97"/>
  <c r="F97"/>
  <c r="D97"/>
  <c r="Z96"/>
  <c r="X96"/>
  <c r="V96"/>
  <c r="T96"/>
  <c r="R96"/>
  <c r="P96"/>
  <c r="N96"/>
  <c r="L96"/>
  <c r="J96"/>
  <c r="H96"/>
  <c r="F96"/>
  <c r="D96"/>
  <c r="Z95"/>
  <c r="X95"/>
  <c r="V95"/>
  <c r="T95"/>
  <c r="R95"/>
  <c r="P95"/>
  <c r="N95"/>
  <c r="L95"/>
  <c r="J95"/>
  <c r="H95"/>
  <c r="F95"/>
  <c r="D95"/>
  <c r="Z94"/>
  <c r="X94"/>
  <c r="V94"/>
  <c r="T94"/>
  <c r="R94"/>
  <c r="P94"/>
  <c r="N94"/>
  <c r="L94"/>
  <c r="J94"/>
  <c r="H94"/>
  <c r="F94"/>
  <c r="D94"/>
  <c r="Z114" i="2"/>
  <c r="W114"/>
  <c r="X114"/>
  <c r="V114"/>
  <c r="T114"/>
  <c r="R114"/>
  <c r="P114"/>
  <c r="N114"/>
  <c r="L114"/>
  <c r="J114"/>
  <c r="H114"/>
  <c r="F114"/>
  <c r="D114"/>
  <c r="Z113"/>
  <c r="X113"/>
  <c r="V113"/>
  <c r="T113"/>
  <c r="R113"/>
  <c r="P113"/>
  <c r="N113"/>
  <c r="L113"/>
  <c r="J113"/>
  <c r="H113"/>
  <c r="F113"/>
  <c r="D113"/>
  <c r="Y112"/>
  <c r="Z112"/>
  <c r="W112"/>
  <c r="X112"/>
  <c r="U112"/>
  <c r="V112"/>
  <c r="S112"/>
  <c r="T112"/>
  <c r="Q112"/>
  <c r="R112"/>
  <c r="O112"/>
  <c r="P112"/>
  <c r="N112"/>
  <c r="K112"/>
  <c r="L112"/>
  <c r="I112"/>
  <c r="J112"/>
  <c r="G112"/>
  <c r="H112"/>
  <c r="E112"/>
  <c r="F112"/>
  <c r="D112"/>
  <c r="Y111"/>
  <c r="Z111"/>
  <c r="W111"/>
  <c r="X111"/>
  <c r="U111"/>
  <c r="V111"/>
  <c r="S111"/>
  <c r="T111"/>
  <c r="Q111"/>
  <c r="R111"/>
  <c r="O111"/>
  <c r="P111"/>
  <c r="M111"/>
  <c r="N111"/>
  <c r="K111"/>
  <c r="L111"/>
  <c r="I111"/>
  <c r="J111"/>
  <c r="G111"/>
  <c r="H111"/>
  <c r="E111"/>
  <c r="F111"/>
  <c r="C111"/>
  <c r="D111"/>
  <c r="Z110"/>
  <c r="X110"/>
  <c r="V110"/>
  <c r="T110"/>
  <c r="R110"/>
  <c r="P110"/>
  <c r="N110"/>
  <c r="L110"/>
  <c r="J110"/>
  <c r="H110"/>
  <c r="F110"/>
  <c r="D110"/>
  <c r="Z109"/>
  <c r="X109"/>
  <c r="V109"/>
  <c r="T109"/>
  <c r="R109"/>
  <c r="P109"/>
  <c r="N109"/>
  <c r="L109"/>
  <c r="J109"/>
  <c r="H109"/>
  <c r="F109"/>
  <c r="D109"/>
  <c r="Z108"/>
  <c r="X108"/>
  <c r="V108"/>
  <c r="T108"/>
  <c r="R108"/>
  <c r="P108"/>
  <c r="N108"/>
  <c r="L108"/>
  <c r="J108"/>
  <c r="H108"/>
  <c r="F108"/>
  <c r="D108"/>
  <c r="Y107"/>
  <c r="Z107"/>
  <c r="W107"/>
  <c r="X107"/>
  <c r="U107"/>
  <c r="V107"/>
  <c r="S107"/>
  <c r="T107"/>
  <c r="Q107"/>
  <c r="R107"/>
  <c r="O107"/>
  <c r="P107"/>
  <c r="M107"/>
  <c r="N107"/>
  <c r="K107"/>
  <c r="L107"/>
  <c r="I107"/>
  <c r="J107"/>
  <c r="G107"/>
  <c r="H107"/>
  <c r="E107"/>
  <c r="F107"/>
  <c r="C107"/>
  <c r="D107"/>
  <c r="Y106"/>
  <c r="Z106"/>
  <c r="X106"/>
  <c r="V106"/>
  <c r="T106"/>
  <c r="Q106"/>
  <c r="R106"/>
  <c r="P106"/>
  <c r="N106"/>
  <c r="K106"/>
  <c r="L106"/>
  <c r="J106"/>
  <c r="G106"/>
  <c r="H106"/>
  <c r="F106"/>
  <c r="D106"/>
  <c r="Z105"/>
  <c r="X105"/>
  <c r="V105"/>
  <c r="T105"/>
  <c r="R105"/>
  <c r="P105"/>
  <c r="N105"/>
  <c r="L105"/>
  <c r="J105"/>
  <c r="H105"/>
  <c r="F105"/>
  <c r="D105"/>
  <c r="Z104"/>
  <c r="X104"/>
  <c r="V104"/>
  <c r="T104"/>
  <c r="R104"/>
  <c r="P104"/>
  <c r="N104"/>
  <c r="L104"/>
  <c r="J104"/>
  <c r="H104"/>
  <c r="F104"/>
  <c r="D104"/>
  <c r="Z103"/>
  <c r="X103"/>
  <c r="V103"/>
  <c r="T103"/>
  <c r="R103"/>
  <c r="P103"/>
  <c r="N103"/>
  <c r="L103"/>
  <c r="J103"/>
  <c r="H103"/>
  <c r="F103"/>
  <c r="D103"/>
  <c r="Y102"/>
  <c r="Z102"/>
  <c r="W102"/>
  <c r="X102"/>
  <c r="U102"/>
  <c r="V102"/>
  <c r="S102"/>
  <c r="T102"/>
  <c r="Q102"/>
  <c r="R102"/>
  <c r="O102"/>
  <c r="P102"/>
  <c r="M102"/>
  <c r="N102"/>
  <c r="K102"/>
  <c r="L102"/>
  <c r="I102"/>
  <c r="J102"/>
  <c r="G102"/>
  <c r="H102"/>
  <c r="E102"/>
  <c r="F102"/>
  <c r="C102"/>
  <c r="D102"/>
  <c r="Z101"/>
  <c r="X101"/>
  <c r="V101"/>
  <c r="T101"/>
  <c r="R101"/>
  <c r="P101"/>
  <c r="N101"/>
  <c r="L101"/>
  <c r="J101"/>
  <c r="H101"/>
  <c r="F101"/>
  <c r="D101"/>
  <c r="Z100"/>
  <c r="X100"/>
  <c r="V100"/>
  <c r="T100"/>
  <c r="R100"/>
  <c r="P100"/>
  <c r="N100"/>
  <c r="L100"/>
  <c r="J100"/>
  <c r="H100"/>
  <c r="F100"/>
  <c r="D100"/>
  <c r="Z99"/>
  <c r="X99"/>
  <c r="V99"/>
  <c r="T99"/>
  <c r="R99"/>
  <c r="P99"/>
  <c r="N99"/>
  <c r="L99"/>
  <c r="J99"/>
  <c r="H99"/>
  <c r="F99"/>
  <c r="D99"/>
  <c r="Z98"/>
  <c r="X98"/>
  <c r="V98"/>
  <c r="T98"/>
  <c r="R98"/>
  <c r="P98"/>
  <c r="N98"/>
  <c r="L98"/>
  <c r="J98"/>
  <c r="H98"/>
  <c r="F98"/>
  <c r="D98"/>
  <c r="Z97"/>
  <c r="X97"/>
  <c r="V97"/>
  <c r="T97"/>
  <c r="R97"/>
  <c r="P97"/>
  <c r="N97"/>
  <c r="L97"/>
  <c r="J97"/>
  <c r="H97"/>
  <c r="F97"/>
  <c r="D97"/>
  <c r="Z96"/>
  <c r="X96"/>
  <c r="V96"/>
  <c r="T96"/>
  <c r="R96"/>
  <c r="P96"/>
  <c r="N96"/>
  <c r="L96"/>
  <c r="J96"/>
  <c r="H96"/>
  <c r="F96"/>
  <c r="D96"/>
  <c r="Z95"/>
  <c r="X95"/>
  <c r="V95"/>
  <c r="T95"/>
  <c r="R95"/>
  <c r="P95"/>
  <c r="N95"/>
  <c r="L95"/>
  <c r="J95"/>
  <c r="H95"/>
  <c r="F95"/>
  <c r="D95"/>
  <c r="Z94"/>
  <c r="X94"/>
  <c r="V94"/>
  <c r="T94"/>
  <c r="R94"/>
  <c r="P94"/>
  <c r="N94"/>
  <c r="L94"/>
  <c r="J94"/>
  <c r="H94"/>
  <c r="F94"/>
  <c r="D94"/>
  <c r="Y5" i="26"/>
  <c r="W5"/>
  <c r="U5"/>
  <c r="S5"/>
  <c r="Q5"/>
  <c r="O5"/>
  <c r="M5"/>
  <c r="K5"/>
  <c r="I5"/>
  <c r="G5"/>
  <c r="E5"/>
  <c r="C5"/>
  <c r="Y5" i="24"/>
  <c r="W5"/>
  <c r="U5"/>
  <c r="S5"/>
  <c r="Q5"/>
  <c r="O5"/>
  <c r="M5"/>
  <c r="K5"/>
  <c r="I5"/>
  <c r="G5"/>
  <c r="E5"/>
  <c r="C5"/>
  <c r="Y5" i="25"/>
  <c r="W5"/>
  <c r="U5"/>
  <c r="S5"/>
  <c r="Q5"/>
  <c r="O5"/>
  <c r="M5"/>
  <c r="K5"/>
  <c r="I5"/>
  <c r="G5"/>
  <c r="E5"/>
  <c r="C5"/>
  <c r="Y5" i="23"/>
  <c r="W5"/>
  <c r="U5"/>
  <c r="S5"/>
  <c r="Q5"/>
  <c r="O5"/>
  <c r="M5"/>
  <c r="K5"/>
  <c r="I5"/>
  <c r="G5"/>
  <c r="E5"/>
  <c r="C5"/>
  <c r="Y5" i="21"/>
  <c r="W5"/>
  <c r="U5"/>
  <c r="S5"/>
  <c r="Q5"/>
  <c r="O5"/>
  <c r="M5"/>
  <c r="K5"/>
  <c r="I5"/>
  <c r="G5"/>
  <c r="E5"/>
  <c r="C5"/>
  <c r="Y5" i="20"/>
  <c r="W5"/>
  <c r="U5"/>
  <c r="S5"/>
  <c r="Q5"/>
  <c r="O5"/>
  <c r="M5"/>
  <c r="K5"/>
  <c r="I5"/>
  <c r="G5"/>
  <c r="E5"/>
  <c r="C5"/>
  <c r="Y5" i="11"/>
  <c r="W5"/>
  <c r="U5"/>
  <c r="S5"/>
  <c r="Q5"/>
  <c r="O5"/>
  <c r="M5"/>
  <c r="K5"/>
  <c r="I5"/>
  <c r="G5"/>
  <c r="E5"/>
  <c r="C5"/>
  <c r="Y5" i="7"/>
  <c r="W5"/>
  <c r="U5"/>
  <c r="S5"/>
  <c r="Q5"/>
  <c r="O5"/>
  <c r="M5"/>
  <c r="K5"/>
  <c r="I5"/>
  <c r="G5"/>
  <c r="E5"/>
  <c r="C5"/>
  <c r="Y5" i="6"/>
  <c r="W5"/>
  <c r="U5"/>
  <c r="S5"/>
  <c r="Q5"/>
  <c r="O5"/>
  <c r="M5"/>
  <c r="K5"/>
  <c r="I5"/>
  <c r="G5"/>
  <c r="E5"/>
  <c r="C5"/>
  <c r="Y5" i="4"/>
  <c r="W5"/>
  <c r="U5"/>
  <c r="S5"/>
  <c r="Q5"/>
  <c r="O5"/>
  <c r="M5"/>
  <c r="K5"/>
  <c r="I5"/>
  <c r="G5"/>
  <c r="E5"/>
  <c r="C5"/>
  <c r="Y5" i="3"/>
  <c r="W5"/>
  <c r="U5"/>
  <c r="S5"/>
  <c r="Q5"/>
  <c r="O5"/>
  <c r="M5"/>
  <c r="K5"/>
  <c r="I5"/>
  <c r="G5"/>
  <c r="E5"/>
  <c r="C5"/>
  <c r="Y5" i="2"/>
  <c r="W5"/>
  <c r="U5"/>
  <c r="S5"/>
  <c r="Q5"/>
  <c r="O5"/>
  <c r="M5"/>
  <c r="K5"/>
  <c r="I5"/>
  <c r="G5"/>
  <c r="E5"/>
  <c r="C5"/>
  <c r="AA72" i="26"/>
  <c r="AA72" i="24"/>
  <c r="AA72" i="25"/>
  <c r="AA72" i="23"/>
  <c r="AA72" i="21"/>
  <c r="AA72" i="20"/>
  <c r="AA72" i="11"/>
  <c r="AA72" i="7"/>
  <c r="AA72" i="6"/>
  <c r="AA72" i="4"/>
  <c r="AA72" i="3"/>
  <c r="AA72" i="2"/>
  <c r="AA66"/>
  <c r="AA67"/>
  <c r="AA68"/>
  <c r="AA69"/>
  <c r="AA70"/>
  <c r="AA71"/>
  <c r="AA73"/>
  <c r="AA74"/>
  <c r="AA75"/>
  <c r="W65" i="20"/>
  <c r="AF65"/>
  <c r="Z11" i="2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3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4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9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6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7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9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11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9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20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21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23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25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Z11" i="24"/>
  <c r="X11"/>
  <c r="V11"/>
  <c r="T11"/>
  <c r="R11"/>
  <c r="P11"/>
  <c r="N11"/>
  <c r="L11"/>
  <c r="J11"/>
  <c r="H11"/>
  <c r="F11"/>
  <c r="D11"/>
  <c r="Z10"/>
  <c r="X10"/>
  <c r="V10"/>
  <c r="T10"/>
  <c r="R10"/>
  <c r="P10"/>
  <c r="N10"/>
  <c r="L10"/>
  <c r="J10"/>
  <c r="H10"/>
  <c r="F10"/>
  <c r="D10"/>
  <c r="Z9"/>
  <c r="Z8"/>
  <c r="X8"/>
  <c r="V8"/>
  <c r="T8"/>
  <c r="R8"/>
  <c r="P8"/>
  <c r="N8"/>
  <c r="L8"/>
  <c r="J8"/>
  <c r="H8"/>
  <c r="F8"/>
  <c r="D8"/>
  <c r="Z7"/>
  <c r="X7"/>
  <c r="V7"/>
  <c r="T7"/>
  <c r="R7"/>
  <c r="P7"/>
  <c r="N7"/>
  <c r="L7"/>
  <c r="J7"/>
  <c r="H7"/>
  <c r="D7"/>
  <c r="S57" i="26"/>
  <c r="Q57"/>
  <c r="O57"/>
  <c r="M57"/>
  <c r="K57"/>
  <c r="I57"/>
  <c r="G57"/>
  <c r="E57"/>
  <c r="C57"/>
  <c r="Y57"/>
  <c r="W57"/>
  <c r="U57"/>
  <c r="Q57" i="24"/>
  <c r="O57"/>
  <c r="M57"/>
  <c r="K57"/>
  <c r="I57"/>
  <c r="G57"/>
  <c r="E57"/>
  <c r="C57"/>
  <c r="Y57"/>
  <c r="W57"/>
  <c r="U57"/>
  <c r="S57"/>
  <c r="AA43" i="25"/>
  <c r="AA137"/>
  <c r="AA138"/>
  <c r="AA137" i="21"/>
  <c r="AA138"/>
  <c r="AA137" i="3"/>
  <c r="AA138"/>
  <c r="Y137"/>
  <c r="W137"/>
  <c r="U137"/>
  <c r="S137"/>
  <c r="Q137"/>
  <c r="O137"/>
  <c r="M137"/>
  <c r="S137" i="4"/>
  <c r="Q137"/>
  <c r="O137"/>
  <c r="M137"/>
  <c r="K137"/>
  <c r="I137"/>
  <c r="G137"/>
  <c r="E137"/>
  <c r="C137"/>
  <c r="Y138" i="8"/>
  <c r="W138"/>
  <c r="U138"/>
  <c r="Q138"/>
  <c r="O138"/>
  <c r="M138"/>
  <c r="K138"/>
  <c r="I138"/>
  <c r="G138"/>
  <c r="E138"/>
  <c r="C138"/>
  <c r="U57" i="23"/>
  <c r="S57"/>
  <c r="Q57"/>
  <c r="O57"/>
  <c r="M57"/>
  <c r="K57"/>
  <c r="I57"/>
  <c r="G57"/>
  <c r="E57"/>
  <c r="C57"/>
  <c r="AA42" i="2"/>
  <c r="Q59" i="7"/>
  <c r="O59"/>
  <c r="M59"/>
  <c r="K59"/>
  <c r="Q57"/>
  <c r="O57"/>
  <c r="M57"/>
  <c r="K57"/>
  <c r="I57"/>
  <c r="G57"/>
  <c r="E57"/>
  <c r="C57"/>
  <c r="Y57"/>
  <c r="W57"/>
  <c r="U57"/>
  <c r="S57"/>
  <c r="Y55"/>
  <c r="S55"/>
  <c r="M55"/>
  <c r="Y57" i="6"/>
  <c r="W57"/>
  <c r="U57"/>
  <c r="Q57"/>
  <c r="O57"/>
  <c r="M57"/>
  <c r="K57"/>
  <c r="I57"/>
  <c r="G57"/>
  <c r="E57"/>
  <c r="C57"/>
  <c r="S57"/>
  <c r="G56"/>
  <c r="G56" i="4"/>
  <c r="Y57"/>
  <c r="W57"/>
  <c r="Q57"/>
  <c r="O57"/>
  <c r="M57"/>
  <c r="K57"/>
  <c r="I57"/>
  <c r="G57"/>
  <c r="E57"/>
  <c r="C57"/>
  <c r="U57"/>
  <c r="Y62" i="26"/>
  <c r="Y62" i="24"/>
  <c r="Y62" i="25"/>
  <c r="Y62" i="23"/>
  <c r="Y62" i="21"/>
  <c r="Y62" i="20"/>
  <c r="Y62" i="11"/>
  <c r="Y62" i="7"/>
  <c r="Y62" i="6"/>
  <c r="S62"/>
  <c r="M62"/>
  <c r="S62" i="4"/>
  <c r="M62"/>
  <c r="Y62"/>
  <c r="Y62" i="3"/>
  <c r="U59"/>
  <c r="S59"/>
  <c r="Q59"/>
  <c r="O59"/>
  <c r="M59"/>
  <c r="K59"/>
  <c r="I59"/>
  <c r="G59"/>
  <c r="E59"/>
  <c r="C59"/>
  <c r="Y57"/>
  <c r="W57"/>
  <c r="U57"/>
  <c r="S57"/>
  <c r="Q57"/>
  <c r="O57"/>
  <c r="M57"/>
  <c r="K57"/>
  <c r="I57"/>
  <c r="G57"/>
  <c r="E57"/>
  <c r="C57"/>
  <c r="AA53" i="11"/>
  <c r="AA53" i="2"/>
  <c r="AA47" i="21"/>
  <c r="AA47" i="11"/>
  <c r="AC43" i="3"/>
  <c r="Y57" i="2"/>
  <c r="W57"/>
  <c r="U57"/>
  <c r="S57"/>
  <c r="Q57"/>
  <c r="O57"/>
  <c r="M57"/>
  <c r="K57"/>
  <c r="I57"/>
  <c r="G57"/>
  <c r="E57"/>
  <c r="C57"/>
  <c r="AA45"/>
  <c r="Y118" i="12"/>
  <c r="W118"/>
  <c r="U118"/>
  <c r="S118"/>
  <c r="Q118"/>
  <c r="O118"/>
  <c r="M118"/>
  <c r="K118"/>
  <c r="K119"/>
  <c r="I118"/>
  <c r="G118"/>
  <c r="E118"/>
  <c r="C118"/>
  <c r="AA118" i="8"/>
  <c r="AC118"/>
  <c r="AA118" i="2"/>
  <c r="AC118"/>
  <c r="AA118" i="3"/>
  <c r="AC118"/>
  <c r="AC118" i="4"/>
  <c r="AA118"/>
  <c r="AC118" i="6"/>
  <c r="AA118"/>
  <c r="AC118" i="7"/>
  <c r="AA118"/>
  <c r="AC118" i="11"/>
  <c r="AA118"/>
  <c r="AC118" i="20"/>
  <c r="AA118"/>
  <c r="AC118" i="21"/>
  <c r="AA118"/>
  <c r="AC118" i="23"/>
  <c r="AA118"/>
  <c r="AC118" i="25"/>
  <c r="AA118"/>
  <c r="AC118" i="24"/>
  <c r="AA118"/>
  <c r="AC118" i="26"/>
  <c r="AA118"/>
  <c r="S157" i="11"/>
  <c r="S157" i="23"/>
  <c r="AA118" i="12"/>
  <c r="AC118"/>
  <c r="S157" i="24"/>
  <c r="S157" i="7"/>
  <c r="S157" i="25"/>
  <c r="S157" i="21"/>
  <c r="S157" i="20"/>
  <c r="S157" i="6"/>
  <c r="S157" i="4"/>
  <c r="S175" i="3"/>
  <c r="D67"/>
  <c r="S157" i="2"/>
  <c r="Q173" i="8"/>
  <c r="O157" i="21"/>
  <c r="O174" i="23"/>
  <c r="AC142" i="24"/>
  <c r="K144" i="26"/>
  <c r="K104" i="18" s="1"/>
  <c r="I144" i="26"/>
  <c r="I104" i="18" s="1"/>
  <c r="G144" i="26"/>
  <c r="H144" s="1"/>
  <c r="E144"/>
  <c r="E104" i="18" s="1"/>
  <c r="C144" i="26"/>
  <c r="C104" i="18" s="1"/>
  <c r="M144" i="24"/>
  <c r="M95" i="18" s="1"/>
  <c r="K144" i="24"/>
  <c r="K95" i="18" s="1"/>
  <c r="I144" i="24"/>
  <c r="G144"/>
  <c r="G95" i="18" s="1"/>
  <c r="E144" i="24"/>
  <c r="E95" i="18" s="1"/>
  <c r="C144" i="24"/>
  <c r="C95" i="18" s="1"/>
  <c r="Y144" i="4"/>
  <c r="W144"/>
  <c r="U144"/>
  <c r="Y114" i="18"/>
  <c r="Y110"/>
  <c r="Y109"/>
  <c r="W114"/>
  <c r="W110"/>
  <c r="W109"/>
  <c r="U114"/>
  <c r="U110"/>
  <c r="U109"/>
  <c r="S114"/>
  <c r="S109"/>
  <c r="Q114"/>
  <c r="Q109"/>
  <c r="O114"/>
  <c r="O109"/>
  <c r="M114"/>
  <c r="M109"/>
  <c r="K114"/>
  <c r="K109"/>
  <c r="I114"/>
  <c r="I109"/>
  <c r="G114"/>
  <c r="G109"/>
  <c r="E114"/>
  <c r="E109"/>
  <c r="C114"/>
  <c r="C109"/>
  <c r="AA114"/>
  <c r="AA109"/>
  <c r="K174" i="24"/>
  <c r="M173"/>
  <c r="K76" i="2"/>
  <c r="I93" i="6"/>
  <c r="I33" i="18" s="1"/>
  <c r="I157" i="8"/>
  <c r="G174" i="7"/>
  <c r="I144" i="11"/>
  <c r="I50" i="18" s="1"/>
  <c r="I115" i="11"/>
  <c r="I93"/>
  <c r="I51" i="18" s="1"/>
  <c r="I41" i="11"/>
  <c r="E93"/>
  <c r="E51" i="18" s="1"/>
  <c r="AM27" i="24"/>
  <c r="AN27"/>
  <c r="AK27"/>
  <c r="AL27"/>
  <c r="AI27"/>
  <c r="AJ27"/>
  <c r="AH27"/>
  <c r="AG27"/>
  <c r="AE27"/>
  <c r="AF27"/>
  <c r="Y59" i="11"/>
  <c r="W59"/>
  <c r="U59"/>
  <c r="AA51"/>
  <c r="Y43" i="4"/>
  <c r="W43"/>
  <c r="U43"/>
  <c r="Y59" i="3"/>
  <c r="W59"/>
  <c r="AA142" i="26"/>
  <c r="AC142" s="1"/>
  <c r="AA142" i="25"/>
  <c r="AC142" s="1"/>
  <c r="AD142" s="1"/>
  <c r="AC142" i="23"/>
  <c r="AC142" i="21"/>
  <c r="AC142" i="7"/>
  <c r="AA142" i="6"/>
  <c r="AC142" s="1"/>
  <c r="AC142" i="4"/>
  <c r="AA142" i="3"/>
  <c r="AC142" s="1"/>
  <c r="Y100" i="12"/>
  <c r="W100"/>
  <c r="U100"/>
  <c r="S100"/>
  <c r="Q100"/>
  <c r="O100"/>
  <c r="M100"/>
  <c r="K100"/>
  <c r="I100"/>
  <c r="Y115" i="8"/>
  <c r="Z115"/>
  <c r="W115"/>
  <c r="X115"/>
  <c r="U115"/>
  <c r="V115"/>
  <c r="S115"/>
  <c r="T115"/>
  <c r="Q115"/>
  <c r="R115"/>
  <c r="O115"/>
  <c r="P115"/>
  <c r="M115"/>
  <c r="N115"/>
  <c r="K115"/>
  <c r="L115"/>
  <c r="I115"/>
  <c r="J115"/>
  <c r="G115"/>
  <c r="E115"/>
  <c r="F115"/>
  <c r="C115"/>
  <c r="AA114"/>
  <c r="Z114"/>
  <c r="X114"/>
  <c r="V114"/>
  <c r="T114"/>
  <c r="R114"/>
  <c r="P114"/>
  <c r="N114"/>
  <c r="L114"/>
  <c r="J114"/>
  <c r="F114"/>
  <c r="AA113"/>
  <c r="Z113"/>
  <c r="X113"/>
  <c r="V113"/>
  <c r="T113"/>
  <c r="R113"/>
  <c r="P113"/>
  <c r="N113"/>
  <c r="L113"/>
  <c r="J113"/>
  <c r="F113"/>
  <c r="AA112"/>
  <c r="Z112"/>
  <c r="X112"/>
  <c r="V112"/>
  <c r="T112"/>
  <c r="R112"/>
  <c r="P112"/>
  <c r="N112"/>
  <c r="L112"/>
  <c r="J112"/>
  <c r="F112"/>
  <c r="AA111"/>
  <c r="Z111"/>
  <c r="X111"/>
  <c r="V111"/>
  <c r="T111"/>
  <c r="R111"/>
  <c r="P111"/>
  <c r="N111"/>
  <c r="L111"/>
  <c r="J111"/>
  <c r="F111"/>
  <c r="AA110"/>
  <c r="Z110"/>
  <c r="X110"/>
  <c r="V110"/>
  <c r="T110"/>
  <c r="R110"/>
  <c r="P110"/>
  <c r="N110"/>
  <c r="L110"/>
  <c r="J110"/>
  <c r="F110"/>
  <c r="AA109"/>
  <c r="Z109"/>
  <c r="X109"/>
  <c r="V109"/>
  <c r="T109"/>
  <c r="R109"/>
  <c r="P109"/>
  <c r="N109"/>
  <c r="L109"/>
  <c r="J109"/>
  <c r="F109"/>
  <c r="AA108"/>
  <c r="Z108"/>
  <c r="X108"/>
  <c r="V108"/>
  <c r="T108"/>
  <c r="R108"/>
  <c r="P108"/>
  <c r="N108"/>
  <c r="L108"/>
  <c r="J108"/>
  <c r="F108"/>
  <c r="AA107"/>
  <c r="Z107"/>
  <c r="X107"/>
  <c r="V107"/>
  <c r="T107"/>
  <c r="R107"/>
  <c r="P107"/>
  <c r="N107"/>
  <c r="L107"/>
  <c r="J107"/>
  <c r="F107"/>
  <c r="AA106"/>
  <c r="Z106"/>
  <c r="X106"/>
  <c r="V106"/>
  <c r="T106"/>
  <c r="R106"/>
  <c r="P106"/>
  <c r="N106"/>
  <c r="L106"/>
  <c r="J106"/>
  <c r="F106"/>
  <c r="AA105"/>
  <c r="Z105"/>
  <c r="X105"/>
  <c r="V105"/>
  <c r="T105"/>
  <c r="R105"/>
  <c r="P105"/>
  <c r="N105"/>
  <c r="L105"/>
  <c r="J105"/>
  <c r="F105"/>
  <c r="AA104"/>
  <c r="Z104"/>
  <c r="X104"/>
  <c r="V104"/>
  <c r="T104"/>
  <c r="R104"/>
  <c r="P104"/>
  <c r="N104"/>
  <c r="L104"/>
  <c r="J104"/>
  <c r="F104"/>
  <c r="AA103"/>
  <c r="Z103"/>
  <c r="X103"/>
  <c r="V103"/>
  <c r="T103"/>
  <c r="R103"/>
  <c r="P103"/>
  <c r="N103"/>
  <c r="L103"/>
  <c r="J103"/>
  <c r="F103"/>
  <c r="AA102"/>
  <c r="Z102"/>
  <c r="X102"/>
  <c r="V102"/>
  <c r="T102"/>
  <c r="R102"/>
  <c r="P102"/>
  <c r="N102"/>
  <c r="L102"/>
  <c r="J102"/>
  <c r="F102"/>
  <c r="AA101"/>
  <c r="Z101"/>
  <c r="X101"/>
  <c r="V101"/>
  <c r="T101"/>
  <c r="R101"/>
  <c r="P101"/>
  <c r="N101"/>
  <c r="L101"/>
  <c r="J101"/>
  <c r="F101"/>
  <c r="AA100"/>
  <c r="Z100"/>
  <c r="X100"/>
  <c r="V100"/>
  <c r="T100"/>
  <c r="R100"/>
  <c r="P100"/>
  <c r="N100"/>
  <c r="L100"/>
  <c r="J100"/>
  <c r="F100"/>
  <c r="AA99"/>
  <c r="Z99"/>
  <c r="X99"/>
  <c r="V99"/>
  <c r="T99"/>
  <c r="R99"/>
  <c r="P99"/>
  <c r="N99"/>
  <c r="L99"/>
  <c r="J99"/>
  <c r="F99"/>
  <c r="AA98"/>
  <c r="Z98"/>
  <c r="X98"/>
  <c r="V98"/>
  <c r="T98"/>
  <c r="F98"/>
  <c r="AC97"/>
  <c r="AA97"/>
  <c r="Z97"/>
  <c r="X97"/>
  <c r="V97"/>
  <c r="T97"/>
  <c r="R97"/>
  <c r="P97"/>
  <c r="N97"/>
  <c r="L97"/>
  <c r="J97"/>
  <c r="F97"/>
  <c r="AC96"/>
  <c r="AA96"/>
  <c r="Z96"/>
  <c r="X96"/>
  <c r="V96"/>
  <c r="T96"/>
  <c r="R96"/>
  <c r="P96"/>
  <c r="N96"/>
  <c r="L96"/>
  <c r="J96"/>
  <c r="F96"/>
  <c r="AC95"/>
  <c r="AA95"/>
  <c r="Z95"/>
  <c r="X95"/>
  <c r="V95"/>
  <c r="T95"/>
  <c r="R95"/>
  <c r="P95"/>
  <c r="N95"/>
  <c r="L95"/>
  <c r="J95"/>
  <c r="F95"/>
  <c r="AC94"/>
  <c r="AA94"/>
  <c r="AA115"/>
  <c r="Z94"/>
  <c r="X94"/>
  <c r="V94"/>
  <c r="T94"/>
  <c r="R94"/>
  <c r="P94"/>
  <c r="N94"/>
  <c r="L94"/>
  <c r="J94"/>
  <c r="F94"/>
  <c r="Y115" i="26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C97"/>
  <c r="AA96"/>
  <c r="AC96"/>
  <c r="AA95"/>
  <c r="AC95"/>
  <c r="AA94"/>
  <c r="Y115" i="24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Y115" i="25"/>
  <c r="W115"/>
  <c r="U115"/>
  <c r="S115"/>
  <c r="Q115"/>
  <c r="O115"/>
  <c r="M115"/>
  <c r="K115"/>
  <c r="I115"/>
  <c r="G115"/>
  <c r="E115"/>
  <c r="C115"/>
  <c r="AA114"/>
  <c r="AC114"/>
  <c r="AA113"/>
  <c r="AA112"/>
  <c r="AA111"/>
  <c r="AC111"/>
  <c r="AA110"/>
  <c r="AC110"/>
  <c r="AA109"/>
  <c r="AA108"/>
  <c r="AA107"/>
  <c r="AC107"/>
  <c r="AA106"/>
  <c r="AC106"/>
  <c r="AA105"/>
  <c r="AC105"/>
  <c r="AA104"/>
  <c r="AA103"/>
  <c r="AC103"/>
  <c r="AA102"/>
  <c r="AC102"/>
  <c r="AA101"/>
  <c r="AC101"/>
  <c r="AA100"/>
  <c r="AA99"/>
  <c r="AC99"/>
  <c r="AA98"/>
  <c r="AC98"/>
  <c r="AA97"/>
  <c r="AC97"/>
  <c r="AA96"/>
  <c r="AC96"/>
  <c r="AA95"/>
  <c r="AC95"/>
  <c r="AA94"/>
  <c r="Y115" i="23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C96"/>
  <c r="AA95"/>
  <c r="AA94"/>
  <c r="AC94"/>
  <c r="Y115" i="21"/>
  <c r="W115"/>
  <c r="U115"/>
  <c r="S115"/>
  <c r="Q115"/>
  <c r="O115"/>
  <c r="M115"/>
  <c r="K115"/>
  <c r="I115"/>
  <c r="G115"/>
  <c r="E115"/>
  <c r="C115"/>
  <c r="AA114"/>
  <c r="AC114"/>
  <c r="AA113"/>
  <c r="AA112"/>
  <c r="AC112"/>
  <c r="AA111"/>
  <c r="AA110"/>
  <c r="AC110"/>
  <c r="AA109"/>
  <c r="AA108"/>
  <c r="AC108"/>
  <c r="AA107"/>
  <c r="AA106"/>
  <c r="AA105"/>
  <c r="AA104"/>
  <c r="AA103"/>
  <c r="AA102"/>
  <c r="AA101"/>
  <c r="AA100"/>
  <c r="AA99"/>
  <c r="AA98"/>
  <c r="AA97"/>
  <c r="AC97"/>
  <c r="AA96"/>
  <c r="AC96"/>
  <c r="AA95"/>
  <c r="AC95"/>
  <c r="AA94"/>
  <c r="Y115" i="20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C96"/>
  <c r="AA95"/>
  <c r="AA94"/>
  <c r="AC94"/>
  <c r="Y115" i="11"/>
  <c r="W115"/>
  <c r="U115"/>
  <c r="S115"/>
  <c r="Q115"/>
  <c r="O115"/>
  <c r="M115"/>
  <c r="K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C97"/>
  <c r="AA96"/>
  <c r="AA95"/>
  <c r="AC95"/>
  <c r="AA94"/>
  <c r="Y115" i="7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Y115" i="6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C97"/>
  <c r="AA96"/>
  <c r="AA95"/>
  <c r="AC95"/>
  <c r="AA94"/>
  <c r="Y115" i="4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C96"/>
  <c r="AA95"/>
  <c r="AA94"/>
  <c r="Y115" i="3"/>
  <c r="W115"/>
  <c r="U115"/>
  <c r="S115"/>
  <c r="Q115"/>
  <c r="O115"/>
  <c r="M115"/>
  <c r="K115"/>
  <c r="I115"/>
  <c r="G115"/>
  <c r="E115"/>
  <c r="C115"/>
  <c r="AA114"/>
  <c r="AA113"/>
  <c r="AA112"/>
  <c r="AA111"/>
  <c r="AA110"/>
  <c r="AA109"/>
  <c r="AC109"/>
  <c r="AA108"/>
  <c r="AA107"/>
  <c r="AA106"/>
  <c r="AA105"/>
  <c r="AC105"/>
  <c r="AA104"/>
  <c r="AA103"/>
  <c r="AA102"/>
  <c r="AA101"/>
  <c r="AC101"/>
  <c r="AA100"/>
  <c r="AA99"/>
  <c r="AC99"/>
  <c r="AA98"/>
  <c r="AA97"/>
  <c r="AA96"/>
  <c r="AA95"/>
  <c r="AA94"/>
  <c r="AA75" i="11"/>
  <c r="AA75" i="4"/>
  <c r="AC75"/>
  <c r="AA75" i="3"/>
  <c r="AC75"/>
  <c r="AC75" i="2"/>
  <c r="AA115" i="26"/>
  <c r="AC115"/>
  <c r="AA115" i="24"/>
  <c r="AC115"/>
  <c r="AA115" i="11"/>
  <c r="AC115"/>
  <c r="AA115" i="7"/>
  <c r="AC115"/>
  <c r="AA115" i="6"/>
  <c r="AC115"/>
  <c r="AC103" i="3"/>
  <c r="AC107"/>
  <c r="AA115"/>
  <c r="AC115"/>
  <c r="AC94" i="26"/>
  <c r="AC94" i="24"/>
  <c r="AC96"/>
  <c r="AC95"/>
  <c r="AC97"/>
  <c r="AA115" i="25"/>
  <c r="AC115"/>
  <c r="AC100"/>
  <c r="AC104"/>
  <c r="AC108"/>
  <c r="AC112"/>
  <c r="AC109"/>
  <c r="AC113"/>
  <c r="AA115" i="23"/>
  <c r="AC115"/>
  <c r="AC95"/>
  <c r="AC97"/>
  <c r="AA115" i="21"/>
  <c r="AC115"/>
  <c r="AC99"/>
  <c r="AC101"/>
  <c r="AC103"/>
  <c r="AC105"/>
  <c r="AC107"/>
  <c r="AC109"/>
  <c r="AC111"/>
  <c r="AC113"/>
  <c r="AC98"/>
  <c r="AC100"/>
  <c r="AC102"/>
  <c r="AC104"/>
  <c r="AC106"/>
  <c r="AA115" i="20"/>
  <c r="AC115"/>
  <c r="AC95"/>
  <c r="AC97"/>
  <c r="AC94" i="11"/>
  <c r="AC96"/>
  <c r="AC94" i="7"/>
  <c r="AC96"/>
  <c r="AC95"/>
  <c r="AC97"/>
  <c r="AC94" i="6"/>
  <c r="AC96"/>
  <c r="AA115" i="4"/>
  <c r="AC95"/>
  <c r="AC97"/>
  <c r="AC98" i="3"/>
  <c r="AC100"/>
  <c r="AC102"/>
  <c r="AC104"/>
  <c r="AC106"/>
  <c r="AC108"/>
  <c r="AC115" i="8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8" i="26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8" i="24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4" i="25"/>
  <c r="AC98" i="23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4" i="21"/>
  <c r="AC98" i="20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8" i="11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8" i="7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8" i="6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8" i="4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94"/>
  <c r="AC94" i="3"/>
  <c r="AC95"/>
  <c r="AC96"/>
  <c r="AC97"/>
  <c r="AC110"/>
  <c r="AC111"/>
  <c r="AC112"/>
  <c r="AC113"/>
  <c r="AC114"/>
  <c r="Z67" i="21"/>
  <c r="X67"/>
  <c r="V67"/>
  <c r="T67"/>
  <c r="R67"/>
  <c r="P67"/>
  <c r="N67"/>
  <c r="L67"/>
  <c r="J67"/>
  <c r="H67"/>
  <c r="F67"/>
  <c r="D67"/>
  <c r="Z67" i="7"/>
  <c r="X67"/>
  <c r="V67"/>
  <c r="T67"/>
  <c r="R67"/>
  <c r="P67"/>
  <c r="N67"/>
  <c r="L67"/>
  <c r="J67"/>
  <c r="H67"/>
  <c r="F67"/>
  <c r="D67"/>
  <c r="Z67" i="6"/>
  <c r="X67"/>
  <c r="V67"/>
  <c r="T67"/>
  <c r="R67"/>
  <c r="P67"/>
  <c r="N67"/>
  <c r="L67"/>
  <c r="J67"/>
  <c r="H67"/>
  <c r="F67"/>
  <c r="D67"/>
  <c r="Z67" i="4"/>
  <c r="X67"/>
  <c r="V67"/>
  <c r="T67"/>
  <c r="R67"/>
  <c r="P67"/>
  <c r="N67"/>
  <c r="L67"/>
  <c r="J67"/>
  <c r="H67"/>
  <c r="F67"/>
  <c r="D67"/>
  <c r="Z67" i="3"/>
  <c r="X67"/>
  <c r="V67"/>
  <c r="T67"/>
  <c r="R67"/>
  <c r="P67"/>
  <c r="N67"/>
  <c r="L67"/>
  <c r="J67"/>
  <c r="H67"/>
  <c r="F67"/>
  <c r="Z67" i="2"/>
  <c r="X67"/>
  <c r="V67"/>
  <c r="T67"/>
  <c r="R67"/>
  <c r="P67"/>
  <c r="N67"/>
  <c r="L67"/>
  <c r="J67"/>
  <c r="H67"/>
  <c r="F67"/>
  <c r="D67"/>
  <c r="Y108" i="12"/>
  <c r="Y109"/>
  <c r="Y110"/>
  <c r="Y111"/>
  <c r="Y112"/>
  <c r="Y113"/>
  <c r="Y114"/>
  <c r="W108"/>
  <c r="W109"/>
  <c r="W110"/>
  <c r="W111"/>
  <c r="W112"/>
  <c r="W113"/>
  <c r="W114"/>
  <c r="U108"/>
  <c r="U109"/>
  <c r="U110"/>
  <c r="U111"/>
  <c r="U112"/>
  <c r="U113"/>
  <c r="U114"/>
  <c r="S108"/>
  <c r="S109"/>
  <c r="S110"/>
  <c r="S111"/>
  <c r="S112"/>
  <c r="S113"/>
  <c r="S114"/>
  <c r="Q108"/>
  <c r="Q109"/>
  <c r="Q110"/>
  <c r="Q111"/>
  <c r="Q112"/>
  <c r="Q113"/>
  <c r="Q114"/>
  <c r="O108"/>
  <c r="O109"/>
  <c r="O110"/>
  <c r="O111"/>
  <c r="O112"/>
  <c r="O113"/>
  <c r="O114"/>
  <c r="M108"/>
  <c r="M109"/>
  <c r="M110"/>
  <c r="M111"/>
  <c r="M112"/>
  <c r="M113"/>
  <c r="M114"/>
  <c r="K108"/>
  <c r="K109"/>
  <c r="K110"/>
  <c r="K111"/>
  <c r="K112"/>
  <c r="K113"/>
  <c r="K114"/>
  <c r="I108"/>
  <c r="I109"/>
  <c r="I110"/>
  <c r="I111"/>
  <c r="I112"/>
  <c r="I113"/>
  <c r="I114"/>
  <c r="G108"/>
  <c r="G109"/>
  <c r="G110"/>
  <c r="G111"/>
  <c r="G112"/>
  <c r="G113"/>
  <c r="G114"/>
  <c r="E108"/>
  <c r="E109"/>
  <c r="E110"/>
  <c r="E111"/>
  <c r="E112"/>
  <c r="E113"/>
  <c r="E114"/>
  <c r="E102"/>
  <c r="E103"/>
  <c r="E104"/>
  <c r="E105"/>
  <c r="E106"/>
  <c r="E107"/>
  <c r="I101"/>
  <c r="K101"/>
  <c r="M101"/>
  <c r="O101"/>
  <c r="Q101"/>
  <c r="S101"/>
  <c r="U101"/>
  <c r="W101"/>
  <c r="Y101"/>
  <c r="I102"/>
  <c r="K102"/>
  <c r="M102"/>
  <c r="O102"/>
  <c r="Q102"/>
  <c r="S102"/>
  <c r="U102"/>
  <c r="W102"/>
  <c r="Y102"/>
  <c r="I103"/>
  <c r="K103"/>
  <c r="M103"/>
  <c r="O103"/>
  <c r="Q103"/>
  <c r="S103"/>
  <c r="U103"/>
  <c r="W103"/>
  <c r="Y103"/>
  <c r="I104"/>
  <c r="K104"/>
  <c r="M104"/>
  <c r="O104"/>
  <c r="Q104"/>
  <c r="S104"/>
  <c r="U104"/>
  <c r="W104"/>
  <c r="Y104"/>
  <c r="I105"/>
  <c r="K105"/>
  <c r="M105"/>
  <c r="O105"/>
  <c r="Q105"/>
  <c r="S105"/>
  <c r="U105"/>
  <c r="W105"/>
  <c r="Y105"/>
  <c r="I106"/>
  <c r="K106"/>
  <c r="M106"/>
  <c r="O106"/>
  <c r="Q106"/>
  <c r="S106"/>
  <c r="U106"/>
  <c r="W106"/>
  <c r="Y106"/>
  <c r="I107"/>
  <c r="K107"/>
  <c r="M107"/>
  <c r="O107"/>
  <c r="Q107"/>
  <c r="S107"/>
  <c r="U107"/>
  <c r="W107"/>
  <c r="Y107"/>
  <c r="G100"/>
  <c r="E100"/>
  <c r="C101"/>
  <c r="C100"/>
  <c r="C102"/>
  <c r="C103"/>
  <c r="C104"/>
  <c r="C105"/>
  <c r="C106"/>
  <c r="C107"/>
  <c r="C108"/>
  <c r="C109"/>
  <c r="C110"/>
  <c r="C111"/>
  <c r="C112"/>
  <c r="C113"/>
  <c r="C114"/>
  <c r="Y75"/>
  <c r="W75"/>
  <c r="U75"/>
  <c r="S75"/>
  <c r="Q75"/>
  <c r="O75"/>
  <c r="M75"/>
  <c r="K75"/>
  <c r="I75"/>
  <c r="G75"/>
  <c r="E75"/>
  <c r="C75"/>
  <c r="AC75" i="8"/>
  <c r="AA75"/>
  <c r="Y76"/>
  <c r="W76"/>
  <c r="U76"/>
  <c r="S76"/>
  <c r="Q76"/>
  <c r="O76"/>
  <c r="M76"/>
  <c r="K76"/>
  <c r="I76"/>
  <c r="G76"/>
  <c r="E76"/>
  <c r="C76"/>
  <c r="Y93" i="26"/>
  <c r="Y105" i="18"/>
  <c r="W93" i="26"/>
  <c r="W105" i="18" s="1"/>
  <c r="U93" i="26"/>
  <c r="U105" i="18" s="1"/>
  <c r="S93" i="26"/>
  <c r="S105" i="18" s="1"/>
  <c r="Q93" i="26"/>
  <c r="Q105" i="18" s="1"/>
  <c r="O93" i="26"/>
  <c r="O105" i="18" s="1"/>
  <c r="M93" i="26"/>
  <c r="M105" i="18" s="1"/>
  <c r="K93" i="26"/>
  <c r="K105" i="18" s="1"/>
  <c r="I93" i="26"/>
  <c r="I105" i="18" s="1"/>
  <c r="G93" i="26"/>
  <c r="G105" i="18" s="1"/>
  <c r="E93" i="26"/>
  <c r="E105" i="18" s="1"/>
  <c r="C93" i="26"/>
  <c r="C105" i="18"/>
  <c r="AA75" i="26"/>
  <c r="AC75"/>
  <c r="AA75" i="24"/>
  <c r="AA75" i="25"/>
  <c r="AA75" i="23"/>
  <c r="AC75"/>
  <c r="AA75" i="21"/>
  <c r="AC75"/>
  <c r="AA75" i="20"/>
  <c r="AC75"/>
  <c r="AA75" i="7"/>
  <c r="AC75"/>
  <c r="AA75" i="6"/>
  <c r="AC75"/>
  <c r="Y115" i="2"/>
  <c r="W115"/>
  <c r="U115"/>
  <c r="S115"/>
  <c r="Q115"/>
  <c r="O115"/>
  <c r="M115"/>
  <c r="K115"/>
  <c r="I115"/>
  <c r="G115"/>
  <c r="E115"/>
  <c r="S76"/>
  <c r="Y76"/>
  <c r="W76"/>
  <c r="U76"/>
  <c r="Q76"/>
  <c r="O76"/>
  <c r="M76"/>
  <c r="I76"/>
  <c r="G76"/>
  <c r="E76"/>
  <c r="C76"/>
  <c r="AA111"/>
  <c r="AC111"/>
  <c r="AA112"/>
  <c r="AA113"/>
  <c r="AA114"/>
  <c r="AA110"/>
  <c r="AA109"/>
  <c r="AC109"/>
  <c r="AA108"/>
  <c r="AC108"/>
  <c r="AA100"/>
  <c r="AC100"/>
  <c r="C115"/>
  <c r="E12" i="6"/>
  <c r="Y57" i="23"/>
  <c r="W57"/>
  <c r="AA55" i="6"/>
  <c r="AC55"/>
  <c r="AA55" i="23"/>
  <c r="AC55"/>
  <c r="AA55" i="24"/>
  <c r="AA68" i="26"/>
  <c r="AC68"/>
  <c r="AA68" i="24"/>
  <c r="AC68"/>
  <c r="AA68" i="25"/>
  <c r="AC68"/>
  <c r="AA68" i="23"/>
  <c r="AC68"/>
  <c r="AA68" i="21"/>
  <c r="AC68"/>
  <c r="AA68" i="20"/>
  <c r="AC68"/>
  <c r="AA68" i="11"/>
  <c r="AC68"/>
  <c r="AA68" i="7"/>
  <c r="AC68"/>
  <c r="AA68" i="6"/>
  <c r="AC68"/>
  <c r="AA68" i="4"/>
  <c r="AC68"/>
  <c r="AA68" i="3"/>
  <c r="AC68"/>
  <c r="F72" i="6"/>
  <c r="F26"/>
  <c r="F25"/>
  <c r="F68"/>
  <c r="F73"/>
  <c r="F127"/>
  <c r="F125"/>
  <c r="F122"/>
  <c r="F121"/>
  <c r="F120"/>
  <c r="F119"/>
  <c r="F118"/>
  <c r="F116"/>
  <c r="E126"/>
  <c r="F126"/>
  <c r="F128"/>
  <c r="F62"/>
  <c r="F56"/>
  <c r="F66"/>
  <c r="F53"/>
  <c r="F51"/>
  <c r="E46"/>
  <c r="F46"/>
  <c r="F115"/>
  <c r="F47"/>
  <c r="F45"/>
  <c r="F55"/>
  <c r="F142"/>
  <c r="F69"/>
  <c r="F70"/>
  <c r="F74"/>
  <c r="F71"/>
  <c r="F75"/>
  <c r="AA100" i="12"/>
  <c r="AC100"/>
  <c r="AA108"/>
  <c r="AC108"/>
  <c r="AA112"/>
  <c r="AC112"/>
  <c r="AC115" i="4"/>
  <c r="AA109" i="12"/>
  <c r="AC109"/>
  <c r="AA113"/>
  <c r="AC113"/>
  <c r="AA114"/>
  <c r="AA110"/>
  <c r="AC110"/>
  <c r="AC114" i="2"/>
  <c r="AC113"/>
  <c r="AA111" i="12"/>
  <c r="AC110" i="2"/>
  <c r="AC75" i="24"/>
  <c r="AC75" i="25"/>
  <c r="AA75" i="12"/>
  <c r="AC75"/>
  <c r="AC112" i="2"/>
  <c r="AC55" i="24"/>
  <c r="U43" i="23"/>
  <c r="AC114" i="12"/>
  <c r="AC111"/>
  <c r="AA43" i="6"/>
  <c r="AC43"/>
  <c r="AA27" i="8"/>
  <c r="AA119" i="25"/>
  <c r="AA119" i="7"/>
  <c r="AA127" i="2"/>
  <c r="AA77" i="26"/>
  <c r="AA78"/>
  <c r="AA79"/>
  <c r="AA80"/>
  <c r="AA81"/>
  <c r="AA82"/>
  <c r="AA83"/>
  <c r="AA84"/>
  <c r="AA85"/>
  <c r="AA86"/>
  <c r="AA87"/>
  <c r="AA88"/>
  <c r="AA89"/>
  <c r="AA90"/>
  <c r="AA77" i="24"/>
  <c r="AA78"/>
  <c r="AA79"/>
  <c r="AA80"/>
  <c r="AA81"/>
  <c r="AA82"/>
  <c r="AA83"/>
  <c r="AA84"/>
  <c r="AA85"/>
  <c r="AA86"/>
  <c r="AA87"/>
  <c r="AA88"/>
  <c r="AA89"/>
  <c r="AA90"/>
  <c r="AA119" i="26"/>
  <c r="AA119" i="24"/>
  <c r="AA119" i="23"/>
  <c r="AC119"/>
  <c r="AA119" i="21"/>
  <c r="AC119"/>
  <c r="AA119" i="20"/>
  <c r="AA119" i="11"/>
  <c r="AA119" i="4"/>
  <c r="AA119" i="3"/>
  <c r="S138" i="8"/>
  <c r="AA119" i="6"/>
  <c r="AC119"/>
  <c r="AC119" i="26"/>
  <c r="AC119" i="24"/>
  <c r="AC119" i="25"/>
  <c r="AC119" i="20"/>
  <c r="AC119" i="11"/>
  <c r="AC119" i="7"/>
  <c r="AC119" i="4"/>
  <c r="AC119" i="3"/>
  <c r="Y137" i="4"/>
  <c r="W137"/>
  <c r="U137"/>
  <c r="AA55" i="21"/>
  <c r="AC55"/>
  <c r="AA55" i="26"/>
  <c r="AC55"/>
  <c r="AA55" i="25"/>
  <c r="AA55" i="20"/>
  <c r="Y57" i="25"/>
  <c r="W57"/>
  <c r="U57"/>
  <c r="Y57" i="11"/>
  <c r="W57"/>
  <c r="U57"/>
  <c r="Y57" i="21"/>
  <c r="W57"/>
  <c r="U57"/>
  <c r="Y57" i="20"/>
  <c r="W57"/>
  <c r="U57"/>
  <c r="AC55" i="25"/>
  <c r="AC55" i="20"/>
  <c r="AA5" i="26"/>
  <c r="AC5"/>
  <c r="AC151"/>
  <c r="AC149"/>
  <c r="AC148"/>
  <c r="AC147"/>
  <c r="AC143"/>
  <c r="AC141"/>
  <c r="AC140"/>
  <c r="AC139"/>
  <c r="AC134"/>
  <c r="AC133"/>
  <c r="AC132"/>
  <c r="AC130"/>
  <c r="AC43"/>
  <c r="AC41"/>
  <c r="AC40"/>
  <c r="AC39"/>
  <c r="AC38"/>
  <c r="AC20"/>
  <c r="AC18"/>
  <c r="AC14"/>
  <c r="AC11"/>
  <c r="AC6"/>
  <c r="AC151" i="24"/>
  <c r="AC149"/>
  <c r="AC147"/>
  <c r="AC134"/>
  <c r="AC132"/>
  <c r="AC130"/>
  <c r="AC8"/>
  <c r="AA5"/>
  <c r="AC5"/>
  <c r="AO62" i="6"/>
  <c r="AA62" i="26"/>
  <c r="AC62"/>
  <c r="AA62" i="24"/>
  <c r="AC62"/>
  <c r="AA62" i="23"/>
  <c r="AA62" i="20"/>
  <c r="AA62" i="11"/>
  <c r="AA62" i="7"/>
  <c r="AA62" i="3"/>
  <c r="Y62" i="2"/>
  <c r="AA56" i="26"/>
  <c r="AC56"/>
  <c r="AA56" i="24"/>
  <c r="AC56"/>
  <c r="AA56" i="25"/>
  <c r="AC56"/>
  <c r="AA56" i="23"/>
  <c r="AA56" i="21"/>
  <c r="AA56" i="20"/>
  <c r="AC56"/>
  <c r="AA56" i="11"/>
  <c r="AA56" i="6"/>
  <c r="AA56" i="3"/>
  <c r="AC56"/>
  <c r="AA53" i="24"/>
  <c r="AC53"/>
  <c r="AA53" i="25"/>
  <c r="AA53" i="23"/>
  <c r="AA53" i="21"/>
  <c r="AC53"/>
  <c r="AA53" i="20"/>
  <c r="AA53" i="7"/>
  <c r="AA53" i="6"/>
  <c r="AC53"/>
  <c r="AA53" i="26"/>
  <c r="AC53"/>
  <c r="AA53" i="3"/>
  <c r="AC53"/>
  <c r="AA53" i="4"/>
  <c r="AA51" i="26"/>
  <c r="AC51"/>
  <c r="AA51" i="24"/>
  <c r="AC51"/>
  <c r="AA51" i="25"/>
  <c r="AC51"/>
  <c r="AA51" i="23"/>
  <c r="AC51"/>
  <c r="AA51" i="21"/>
  <c r="AC51"/>
  <c r="AA51" i="20"/>
  <c r="AA51" i="3"/>
  <c r="AC51"/>
  <c r="AG47" i="24"/>
  <c r="AA47"/>
  <c r="AC47"/>
  <c r="AA47" i="25"/>
  <c r="AP47" i="6"/>
  <c r="AA47"/>
  <c r="AC47"/>
  <c r="AA47" i="26"/>
  <c r="AC47"/>
  <c r="AC47" i="21"/>
  <c r="AA47" i="20"/>
  <c r="AC47" i="11"/>
  <c r="AA47" i="7"/>
  <c r="AC47"/>
  <c r="Y70" i="12"/>
  <c r="Y71"/>
  <c r="Y72"/>
  <c r="Y73"/>
  <c r="Y74"/>
  <c r="W70"/>
  <c r="W71"/>
  <c r="W72"/>
  <c r="W73"/>
  <c r="W74"/>
  <c r="U70"/>
  <c r="U71"/>
  <c r="U72"/>
  <c r="U73"/>
  <c r="U74"/>
  <c r="S70"/>
  <c r="S71"/>
  <c r="S72"/>
  <c r="S73"/>
  <c r="S74"/>
  <c r="Q70"/>
  <c r="Q71"/>
  <c r="Q72"/>
  <c r="Q73"/>
  <c r="Q74"/>
  <c r="O70"/>
  <c r="O71"/>
  <c r="O72"/>
  <c r="O73"/>
  <c r="O74"/>
  <c r="M70"/>
  <c r="M71"/>
  <c r="M72"/>
  <c r="M73"/>
  <c r="M74"/>
  <c r="K70"/>
  <c r="K71"/>
  <c r="K72"/>
  <c r="K73"/>
  <c r="K74"/>
  <c r="I70"/>
  <c r="I71"/>
  <c r="I72"/>
  <c r="I73"/>
  <c r="I74"/>
  <c r="G70"/>
  <c r="G71"/>
  <c r="G72"/>
  <c r="G73"/>
  <c r="G74"/>
  <c r="E70"/>
  <c r="E71"/>
  <c r="E72"/>
  <c r="E73"/>
  <c r="E74"/>
  <c r="C70"/>
  <c r="C71"/>
  <c r="C72"/>
  <c r="C73"/>
  <c r="C74"/>
  <c r="AA74" i="8"/>
  <c r="AA73"/>
  <c r="AA72"/>
  <c r="AA71"/>
  <c r="AA70"/>
  <c r="AA74" i="26"/>
  <c r="AC74"/>
  <c r="AA73"/>
  <c r="AC73"/>
  <c r="AC72"/>
  <c r="AA71"/>
  <c r="AC71"/>
  <c r="AA70"/>
  <c r="AC70"/>
  <c r="AA74" i="24"/>
  <c r="AC74"/>
  <c r="AA73"/>
  <c r="AC73"/>
  <c r="AC72"/>
  <c r="AA71"/>
  <c r="AC71"/>
  <c r="AA70"/>
  <c r="AC70"/>
  <c r="AA74" i="25"/>
  <c r="AC74"/>
  <c r="AA73"/>
  <c r="AC73"/>
  <c r="AC72"/>
  <c r="AA71"/>
  <c r="AC71"/>
  <c r="AA70"/>
  <c r="AC70"/>
  <c r="AA74" i="23"/>
  <c r="AA73"/>
  <c r="AA71"/>
  <c r="AA70"/>
  <c r="AA74" i="21"/>
  <c r="AC74"/>
  <c r="AA73"/>
  <c r="AC73"/>
  <c r="AC72"/>
  <c r="AA71"/>
  <c r="AC71"/>
  <c r="AA70"/>
  <c r="AC70"/>
  <c r="AA74" i="20"/>
  <c r="AC74"/>
  <c r="AA73"/>
  <c r="AC73"/>
  <c r="AC72"/>
  <c r="AA71"/>
  <c r="AC71"/>
  <c r="AA70"/>
  <c r="AC70"/>
  <c r="AA74" i="11"/>
  <c r="AA73"/>
  <c r="AA71"/>
  <c r="AA70"/>
  <c r="AA74" i="7"/>
  <c r="AC74"/>
  <c r="AA73"/>
  <c r="AC73"/>
  <c r="AC72"/>
  <c r="AA71"/>
  <c r="AC71"/>
  <c r="AA70"/>
  <c r="AC70"/>
  <c r="AA74" i="6"/>
  <c r="AA73"/>
  <c r="AA71"/>
  <c r="AA70"/>
  <c r="AA74" i="4"/>
  <c r="AC74"/>
  <c r="AA73"/>
  <c r="AC73"/>
  <c r="AC72"/>
  <c r="AA71"/>
  <c r="AC71"/>
  <c r="AA70"/>
  <c r="AC70"/>
  <c r="AA74" i="3"/>
  <c r="AA73"/>
  <c r="AA71"/>
  <c r="AA70"/>
  <c r="AC70" i="2"/>
  <c r="AC71"/>
  <c r="AC72"/>
  <c r="AC73"/>
  <c r="AC74"/>
  <c r="Y59" i="21"/>
  <c r="W59"/>
  <c r="U59"/>
  <c r="AA62" i="25"/>
  <c r="AC62"/>
  <c r="AA62" i="6"/>
  <c r="AC62"/>
  <c r="AH47" i="24"/>
  <c r="AA72" i="12"/>
  <c r="AC72"/>
  <c r="AA70"/>
  <c r="AC70"/>
  <c r="AC62" i="23"/>
  <c r="AA62" i="21"/>
  <c r="AC62" i="20"/>
  <c r="AC62" i="11"/>
  <c r="AC62" i="7"/>
  <c r="AC62" i="3"/>
  <c r="AC56" i="23"/>
  <c r="AC56" i="21"/>
  <c r="AC56" i="11"/>
  <c r="AC56" i="6"/>
  <c r="AC53" i="11"/>
  <c r="AC53" i="25"/>
  <c r="AC53" i="23"/>
  <c r="AC53" i="20"/>
  <c r="AC53" i="7"/>
  <c r="AA73" i="12"/>
  <c r="AC73"/>
  <c r="AA71"/>
  <c r="AC71"/>
  <c r="AC53" i="4"/>
  <c r="AC51" i="20"/>
  <c r="AC51" i="11"/>
  <c r="AC47" i="25"/>
  <c r="AC47" i="20"/>
  <c r="AA74" i="12"/>
  <c r="AC74"/>
  <c r="AC70" i="8"/>
  <c r="AC71"/>
  <c r="AC72"/>
  <c r="AC73"/>
  <c r="AC74"/>
  <c r="AC70" i="23"/>
  <c r="AC71"/>
  <c r="AC72"/>
  <c r="AC73"/>
  <c r="AC74"/>
  <c r="AC70" i="11"/>
  <c r="AC71"/>
  <c r="AC72"/>
  <c r="AC73"/>
  <c r="AC74"/>
  <c r="AC70" i="6"/>
  <c r="AC71"/>
  <c r="AC72"/>
  <c r="AC73"/>
  <c r="AC74"/>
  <c r="AC70" i="3"/>
  <c r="AC71"/>
  <c r="AC72"/>
  <c r="AC73"/>
  <c r="AC74"/>
  <c r="AC62" i="21"/>
  <c r="S157" i="8"/>
  <c r="S93" i="21"/>
  <c r="S69" i="18" s="1"/>
  <c r="AI138" i="25"/>
  <c r="AJ138" i="23"/>
  <c r="BJ138" i="21"/>
  <c r="M144" i="8"/>
  <c r="M113" i="18"/>
  <c r="K144" i="8"/>
  <c r="K113" i="18"/>
  <c r="I144" i="8"/>
  <c r="I113" i="18"/>
  <c r="G144" i="8"/>
  <c r="G113" i="18"/>
  <c r="E144" i="8"/>
  <c r="E113" i="18"/>
  <c r="C144" i="8"/>
  <c r="C113" i="18"/>
  <c r="M129" i="8"/>
  <c r="K129"/>
  <c r="I129"/>
  <c r="G129"/>
  <c r="E129"/>
  <c r="C129"/>
  <c r="M93"/>
  <c r="K93"/>
  <c r="I93"/>
  <c r="G93"/>
  <c r="E93"/>
  <c r="C93"/>
  <c r="M41"/>
  <c r="K41"/>
  <c r="I41"/>
  <c r="G41"/>
  <c r="E41"/>
  <c r="C41"/>
  <c r="M35"/>
  <c r="K35"/>
  <c r="I35"/>
  <c r="G35"/>
  <c r="E35"/>
  <c r="C35"/>
  <c r="M21"/>
  <c r="K21"/>
  <c r="I21"/>
  <c r="G21"/>
  <c r="E21"/>
  <c r="C21"/>
  <c r="M15"/>
  <c r="K15"/>
  <c r="I15"/>
  <c r="G15"/>
  <c r="E15"/>
  <c r="C15"/>
  <c r="M12"/>
  <c r="I12"/>
  <c r="K5"/>
  <c r="G5"/>
  <c r="E5"/>
  <c r="C5"/>
  <c r="M144" i="26"/>
  <c r="M104" i="18" s="1"/>
  <c r="M41" i="26"/>
  <c r="K41"/>
  <c r="I41"/>
  <c r="G41"/>
  <c r="M15"/>
  <c r="K15"/>
  <c r="I15"/>
  <c r="G15"/>
  <c r="M12"/>
  <c r="K12"/>
  <c r="I12"/>
  <c r="G12"/>
  <c r="N11"/>
  <c r="L11"/>
  <c r="J11"/>
  <c r="H11"/>
  <c r="N10"/>
  <c r="L10"/>
  <c r="J10"/>
  <c r="H10"/>
  <c r="N8"/>
  <c r="L8"/>
  <c r="J8"/>
  <c r="H8"/>
  <c r="N7"/>
  <c r="L7"/>
  <c r="J7"/>
  <c r="H7"/>
  <c r="M93" i="24"/>
  <c r="M96" i="18" s="1"/>
  <c r="K93" i="24"/>
  <c r="K96" i="18"/>
  <c r="I93" i="24"/>
  <c r="I96" i="18" s="1"/>
  <c r="G93" i="24"/>
  <c r="G96" i="18" s="1"/>
  <c r="M41" i="24"/>
  <c r="K41"/>
  <c r="I41"/>
  <c r="G41"/>
  <c r="M15"/>
  <c r="K15"/>
  <c r="I15"/>
  <c r="G15"/>
  <c r="M12"/>
  <c r="K12"/>
  <c r="I12"/>
  <c r="G12"/>
  <c r="M144" i="25"/>
  <c r="M86" i="18" s="1"/>
  <c r="K144" i="25"/>
  <c r="K86" i="18" s="1"/>
  <c r="I144" i="25"/>
  <c r="I86" i="18" s="1"/>
  <c r="G144" i="25"/>
  <c r="G86" i="18" s="1"/>
  <c r="E144" i="25"/>
  <c r="E86" i="18" s="1"/>
  <c r="C144" i="25"/>
  <c r="M93"/>
  <c r="M87" i="18" s="1"/>
  <c r="K93" i="25"/>
  <c r="K87" i="18" s="1"/>
  <c r="I93" i="25"/>
  <c r="I87" i="18" s="1"/>
  <c r="G93" i="25"/>
  <c r="G87" i="18" s="1"/>
  <c r="E93" i="25"/>
  <c r="E87" i="18" s="1"/>
  <c r="C93" i="25"/>
  <c r="C87" i="18" s="1"/>
  <c r="N91" i="25"/>
  <c r="L91"/>
  <c r="J91"/>
  <c r="H91"/>
  <c r="F91"/>
  <c r="D91"/>
  <c r="M41"/>
  <c r="K41"/>
  <c r="I41"/>
  <c r="G41"/>
  <c r="E41"/>
  <c r="C41"/>
  <c r="M15"/>
  <c r="K15"/>
  <c r="I15"/>
  <c r="G15"/>
  <c r="E15"/>
  <c r="C15"/>
  <c r="M12"/>
  <c r="K12"/>
  <c r="I12"/>
  <c r="G12"/>
  <c r="E12"/>
  <c r="C12"/>
  <c r="M144" i="23"/>
  <c r="M77" i="18" s="1"/>
  <c r="K144" i="23"/>
  <c r="L144" s="1"/>
  <c r="I144"/>
  <c r="I77" i="18" s="1"/>
  <c r="G144" i="23"/>
  <c r="E144"/>
  <c r="C144"/>
  <c r="M93"/>
  <c r="M78" i="18" s="1"/>
  <c r="K93" i="23"/>
  <c r="K78" i="18" s="1"/>
  <c r="I93" i="23"/>
  <c r="I78" i="18" s="1"/>
  <c r="G93" i="23"/>
  <c r="G78" i="18" s="1"/>
  <c r="E93" i="23"/>
  <c r="E78" i="18" s="1"/>
  <c r="C93" i="23"/>
  <c r="C78" i="18" s="1"/>
  <c r="M41" i="23"/>
  <c r="K41"/>
  <c r="I41"/>
  <c r="G41"/>
  <c r="E41"/>
  <c r="C41"/>
  <c r="M12"/>
  <c r="K12"/>
  <c r="I12"/>
  <c r="G12"/>
  <c r="E12"/>
  <c r="C12"/>
  <c r="M144" i="21"/>
  <c r="M68" i="18" s="1"/>
  <c r="K144" i="21"/>
  <c r="K68" i="18" s="1"/>
  <c r="I144" i="21"/>
  <c r="I68" i="18" s="1"/>
  <c r="G144" i="21"/>
  <c r="G68" i="18" s="1"/>
  <c r="E144" i="21"/>
  <c r="E68" i="18" s="1"/>
  <c r="C144" i="21"/>
  <c r="M93"/>
  <c r="M69" i="18" s="1"/>
  <c r="K93" i="21"/>
  <c r="K69" i="18" s="1"/>
  <c r="I93" i="21"/>
  <c r="I69" i="18" s="1"/>
  <c r="G93" i="21"/>
  <c r="G69" i="18" s="1"/>
  <c r="E93" i="21"/>
  <c r="E69" i="18" s="1"/>
  <c r="C93" i="21"/>
  <c r="C69" i="18" s="1"/>
  <c r="M41" i="21"/>
  <c r="K41"/>
  <c r="I41"/>
  <c r="G41"/>
  <c r="E41"/>
  <c r="C41"/>
  <c r="M15"/>
  <c r="K15"/>
  <c r="I15"/>
  <c r="G15"/>
  <c r="E15"/>
  <c r="C15"/>
  <c r="M12"/>
  <c r="K12"/>
  <c r="I12"/>
  <c r="G12"/>
  <c r="E12"/>
  <c r="C12"/>
  <c r="M144" i="20"/>
  <c r="M59" i="18" s="1"/>
  <c r="K144" i="20"/>
  <c r="K59" i="18" s="1"/>
  <c r="I144" i="20"/>
  <c r="I59" i="18" s="1"/>
  <c r="G144" i="20"/>
  <c r="E144"/>
  <c r="C144"/>
  <c r="C59" i="18" s="1"/>
  <c r="M93" i="20"/>
  <c r="M60" i="18" s="1"/>
  <c r="K93" i="20"/>
  <c r="K60" i="18" s="1"/>
  <c r="I93" i="20"/>
  <c r="I60" i="18" s="1"/>
  <c r="G93" i="20"/>
  <c r="G60" i="18" s="1"/>
  <c r="E93" i="20"/>
  <c r="E60" i="18" s="1"/>
  <c r="C93" i="20"/>
  <c r="C60" i="18" s="1"/>
  <c r="M41" i="20"/>
  <c r="K41"/>
  <c r="I41"/>
  <c r="G41"/>
  <c r="E41"/>
  <c r="C41"/>
  <c r="M15"/>
  <c r="K15"/>
  <c r="I15"/>
  <c r="G15"/>
  <c r="E15"/>
  <c r="C15"/>
  <c r="M12"/>
  <c r="K12"/>
  <c r="I12"/>
  <c r="G12"/>
  <c r="E12"/>
  <c r="C12"/>
  <c r="J62" i="26"/>
  <c r="J26"/>
  <c r="J25"/>
  <c r="J68"/>
  <c r="J72"/>
  <c r="J125"/>
  <c r="J122"/>
  <c r="J121"/>
  <c r="J120"/>
  <c r="J119"/>
  <c r="J118"/>
  <c r="J116"/>
  <c r="J128"/>
  <c r="J127"/>
  <c r="I126"/>
  <c r="H62"/>
  <c r="H26"/>
  <c r="H25"/>
  <c r="H68"/>
  <c r="H72"/>
  <c r="H125"/>
  <c r="H122"/>
  <c r="H121"/>
  <c r="H120"/>
  <c r="H119"/>
  <c r="H118"/>
  <c r="H116"/>
  <c r="G126"/>
  <c r="H126"/>
  <c r="H128"/>
  <c r="H127"/>
  <c r="N62"/>
  <c r="N72"/>
  <c r="N26"/>
  <c r="N25"/>
  <c r="N68"/>
  <c r="N128"/>
  <c r="N127"/>
  <c r="M126"/>
  <c r="N125"/>
  <c r="N122"/>
  <c r="N121"/>
  <c r="N120"/>
  <c r="N119"/>
  <c r="N118"/>
  <c r="N116"/>
  <c r="L62"/>
  <c r="L26"/>
  <c r="L25"/>
  <c r="L68"/>
  <c r="L72"/>
  <c r="L128"/>
  <c r="L127"/>
  <c r="K126"/>
  <c r="L116"/>
  <c r="L125"/>
  <c r="L122"/>
  <c r="L121"/>
  <c r="L120"/>
  <c r="L119"/>
  <c r="L118"/>
  <c r="J62" i="24"/>
  <c r="J26"/>
  <c r="J25"/>
  <c r="J68"/>
  <c r="J72"/>
  <c r="I126"/>
  <c r="J126"/>
  <c r="J128"/>
  <c r="J127"/>
  <c r="J125"/>
  <c r="J122"/>
  <c r="J121"/>
  <c r="J120"/>
  <c r="J119"/>
  <c r="J118"/>
  <c r="J116"/>
  <c r="H62"/>
  <c r="H72"/>
  <c r="H26"/>
  <c r="H25"/>
  <c r="H68"/>
  <c r="H128"/>
  <c r="H127"/>
  <c r="H125"/>
  <c r="H122"/>
  <c r="H121"/>
  <c r="H120"/>
  <c r="H119"/>
  <c r="H118"/>
  <c r="H116"/>
  <c r="G126"/>
  <c r="H126"/>
  <c r="N62"/>
  <c r="N26"/>
  <c r="N25"/>
  <c r="N68"/>
  <c r="N72"/>
  <c r="N127"/>
  <c r="N125"/>
  <c r="N122"/>
  <c r="N121"/>
  <c r="N120"/>
  <c r="N119"/>
  <c r="N118"/>
  <c r="M126"/>
  <c r="N126"/>
  <c r="N128"/>
  <c r="N116"/>
  <c r="L62"/>
  <c r="L26"/>
  <c r="L25"/>
  <c r="L68"/>
  <c r="L72"/>
  <c r="K126"/>
  <c r="L126"/>
  <c r="L128"/>
  <c r="L127"/>
  <c r="L125"/>
  <c r="L122"/>
  <c r="L121"/>
  <c r="L120"/>
  <c r="L119"/>
  <c r="L118"/>
  <c r="L116"/>
  <c r="N26" i="25"/>
  <c r="N25"/>
  <c r="N68"/>
  <c r="N72"/>
  <c r="M126"/>
  <c r="N126"/>
  <c r="N125"/>
  <c r="N122"/>
  <c r="N121"/>
  <c r="N120"/>
  <c r="N119"/>
  <c r="N118"/>
  <c r="N116"/>
  <c r="N128"/>
  <c r="N127"/>
  <c r="F26"/>
  <c r="F25"/>
  <c r="F68"/>
  <c r="F72"/>
  <c r="F125"/>
  <c r="F122"/>
  <c r="F121"/>
  <c r="F120"/>
  <c r="F119"/>
  <c r="F118"/>
  <c r="F116"/>
  <c r="E126"/>
  <c r="F126"/>
  <c r="F128"/>
  <c r="F127"/>
  <c r="D26"/>
  <c r="D25"/>
  <c r="D68"/>
  <c r="D72"/>
  <c r="C126"/>
  <c r="D126"/>
  <c r="D125"/>
  <c r="D122"/>
  <c r="D121"/>
  <c r="D120"/>
  <c r="D119"/>
  <c r="D118"/>
  <c r="D128"/>
  <c r="D127"/>
  <c r="D116"/>
  <c r="J72"/>
  <c r="J26"/>
  <c r="J25"/>
  <c r="J68"/>
  <c r="J128"/>
  <c r="J127"/>
  <c r="I126"/>
  <c r="J126"/>
  <c r="J125"/>
  <c r="J122"/>
  <c r="J121"/>
  <c r="J120"/>
  <c r="J119"/>
  <c r="J118"/>
  <c r="J116"/>
  <c r="L26"/>
  <c r="L25"/>
  <c r="L68"/>
  <c r="L72"/>
  <c r="L125"/>
  <c r="L122"/>
  <c r="L121"/>
  <c r="L120"/>
  <c r="L119"/>
  <c r="L118"/>
  <c r="L116"/>
  <c r="L128"/>
  <c r="L127"/>
  <c r="K126"/>
  <c r="L126"/>
  <c r="H71"/>
  <c r="H70"/>
  <c r="H75"/>
  <c r="H26"/>
  <c r="H25"/>
  <c r="H68"/>
  <c r="H69"/>
  <c r="H74"/>
  <c r="H72"/>
  <c r="H66"/>
  <c r="H73"/>
  <c r="H128"/>
  <c r="H127"/>
  <c r="H125"/>
  <c r="H122"/>
  <c r="H121"/>
  <c r="H120"/>
  <c r="H119"/>
  <c r="H118"/>
  <c r="H116"/>
  <c r="G126"/>
  <c r="H126"/>
  <c r="F62" i="23"/>
  <c r="F68"/>
  <c r="F72"/>
  <c r="F26"/>
  <c r="F25"/>
  <c r="F125"/>
  <c r="F122"/>
  <c r="F121"/>
  <c r="F120"/>
  <c r="F119"/>
  <c r="F118"/>
  <c r="F116"/>
  <c r="F128"/>
  <c r="F127"/>
  <c r="E126"/>
  <c r="N62"/>
  <c r="N26"/>
  <c r="N25"/>
  <c r="N72"/>
  <c r="N68"/>
  <c r="N125"/>
  <c r="N122"/>
  <c r="N121"/>
  <c r="N120"/>
  <c r="N119"/>
  <c r="N118"/>
  <c r="N116"/>
  <c r="N128"/>
  <c r="N127"/>
  <c r="M126"/>
  <c r="H62"/>
  <c r="H26"/>
  <c r="H25"/>
  <c r="H68"/>
  <c r="H72"/>
  <c r="H116"/>
  <c r="H127"/>
  <c r="G126"/>
  <c r="H126"/>
  <c r="H125"/>
  <c r="H122"/>
  <c r="H121"/>
  <c r="H120"/>
  <c r="H119"/>
  <c r="H118"/>
  <c r="H128"/>
  <c r="D62"/>
  <c r="D72"/>
  <c r="D25"/>
  <c r="D68"/>
  <c r="D26"/>
  <c r="D128"/>
  <c r="D127"/>
  <c r="D116"/>
  <c r="C126"/>
  <c r="D125"/>
  <c r="D122"/>
  <c r="D121"/>
  <c r="D120"/>
  <c r="D119"/>
  <c r="D118"/>
  <c r="L62"/>
  <c r="L72"/>
  <c r="L68"/>
  <c r="L26"/>
  <c r="L25"/>
  <c r="L128"/>
  <c r="L127"/>
  <c r="L125"/>
  <c r="L122"/>
  <c r="L121"/>
  <c r="L120"/>
  <c r="L119"/>
  <c r="L118"/>
  <c r="K126"/>
  <c r="L116"/>
  <c r="J62"/>
  <c r="J26"/>
  <c r="J25"/>
  <c r="J68"/>
  <c r="J72"/>
  <c r="I126"/>
  <c r="J122"/>
  <c r="J121"/>
  <c r="J128"/>
  <c r="J125"/>
  <c r="J120"/>
  <c r="J119"/>
  <c r="J118"/>
  <c r="J116"/>
  <c r="J127"/>
  <c r="F62" i="21"/>
  <c r="F72"/>
  <c r="F26"/>
  <c r="F25"/>
  <c r="F68"/>
  <c r="F73"/>
  <c r="F128"/>
  <c r="F127"/>
  <c r="F125"/>
  <c r="F122"/>
  <c r="F121"/>
  <c r="F120"/>
  <c r="F119"/>
  <c r="F118"/>
  <c r="F116"/>
  <c r="E126"/>
  <c r="N62"/>
  <c r="N72"/>
  <c r="N26"/>
  <c r="N25"/>
  <c r="N68"/>
  <c r="N73"/>
  <c r="N128"/>
  <c r="N127"/>
  <c r="M126"/>
  <c r="N125"/>
  <c r="N122"/>
  <c r="N121"/>
  <c r="N120"/>
  <c r="N119"/>
  <c r="N118"/>
  <c r="N116"/>
  <c r="D62"/>
  <c r="D26"/>
  <c r="D25"/>
  <c r="D68"/>
  <c r="D73"/>
  <c r="D72"/>
  <c r="C126"/>
  <c r="D125"/>
  <c r="D122"/>
  <c r="D121"/>
  <c r="D120"/>
  <c r="D119"/>
  <c r="D118"/>
  <c r="D116"/>
  <c r="D128"/>
  <c r="D127"/>
  <c r="L62"/>
  <c r="L26"/>
  <c r="L25"/>
  <c r="L68"/>
  <c r="L73"/>
  <c r="L72"/>
  <c r="L125"/>
  <c r="L122"/>
  <c r="L121"/>
  <c r="L120"/>
  <c r="L119"/>
  <c r="L118"/>
  <c r="L116"/>
  <c r="L128"/>
  <c r="L127"/>
  <c r="K126"/>
  <c r="J62"/>
  <c r="J26"/>
  <c r="J25"/>
  <c r="J68"/>
  <c r="J73"/>
  <c r="J72"/>
  <c r="J125"/>
  <c r="J122"/>
  <c r="J121"/>
  <c r="J120"/>
  <c r="J119"/>
  <c r="J118"/>
  <c r="J116"/>
  <c r="J128"/>
  <c r="J127"/>
  <c r="I126"/>
  <c r="H62"/>
  <c r="H26"/>
  <c r="H25"/>
  <c r="H68"/>
  <c r="H73"/>
  <c r="H72"/>
  <c r="G126"/>
  <c r="H126"/>
  <c r="H128"/>
  <c r="H127"/>
  <c r="H125"/>
  <c r="H122"/>
  <c r="H121"/>
  <c r="H120"/>
  <c r="H119"/>
  <c r="H118"/>
  <c r="H116"/>
  <c r="J62" i="20"/>
  <c r="J72"/>
  <c r="J26"/>
  <c r="J25"/>
  <c r="J68"/>
  <c r="J73"/>
  <c r="J128"/>
  <c r="J127"/>
  <c r="I126"/>
  <c r="J126"/>
  <c r="J125"/>
  <c r="J122"/>
  <c r="J121"/>
  <c r="J120"/>
  <c r="J119"/>
  <c r="J118"/>
  <c r="J116"/>
  <c r="H62"/>
  <c r="H72"/>
  <c r="H26"/>
  <c r="H25"/>
  <c r="H68"/>
  <c r="H73"/>
  <c r="H128"/>
  <c r="H127"/>
  <c r="G126"/>
  <c r="H126"/>
  <c r="H125"/>
  <c r="H122"/>
  <c r="H121"/>
  <c r="H120"/>
  <c r="H119"/>
  <c r="H118"/>
  <c r="H116"/>
  <c r="F62"/>
  <c r="F26"/>
  <c r="F25"/>
  <c r="F68"/>
  <c r="F73"/>
  <c r="F72"/>
  <c r="F128"/>
  <c r="F127"/>
  <c r="E126"/>
  <c r="F126"/>
  <c r="F125"/>
  <c r="F122"/>
  <c r="F121"/>
  <c r="F120"/>
  <c r="F119"/>
  <c r="F118"/>
  <c r="F116"/>
  <c r="N62"/>
  <c r="N26"/>
  <c r="N25"/>
  <c r="N68"/>
  <c r="N73"/>
  <c r="N72"/>
  <c r="N128"/>
  <c r="N127"/>
  <c r="M126"/>
  <c r="N126"/>
  <c r="N125"/>
  <c r="N122"/>
  <c r="N121"/>
  <c r="N120"/>
  <c r="N119"/>
  <c r="N118"/>
  <c r="N116"/>
  <c r="D62"/>
  <c r="D72"/>
  <c r="D26"/>
  <c r="D25"/>
  <c r="D68"/>
  <c r="D73"/>
  <c r="D128"/>
  <c r="D127"/>
  <c r="C126"/>
  <c r="D126"/>
  <c r="D125"/>
  <c r="D122"/>
  <c r="D121"/>
  <c r="D120"/>
  <c r="D119"/>
  <c r="D118"/>
  <c r="D116"/>
  <c r="L62"/>
  <c r="L72"/>
  <c r="L26"/>
  <c r="L25"/>
  <c r="L68"/>
  <c r="L73"/>
  <c r="L128"/>
  <c r="L127"/>
  <c r="K126"/>
  <c r="L126"/>
  <c r="L125"/>
  <c r="L122"/>
  <c r="L121"/>
  <c r="L120"/>
  <c r="L119"/>
  <c r="L118"/>
  <c r="L116"/>
  <c r="F62" i="25"/>
  <c r="N62"/>
  <c r="D62"/>
  <c r="L62"/>
  <c r="J62"/>
  <c r="H62"/>
  <c r="C145" i="8"/>
  <c r="C111" i="18"/>
  <c r="N51" i="26"/>
  <c r="M46"/>
  <c r="N17"/>
  <c r="N47"/>
  <c r="L51"/>
  <c r="L47"/>
  <c r="K46"/>
  <c r="J51"/>
  <c r="I46"/>
  <c r="J47"/>
  <c r="H47"/>
  <c r="H51"/>
  <c r="G46"/>
  <c r="H46"/>
  <c r="N47" i="24"/>
  <c r="M46"/>
  <c r="N53"/>
  <c r="N51"/>
  <c r="K46"/>
  <c r="L51"/>
  <c r="L47"/>
  <c r="L53"/>
  <c r="J53"/>
  <c r="I46"/>
  <c r="J47"/>
  <c r="J51"/>
  <c r="H53"/>
  <c r="H51"/>
  <c r="H47"/>
  <c r="G46"/>
  <c r="H46"/>
  <c r="N47" i="25"/>
  <c r="M21"/>
  <c r="N21" s="1"/>
  <c r="N53"/>
  <c r="N51"/>
  <c r="M46"/>
  <c r="L51"/>
  <c r="L47"/>
  <c r="L53"/>
  <c r="K46"/>
  <c r="J53"/>
  <c r="J47"/>
  <c r="J51"/>
  <c r="I46"/>
  <c r="H53"/>
  <c r="H51"/>
  <c r="G46"/>
  <c r="H46"/>
  <c r="H47"/>
  <c r="F47"/>
  <c r="E46"/>
  <c r="F46"/>
  <c r="F53"/>
  <c r="F51"/>
  <c r="D51"/>
  <c r="D47"/>
  <c r="D53"/>
  <c r="C46"/>
  <c r="D46"/>
  <c r="M17" i="23"/>
  <c r="M21"/>
  <c r="N21"/>
  <c r="N53"/>
  <c r="N51"/>
  <c r="M46"/>
  <c r="K46"/>
  <c r="K17"/>
  <c r="L51"/>
  <c r="L53"/>
  <c r="J53"/>
  <c r="I46"/>
  <c r="J51"/>
  <c r="I17"/>
  <c r="H51"/>
  <c r="G46"/>
  <c r="H46"/>
  <c r="H53"/>
  <c r="F53"/>
  <c r="E46"/>
  <c r="F46"/>
  <c r="F51"/>
  <c r="D51"/>
  <c r="C46"/>
  <c r="D46"/>
  <c r="D53"/>
  <c r="M46" i="21"/>
  <c r="N53"/>
  <c r="N51"/>
  <c r="L51"/>
  <c r="K46"/>
  <c r="K17"/>
  <c r="L53"/>
  <c r="J51"/>
  <c r="J53"/>
  <c r="I46"/>
  <c r="I17"/>
  <c r="H53"/>
  <c r="H51"/>
  <c r="G46"/>
  <c r="H46"/>
  <c r="F51"/>
  <c r="E46"/>
  <c r="F53"/>
  <c r="D51"/>
  <c r="D53"/>
  <c r="C46"/>
  <c r="N53" i="20"/>
  <c r="N51"/>
  <c r="M17"/>
  <c r="N45"/>
  <c r="M46"/>
  <c r="L51"/>
  <c r="L53"/>
  <c r="L45"/>
  <c r="K46"/>
  <c r="J51"/>
  <c r="I46"/>
  <c r="J53"/>
  <c r="J45"/>
  <c r="H45"/>
  <c r="H53"/>
  <c r="G46"/>
  <c r="H46"/>
  <c r="H51"/>
  <c r="F43"/>
  <c r="F53"/>
  <c r="E46"/>
  <c r="F46"/>
  <c r="F51"/>
  <c r="F45"/>
  <c r="D45"/>
  <c r="C46"/>
  <c r="D46"/>
  <c r="D51"/>
  <c r="C17"/>
  <c r="D53"/>
  <c r="N142" i="26"/>
  <c r="N75"/>
  <c r="N71"/>
  <c r="N70"/>
  <c r="N69"/>
  <c r="N115"/>
  <c r="N66"/>
  <c r="N74"/>
  <c r="N73"/>
  <c r="N142" i="23"/>
  <c r="N115"/>
  <c r="N75"/>
  <c r="N55" i="21"/>
  <c r="N75"/>
  <c r="N71"/>
  <c r="N74"/>
  <c r="N70"/>
  <c r="N69"/>
  <c r="N115"/>
  <c r="N66"/>
  <c r="K145" i="8"/>
  <c r="L142" i="26"/>
  <c r="L17"/>
  <c r="L115"/>
  <c r="L75"/>
  <c r="L74"/>
  <c r="L73"/>
  <c r="L71"/>
  <c r="L70"/>
  <c r="L69"/>
  <c r="L66"/>
  <c r="L142" i="23"/>
  <c r="L75"/>
  <c r="L115"/>
  <c r="L55" i="21"/>
  <c r="L115"/>
  <c r="L75"/>
  <c r="L74"/>
  <c r="L71"/>
  <c r="L70"/>
  <c r="L69"/>
  <c r="L66"/>
  <c r="J17" i="26"/>
  <c r="J142"/>
  <c r="J17" i="23"/>
  <c r="J142"/>
  <c r="J115"/>
  <c r="J75"/>
  <c r="J55" i="21"/>
  <c r="J69"/>
  <c r="J71"/>
  <c r="J66"/>
  <c r="J74"/>
  <c r="J70"/>
  <c r="J75"/>
  <c r="J115"/>
  <c r="H17" i="26"/>
  <c r="H142"/>
  <c r="H73"/>
  <c r="H69"/>
  <c r="H74"/>
  <c r="H70"/>
  <c r="H75"/>
  <c r="H71"/>
  <c r="H115"/>
  <c r="H66"/>
  <c r="H142" i="23"/>
  <c r="H115"/>
  <c r="H75"/>
  <c r="H55" i="21"/>
  <c r="H75"/>
  <c r="H71"/>
  <c r="H69"/>
  <c r="H115"/>
  <c r="H74"/>
  <c r="H70"/>
  <c r="H66"/>
  <c r="E145" i="8"/>
  <c r="E111" i="18"/>
  <c r="F142" i="23"/>
  <c r="F75"/>
  <c r="F115"/>
  <c r="F55" i="21"/>
  <c r="F66"/>
  <c r="F74"/>
  <c r="F115"/>
  <c r="F69"/>
  <c r="F75"/>
  <c r="F71"/>
  <c r="F70"/>
  <c r="D142" i="23"/>
  <c r="D115"/>
  <c r="D75"/>
  <c r="D55" i="21"/>
  <c r="D142"/>
  <c r="D74"/>
  <c r="D66"/>
  <c r="D115"/>
  <c r="D75"/>
  <c r="D71"/>
  <c r="D70"/>
  <c r="D69"/>
  <c r="N142" i="24"/>
  <c r="N17"/>
  <c r="N75"/>
  <c r="N73"/>
  <c r="N71"/>
  <c r="N69"/>
  <c r="N115"/>
  <c r="N74"/>
  <c r="N70"/>
  <c r="N66"/>
  <c r="L142"/>
  <c r="L17"/>
  <c r="L75"/>
  <c r="L74"/>
  <c r="L73"/>
  <c r="L71"/>
  <c r="L70"/>
  <c r="L69"/>
  <c r="L66"/>
  <c r="L115"/>
  <c r="J142"/>
  <c r="J17"/>
  <c r="J74"/>
  <c r="J70"/>
  <c r="J66"/>
  <c r="J115"/>
  <c r="J75"/>
  <c r="J73"/>
  <c r="J71"/>
  <c r="J69"/>
  <c r="H17"/>
  <c r="H142"/>
  <c r="H75"/>
  <c r="H74"/>
  <c r="H73"/>
  <c r="H71"/>
  <c r="H70"/>
  <c r="H69"/>
  <c r="H66"/>
  <c r="H115"/>
  <c r="N142" i="25"/>
  <c r="N74"/>
  <c r="N70"/>
  <c r="N66"/>
  <c r="N115"/>
  <c r="N75"/>
  <c r="N73"/>
  <c r="N71"/>
  <c r="N69"/>
  <c r="L142"/>
  <c r="L115"/>
  <c r="L75"/>
  <c r="L74"/>
  <c r="L73"/>
  <c r="L71"/>
  <c r="L70"/>
  <c r="L69"/>
  <c r="L66"/>
  <c r="J142"/>
  <c r="J74"/>
  <c r="J70"/>
  <c r="J66"/>
  <c r="J115"/>
  <c r="J75"/>
  <c r="J73"/>
  <c r="J71"/>
  <c r="J69"/>
  <c r="H142"/>
  <c r="H115"/>
  <c r="F142"/>
  <c r="F74"/>
  <c r="F70"/>
  <c r="F66"/>
  <c r="F115"/>
  <c r="F75"/>
  <c r="F73"/>
  <c r="F71"/>
  <c r="F69"/>
  <c r="D142"/>
  <c r="D115"/>
  <c r="D75"/>
  <c r="D74"/>
  <c r="D73"/>
  <c r="D71"/>
  <c r="D70"/>
  <c r="D69"/>
  <c r="D66"/>
  <c r="N142" i="20"/>
  <c r="N115"/>
  <c r="N74"/>
  <c r="N70"/>
  <c r="N67"/>
  <c r="N75"/>
  <c r="N71"/>
  <c r="N69"/>
  <c r="N66"/>
  <c r="L142"/>
  <c r="L75"/>
  <c r="L74"/>
  <c r="L71"/>
  <c r="L70"/>
  <c r="L69"/>
  <c r="L67"/>
  <c r="L66"/>
  <c r="L115"/>
  <c r="J142"/>
  <c r="J115"/>
  <c r="J74"/>
  <c r="J70"/>
  <c r="J67"/>
  <c r="J75"/>
  <c r="J71"/>
  <c r="J69"/>
  <c r="J66"/>
  <c r="H142"/>
  <c r="H75"/>
  <c r="H74"/>
  <c r="H71"/>
  <c r="H70"/>
  <c r="H69"/>
  <c r="H67"/>
  <c r="H66"/>
  <c r="H115"/>
  <c r="F142"/>
  <c r="F115"/>
  <c r="F74"/>
  <c r="F70"/>
  <c r="F67"/>
  <c r="F75"/>
  <c r="F71"/>
  <c r="F69"/>
  <c r="F66"/>
  <c r="D142"/>
  <c r="D115"/>
  <c r="D75"/>
  <c r="D74"/>
  <c r="D71"/>
  <c r="D70"/>
  <c r="D69"/>
  <c r="D67"/>
  <c r="D66"/>
  <c r="J115" i="26"/>
  <c r="J75"/>
  <c r="J74"/>
  <c r="J73"/>
  <c r="J71"/>
  <c r="J70"/>
  <c r="J69"/>
  <c r="J66"/>
  <c r="I21"/>
  <c r="J21" s="1"/>
  <c r="J84"/>
  <c r="J79"/>
  <c r="J87"/>
  <c r="J78"/>
  <c r="J82"/>
  <c r="J86"/>
  <c r="J90"/>
  <c r="J77"/>
  <c r="J81"/>
  <c r="J85"/>
  <c r="J89"/>
  <c r="J80"/>
  <c r="J88"/>
  <c r="J83"/>
  <c r="J55"/>
  <c r="H55"/>
  <c r="L55" i="24"/>
  <c r="K21"/>
  <c r="J55"/>
  <c r="H55"/>
  <c r="M21" i="26"/>
  <c r="N82"/>
  <c r="N90"/>
  <c r="N77"/>
  <c r="N81"/>
  <c r="N85"/>
  <c r="N80"/>
  <c r="N84"/>
  <c r="N88"/>
  <c r="N79"/>
  <c r="N83"/>
  <c r="N87"/>
  <c r="N78"/>
  <c r="N86"/>
  <c r="N89"/>
  <c r="N55"/>
  <c r="K21"/>
  <c r="L83"/>
  <c r="L81"/>
  <c r="L78"/>
  <c r="L82"/>
  <c r="L86"/>
  <c r="L90"/>
  <c r="L77"/>
  <c r="L89"/>
  <c r="L80"/>
  <c r="L84"/>
  <c r="L88"/>
  <c r="L79"/>
  <c r="L87"/>
  <c r="L85"/>
  <c r="L55"/>
  <c r="M21" i="24"/>
  <c r="N55"/>
  <c r="N55" i="25"/>
  <c r="K21"/>
  <c r="L21" s="1"/>
  <c r="L55"/>
  <c r="I21"/>
  <c r="J21" s="1"/>
  <c r="J55"/>
  <c r="H55"/>
  <c r="F55"/>
  <c r="D21"/>
  <c r="D55"/>
  <c r="N55" i="23"/>
  <c r="K21"/>
  <c r="L55"/>
  <c r="I21"/>
  <c r="J21"/>
  <c r="J55"/>
  <c r="H55"/>
  <c r="F21"/>
  <c r="F55"/>
  <c r="D55"/>
  <c r="D21"/>
  <c r="K21" i="21"/>
  <c r="L21"/>
  <c r="I21"/>
  <c r="J21"/>
  <c r="F21"/>
  <c r="D21"/>
  <c r="M21" i="20"/>
  <c r="N55"/>
  <c r="L55"/>
  <c r="J55"/>
  <c r="H21"/>
  <c r="H55"/>
  <c r="F21"/>
  <c r="F55"/>
  <c r="C21"/>
  <c r="D21"/>
  <c r="D55"/>
  <c r="F43" i="23"/>
  <c r="J43"/>
  <c r="N43"/>
  <c r="D43"/>
  <c r="D77"/>
  <c r="H43"/>
  <c r="L43"/>
  <c r="N32" i="26"/>
  <c r="N56"/>
  <c r="N53"/>
  <c r="L143"/>
  <c r="L56"/>
  <c r="L53"/>
  <c r="J56"/>
  <c r="J53"/>
  <c r="H143"/>
  <c r="H56"/>
  <c r="H53"/>
  <c r="M16" i="24"/>
  <c r="N56"/>
  <c r="L143"/>
  <c r="L56"/>
  <c r="J56"/>
  <c r="H143"/>
  <c r="H56"/>
  <c r="N56" i="25"/>
  <c r="L56"/>
  <c r="J56"/>
  <c r="H64"/>
  <c r="H56"/>
  <c r="F56"/>
  <c r="D59"/>
  <c r="D56"/>
  <c r="N74" i="23"/>
  <c r="N73"/>
  <c r="N71"/>
  <c r="N70"/>
  <c r="N56"/>
  <c r="L84"/>
  <c r="L73"/>
  <c r="L71"/>
  <c r="L56"/>
  <c r="L74"/>
  <c r="L70"/>
  <c r="J74"/>
  <c r="J73"/>
  <c r="J71"/>
  <c r="J70"/>
  <c r="J56"/>
  <c r="H83"/>
  <c r="H73"/>
  <c r="H71"/>
  <c r="H56"/>
  <c r="H74"/>
  <c r="H70"/>
  <c r="F74"/>
  <c r="F73"/>
  <c r="F71"/>
  <c r="F70"/>
  <c r="F56"/>
  <c r="D84"/>
  <c r="D73"/>
  <c r="D71"/>
  <c r="D56"/>
  <c r="D74"/>
  <c r="D70"/>
  <c r="N56" i="20"/>
  <c r="N47"/>
  <c r="L56"/>
  <c r="L47"/>
  <c r="J143"/>
  <c r="J56"/>
  <c r="J47"/>
  <c r="H56"/>
  <c r="H47"/>
  <c r="F56"/>
  <c r="F47"/>
  <c r="D47"/>
  <c r="D56"/>
  <c r="L56" i="21"/>
  <c r="L47"/>
  <c r="D56"/>
  <c r="D47"/>
  <c r="H144"/>
  <c r="H56"/>
  <c r="H47"/>
  <c r="F56"/>
  <c r="F47"/>
  <c r="J143"/>
  <c r="J56"/>
  <c r="J47"/>
  <c r="N56"/>
  <c r="N47"/>
  <c r="D144" i="20"/>
  <c r="F41" i="23"/>
  <c r="N41"/>
  <c r="E16" i="25"/>
  <c r="M16"/>
  <c r="H92" i="26"/>
  <c r="H88"/>
  <c r="H84"/>
  <c r="H57"/>
  <c r="H24"/>
  <c r="H49"/>
  <c r="F21" i="25"/>
  <c r="H65" i="26"/>
  <c r="H80"/>
  <c r="H63"/>
  <c r="H79"/>
  <c r="L144" i="21"/>
  <c r="H45" i="26"/>
  <c r="H61"/>
  <c r="H78"/>
  <c r="H82"/>
  <c r="H86"/>
  <c r="H90"/>
  <c r="H19"/>
  <c r="H22"/>
  <c r="H83"/>
  <c r="H87"/>
  <c r="H91"/>
  <c r="L144" i="20"/>
  <c r="H17" i="25"/>
  <c r="F93"/>
  <c r="N93"/>
  <c r="H41" i="26"/>
  <c r="H43"/>
  <c r="H59"/>
  <c r="H77"/>
  <c r="H81"/>
  <c r="H85"/>
  <c r="H89"/>
  <c r="H93"/>
  <c r="G145" i="8"/>
  <c r="G111" i="18"/>
  <c r="L21" i="20"/>
  <c r="H21" i="21"/>
  <c r="J41" i="23"/>
  <c r="I16" i="25"/>
  <c r="L19"/>
  <c r="D23"/>
  <c r="H28"/>
  <c r="D31"/>
  <c r="L33"/>
  <c r="D38"/>
  <c r="L40"/>
  <c r="L44"/>
  <c r="H52"/>
  <c r="L57"/>
  <c r="D63"/>
  <c r="J93"/>
  <c r="F144"/>
  <c r="N144"/>
  <c r="H93" i="24"/>
  <c r="H144"/>
  <c r="H23" i="26"/>
  <c r="N31"/>
  <c r="J38"/>
  <c r="H44"/>
  <c r="H48"/>
  <c r="H50"/>
  <c r="H52"/>
  <c r="H54"/>
  <c r="H58"/>
  <c r="H60"/>
  <c r="H64"/>
  <c r="L92"/>
  <c r="I145" i="8"/>
  <c r="M145"/>
  <c r="M111" i="18"/>
  <c r="AI137" i="24"/>
  <c r="BG139" i="8"/>
  <c r="D19" i="25"/>
  <c r="H22"/>
  <c r="H30"/>
  <c r="D33"/>
  <c r="D40"/>
  <c r="D44"/>
  <c r="L61"/>
  <c r="L22" i="26"/>
  <c r="L24"/>
  <c r="N30"/>
  <c r="N34"/>
  <c r="L41"/>
  <c r="L43"/>
  <c r="L45"/>
  <c r="L49"/>
  <c r="L57"/>
  <c r="L59"/>
  <c r="L61"/>
  <c r="L63"/>
  <c r="L65"/>
  <c r="L93"/>
  <c r="L144"/>
  <c r="AI137"/>
  <c r="H144" i="20"/>
  <c r="D144" i="21"/>
  <c r="H24" i="25"/>
  <c r="L29"/>
  <c r="H32"/>
  <c r="H39"/>
  <c r="H43"/>
  <c r="L49"/>
  <c r="H60"/>
  <c r="L65"/>
  <c r="J144"/>
  <c r="L93" i="24"/>
  <c r="L144"/>
  <c r="L19" i="26"/>
  <c r="N29"/>
  <c r="N33"/>
  <c r="J40"/>
  <c r="L91"/>
  <c r="AI138" i="20"/>
  <c r="L23" i="25"/>
  <c r="D29"/>
  <c r="L31"/>
  <c r="H34"/>
  <c r="L38"/>
  <c r="H45"/>
  <c r="H48"/>
  <c r="J93" i="24"/>
  <c r="J144"/>
  <c r="L23" i="26"/>
  <c r="N28"/>
  <c r="J39"/>
  <c r="L44"/>
  <c r="L48"/>
  <c r="L50"/>
  <c r="L52"/>
  <c r="L54"/>
  <c r="L58"/>
  <c r="L60"/>
  <c r="L64"/>
  <c r="E12" i="8"/>
  <c r="K12"/>
  <c r="E36"/>
  <c r="E110" i="18"/>
  <c r="E112"/>
  <c r="I36" i="8"/>
  <c r="I110" i="18"/>
  <c r="K36" i="8"/>
  <c r="K110" i="18"/>
  <c r="C12" i="8"/>
  <c r="G12"/>
  <c r="C36"/>
  <c r="C110" i="18"/>
  <c r="C112"/>
  <c r="G36" i="8"/>
  <c r="G110" i="18"/>
  <c r="G112"/>
  <c r="M36" i="8"/>
  <c r="M110" i="18"/>
  <c r="I16" i="8"/>
  <c r="M16"/>
  <c r="L21" i="26"/>
  <c r="J92"/>
  <c r="J91"/>
  <c r="J65"/>
  <c r="J64"/>
  <c r="J63"/>
  <c r="J61"/>
  <c r="J60"/>
  <c r="J59"/>
  <c r="J58"/>
  <c r="J57"/>
  <c r="J54"/>
  <c r="J52"/>
  <c r="J50"/>
  <c r="J49"/>
  <c r="J48"/>
  <c r="J45"/>
  <c r="J44"/>
  <c r="J43"/>
  <c r="J24"/>
  <c r="J23"/>
  <c r="J22"/>
  <c r="J19"/>
  <c r="I16"/>
  <c r="J144"/>
  <c r="J143"/>
  <c r="J141"/>
  <c r="J140"/>
  <c r="J139"/>
  <c r="J138"/>
  <c r="J137"/>
  <c r="N92"/>
  <c r="N91"/>
  <c r="N65"/>
  <c r="N64"/>
  <c r="N63"/>
  <c r="N61"/>
  <c r="N60"/>
  <c r="N59"/>
  <c r="N58"/>
  <c r="N57"/>
  <c r="N54"/>
  <c r="N52"/>
  <c r="N50"/>
  <c r="N49"/>
  <c r="N48"/>
  <c r="N45"/>
  <c r="N44"/>
  <c r="N43"/>
  <c r="N24"/>
  <c r="N23"/>
  <c r="N22"/>
  <c r="N19"/>
  <c r="M16"/>
  <c r="N144"/>
  <c r="N143"/>
  <c r="N141"/>
  <c r="N140"/>
  <c r="N139"/>
  <c r="N138"/>
  <c r="N137"/>
  <c r="N136"/>
  <c r="N21"/>
  <c r="J28"/>
  <c r="J29"/>
  <c r="J30"/>
  <c r="J31"/>
  <c r="J32"/>
  <c r="J33"/>
  <c r="J34"/>
  <c r="N38"/>
  <c r="N39"/>
  <c r="N40"/>
  <c r="J41"/>
  <c r="N41"/>
  <c r="J93"/>
  <c r="N93"/>
  <c r="J136"/>
  <c r="G16"/>
  <c r="K16"/>
  <c r="H28"/>
  <c r="L28"/>
  <c r="H29"/>
  <c r="L29"/>
  <c r="H30"/>
  <c r="L30"/>
  <c r="H31"/>
  <c r="L31"/>
  <c r="H32"/>
  <c r="L32"/>
  <c r="H33"/>
  <c r="L33"/>
  <c r="H34"/>
  <c r="L34"/>
  <c r="H38"/>
  <c r="L38"/>
  <c r="H39"/>
  <c r="L39"/>
  <c r="H40"/>
  <c r="L40"/>
  <c r="H136"/>
  <c r="L136"/>
  <c r="H137"/>
  <c r="L137"/>
  <c r="H138"/>
  <c r="L138"/>
  <c r="H139"/>
  <c r="L139"/>
  <c r="H140"/>
  <c r="L140"/>
  <c r="H141"/>
  <c r="L141"/>
  <c r="J19" i="24"/>
  <c r="J22"/>
  <c r="H23"/>
  <c r="L23"/>
  <c r="J24"/>
  <c r="J28"/>
  <c r="H29"/>
  <c r="L29"/>
  <c r="J30"/>
  <c r="H31"/>
  <c r="L31"/>
  <c r="J32"/>
  <c r="H33"/>
  <c r="L33"/>
  <c r="J34"/>
  <c r="J38"/>
  <c r="H39"/>
  <c r="L39"/>
  <c r="J40"/>
  <c r="H43"/>
  <c r="L43"/>
  <c r="J44"/>
  <c r="H45"/>
  <c r="L45"/>
  <c r="J48"/>
  <c r="H49"/>
  <c r="L49"/>
  <c r="J50"/>
  <c r="J52"/>
  <c r="J54"/>
  <c r="H57"/>
  <c r="L57"/>
  <c r="J58"/>
  <c r="H59"/>
  <c r="L59"/>
  <c r="J60"/>
  <c r="H61"/>
  <c r="L61"/>
  <c r="H63"/>
  <c r="L63"/>
  <c r="J64"/>
  <c r="H65"/>
  <c r="L65"/>
  <c r="H77"/>
  <c r="L77"/>
  <c r="J78"/>
  <c r="H79"/>
  <c r="L79"/>
  <c r="J80"/>
  <c r="H81"/>
  <c r="L81"/>
  <c r="J82"/>
  <c r="H83"/>
  <c r="L83"/>
  <c r="J84"/>
  <c r="H85"/>
  <c r="L85"/>
  <c r="J86"/>
  <c r="H87"/>
  <c r="L87"/>
  <c r="H89"/>
  <c r="L89"/>
  <c r="J90"/>
  <c r="H91"/>
  <c r="L91"/>
  <c r="J92"/>
  <c r="H136"/>
  <c r="L136"/>
  <c r="J137"/>
  <c r="H138"/>
  <c r="L138"/>
  <c r="J139"/>
  <c r="H140"/>
  <c r="L140"/>
  <c r="J141"/>
  <c r="J143"/>
  <c r="G16"/>
  <c r="I16"/>
  <c r="K16"/>
  <c r="H19"/>
  <c r="L19"/>
  <c r="L21"/>
  <c r="H22"/>
  <c r="L22"/>
  <c r="J23"/>
  <c r="H24"/>
  <c r="L24"/>
  <c r="H28"/>
  <c r="L28"/>
  <c r="J29"/>
  <c r="H30"/>
  <c r="L30"/>
  <c r="J31"/>
  <c r="H32"/>
  <c r="L32"/>
  <c r="J33"/>
  <c r="H34"/>
  <c r="L34"/>
  <c r="H38"/>
  <c r="L38"/>
  <c r="J39"/>
  <c r="H40"/>
  <c r="L40"/>
  <c r="H41"/>
  <c r="J41"/>
  <c r="L41"/>
  <c r="J43"/>
  <c r="H44"/>
  <c r="L44"/>
  <c r="J45"/>
  <c r="H48"/>
  <c r="L48"/>
  <c r="J49"/>
  <c r="H50"/>
  <c r="L50"/>
  <c r="H52"/>
  <c r="L52"/>
  <c r="H54"/>
  <c r="L54"/>
  <c r="J57"/>
  <c r="H58"/>
  <c r="L58"/>
  <c r="J59"/>
  <c r="H60"/>
  <c r="L60"/>
  <c r="J61"/>
  <c r="J63"/>
  <c r="H64"/>
  <c r="L64"/>
  <c r="J65"/>
  <c r="J77"/>
  <c r="H78"/>
  <c r="L78"/>
  <c r="J79"/>
  <c r="H80"/>
  <c r="L80"/>
  <c r="J81"/>
  <c r="H82"/>
  <c r="L82"/>
  <c r="J83"/>
  <c r="H84"/>
  <c r="L84"/>
  <c r="J85"/>
  <c r="H86"/>
  <c r="L86"/>
  <c r="J87"/>
  <c r="J89"/>
  <c r="H90"/>
  <c r="L90"/>
  <c r="J91"/>
  <c r="H92"/>
  <c r="L92"/>
  <c r="J136"/>
  <c r="H137"/>
  <c r="L137"/>
  <c r="J138"/>
  <c r="H139"/>
  <c r="L139"/>
  <c r="J140"/>
  <c r="H141"/>
  <c r="L141"/>
  <c r="F41" i="25"/>
  <c r="J41"/>
  <c r="N41"/>
  <c r="F42"/>
  <c r="J42"/>
  <c r="N42"/>
  <c r="D143"/>
  <c r="D141"/>
  <c r="D140"/>
  <c r="D139"/>
  <c r="D138"/>
  <c r="D137"/>
  <c r="D136"/>
  <c r="D90"/>
  <c r="D86"/>
  <c r="D84"/>
  <c r="D82"/>
  <c r="D80"/>
  <c r="D78"/>
  <c r="D64"/>
  <c r="D60"/>
  <c r="D58"/>
  <c r="D54"/>
  <c r="D52"/>
  <c r="D50"/>
  <c r="D48"/>
  <c r="D92"/>
  <c r="D89"/>
  <c r="D87"/>
  <c r="D85"/>
  <c r="D83"/>
  <c r="D81"/>
  <c r="D79"/>
  <c r="D77"/>
  <c r="H143"/>
  <c r="H141"/>
  <c r="H140"/>
  <c r="H139"/>
  <c r="H138"/>
  <c r="H137"/>
  <c r="H136"/>
  <c r="H92"/>
  <c r="H89"/>
  <c r="H87"/>
  <c r="H85"/>
  <c r="H83"/>
  <c r="H81"/>
  <c r="H79"/>
  <c r="H77"/>
  <c r="H65"/>
  <c r="H63"/>
  <c r="H61"/>
  <c r="H59"/>
  <c r="H57"/>
  <c r="H49"/>
  <c r="H90"/>
  <c r="H86"/>
  <c r="H84"/>
  <c r="H82"/>
  <c r="H80"/>
  <c r="H78"/>
  <c r="L143"/>
  <c r="L141"/>
  <c r="L140"/>
  <c r="L139"/>
  <c r="L138"/>
  <c r="L137"/>
  <c r="L136"/>
  <c r="L90"/>
  <c r="L86"/>
  <c r="L84"/>
  <c r="L82"/>
  <c r="L80"/>
  <c r="L78"/>
  <c r="L64"/>
  <c r="L60"/>
  <c r="L58"/>
  <c r="L54"/>
  <c r="L52"/>
  <c r="L50"/>
  <c r="L48"/>
  <c r="L92"/>
  <c r="L89"/>
  <c r="L87"/>
  <c r="L85"/>
  <c r="L83"/>
  <c r="L81"/>
  <c r="L79"/>
  <c r="L77"/>
  <c r="D41"/>
  <c r="H41"/>
  <c r="L41"/>
  <c r="C16"/>
  <c r="G16"/>
  <c r="K16"/>
  <c r="D17"/>
  <c r="L17"/>
  <c r="H19"/>
  <c r="D22"/>
  <c r="L22"/>
  <c r="H23"/>
  <c r="D24"/>
  <c r="L24"/>
  <c r="D28"/>
  <c r="L28"/>
  <c r="H29"/>
  <c r="D30"/>
  <c r="L30"/>
  <c r="H31"/>
  <c r="D32"/>
  <c r="L32"/>
  <c r="H33"/>
  <c r="D34"/>
  <c r="L34"/>
  <c r="H38"/>
  <c r="D39"/>
  <c r="L39"/>
  <c r="H40"/>
  <c r="D43"/>
  <c r="L43"/>
  <c r="H44"/>
  <c r="D45"/>
  <c r="L45"/>
  <c r="D49"/>
  <c r="H50"/>
  <c r="H54"/>
  <c r="D57"/>
  <c r="H58"/>
  <c r="L59"/>
  <c r="D61"/>
  <c r="L63"/>
  <c r="D65"/>
  <c r="F143"/>
  <c r="F141"/>
  <c r="F140"/>
  <c r="F139"/>
  <c r="F138"/>
  <c r="F137"/>
  <c r="F136"/>
  <c r="F92"/>
  <c r="F90"/>
  <c r="F89"/>
  <c r="F87"/>
  <c r="F86"/>
  <c r="F85"/>
  <c r="F84"/>
  <c r="F83"/>
  <c r="F82"/>
  <c r="F81"/>
  <c r="F80"/>
  <c r="F79"/>
  <c r="F78"/>
  <c r="F77"/>
  <c r="F65"/>
  <c r="F64"/>
  <c r="F63"/>
  <c r="F61"/>
  <c r="F60"/>
  <c r="F59"/>
  <c r="F58"/>
  <c r="F57"/>
  <c r="F54"/>
  <c r="F52"/>
  <c r="F50"/>
  <c r="F49"/>
  <c r="F48"/>
  <c r="J143"/>
  <c r="J141"/>
  <c r="J140"/>
  <c r="J139"/>
  <c r="J138"/>
  <c r="J137"/>
  <c r="J136"/>
  <c r="J92"/>
  <c r="J90"/>
  <c r="J89"/>
  <c r="J87"/>
  <c r="J86"/>
  <c r="J85"/>
  <c r="J84"/>
  <c r="J83"/>
  <c r="J82"/>
  <c r="J81"/>
  <c r="J80"/>
  <c r="J79"/>
  <c r="J78"/>
  <c r="J77"/>
  <c r="J65"/>
  <c r="J64"/>
  <c r="J63"/>
  <c r="J61"/>
  <c r="J60"/>
  <c r="J59"/>
  <c r="J58"/>
  <c r="J57"/>
  <c r="J54"/>
  <c r="J52"/>
  <c r="J50"/>
  <c r="J49"/>
  <c r="J48"/>
  <c r="N143"/>
  <c r="N141"/>
  <c r="N140"/>
  <c r="N139"/>
  <c r="N138"/>
  <c r="N137"/>
  <c r="N136"/>
  <c r="N92"/>
  <c r="N90"/>
  <c r="N89"/>
  <c r="N87"/>
  <c r="N86"/>
  <c r="N85"/>
  <c r="N84"/>
  <c r="N83"/>
  <c r="N82"/>
  <c r="N81"/>
  <c r="N80"/>
  <c r="N79"/>
  <c r="N78"/>
  <c r="N77"/>
  <c r="N65"/>
  <c r="N64"/>
  <c r="N63"/>
  <c r="N61"/>
  <c r="N60"/>
  <c r="N59"/>
  <c r="N58"/>
  <c r="N57"/>
  <c r="N54"/>
  <c r="N52"/>
  <c r="N50"/>
  <c r="N49"/>
  <c r="N48"/>
  <c r="F17"/>
  <c r="J17"/>
  <c r="F19"/>
  <c r="J19"/>
  <c r="N19"/>
  <c r="F22"/>
  <c r="J22"/>
  <c r="N22"/>
  <c r="F23"/>
  <c r="J23"/>
  <c r="N23"/>
  <c r="F24"/>
  <c r="J24"/>
  <c r="N24"/>
  <c r="F28"/>
  <c r="J28"/>
  <c r="N28"/>
  <c r="F29"/>
  <c r="J29"/>
  <c r="N29"/>
  <c r="F30"/>
  <c r="J30"/>
  <c r="N30"/>
  <c r="F31"/>
  <c r="J31"/>
  <c r="N31"/>
  <c r="F32"/>
  <c r="J32"/>
  <c r="N32"/>
  <c r="F33"/>
  <c r="J33"/>
  <c r="N33"/>
  <c r="F34"/>
  <c r="J34"/>
  <c r="N34"/>
  <c r="F38"/>
  <c r="J38"/>
  <c r="N38"/>
  <c r="F39"/>
  <c r="J39"/>
  <c r="N39"/>
  <c r="F40"/>
  <c r="J40"/>
  <c r="N40"/>
  <c r="F43"/>
  <c r="J43"/>
  <c r="N43"/>
  <c r="F44"/>
  <c r="J44"/>
  <c r="N44"/>
  <c r="F45"/>
  <c r="J45"/>
  <c r="N45"/>
  <c r="D93"/>
  <c r="H93"/>
  <c r="L93"/>
  <c r="D144"/>
  <c r="H144"/>
  <c r="L144"/>
  <c r="F143" i="23"/>
  <c r="F141"/>
  <c r="F140"/>
  <c r="F139"/>
  <c r="F138"/>
  <c r="F137"/>
  <c r="F136"/>
  <c r="F92"/>
  <c r="F91"/>
  <c r="F90"/>
  <c r="F89"/>
  <c r="F87"/>
  <c r="F86"/>
  <c r="F85"/>
  <c r="F84"/>
  <c r="F83"/>
  <c r="F82"/>
  <c r="F81"/>
  <c r="F80"/>
  <c r="F79"/>
  <c r="F78"/>
  <c r="F77"/>
  <c r="F69"/>
  <c r="F66"/>
  <c r="F65"/>
  <c r="F64"/>
  <c r="F63"/>
  <c r="F61"/>
  <c r="F60"/>
  <c r="F59"/>
  <c r="F58"/>
  <c r="F57"/>
  <c r="F54"/>
  <c r="F52"/>
  <c r="F50"/>
  <c r="F49"/>
  <c r="J143"/>
  <c r="J141"/>
  <c r="J140"/>
  <c r="J139"/>
  <c r="J138"/>
  <c r="J137"/>
  <c r="J136"/>
  <c r="J92"/>
  <c r="J91"/>
  <c r="J90"/>
  <c r="J89"/>
  <c r="J87"/>
  <c r="J86"/>
  <c r="J85"/>
  <c r="J84"/>
  <c r="J83"/>
  <c r="J82"/>
  <c r="J81"/>
  <c r="J80"/>
  <c r="J79"/>
  <c r="J78"/>
  <c r="J77"/>
  <c r="J69"/>
  <c r="J66"/>
  <c r="J65"/>
  <c r="J64"/>
  <c r="J63"/>
  <c r="J61"/>
  <c r="J60"/>
  <c r="J59"/>
  <c r="J58"/>
  <c r="J57"/>
  <c r="J54"/>
  <c r="J52"/>
  <c r="J50"/>
  <c r="J49"/>
  <c r="N143"/>
  <c r="N141"/>
  <c r="N140"/>
  <c r="N139"/>
  <c r="N138"/>
  <c r="N137"/>
  <c r="N136"/>
  <c r="N92"/>
  <c r="N91"/>
  <c r="N90"/>
  <c r="N89"/>
  <c r="N87"/>
  <c r="N86"/>
  <c r="N85"/>
  <c r="N84"/>
  <c r="N83"/>
  <c r="N82"/>
  <c r="N81"/>
  <c r="N80"/>
  <c r="N79"/>
  <c r="N78"/>
  <c r="N77"/>
  <c r="N69"/>
  <c r="N66"/>
  <c r="N65"/>
  <c r="N64"/>
  <c r="N63"/>
  <c r="N61"/>
  <c r="N60"/>
  <c r="N59"/>
  <c r="N58"/>
  <c r="N57"/>
  <c r="N54"/>
  <c r="N52"/>
  <c r="N50"/>
  <c r="N49"/>
  <c r="N48"/>
  <c r="E16"/>
  <c r="I16"/>
  <c r="M16"/>
  <c r="F17"/>
  <c r="N17"/>
  <c r="F19"/>
  <c r="J19"/>
  <c r="N19"/>
  <c r="H21"/>
  <c r="L21"/>
  <c r="F22"/>
  <c r="J22"/>
  <c r="N22"/>
  <c r="F23"/>
  <c r="J23"/>
  <c r="N23"/>
  <c r="F24"/>
  <c r="J24"/>
  <c r="N24"/>
  <c r="F28"/>
  <c r="J28"/>
  <c r="N28"/>
  <c r="F29"/>
  <c r="J29"/>
  <c r="N29"/>
  <c r="F30"/>
  <c r="J30"/>
  <c r="N30"/>
  <c r="F31"/>
  <c r="J31"/>
  <c r="N31"/>
  <c r="F32"/>
  <c r="J32"/>
  <c r="N32"/>
  <c r="F33"/>
  <c r="J33"/>
  <c r="N33"/>
  <c r="F34"/>
  <c r="J34"/>
  <c r="N34"/>
  <c r="F38"/>
  <c r="J38"/>
  <c r="N38"/>
  <c r="F39"/>
  <c r="J39"/>
  <c r="N39"/>
  <c r="F40"/>
  <c r="J40"/>
  <c r="N40"/>
  <c r="D41"/>
  <c r="H41"/>
  <c r="L41"/>
  <c r="D44"/>
  <c r="H44"/>
  <c r="L44"/>
  <c r="D45"/>
  <c r="H45"/>
  <c r="L45"/>
  <c r="D47"/>
  <c r="H47"/>
  <c r="L47"/>
  <c r="D48"/>
  <c r="H48"/>
  <c r="L48"/>
  <c r="H49"/>
  <c r="D50"/>
  <c r="L50"/>
  <c r="D52"/>
  <c r="L52"/>
  <c r="D54"/>
  <c r="L54"/>
  <c r="H57"/>
  <c r="D58"/>
  <c r="L58"/>
  <c r="H59"/>
  <c r="D60"/>
  <c r="L60"/>
  <c r="H61"/>
  <c r="H63"/>
  <c r="D64"/>
  <c r="L64"/>
  <c r="H65"/>
  <c r="D66"/>
  <c r="L66"/>
  <c r="D69"/>
  <c r="L69"/>
  <c r="H77"/>
  <c r="D78"/>
  <c r="L78"/>
  <c r="H79"/>
  <c r="D80"/>
  <c r="L80"/>
  <c r="H81"/>
  <c r="D82"/>
  <c r="L82"/>
  <c r="F93"/>
  <c r="J93"/>
  <c r="N93"/>
  <c r="F144"/>
  <c r="J144"/>
  <c r="N144"/>
  <c r="D143"/>
  <c r="D141"/>
  <c r="D140"/>
  <c r="D139"/>
  <c r="D138"/>
  <c r="D137"/>
  <c r="D136"/>
  <c r="D92"/>
  <c r="D91"/>
  <c r="D90"/>
  <c r="D89"/>
  <c r="D87"/>
  <c r="D86"/>
  <c r="D85"/>
  <c r="H143"/>
  <c r="H141"/>
  <c r="H140"/>
  <c r="H139"/>
  <c r="H138"/>
  <c r="H137"/>
  <c r="H136"/>
  <c r="H92"/>
  <c r="H91"/>
  <c r="H90"/>
  <c r="H89"/>
  <c r="H87"/>
  <c r="H86"/>
  <c r="H85"/>
  <c r="L143"/>
  <c r="L141"/>
  <c r="L140"/>
  <c r="L139"/>
  <c r="L138"/>
  <c r="L137"/>
  <c r="L136"/>
  <c r="L92"/>
  <c r="L91"/>
  <c r="L90"/>
  <c r="L89"/>
  <c r="L87"/>
  <c r="L86"/>
  <c r="L85"/>
  <c r="C16"/>
  <c r="G16"/>
  <c r="K16"/>
  <c r="D17"/>
  <c r="H17"/>
  <c r="L17"/>
  <c r="D19"/>
  <c r="H19"/>
  <c r="L19"/>
  <c r="D22"/>
  <c r="H22"/>
  <c r="L22"/>
  <c r="D23"/>
  <c r="H23"/>
  <c r="L23"/>
  <c r="D24"/>
  <c r="H24"/>
  <c r="L24"/>
  <c r="D28"/>
  <c r="H28"/>
  <c r="L28"/>
  <c r="D29"/>
  <c r="H29"/>
  <c r="L29"/>
  <c r="D30"/>
  <c r="H30"/>
  <c r="L30"/>
  <c r="D31"/>
  <c r="H31"/>
  <c r="L31"/>
  <c r="D32"/>
  <c r="H32"/>
  <c r="L32"/>
  <c r="D33"/>
  <c r="H33"/>
  <c r="L33"/>
  <c r="D34"/>
  <c r="H34"/>
  <c r="L34"/>
  <c r="D38"/>
  <c r="H38"/>
  <c r="L38"/>
  <c r="D39"/>
  <c r="H39"/>
  <c r="L39"/>
  <c r="D40"/>
  <c r="H40"/>
  <c r="L40"/>
  <c r="F44"/>
  <c r="J44"/>
  <c r="N44"/>
  <c r="F45"/>
  <c r="J45"/>
  <c r="N45"/>
  <c r="F47"/>
  <c r="J47"/>
  <c r="N47"/>
  <c r="F48"/>
  <c r="J48"/>
  <c r="D49"/>
  <c r="L49"/>
  <c r="H50"/>
  <c r="H52"/>
  <c r="H54"/>
  <c r="D57"/>
  <c r="L57"/>
  <c r="H58"/>
  <c r="D59"/>
  <c r="L59"/>
  <c r="H60"/>
  <c r="D61"/>
  <c r="L61"/>
  <c r="D63"/>
  <c r="L63"/>
  <c r="H64"/>
  <c r="D65"/>
  <c r="L65"/>
  <c r="H66"/>
  <c r="H69"/>
  <c r="L77"/>
  <c r="H78"/>
  <c r="D79"/>
  <c r="L79"/>
  <c r="H80"/>
  <c r="D81"/>
  <c r="L81"/>
  <c r="H82"/>
  <c r="D83"/>
  <c r="L83"/>
  <c r="H84"/>
  <c r="D93"/>
  <c r="H93"/>
  <c r="L93"/>
  <c r="D144"/>
  <c r="H144"/>
  <c r="D143" i="21"/>
  <c r="D141"/>
  <c r="D140"/>
  <c r="D139"/>
  <c r="D138"/>
  <c r="D137"/>
  <c r="D136"/>
  <c r="D92"/>
  <c r="D91"/>
  <c r="D90"/>
  <c r="D89"/>
  <c r="D87"/>
  <c r="D86"/>
  <c r="D85"/>
  <c r="D84"/>
  <c r="D83"/>
  <c r="D82"/>
  <c r="D81"/>
  <c r="D80"/>
  <c r="D79"/>
  <c r="D78"/>
  <c r="D77"/>
  <c r="D65"/>
  <c r="D64"/>
  <c r="D63"/>
  <c r="D61"/>
  <c r="D60"/>
  <c r="D59"/>
  <c r="D58"/>
  <c r="D57"/>
  <c r="D54"/>
  <c r="D52"/>
  <c r="D50"/>
  <c r="D49"/>
  <c r="D48"/>
  <c r="D45"/>
  <c r="D44"/>
  <c r="D43"/>
  <c r="D42"/>
  <c r="D40"/>
  <c r="D39"/>
  <c r="H143"/>
  <c r="H141"/>
  <c r="H140"/>
  <c r="H139"/>
  <c r="H138"/>
  <c r="H137"/>
  <c r="H136"/>
  <c r="H92"/>
  <c r="H91"/>
  <c r="H90"/>
  <c r="H89"/>
  <c r="H87"/>
  <c r="H86"/>
  <c r="H85"/>
  <c r="H84"/>
  <c r="H83"/>
  <c r="H82"/>
  <c r="H81"/>
  <c r="H80"/>
  <c r="H79"/>
  <c r="H78"/>
  <c r="H77"/>
  <c r="H65"/>
  <c r="H64"/>
  <c r="H63"/>
  <c r="H61"/>
  <c r="H60"/>
  <c r="H59"/>
  <c r="H58"/>
  <c r="H57"/>
  <c r="H54"/>
  <c r="H52"/>
  <c r="H50"/>
  <c r="H49"/>
  <c r="H48"/>
  <c r="H45"/>
  <c r="H44"/>
  <c r="H43"/>
  <c r="H42"/>
  <c r="H40"/>
  <c r="H39"/>
  <c r="L143"/>
  <c r="L141"/>
  <c r="L140"/>
  <c r="L139"/>
  <c r="L138"/>
  <c r="L137"/>
  <c r="L136"/>
  <c r="L92"/>
  <c r="L91"/>
  <c r="L90"/>
  <c r="L89"/>
  <c r="L87"/>
  <c r="L86"/>
  <c r="L85"/>
  <c r="L84"/>
  <c r="L83"/>
  <c r="L82"/>
  <c r="L81"/>
  <c r="L80"/>
  <c r="L79"/>
  <c r="L78"/>
  <c r="L77"/>
  <c r="L65"/>
  <c r="L64"/>
  <c r="L63"/>
  <c r="L61"/>
  <c r="L60"/>
  <c r="L59"/>
  <c r="L58"/>
  <c r="L57"/>
  <c r="L54"/>
  <c r="L52"/>
  <c r="L50"/>
  <c r="L49"/>
  <c r="L48"/>
  <c r="L45"/>
  <c r="L44"/>
  <c r="L43"/>
  <c r="L42"/>
  <c r="L40"/>
  <c r="L39"/>
  <c r="L38"/>
  <c r="F17"/>
  <c r="J17"/>
  <c r="N17"/>
  <c r="F19"/>
  <c r="J19"/>
  <c r="N19"/>
  <c r="N21"/>
  <c r="F22"/>
  <c r="J22"/>
  <c r="N22"/>
  <c r="F23"/>
  <c r="J23"/>
  <c r="N23"/>
  <c r="F24"/>
  <c r="J24"/>
  <c r="N24"/>
  <c r="F28"/>
  <c r="J28"/>
  <c r="N28"/>
  <c r="F29"/>
  <c r="J29"/>
  <c r="N29"/>
  <c r="F30"/>
  <c r="J30"/>
  <c r="N30"/>
  <c r="F31"/>
  <c r="J31"/>
  <c r="N31"/>
  <c r="F32"/>
  <c r="J32"/>
  <c r="N32"/>
  <c r="F33"/>
  <c r="J33"/>
  <c r="N33"/>
  <c r="F34"/>
  <c r="J34"/>
  <c r="N34"/>
  <c r="F38"/>
  <c r="J38"/>
  <c r="F39"/>
  <c r="N39"/>
  <c r="J40"/>
  <c r="F42"/>
  <c r="N42"/>
  <c r="J43"/>
  <c r="F44"/>
  <c r="N44"/>
  <c r="J45"/>
  <c r="F48"/>
  <c r="N48"/>
  <c r="J49"/>
  <c r="F50"/>
  <c r="N50"/>
  <c r="F52"/>
  <c r="N52"/>
  <c r="F54"/>
  <c r="N54"/>
  <c r="J57"/>
  <c r="F58"/>
  <c r="N58"/>
  <c r="J59"/>
  <c r="F60"/>
  <c r="N60"/>
  <c r="J61"/>
  <c r="J63"/>
  <c r="F64"/>
  <c r="N64"/>
  <c r="J65"/>
  <c r="F77"/>
  <c r="N77"/>
  <c r="J78"/>
  <c r="F79"/>
  <c r="N79"/>
  <c r="J80"/>
  <c r="F81"/>
  <c r="N81"/>
  <c r="J82"/>
  <c r="F83"/>
  <c r="N83"/>
  <c r="J84"/>
  <c r="F85"/>
  <c r="N85"/>
  <c r="J86"/>
  <c r="F87"/>
  <c r="N87"/>
  <c r="F89"/>
  <c r="N89"/>
  <c r="J90"/>
  <c r="F91"/>
  <c r="N91"/>
  <c r="J92"/>
  <c r="J136"/>
  <c r="F137"/>
  <c r="N137"/>
  <c r="J138"/>
  <c r="F139"/>
  <c r="N139"/>
  <c r="J140"/>
  <c r="F141"/>
  <c r="N141"/>
  <c r="F143"/>
  <c r="N143"/>
  <c r="F144"/>
  <c r="J144"/>
  <c r="N144"/>
  <c r="C16"/>
  <c r="E16"/>
  <c r="G16"/>
  <c r="I16"/>
  <c r="K16"/>
  <c r="M16"/>
  <c r="D17"/>
  <c r="H17"/>
  <c r="L17"/>
  <c r="D19"/>
  <c r="H19"/>
  <c r="L19"/>
  <c r="D22"/>
  <c r="H22"/>
  <c r="L22"/>
  <c r="D23"/>
  <c r="H23"/>
  <c r="L23"/>
  <c r="D24"/>
  <c r="H24"/>
  <c r="L24"/>
  <c r="D28"/>
  <c r="H28"/>
  <c r="L28"/>
  <c r="D29"/>
  <c r="H29"/>
  <c r="L29"/>
  <c r="D30"/>
  <c r="H30"/>
  <c r="L30"/>
  <c r="D31"/>
  <c r="H31"/>
  <c r="L31"/>
  <c r="D32"/>
  <c r="H32"/>
  <c r="L32"/>
  <c r="D33"/>
  <c r="H33"/>
  <c r="L33"/>
  <c r="D34"/>
  <c r="H34"/>
  <c r="L34"/>
  <c r="D38"/>
  <c r="H38"/>
  <c r="N38"/>
  <c r="J39"/>
  <c r="F40"/>
  <c r="N40"/>
  <c r="D41"/>
  <c r="F41"/>
  <c r="H41"/>
  <c r="J41"/>
  <c r="L41"/>
  <c r="N41"/>
  <c r="J42"/>
  <c r="F43"/>
  <c r="N43"/>
  <c r="J44"/>
  <c r="F45"/>
  <c r="N45"/>
  <c r="J48"/>
  <c r="F49"/>
  <c r="N49"/>
  <c r="J50"/>
  <c r="J52"/>
  <c r="J54"/>
  <c r="F57"/>
  <c r="N57"/>
  <c r="J58"/>
  <c r="F59"/>
  <c r="N59"/>
  <c r="J60"/>
  <c r="F61"/>
  <c r="N61"/>
  <c r="F63"/>
  <c r="N63"/>
  <c r="J64"/>
  <c r="F65"/>
  <c r="N65"/>
  <c r="J76"/>
  <c r="J77"/>
  <c r="F78"/>
  <c r="N78"/>
  <c r="J79"/>
  <c r="F80"/>
  <c r="N80"/>
  <c r="J81"/>
  <c r="F82"/>
  <c r="N82"/>
  <c r="J83"/>
  <c r="F84"/>
  <c r="N84"/>
  <c r="J85"/>
  <c r="F86"/>
  <c r="N86"/>
  <c r="J87"/>
  <c r="J89"/>
  <c r="F90"/>
  <c r="N90"/>
  <c r="J91"/>
  <c r="F92"/>
  <c r="N92"/>
  <c r="D93"/>
  <c r="F93"/>
  <c r="H93"/>
  <c r="J93"/>
  <c r="L93"/>
  <c r="N93"/>
  <c r="F136"/>
  <c r="N136"/>
  <c r="J137"/>
  <c r="F138"/>
  <c r="N138"/>
  <c r="J139"/>
  <c r="F140"/>
  <c r="N140"/>
  <c r="J141"/>
  <c r="D143" i="20"/>
  <c r="D141"/>
  <c r="D140"/>
  <c r="D139"/>
  <c r="D138"/>
  <c r="D137"/>
  <c r="D136"/>
  <c r="D92"/>
  <c r="D91"/>
  <c r="D89"/>
  <c r="D87"/>
  <c r="D86"/>
  <c r="D85"/>
  <c r="D84"/>
  <c r="D83"/>
  <c r="D82"/>
  <c r="D81"/>
  <c r="D80"/>
  <c r="D79"/>
  <c r="D78"/>
  <c r="D77"/>
  <c r="D65"/>
  <c r="D64"/>
  <c r="D63"/>
  <c r="D61"/>
  <c r="D60"/>
  <c r="D59"/>
  <c r="D58"/>
  <c r="D57"/>
  <c r="D54"/>
  <c r="D52"/>
  <c r="D50"/>
  <c r="D49"/>
  <c r="D48"/>
  <c r="D44"/>
  <c r="D43"/>
  <c r="D42"/>
  <c r="D40"/>
  <c r="D39"/>
  <c r="H143"/>
  <c r="H141"/>
  <c r="H140"/>
  <c r="H139"/>
  <c r="H138"/>
  <c r="H137"/>
  <c r="H136"/>
  <c r="H92"/>
  <c r="H91"/>
  <c r="H90"/>
  <c r="H89"/>
  <c r="H87"/>
  <c r="H86"/>
  <c r="H85"/>
  <c r="H84"/>
  <c r="H83"/>
  <c r="H82"/>
  <c r="H81"/>
  <c r="H80"/>
  <c r="H79"/>
  <c r="H78"/>
  <c r="H77"/>
  <c r="H65"/>
  <c r="H64"/>
  <c r="H63"/>
  <c r="H61"/>
  <c r="H60"/>
  <c r="H59"/>
  <c r="H58"/>
  <c r="H57"/>
  <c r="H54"/>
  <c r="H52"/>
  <c r="H50"/>
  <c r="H49"/>
  <c r="H48"/>
  <c r="H44"/>
  <c r="H43"/>
  <c r="H42"/>
  <c r="H40"/>
  <c r="H39"/>
  <c r="L143"/>
  <c r="L141"/>
  <c r="L140"/>
  <c r="L139"/>
  <c r="L138"/>
  <c r="L137"/>
  <c r="L136"/>
  <c r="L92"/>
  <c r="L91"/>
  <c r="L90"/>
  <c r="L89"/>
  <c r="L87"/>
  <c r="L86"/>
  <c r="L85"/>
  <c r="L84"/>
  <c r="L83"/>
  <c r="L82"/>
  <c r="L81"/>
  <c r="L80"/>
  <c r="L79"/>
  <c r="L78"/>
  <c r="L77"/>
  <c r="L65"/>
  <c r="L64"/>
  <c r="L63"/>
  <c r="L61"/>
  <c r="L60"/>
  <c r="L59"/>
  <c r="L58"/>
  <c r="L57"/>
  <c r="L54"/>
  <c r="L52"/>
  <c r="L50"/>
  <c r="L49"/>
  <c r="L48"/>
  <c r="L44"/>
  <c r="L43"/>
  <c r="L42"/>
  <c r="L40"/>
  <c r="L39"/>
  <c r="L38"/>
  <c r="F17"/>
  <c r="J17"/>
  <c r="N17"/>
  <c r="F19"/>
  <c r="J19"/>
  <c r="N19"/>
  <c r="J21"/>
  <c r="N21"/>
  <c r="F22"/>
  <c r="J22"/>
  <c r="N22"/>
  <c r="F23"/>
  <c r="J23"/>
  <c r="N23"/>
  <c r="F24"/>
  <c r="J24"/>
  <c r="N24"/>
  <c r="F28"/>
  <c r="J28"/>
  <c r="N28"/>
  <c r="F29"/>
  <c r="J29"/>
  <c r="N29"/>
  <c r="F30"/>
  <c r="J30"/>
  <c r="N30"/>
  <c r="F31"/>
  <c r="J31"/>
  <c r="N31"/>
  <c r="F32"/>
  <c r="J32"/>
  <c r="N32"/>
  <c r="F33"/>
  <c r="J33"/>
  <c r="N33"/>
  <c r="F34"/>
  <c r="J34"/>
  <c r="N34"/>
  <c r="F38"/>
  <c r="J38"/>
  <c r="F39"/>
  <c r="N39"/>
  <c r="J40"/>
  <c r="F42"/>
  <c r="N42"/>
  <c r="J43"/>
  <c r="F44"/>
  <c r="N44"/>
  <c r="F48"/>
  <c r="N48"/>
  <c r="J49"/>
  <c r="F50"/>
  <c r="N50"/>
  <c r="F52"/>
  <c r="N52"/>
  <c r="F54"/>
  <c r="N54"/>
  <c r="J57"/>
  <c r="F58"/>
  <c r="N58"/>
  <c r="J59"/>
  <c r="F60"/>
  <c r="N60"/>
  <c r="J61"/>
  <c r="J63"/>
  <c r="F64"/>
  <c r="N64"/>
  <c r="J65"/>
  <c r="F77"/>
  <c r="N77"/>
  <c r="J78"/>
  <c r="F79"/>
  <c r="N79"/>
  <c r="J80"/>
  <c r="F81"/>
  <c r="N81"/>
  <c r="J82"/>
  <c r="F83"/>
  <c r="N83"/>
  <c r="J84"/>
  <c r="F85"/>
  <c r="N85"/>
  <c r="J86"/>
  <c r="F87"/>
  <c r="N87"/>
  <c r="F89"/>
  <c r="N89"/>
  <c r="J90"/>
  <c r="F91"/>
  <c r="N91"/>
  <c r="J92"/>
  <c r="J136"/>
  <c r="F137"/>
  <c r="N137"/>
  <c r="J138"/>
  <c r="F139"/>
  <c r="N139"/>
  <c r="J140"/>
  <c r="F141"/>
  <c r="N141"/>
  <c r="F143"/>
  <c r="N143"/>
  <c r="F144"/>
  <c r="J144"/>
  <c r="N144"/>
  <c r="C16"/>
  <c r="E16"/>
  <c r="G16"/>
  <c r="I16"/>
  <c r="K16"/>
  <c r="M16"/>
  <c r="D17"/>
  <c r="H17"/>
  <c r="L17"/>
  <c r="D19"/>
  <c r="H19"/>
  <c r="L19"/>
  <c r="D22"/>
  <c r="H22"/>
  <c r="L22"/>
  <c r="D23"/>
  <c r="H23"/>
  <c r="L23"/>
  <c r="D24"/>
  <c r="H24"/>
  <c r="L24"/>
  <c r="D28"/>
  <c r="H28"/>
  <c r="L28"/>
  <c r="D29"/>
  <c r="H29"/>
  <c r="L29"/>
  <c r="D30"/>
  <c r="H30"/>
  <c r="L30"/>
  <c r="D31"/>
  <c r="H31"/>
  <c r="L31"/>
  <c r="D32"/>
  <c r="H32"/>
  <c r="L32"/>
  <c r="D33"/>
  <c r="H33"/>
  <c r="L33"/>
  <c r="D34"/>
  <c r="H34"/>
  <c r="L34"/>
  <c r="D38"/>
  <c r="H38"/>
  <c r="N38"/>
  <c r="J39"/>
  <c r="F40"/>
  <c r="N40"/>
  <c r="D41"/>
  <c r="F41"/>
  <c r="H41"/>
  <c r="J41"/>
  <c r="L41"/>
  <c r="N41"/>
  <c r="J42"/>
  <c r="N43"/>
  <c r="J44"/>
  <c r="J48"/>
  <c r="F49"/>
  <c r="N49"/>
  <c r="J50"/>
  <c r="J52"/>
  <c r="J54"/>
  <c r="F57"/>
  <c r="N57"/>
  <c r="J58"/>
  <c r="F59"/>
  <c r="N59"/>
  <c r="J60"/>
  <c r="F61"/>
  <c r="N61"/>
  <c r="F63"/>
  <c r="N63"/>
  <c r="J64"/>
  <c r="F65"/>
  <c r="N65"/>
  <c r="J77"/>
  <c r="F78"/>
  <c r="N78"/>
  <c r="J79"/>
  <c r="F80"/>
  <c r="N80"/>
  <c r="J81"/>
  <c r="F82"/>
  <c r="N82"/>
  <c r="J83"/>
  <c r="F84"/>
  <c r="N84"/>
  <c r="J85"/>
  <c r="F86"/>
  <c r="N86"/>
  <c r="J87"/>
  <c r="J89"/>
  <c r="F90"/>
  <c r="N90"/>
  <c r="J91"/>
  <c r="F92"/>
  <c r="N92"/>
  <c r="D93"/>
  <c r="F93"/>
  <c r="H93"/>
  <c r="J93"/>
  <c r="L93"/>
  <c r="N93"/>
  <c r="F136"/>
  <c r="N136"/>
  <c r="J137"/>
  <c r="F138"/>
  <c r="N138"/>
  <c r="J139"/>
  <c r="F140"/>
  <c r="N140"/>
  <c r="J141"/>
  <c r="L126" i="26"/>
  <c r="K129"/>
  <c r="L129" s="1"/>
  <c r="N126"/>
  <c r="M129"/>
  <c r="N129"/>
  <c r="J126"/>
  <c r="I129"/>
  <c r="J129"/>
  <c r="M82" i="18"/>
  <c r="I82"/>
  <c r="C82"/>
  <c r="N17" i="25"/>
  <c r="E82" i="18"/>
  <c r="J126" i="23"/>
  <c r="I129"/>
  <c r="J129" s="1"/>
  <c r="D126"/>
  <c r="C129"/>
  <c r="D129"/>
  <c r="L126"/>
  <c r="K129"/>
  <c r="L129"/>
  <c r="N126"/>
  <c r="M129"/>
  <c r="N129" s="1"/>
  <c r="F126"/>
  <c r="E129"/>
  <c r="F129" s="1"/>
  <c r="G64" i="18"/>
  <c r="J126" i="21"/>
  <c r="I129"/>
  <c r="D126"/>
  <c r="C129"/>
  <c r="D129" s="1"/>
  <c r="F126"/>
  <c r="E129"/>
  <c r="F129"/>
  <c r="I64" i="18"/>
  <c r="N126" i="21"/>
  <c r="M129"/>
  <c r="N129"/>
  <c r="C64" i="18"/>
  <c r="E64"/>
  <c r="L126" i="21"/>
  <c r="K129"/>
  <c r="L129" s="1"/>
  <c r="K55" i="18"/>
  <c r="C55"/>
  <c r="M55"/>
  <c r="I73"/>
  <c r="M73"/>
  <c r="C73"/>
  <c r="G73"/>
  <c r="E73"/>
  <c r="I91"/>
  <c r="K91"/>
  <c r="M91"/>
  <c r="G91"/>
  <c r="M100"/>
  <c r="M42" i="26"/>
  <c r="K100" i="18"/>
  <c r="K42" i="26"/>
  <c r="I100" i="18"/>
  <c r="I42" i="26"/>
  <c r="I157"/>
  <c r="G100" i="18"/>
  <c r="G42" i="26"/>
  <c r="K82" i="18"/>
  <c r="G82"/>
  <c r="K73"/>
  <c r="N76" i="21"/>
  <c r="M64" i="18"/>
  <c r="K145" i="21"/>
  <c r="K64" i="18"/>
  <c r="F46" i="21"/>
  <c r="D46"/>
  <c r="I76" i="20"/>
  <c r="J76"/>
  <c r="I55" i="18"/>
  <c r="G55"/>
  <c r="E55"/>
  <c r="K157" i="8"/>
  <c r="M112" i="18"/>
  <c r="J76" i="25"/>
  <c r="H95" i="8"/>
  <c r="H105"/>
  <c r="H102"/>
  <c r="H100"/>
  <c r="H96"/>
  <c r="H114"/>
  <c r="H112"/>
  <c r="H111"/>
  <c r="H110"/>
  <c r="H109"/>
  <c r="H108"/>
  <c r="H107"/>
  <c r="H106"/>
  <c r="H104"/>
  <c r="H101"/>
  <c r="H97"/>
  <c r="H113"/>
  <c r="H94"/>
  <c r="H103"/>
  <c r="H99"/>
  <c r="H115"/>
  <c r="G129" i="26"/>
  <c r="H129" s="1"/>
  <c r="G129" i="23"/>
  <c r="H129" s="1"/>
  <c r="G129" i="21"/>
  <c r="H129" s="1"/>
  <c r="D114" i="8"/>
  <c r="D110"/>
  <c r="D106"/>
  <c r="D102"/>
  <c r="D97"/>
  <c r="D95"/>
  <c r="D111"/>
  <c r="D107"/>
  <c r="D103"/>
  <c r="D99"/>
  <c r="D112"/>
  <c r="D108"/>
  <c r="D104"/>
  <c r="D100"/>
  <c r="D98"/>
  <c r="D96"/>
  <c r="D94"/>
  <c r="D113"/>
  <c r="D109"/>
  <c r="D105"/>
  <c r="D101"/>
  <c r="D115"/>
  <c r="M129" i="24"/>
  <c r="K129"/>
  <c r="L129" s="1"/>
  <c r="I129"/>
  <c r="J129"/>
  <c r="G129"/>
  <c r="H129" s="1"/>
  <c r="M129" i="25"/>
  <c r="N129" s="1"/>
  <c r="N76"/>
  <c r="K35"/>
  <c r="K129"/>
  <c r="L129" s="1"/>
  <c r="I129"/>
  <c r="J129" s="1"/>
  <c r="G35"/>
  <c r="G129"/>
  <c r="H129"/>
  <c r="E129"/>
  <c r="F129"/>
  <c r="C129"/>
  <c r="D129"/>
  <c r="M129" i="20"/>
  <c r="N129" s="1"/>
  <c r="M35"/>
  <c r="M76"/>
  <c r="K129"/>
  <c r="L129" s="1"/>
  <c r="K35"/>
  <c r="K36" s="1"/>
  <c r="K76"/>
  <c r="I129"/>
  <c r="J129" s="1"/>
  <c r="G129"/>
  <c r="H129" s="1"/>
  <c r="G76"/>
  <c r="E129"/>
  <c r="F129" s="1"/>
  <c r="E35"/>
  <c r="E36" s="1"/>
  <c r="C129"/>
  <c r="D129"/>
  <c r="G76" i="26"/>
  <c r="N16" i="25"/>
  <c r="J16"/>
  <c r="F16"/>
  <c r="L35" i="21"/>
  <c r="F35"/>
  <c r="I155" i="20"/>
  <c r="G35"/>
  <c r="G36" s="1"/>
  <c r="C35"/>
  <c r="M157" i="8"/>
  <c r="M156"/>
  <c r="K156"/>
  <c r="M37"/>
  <c r="G16"/>
  <c r="K16"/>
  <c r="I37"/>
  <c r="C16"/>
  <c r="E16"/>
  <c r="G21" i="26"/>
  <c r="H16"/>
  <c r="N16"/>
  <c r="L16"/>
  <c r="J16"/>
  <c r="J16" i="24"/>
  <c r="G21"/>
  <c r="L16"/>
  <c r="H16"/>
  <c r="I21"/>
  <c r="L42" i="25"/>
  <c r="D42"/>
  <c r="H16"/>
  <c r="H42"/>
  <c r="L16"/>
  <c r="D16"/>
  <c r="L16" i="21"/>
  <c r="H16"/>
  <c r="D16"/>
  <c r="N16"/>
  <c r="J16"/>
  <c r="F16"/>
  <c r="L16" i="20"/>
  <c r="H16"/>
  <c r="D16"/>
  <c r="N16"/>
  <c r="J16"/>
  <c r="F16"/>
  <c r="O144" i="25"/>
  <c r="O93"/>
  <c r="O87" i="18" s="1"/>
  <c r="P91" i="25"/>
  <c r="O41"/>
  <c r="O15"/>
  <c r="O12"/>
  <c r="O144" i="21"/>
  <c r="O68" i="18" s="1"/>
  <c r="O93" i="21"/>
  <c r="O69" i="18" s="1"/>
  <c r="O41" i="21"/>
  <c r="O15"/>
  <c r="O12"/>
  <c r="O144" i="20"/>
  <c r="O59" i="18" s="1"/>
  <c r="O93" i="20"/>
  <c r="O60" i="18" s="1"/>
  <c r="O41" i="20"/>
  <c r="O15"/>
  <c r="O12"/>
  <c r="O144" i="11"/>
  <c r="O93"/>
  <c r="O51" i="18" s="1"/>
  <c r="O41" i="11"/>
  <c r="O15"/>
  <c r="O12"/>
  <c r="O144" i="7"/>
  <c r="O41" i="18" s="1"/>
  <c r="O93" i="7"/>
  <c r="O42" i="18" s="1"/>
  <c r="P59" i="7"/>
  <c r="O41"/>
  <c r="O15"/>
  <c r="O12"/>
  <c r="O144" i="4"/>
  <c r="O23" i="18" s="1"/>
  <c r="O93" i="4"/>
  <c r="O24" i="18" s="1"/>
  <c r="O41" i="4"/>
  <c r="O15"/>
  <c r="O12"/>
  <c r="O144" i="2"/>
  <c r="O93"/>
  <c r="O7" i="18" s="1"/>
  <c r="O41" i="2"/>
  <c r="O15"/>
  <c r="O12"/>
  <c r="O126"/>
  <c r="O129"/>
  <c r="O12" i="24"/>
  <c r="O15"/>
  <c r="O41"/>
  <c r="O93"/>
  <c r="O96" i="18" s="1"/>
  <c r="O144" i="24"/>
  <c r="O95" i="18" s="1"/>
  <c r="I76" i="26"/>
  <c r="P62" i="24"/>
  <c r="P72"/>
  <c r="P26"/>
  <c r="P25"/>
  <c r="P68"/>
  <c r="P128"/>
  <c r="P127"/>
  <c r="P125"/>
  <c r="P122"/>
  <c r="P121"/>
  <c r="P120"/>
  <c r="P119"/>
  <c r="P118"/>
  <c r="P116"/>
  <c r="O126"/>
  <c r="P126"/>
  <c r="P26" i="25"/>
  <c r="P25"/>
  <c r="P68"/>
  <c r="P72"/>
  <c r="P128"/>
  <c r="P127"/>
  <c r="O126"/>
  <c r="P126"/>
  <c r="P125"/>
  <c r="P122"/>
  <c r="P121"/>
  <c r="P120"/>
  <c r="P119"/>
  <c r="P118"/>
  <c r="P116"/>
  <c r="C35"/>
  <c r="C36" s="1"/>
  <c r="P62" i="21"/>
  <c r="P26"/>
  <c r="P25"/>
  <c r="P68"/>
  <c r="P73"/>
  <c r="P72"/>
  <c r="P128"/>
  <c r="P127"/>
  <c r="O126"/>
  <c r="P126"/>
  <c r="P125"/>
  <c r="P122"/>
  <c r="P121"/>
  <c r="P120"/>
  <c r="P119"/>
  <c r="P118"/>
  <c r="P116"/>
  <c r="J129"/>
  <c r="I145"/>
  <c r="P62" i="20"/>
  <c r="P72"/>
  <c r="P26"/>
  <c r="P25"/>
  <c r="P68"/>
  <c r="P73"/>
  <c r="P128"/>
  <c r="P127"/>
  <c r="O126"/>
  <c r="P126"/>
  <c r="P125"/>
  <c r="P122"/>
  <c r="P121"/>
  <c r="P120"/>
  <c r="P119"/>
  <c r="P118"/>
  <c r="P116"/>
  <c r="P72" i="11"/>
  <c r="P26"/>
  <c r="P25"/>
  <c r="P68"/>
  <c r="P73"/>
  <c r="O126"/>
  <c r="P126"/>
  <c r="P125"/>
  <c r="P122"/>
  <c r="P121"/>
  <c r="P120"/>
  <c r="P119"/>
  <c r="P118"/>
  <c r="P116"/>
  <c r="P128"/>
  <c r="P127"/>
  <c r="P62" i="7"/>
  <c r="P26"/>
  <c r="P25"/>
  <c r="P68"/>
  <c r="P73"/>
  <c r="P72"/>
  <c r="P125"/>
  <c r="P122"/>
  <c r="P121"/>
  <c r="P120"/>
  <c r="P119"/>
  <c r="P118"/>
  <c r="P116"/>
  <c r="P128"/>
  <c r="P127"/>
  <c r="O126"/>
  <c r="P126"/>
  <c r="P56" i="4"/>
  <c r="P25"/>
  <c r="P72"/>
  <c r="P26"/>
  <c r="P68"/>
  <c r="P73"/>
  <c r="P116"/>
  <c r="P128"/>
  <c r="P125"/>
  <c r="P121"/>
  <c r="P119"/>
  <c r="P127"/>
  <c r="O126"/>
  <c r="P126"/>
  <c r="P120"/>
  <c r="P118"/>
  <c r="P122"/>
  <c r="P62" i="11"/>
  <c r="P56"/>
  <c r="P62" i="25"/>
  <c r="P90" i="2"/>
  <c r="P89"/>
  <c r="P87"/>
  <c r="P85"/>
  <c r="P83"/>
  <c r="P81"/>
  <c r="P79"/>
  <c r="P77"/>
  <c r="P86"/>
  <c r="P84"/>
  <c r="P82"/>
  <c r="P80"/>
  <c r="P78"/>
  <c r="P53" i="24"/>
  <c r="O46"/>
  <c r="P46"/>
  <c r="P51"/>
  <c r="P47"/>
  <c r="P51" i="25"/>
  <c r="O46"/>
  <c r="P46"/>
  <c r="P53"/>
  <c r="P47"/>
  <c r="P53" i="21"/>
  <c r="P51"/>
  <c r="O46"/>
  <c r="P46"/>
  <c r="M145"/>
  <c r="N145" s="1"/>
  <c r="L145"/>
  <c r="L76"/>
  <c r="E145"/>
  <c r="F76"/>
  <c r="C145"/>
  <c r="D145" s="1"/>
  <c r="D76"/>
  <c r="P53" i="20"/>
  <c r="P45"/>
  <c r="P51"/>
  <c r="O46"/>
  <c r="P46"/>
  <c r="O46" i="11"/>
  <c r="P46"/>
  <c r="P53"/>
  <c r="P51"/>
  <c r="P53" i="7"/>
  <c r="O46"/>
  <c r="P46"/>
  <c r="P51"/>
  <c r="P53" i="4"/>
  <c r="P51"/>
  <c r="O46"/>
  <c r="P46"/>
  <c r="P118" i="2"/>
  <c r="P55" i="21"/>
  <c r="P75"/>
  <c r="P71"/>
  <c r="P69"/>
  <c r="P115"/>
  <c r="P74"/>
  <c r="P70"/>
  <c r="P66"/>
  <c r="P21" i="11"/>
  <c r="P55"/>
  <c r="P142"/>
  <c r="P75"/>
  <c r="P115"/>
  <c r="P55" i="4"/>
  <c r="P142"/>
  <c r="P75"/>
  <c r="P71"/>
  <c r="P69"/>
  <c r="P74"/>
  <c r="P70"/>
  <c r="P66"/>
  <c r="P115"/>
  <c r="P21" i="2"/>
  <c r="P53"/>
  <c r="P75"/>
  <c r="P71"/>
  <c r="P72"/>
  <c r="P68"/>
  <c r="P73"/>
  <c r="P69"/>
  <c r="P74"/>
  <c r="P70"/>
  <c r="P66"/>
  <c r="M76" i="26"/>
  <c r="N76"/>
  <c r="K76"/>
  <c r="K145"/>
  <c r="H76" i="21"/>
  <c r="G145"/>
  <c r="I145" i="25"/>
  <c r="M145" i="24"/>
  <c r="I35"/>
  <c r="J35" s="1"/>
  <c r="P17"/>
  <c r="P142"/>
  <c r="P75"/>
  <c r="P74"/>
  <c r="P73"/>
  <c r="P71"/>
  <c r="P70"/>
  <c r="P69"/>
  <c r="P66"/>
  <c r="P115"/>
  <c r="M145" i="25"/>
  <c r="C145"/>
  <c r="P142"/>
  <c r="P115"/>
  <c r="P75"/>
  <c r="P74"/>
  <c r="P73"/>
  <c r="P71"/>
  <c r="P70"/>
  <c r="P69"/>
  <c r="P66"/>
  <c r="P142" i="20"/>
  <c r="P75"/>
  <c r="P74"/>
  <c r="P71"/>
  <c r="P70"/>
  <c r="P69"/>
  <c r="P67"/>
  <c r="P66"/>
  <c r="P115"/>
  <c r="M145"/>
  <c r="N76"/>
  <c r="L76"/>
  <c r="K145"/>
  <c r="I145"/>
  <c r="J145" s="1"/>
  <c r="G145"/>
  <c r="H76"/>
  <c r="E76"/>
  <c r="C76"/>
  <c r="O129" i="7"/>
  <c r="P142"/>
  <c r="P75"/>
  <c r="P71"/>
  <c r="P69"/>
  <c r="P115"/>
  <c r="P74"/>
  <c r="P70"/>
  <c r="P66"/>
  <c r="G35" i="24"/>
  <c r="H35" s="1"/>
  <c r="I145" i="26"/>
  <c r="J76"/>
  <c r="I35"/>
  <c r="J42"/>
  <c r="P93" i="24"/>
  <c r="P55"/>
  <c r="L42"/>
  <c r="K35"/>
  <c r="K36" s="1"/>
  <c r="H42"/>
  <c r="M35" i="26"/>
  <c r="N42"/>
  <c r="K35"/>
  <c r="L42"/>
  <c r="M35" i="24"/>
  <c r="M36"/>
  <c r="P21" i="25"/>
  <c r="P55"/>
  <c r="M35"/>
  <c r="L35"/>
  <c r="K36"/>
  <c r="K83" i="18" s="1"/>
  <c r="I35" i="25"/>
  <c r="H35"/>
  <c r="E35"/>
  <c r="D35"/>
  <c r="P21" i="21"/>
  <c r="M65" i="18"/>
  <c r="N35" i="21"/>
  <c r="I65" i="18"/>
  <c r="J35" i="21"/>
  <c r="H35"/>
  <c r="G65" i="18"/>
  <c r="E65"/>
  <c r="D35" i="21"/>
  <c r="O21" i="20"/>
  <c r="P21" s="1"/>
  <c r="P55"/>
  <c r="M36"/>
  <c r="M56" i="18"/>
  <c r="N35" i="20"/>
  <c r="L35"/>
  <c r="I35"/>
  <c r="I36" s="1"/>
  <c r="H35"/>
  <c r="F35"/>
  <c r="D35"/>
  <c r="C36"/>
  <c r="C56" i="18" s="1"/>
  <c r="P21" i="7"/>
  <c r="P21" i="4"/>
  <c r="H42" i="23"/>
  <c r="D42"/>
  <c r="L42"/>
  <c r="P22" i="24"/>
  <c r="P56"/>
  <c r="P148" i="25"/>
  <c r="P56"/>
  <c r="P140" i="20"/>
  <c r="P47"/>
  <c r="P56"/>
  <c r="P148" i="11"/>
  <c r="P74"/>
  <c r="P70"/>
  <c r="P47"/>
  <c r="P71"/>
  <c r="P148" i="7"/>
  <c r="P47"/>
  <c r="P148" i="2"/>
  <c r="P148" i="21"/>
  <c r="P56"/>
  <c r="P47"/>
  <c r="P148" i="4"/>
  <c r="P136" i="24"/>
  <c r="P57"/>
  <c r="P141"/>
  <c r="P84"/>
  <c r="P58"/>
  <c r="P49"/>
  <c r="P77"/>
  <c r="P144"/>
  <c r="P24"/>
  <c r="P85"/>
  <c r="P65"/>
  <c r="P50"/>
  <c r="P40"/>
  <c r="E37" i="8"/>
  <c r="I131"/>
  <c r="K37"/>
  <c r="G37"/>
  <c r="M131"/>
  <c r="C37"/>
  <c r="G35" i="26"/>
  <c r="H35" s="1"/>
  <c r="H42"/>
  <c r="H21"/>
  <c r="I36" i="24"/>
  <c r="J21"/>
  <c r="H21"/>
  <c r="J42"/>
  <c r="H76" i="25"/>
  <c r="G145"/>
  <c r="L76"/>
  <c r="K145"/>
  <c r="J42" i="23"/>
  <c r="F42"/>
  <c r="N42"/>
  <c r="P93" i="4"/>
  <c r="P23" i="20"/>
  <c r="P93" i="2"/>
  <c r="O16" i="4"/>
  <c r="P24"/>
  <c r="P28"/>
  <c r="P31"/>
  <c r="P40"/>
  <c r="P43"/>
  <c r="P47"/>
  <c r="P52"/>
  <c r="P59"/>
  <c r="P63"/>
  <c r="P78"/>
  <c r="P82"/>
  <c r="P89"/>
  <c r="P136"/>
  <c r="P140"/>
  <c r="P28" i="11"/>
  <c r="P32"/>
  <c r="P38"/>
  <c r="P43"/>
  <c r="P57"/>
  <c r="P61"/>
  <c r="P64"/>
  <c r="P77"/>
  <c r="P81"/>
  <c r="P85"/>
  <c r="P90"/>
  <c r="P139"/>
  <c r="P143"/>
  <c r="P89" i="20"/>
  <c r="P143"/>
  <c r="P52" i="2"/>
  <c r="P19" i="4"/>
  <c r="P23"/>
  <c r="P29"/>
  <c r="P44"/>
  <c r="P60"/>
  <c r="P81"/>
  <c r="P86"/>
  <c r="P90"/>
  <c r="P139"/>
  <c r="P144"/>
  <c r="O16" i="11"/>
  <c r="P23"/>
  <c r="P31"/>
  <c r="P33"/>
  <c r="P41"/>
  <c r="P45"/>
  <c r="P48"/>
  <c r="P52"/>
  <c r="P59"/>
  <c r="P63"/>
  <c r="P67"/>
  <c r="P69"/>
  <c r="P78"/>
  <c r="P82"/>
  <c r="P89"/>
  <c r="P93"/>
  <c r="P140"/>
  <c r="P31" i="20"/>
  <c r="P40"/>
  <c r="P63"/>
  <c r="P81"/>
  <c r="P93" i="25"/>
  <c r="P140" i="24"/>
  <c r="P92"/>
  <c r="P80"/>
  <c r="P64"/>
  <c r="P54"/>
  <c r="P43"/>
  <c r="P32" i="4"/>
  <c r="P48"/>
  <c r="P64"/>
  <c r="P77"/>
  <c r="P85"/>
  <c r="P143"/>
  <c r="P19" i="11"/>
  <c r="P24"/>
  <c r="P29"/>
  <c r="P40"/>
  <c r="P44"/>
  <c r="P49"/>
  <c r="P60"/>
  <c r="P65"/>
  <c r="P80"/>
  <c r="P86"/>
  <c r="P136"/>
  <c r="P144"/>
  <c r="O16" i="20"/>
  <c r="P24"/>
  <c r="P32"/>
  <c r="P41"/>
  <c r="P48"/>
  <c r="P64"/>
  <c r="P84"/>
  <c r="P92"/>
  <c r="P138"/>
  <c r="P31" i="25"/>
  <c r="P80"/>
  <c r="P85"/>
  <c r="P90"/>
  <c r="P143"/>
  <c r="P19"/>
  <c r="P24"/>
  <c r="P29"/>
  <c r="P40"/>
  <c r="P44"/>
  <c r="P50"/>
  <c r="P60"/>
  <c r="P78"/>
  <c r="P84"/>
  <c r="P89"/>
  <c r="P140"/>
  <c r="P28" i="20"/>
  <c r="P44"/>
  <c r="P52"/>
  <c r="P60"/>
  <c r="P80"/>
  <c r="P23" i="25"/>
  <c r="P28"/>
  <c r="P33"/>
  <c r="P38"/>
  <c r="P43"/>
  <c r="P48"/>
  <c r="P54"/>
  <c r="P59"/>
  <c r="P64"/>
  <c r="P77"/>
  <c r="P82"/>
  <c r="P92"/>
  <c r="P139"/>
  <c r="P129" i="7"/>
  <c r="P19" i="20"/>
  <c r="P43"/>
  <c r="P59"/>
  <c r="P77"/>
  <c r="P85"/>
  <c r="P93"/>
  <c r="P139"/>
  <c r="P148"/>
  <c r="O16" i="25"/>
  <c r="P32"/>
  <c r="P41"/>
  <c r="P52"/>
  <c r="P58"/>
  <c r="P63"/>
  <c r="P81"/>
  <c r="P86"/>
  <c r="P136"/>
  <c r="P144"/>
  <c r="P137" i="24"/>
  <c r="P89"/>
  <c r="P81"/>
  <c r="P61"/>
  <c r="P45"/>
  <c r="P32"/>
  <c r="P41"/>
  <c r="P31"/>
  <c r="P22" i="25"/>
  <c r="P30"/>
  <c r="P34"/>
  <c r="P39"/>
  <c r="P45"/>
  <c r="P49"/>
  <c r="P57"/>
  <c r="P61"/>
  <c r="P65"/>
  <c r="P79"/>
  <c r="P83"/>
  <c r="P87"/>
  <c r="P137"/>
  <c r="P141"/>
  <c r="P138"/>
  <c r="P17" i="21"/>
  <c r="P34"/>
  <c r="P39"/>
  <c r="P50"/>
  <c r="P54"/>
  <c r="P58"/>
  <c r="P79"/>
  <c r="P87"/>
  <c r="P137"/>
  <c r="P144"/>
  <c r="P29"/>
  <c r="P41"/>
  <c r="P49"/>
  <c r="P57"/>
  <c r="P65"/>
  <c r="P78"/>
  <c r="P86"/>
  <c r="P93"/>
  <c r="P136"/>
  <c r="O16"/>
  <c r="P24"/>
  <c r="P28"/>
  <c r="P32"/>
  <c r="P44"/>
  <c r="P48"/>
  <c r="P52"/>
  <c r="P60"/>
  <c r="P64"/>
  <c r="P77"/>
  <c r="P81"/>
  <c r="P85"/>
  <c r="P89"/>
  <c r="P139"/>
  <c r="P143"/>
  <c r="P22"/>
  <c r="P30"/>
  <c r="P42"/>
  <c r="P83"/>
  <c r="P91"/>
  <c r="P141"/>
  <c r="P33"/>
  <c r="P38"/>
  <c r="P45"/>
  <c r="P61"/>
  <c r="P82"/>
  <c r="P90"/>
  <c r="P140"/>
  <c r="P19"/>
  <c r="P23"/>
  <c r="P31"/>
  <c r="P40"/>
  <c r="P43"/>
  <c r="P59"/>
  <c r="P63"/>
  <c r="P80"/>
  <c r="P84"/>
  <c r="P92"/>
  <c r="P138"/>
  <c r="P17" i="20"/>
  <c r="P22"/>
  <c r="P30"/>
  <c r="P34"/>
  <c r="P39"/>
  <c r="P42"/>
  <c r="P50"/>
  <c r="P54"/>
  <c r="P58"/>
  <c r="P79"/>
  <c r="P83"/>
  <c r="P87"/>
  <c r="P91"/>
  <c r="P137"/>
  <c r="P141"/>
  <c r="P144"/>
  <c r="P29"/>
  <c r="P33"/>
  <c r="P38"/>
  <c r="P49"/>
  <c r="P57"/>
  <c r="P61"/>
  <c r="P65"/>
  <c r="P78"/>
  <c r="P82"/>
  <c r="P86"/>
  <c r="P90"/>
  <c r="P136"/>
  <c r="P17" i="11"/>
  <c r="P22"/>
  <c r="P30"/>
  <c r="P34"/>
  <c r="P39"/>
  <c r="P42"/>
  <c r="P50"/>
  <c r="P54"/>
  <c r="P58"/>
  <c r="P66"/>
  <c r="P79"/>
  <c r="P83"/>
  <c r="P87"/>
  <c r="P91"/>
  <c r="P137"/>
  <c r="P141"/>
  <c r="P84"/>
  <c r="P92"/>
  <c r="P138"/>
  <c r="P22" i="7"/>
  <c r="P30"/>
  <c r="P83"/>
  <c r="P91"/>
  <c r="P137"/>
  <c r="P144"/>
  <c r="P29"/>
  <c r="P41"/>
  <c r="P49"/>
  <c r="P57"/>
  <c r="P78"/>
  <c r="P86"/>
  <c r="P93"/>
  <c r="P136"/>
  <c r="P140"/>
  <c r="O16"/>
  <c r="P24"/>
  <c r="P28"/>
  <c r="P32"/>
  <c r="P44"/>
  <c r="P48"/>
  <c r="P52"/>
  <c r="P56"/>
  <c r="P60"/>
  <c r="P64"/>
  <c r="P77"/>
  <c r="P81"/>
  <c r="P85"/>
  <c r="P89"/>
  <c r="P139"/>
  <c r="P143"/>
  <c r="P17"/>
  <c r="P34"/>
  <c r="P39"/>
  <c r="P42"/>
  <c r="P50"/>
  <c r="P54"/>
  <c r="P58"/>
  <c r="P79"/>
  <c r="P87"/>
  <c r="P141"/>
  <c r="P33"/>
  <c r="P38"/>
  <c r="P45"/>
  <c r="P61"/>
  <c r="P65"/>
  <c r="P82"/>
  <c r="P90"/>
  <c r="P19"/>
  <c r="P23"/>
  <c r="P31"/>
  <c r="P40"/>
  <c r="P43"/>
  <c r="P55"/>
  <c r="P63"/>
  <c r="P80"/>
  <c r="P84"/>
  <c r="P92"/>
  <c r="P138"/>
  <c r="P33" i="4"/>
  <c r="P38"/>
  <c r="P41"/>
  <c r="P45"/>
  <c r="P49"/>
  <c r="P57"/>
  <c r="P61"/>
  <c r="P65"/>
  <c r="P79"/>
  <c r="P83"/>
  <c r="P87"/>
  <c r="P91"/>
  <c r="P137"/>
  <c r="P141"/>
  <c r="P17"/>
  <c r="P22"/>
  <c r="P30"/>
  <c r="P34"/>
  <c r="P39"/>
  <c r="P42"/>
  <c r="P50"/>
  <c r="P54"/>
  <c r="P58"/>
  <c r="P62"/>
  <c r="P80"/>
  <c r="P84"/>
  <c r="P92"/>
  <c r="P138"/>
  <c r="P22" i="2"/>
  <c r="P30"/>
  <c r="P55"/>
  <c r="P63"/>
  <c r="P116"/>
  <c r="P127"/>
  <c r="P137"/>
  <c r="P141"/>
  <c r="P144"/>
  <c r="P25"/>
  <c r="P29"/>
  <c r="P33"/>
  <c r="P39"/>
  <c r="P43"/>
  <c r="P47"/>
  <c r="P51"/>
  <c r="P54"/>
  <c r="P58"/>
  <c r="P62"/>
  <c r="P91"/>
  <c r="P115"/>
  <c r="P120"/>
  <c r="P126"/>
  <c r="P129"/>
  <c r="P140"/>
  <c r="O16"/>
  <c r="P24"/>
  <c r="P28"/>
  <c r="P32"/>
  <c r="P42"/>
  <c r="P46"/>
  <c r="P50"/>
  <c r="P57"/>
  <c r="P61"/>
  <c r="P65"/>
  <c r="P76"/>
  <c r="P119"/>
  <c r="P125"/>
  <c r="P139"/>
  <c r="P143"/>
  <c r="P17"/>
  <c r="P26"/>
  <c r="P34"/>
  <c r="P44"/>
  <c r="P48"/>
  <c r="P59"/>
  <c r="P121"/>
  <c r="P19"/>
  <c r="P23"/>
  <c r="P31"/>
  <c r="P41"/>
  <c r="P45"/>
  <c r="P49"/>
  <c r="P56"/>
  <c r="P60"/>
  <c r="P64"/>
  <c r="P117"/>
  <c r="P122"/>
  <c r="P128"/>
  <c r="P138"/>
  <c r="P142"/>
  <c r="P28" i="24"/>
  <c r="P148"/>
  <c r="P138"/>
  <c r="O129"/>
  <c r="P129" s="1"/>
  <c r="P90"/>
  <c r="P143"/>
  <c r="P139"/>
  <c r="P91"/>
  <c r="P87"/>
  <c r="P83"/>
  <c r="P79"/>
  <c r="P63"/>
  <c r="P60"/>
  <c r="P52"/>
  <c r="P48"/>
  <c r="P44"/>
  <c r="P39"/>
  <c r="P34"/>
  <c r="P30"/>
  <c r="P23"/>
  <c r="P19"/>
  <c r="O16"/>
  <c r="P86"/>
  <c r="P82"/>
  <c r="P78"/>
  <c r="P59"/>
  <c r="P38"/>
  <c r="P33"/>
  <c r="P29"/>
  <c r="M144" i="2"/>
  <c r="M6" i="18" s="1"/>
  <c r="M93" i="2"/>
  <c r="M7" i="18" s="1"/>
  <c r="M41" i="2"/>
  <c r="M15"/>
  <c r="M12"/>
  <c r="M126"/>
  <c r="M129"/>
  <c r="M144" i="4"/>
  <c r="M93"/>
  <c r="M24" i="18" s="1"/>
  <c r="M41" i="4"/>
  <c r="M15"/>
  <c r="M12"/>
  <c r="M144" i="7"/>
  <c r="M41" i="18" s="1"/>
  <c r="M93" i="7"/>
  <c r="M42" i="18" s="1"/>
  <c r="N59" i="7"/>
  <c r="M41"/>
  <c r="M15"/>
  <c r="M12"/>
  <c r="M144" i="11"/>
  <c r="M50" i="18" s="1"/>
  <c r="M93" i="11"/>
  <c r="M51" i="18" s="1"/>
  <c r="M41" i="11"/>
  <c r="M15"/>
  <c r="M12"/>
  <c r="N148" i="20"/>
  <c r="N148" i="21"/>
  <c r="N148" i="25"/>
  <c r="O5" i="8"/>
  <c r="Q5"/>
  <c r="S5"/>
  <c r="AA6"/>
  <c r="AC6"/>
  <c r="AA7"/>
  <c r="AC7"/>
  <c r="AA8"/>
  <c r="AC8"/>
  <c r="AA9"/>
  <c r="AC9"/>
  <c r="AA11"/>
  <c r="AC11"/>
  <c r="O12"/>
  <c r="Q12"/>
  <c r="U12"/>
  <c r="W12"/>
  <c r="Y12"/>
  <c r="AA13"/>
  <c r="AC13"/>
  <c r="AA14"/>
  <c r="O15"/>
  <c r="Q15"/>
  <c r="S15"/>
  <c r="U15"/>
  <c r="W15"/>
  <c r="Y15"/>
  <c r="AA18"/>
  <c r="AC18"/>
  <c r="AA19"/>
  <c r="AC19"/>
  <c r="AA20"/>
  <c r="AC20"/>
  <c r="O21"/>
  <c r="Q21"/>
  <c r="S21"/>
  <c r="U21"/>
  <c r="W21"/>
  <c r="Y21"/>
  <c r="AA22"/>
  <c r="AC22"/>
  <c r="AA23"/>
  <c r="AC23"/>
  <c r="AA24"/>
  <c r="AC24"/>
  <c r="AA25"/>
  <c r="AC25"/>
  <c r="AA26"/>
  <c r="AC26"/>
  <c r="AC27"/>
  <c r="AA28"/>
  <c r="AC28"/>
  <c r="AA29"/>
  <c r="AC29"/>
  <c r="AA30"/>
  <c r="AC30"/>
  <c r="AA31"/>
  <c r="AC31"/>
  <c r="AA32"/>
  <c r="AC32"/>
  <c r="AA33"/>
  <c r="AC33"/>
  <c r="AA34"/>
  <c r="AC34"/>
  <c r="O35"/>
  <c r="Q35"/>
  <c r="S35"/>
  <c r="U35"/>
  <c r="W35"/>
  <c r="Y35"/>
  <c r="AA38"/>
  <c r="AC38"/>
  <c r="AA39"/>
  <c r="AC39"/>
  <c r="AA40"/>
  <c r="AC40"/>
  <c r="O41"/>
  <c r="Q41"/>
  <c r="S41"/>
  <c r="U41"/>
  <c r="W41"/>
  <c r="Y41"/>
  <c r="AA42"/>
  <c r="AA43"/>
  <c r="AC43"/>
  <c r="AA44"/>
  <c r="AC44"/>
  <c r="AA45"/>
  <c r="AC45"/>
  <c r="AA46"/>
  <c r="AC46"/>
  <c r="AA47"/>
  <c r="AC47"/>
  <c r="AA48"/>
  <c r="AC48"/>
  <c r="AA49"/>
  <c r="AC49"/>
  <c r="AA50"/>
  <c r="AC50"/>
  <c r="AA51"/>
  <c r="AC51"/>
  <c r="AA52"/>
  <c r="AC52"/>
  <c r="AA53"/>
  <c r="AC53"/>
  <c r="AA54"/>
  <c r="AC54"/>
  <c r="AA55"/>
  <c r="AC55"/>
  <c r="AA56"/>
  <c r="AC56"/>
  <c r="AA57"/>
  <c r="AC57"/>
  <c r="AA58"/>
  <c r="AC58"/>
  <c r="AA59"/>
  <c r="AC59"/>
  <c r="AA60"/>
  <c r="AC60"/>
  <c r="AA61"/>
  <c r="AC61"/>
  <c r="AA62"/>
  <c r="AC62"/>
  <c r="AA63"/>
  <c r="AC63"/>
  <c r="AA64"/>
  <c r="AC64"/>
  <c r="AA65"/>
  <c r="AC65"/>
  <c r="AA66"/>
  <c r="AA67"/>
  <c r="AC67"/>
  <c r="AA68"/>
  <c r="AA69"/>
  <c r="AC69"/>
  <c r="AA77"/>
  <c r="AC77"/>
  <c r="AA78"/>
  <c r="AC78"/>
  <c r="AA79"/>
  <c r="AC79"/>
  <c r="AA80"/>
  <c r="AC80"/>
  <c r="AA81"/>
  <c r="AC81"/>
  <c r="AA82"/>
  <c r="AC82"/>
  <c r="AA83"/>
  <c r="AC83"/>
  <c r="AA84"/>
  <c r="AC84"/>
  <c r="AA85"/>
  <c r="AC85"/>
  <c r="AA86"/>
  <c r="AC86"/>
  <c r="AA87"/>
  <c r="AC87"/>
  <c r="AA88"/>
  <c r="AC88"/>
  <c r="AA89"/>
  <c r="AC89"/>
  <c r="AA90"/>
  <c r="AC90"/>
  <c r="AA91"/>
  <c r="AC91"/>
  <c r="AA92"/>
  <c r="AC92"/>
  <c r="O93"/>
  <c r="Q93"/>
  <c r="S93"/>
  <c r="U93"/>
  <c r="W93"/>
  <c r="Y93"/>
  <c r="AA116"/>
  <c r="AC116"/>
  <c r="AA119"/>
  <c r="AC119"/>
  <c r="AA120"/>
  <c r="AC120"/>
  <c r="AA121"/>
  <c r="AC121"/>
  <c r="AA122"/>
  <c r="AA123"/>
  <c r="AC123"/>
  <c r="AA124"/>
  <c r="AC124"/>
  <c r="AA125"/>
  <c r="AA126"/>
  <c r="AC126"/>
  <c r="AA127"/>
  <c r="AC127"/>
  <c r="AA128"/>
  <c r="AC128"/>
  <c r="O129"/>
  <c r="Q129"/>
  <c r="S129"/>
  <c r="U129"/>
  <c r="W129"/>
  <c r="Y129"/>
  <c r="AA133"/>
  <c r="AA136"/>
  <c r="AC136"/>
  <c r="AA137"/>
  <c r="AC137"/>
  <c r="AA138"/>
  <c r="AA139"/>
  <c r="AC139"/>
  <c r="AA140"/>
  <c r="AC140"/>
  <c r="AA141"/>
  <c r="AA142"/>
  <c r="AA164"/>
  <c r="AA143"/>
  <c r="AC143"/>
  <c r="G166"/>
  <c r="O144"/>
  <c r="O113" i="18"/>
  <c r="Q144" i="8"/>
  <c r="Q113" i="18"/>
  <c r="S144" i="8"/>
  <c r="U144"/>
  <c r="U113" i="18"/>
  <c r="W144" i="8"/>
  <c r="W113" i="18"/>
  <c r="Y144" i="8"/>
  <c r="AA148"/>
  <c r="C164"/>
  <c r="E164"/>
  <c r="G164"/>
  <c r="I164"/>
  <c r="K164"/>
  <c r="O164"/>
  <c r="Q164"/>
  <c r="S164"/>
  <c r="U164"/>
  <c r="W164"/>
  <c r="Y164"/>
  <c r="C166"/>
  <c r="I166"/>
  <c r="J145" i="21"/>
  <c r="N72" i="11"/>
  <c r="N26"/>
  <c r="N25"/>
  <c r="N68"/>
  <c r="N73"/>
  <c r="M126"/>
  <c r="N125"/>
  <c r="N122"/>
  <c r="N121"/>
  <c r="N120"/>
  <c r="N119"/>
  <c r="N118"/>
  <c r="N116"/>
  <c r="N128"/>
  <c r="N127"/>
  <c r="N62" i="7"/>
  <c r="N26"/>
  <c r="N25"/>
  <c r="N68"/>
  <c r="N73"/>
  <c r="N72"/>
  <c r="N128"/>
  <c r="N127"/>
  <c r="M126"/>
  <c r="N126"/>
  <c r="N125"/>
  <c r="N122"/>
  <c r="N121"/>
  <c r="N120"/>
  <c r="N119"/>
  <c r="N118"/>
  <c r="N116"/>
  <c r="N56" i="4"/>
  <c r="N72"/>
  <c r="N68"/>
  <c r="N73"/>
  <c r="N26"/>
  <c r="N25"/>
  <c r="M126"/>
  <c r="N126"/>
  <c r="N120"/>
  <c r="N116"/>
  <c r="N127"/>
  <c r="N128"/>
  <c r="N125"/>
  <c r="N119"/>
  <c r="N118"/>
  <c r="N122"/>
  <c r="N121"/>
  <c r="L35" i="24"/>
  <c r="I156"/>
  <c r="I92" i="18"/>
  <c r="N56" i="11"/>
  <c r="N62"/>
  <c r="N89" i="2"/>
  <c r="N81"/>
  <c r="N84"/>
  <c r="N80"/>
  <c r="N87"/>
  <c r="N83"/>
  <c r="N79"/>
  <c r="N90"/>
  <c r="N86"/>
  <c r="N82"/>
  <c r="N78"/>
  <c r="N85"/>
  <c r="N77"/>
  <c r="Y166" i="8"/>
  <c r="Y113" i="18"/>
  <c r="W166" i="8"/>
  <c r="F145" i="21"/>
  <c r="N51" i="11"/>
  <c r="M46"/>
  <c r="N53"/>
  <c r="N53" i="7"/>
  <c r="N51"/>
  <c r="M46"/>
  <c r="N53" i="4"/>
  <c r="N51"/>
  <c r="M46"/>
  <c r="N65" i="2"/>
  <c r="N118"/>
  <c r="H145" i="20"/>
  <c r="M37" i="24"/>
  <c r="M131" s="1"/>
  <c r="M92" i="18"/>
  <c r="L36" i="21"/>
  <c r="K65" i="18"/>
  <c r="S166" i="8"/>
  <c r="S113" i="18"/>
  <c r="AA113"/>
  <c r="AC66" i="8"/>
  <c r="AC76"/>
  <c r="AA76"/>
  <c r="D145" i="25"/>
  <c r="D76"/>
  <c r="H145"/>
  <c r="J145" i="26"/>
  <c r="J145" i="25"/>
  <c r="H145" i="21"/>
  <c r="L145" i="26"/>
  <c r="L145" i="25"/>
  <c r="L145" i="20"/>
  <c r="N145" i="25"/>
  <c r="N84" i="18" s="1"/>
  <c r="O91"/>
  <c r="O82"/>
  <c r="O129" i="21"/>
  <c r="P129" s="1"/>
  <c r="O64" i="18"/>
  <c r="O55"/>
  <c r="O46"/>
  <c r="O129" i="11"/>
  <c r="P129" s="1"/>
  <c r="O37" i="18"/>
  <c r="O129" i="4"/>
  <c r="P129" s="1"/>
  <c r="O19" i="18"/>
  <c r="O35" i="2"/>
  <c r="P35" s="1"/>
  <c r="O2" i="18"/>
  <c r="P27" i="2"/>
  <c r="M145" i="26"/>
  <c r="N55" i="11"/>
  <c r="N142"/>
  <c r="N75"/>
  <c r="N115"/>
  <c r="N17" i="4"/>
  <c r="N55"/>
  <c r="N142"/>
  <c r="N74"/>
  <c r="N70"/>
  <c r="N66"/>
  <c r="N115"/>
  <c r="N71"/>
  <c r="N69"/>
  <c r="N75"/>
  <c r="N21" i="2"/>
  <c r="N53"/>
  <c r="N73"/>
  <c r="N69"/>
  <c r="N74"/>
  <c r="N66"/>
  <c r="N71"/>
  <c r="N72"/>
  <c r="N68"/>
  <c r="N70"/>
  <c r="N75"/>
  <c r="L76" i="26"/>
  <c r="L37" i="21"/>
  <c r="F76" i="25"/>
  <c r="E145"/>
  <c r="P17"/>
  <c r="G36" i="24"/>
  <c r="O35" i="25"/>
  <c r="O36" s="1"/>
  <c r="O129"/>
  <c r="P129" s="1"/>
  <c r="O76" i="20"/>
  <c r="O129"/>
  <c r="P129" s="1"/>
  <c r="E145"/>
  <c r="F76"/>
  <c r="C145"/>
  <c r="D76"/>
  <c r="M129" i="7"/>
  <c r="N129"/>
  <c r="N142"/>
  <c r="N75"/>
  <c r="N74"/>
  <c r="N71"/>
  <c r="N70"/>
  <c r="N69"/>
  <c r="N66"/>
  <c r="N115"/>
  <c r="I36" i="26"/>
  <c r="I101" i="18" s="1"/>
  <c r="J35" i="26"/>
  <c r="L76" i="24"/>
  <c r="K145"/>
  <c r="G145"/>
  <c r="H76"/>
  <c r="N35" i="26"/>
  <c r="M36"/>
  <c r="M101" i="18"/>
  <c r="K36" i="26"/>
  <c r="K101" i="18"/>
  <c r="L35" i="26"/>
  <c r="M36" i="25"/>
  <c r="M83" i="18"/>
  <c r="N35" i="25"/>
  <c r="L36"/>
  <c r="K37"/>
  <c r="K131" s="1"/>
  <c r="I36"/>
  <c r="I83" i="18" s="1"/>
  <c r="J35" i="25"/>
  <c r="F35"/>
  <c r="N36" i="21"/>
  <c r="J36"/>
  <c r="I156"/>
  <c r="H36"/>
  <c r="F36"/>
  <c r="P16" i="20"/>
  <c r="N36"/>
  <c r="M37"/>
  <c r="J35"/>
  <c r="D36"/>
  <c r="C37"/>
  <c r="P16" i="11"/>
  <c r="M21"/>
  <c r="N21" s="1"/>
  <c r="N21" i="7"/>
  <c r="P16" i="4"/>
  <c r="M21"/>
  <c r="M36" s="1"/>
  <c r="L35" i="23"/>
  <c r="C74" i="18"/>
  <c r="D35" i="23"/>
  <c r="L76"/>
  <c r="C145"/>
  <c r="D76"/>
  <c r="H76"/>
  <c r="G145"/>
  <c r="N35"/>
  <c r="F35"/>
  <c r="H35"/>
  <c r="J35"/>
  <c r="G36" i="26"/>
  <c r="N148" i="11"/>
  <c r="N47"/>
  <c r="N74"/>
  <c r="N71"/>
  <c r="N70"/>
  <c r="N148" i="7"/>
  <c r="N47"/>
  <c r="N148" i="2"/>
  <c r="N148" i="4"/>
  <c r="S36" i="8"/>
  <c r="S110" i="18"/>
  <c r="W36" i="8"/>
  <c r="Q166"/>
  <c r="M135"/>
  <c r="G131"/>
  <c r="I135"/>
  <c r="E131"/>
  <c r="C131"/>
  <c r="K131"/>
  <c r="H76" i="26"/>
  <c r="G145"/>
  <c r="J76" i="24"/>
  <c r="I145"/>
  <c r="J36"/>
  <c r="I37"/>
  <c r="I131" s="1"/>
  <c r="J76" i="23"/>
  <c r="I145"/>
  <c r="N76"/>
  <c r="M145"/>
  <c r="F76"/>
  <c r="E145"/>
  <c r="W16" i="8"/>
  <c r="Y145"/>
  <c r="P16" i="25"/>
  <c r="O16" i="8"/>
  <c r="N93" i="11"/>
  <c r="N93" i="7"/>
  <c r="O145" i="2"/>
  <c r="N93" i="4"/>
  <c r="AA41" i="8"/>
  <c r="O36"/>
  <c r="O110" i="18"/>
  <c r="AA35" i="8"/>
  <c r="O145"/>
  <c r="P42" i="25"/>
  <c r="P16" i="21"/>
  <c r="P16" i="7"/>
  <c r="P16" i="2"/>
  <c r="O21" i="24"/>
  <c r="P16"/>
  <c r="W145" i="8"/>
  <c r="S145"/>
  <c r="AC41"/>
  <c r="N23" i="11"/>
  <c r="N28"/>
  <c r="N33"/>
  <c r="N38"/>
  <c r="N43"/>
  <c r="N48"/>
  <c r="N59"/>
  <c r="N64"/>
  <c r="N69"/>
  <c r="N78"/>
  <c r="N84"/>
  <c r="N89"/>
  <c r="N143"/>
  <c r="N31" i="7"/>
  <c r="N45"/>
  <c r="N56"/>
  <c r="N61"/>
  <c r="N81"/>
  <c r="N89"/>
  <c r="N139"/>
  <c r="N19" i="4"/>
  <c r="N43"/>
  <c r="N59"/>
  <c r="N78"/>
  <c r="N86"/>
  <c r="N136"/>
  <c r="N144"/>
  <c r="N144" i="2"/>
  <c r="O166" i="8"/>
  <c r="N148" i="26"/>
  <c r="M16" i="11"/>
  <c r="N32"/>
  <c r="N41"/>
  <c r="N52"/>
  <c r="N57"/>
  <c r="N63"/>
  <c r="N77"/>
  <c r="N82"/>
  <c r="N140"/>
  <c r="N19" i="7"/>
  <c r="N24"/>
  <c r="N29"/>
  <c r="N40"/>
  <c r="N44"/>
  <c r="N49"/>
  <c r="N55"/>
  <c r="N60"/>
  <c r="N78"/>
  <c r="N86"/>
  <c r="N136"/>
  <c r="N144"/>
  <c r="M16" i="4"/>
  <c r="N24"/>
  <c r="N32"/>
  <c r="N48"/>
  <c r="N64"/>
  <c r="N77"/>
  <c r="N85"/>
  <c r="N143"/>
  <c r="N31" i="11"/>
  <c r="N45"/>
  <c r="N61"/>
  <c r="N67"/>
  <c r="N81"/>
  <c r="N86"/>
  <c r="N92"/>
  <c r="N139"/>
  <c r="N23" i="7"/>
  <c r="N28"/>
  <c r="N33"/>
  <c r="N38"/>
  <c r="N43"/>
  <c r="N48"/>
  <c r="N65"/>
  <c r="N77"/>
  <c r="N85"/>
  <c r="N143"/>
  <c r="N23" i="4"/>
  <c r="N31"/>
  <c r="N40"/>
  <c r="N47"/>
  <c r="N63"/>
  <c r="N82"/>
  <c r="N90"/>
  <c r="N140"/>
  <c r="N19" i="11"/>
  <c r="N24"/>
  <c r="N29"/>
  <c r="N40"/>
  <c r="N44"/>
  <c r="N49"/>
  <c r="N60"/>
  <c r="N65"/>
  <c r="N80"/>
  <c r="N85"/>
  <c r="N90"/>
  <c r="N136"/>
  <c r="N144"/>
  <c r="M16" i="7"/>
  <c r="N32"/>
  <c r="N41"/>
  <c r="N52"/>
  <c r="N57"/>
  <c r="N64"/>
  <c r="N82"/>
  <c r="N90"/>
  <c r="N140"/>
  <c r="N28" i="4"/>
  <c r="N44"/>
  <c r="N52"/>
  <c r="N60"/>
  <c r="N81"/>
  <c r="N89"/>
  <c r="N139"/>
  <c r="M145" i="2"/>
  <c r="N17"/>
  <c r="N26"/>
  <c r="N34"/>
  <c r="N49"/>
  <c r="N57"/>
  <c r="N91"/>
  <c r="N115"/>
  <c r="N126"/>
  <c r="N25"/>
  <c r="N33"/>
  <c r="N39"/>
  <c r="N143"/>
  <c r="N19"/>
  <c r="N23"/>
  <c r="N31"/>
  <c r="N41"/>
  <c r="N45"/>
  <c r="N50"/>
  <c r="N54"/>
  <c r="N58"/>
  <c r="N62"/>
  <c r="N116"/>
  <c r="N121"/>
  <c r="N127"/>
  <c r="N137"/>
  <c r="N141"/>
  <c r="N22"/>
  <c r="N30"/>
  <c r="N44"/>
  <c r="N61"/>
  <c r="N76"/>
  <c r="N120"/>
  <c r="N129"/>
  <c r="N140"/>
  <c r="N29"/>
  <c r="N43"/>
  <c r="N48"/>
  <c r="N52"/>
  <c r="N56"/>
  <c r="N60"/>
  <c r="N64"/>
  <c r="N119"/>
  <c r="N125"/>
  <c r="N139"/>
  <c r="M16"/>
  <c r="N24"/>
  <c r="N28"/>
  <c r="N32"/>
  <c r="N42"/>
  <c r="N47"/>
  <c r="N51"/>
  <c r="N55"/>
  <c r="N59"/>
  <c r="N63"/>
  <c r="N93"/>
  <c r="N117"/>
  <c r="N122"/>
  <c r="N128"/>
  <c r="N138"/>
  <c r="N142"/>
  <c r="N29" i="4"/>
  <c r="N33"/>
  <c r="N38"/>
  <c r="N41"/>
  <c r="N45"/>
  <c r="N49"/>
  <c r="N57"/>
  <c r="N61"/>
  <c r="N65"/>
  <c r="N79"/>
  <c r="N83"/>
  <c r="N87"/>
  <c r="N91"/>
  <c r="N137"/>
  <c r="N141"/>
  <c r="N22"/>
  <c r="N30"/>
  <c r="N34"/>
  <c r="N39"/>
  <c r="N42"/>
  <c r="N50"/>
  <c r="N54"/>
  <c r="N58"/>
  <c r="N62"/>
  <c r="N80"/>
  <c r="N84"/>
  <c r="N92"/>
  <c r="N138"/>
  <c r="N17" i="7"/>
  <c r="N22"/>
  <c r="N30"/>
  <c r="N34"/>
  <c r="N39"/>
  <c r="N50"/>
  <c r="N54"/>
  <c r="N58"/>
  <c r="N79"/>
  <c r="N83"/>
  <c r="N87"/>
  <c r="N91"/>
  <c r="N137"/>
  <c r="N141"/>
  <c r="N63"/>
  <c r="N80"/>
  <c r="N84"/>
  <c r="N92"/>
  <c r="N138"/>
  <c r="N17" i="11"/>
  <c r="N22"/>
  <c r="N30"/>
  <c r="N34"/>
  <c r="N39"/>
  <c r="N42"/>
  <c r="N50"/>
  <c r="N54"/>
  <c r="N58"/>
  <c r="N66"/>
  <c r="N79"/>
  <c r="N83"/>
  <c r="N87"/>
  <c r="N91"/>
  <c r="N137"/>
  <c r="N141"/>
  <c r="N138"/>
  <c r="AC35" i="8"/>
  <c r="AC93"/>
  <c r="AA93"/>
  <c r="AA144"/>
  <c r="AA166"/>
  <c r="AA15"/>
  <c r="AC148"/>
  <c r="Q16"/>
  <c r="AA5"/>
  <c r="AA117"/>
  <c r="Y16"/>
  <c r="AC141"/>
  <c r="Y36"/>
  <c r="K166"/>
  <c r="Q145"/>
  <c r="AC133"/>
  <c r="U166"/>
  <c r="E166"/>
  <c r="AC142"/>
  <c r="Q36"/>
  <c r="Q110" i="18"/>
  <c r="AC14" i="8"/>
  <c r="AC15"/>
  <c r="AC125"/>
  <c r="S12"/>
  <c r="AC122"/>
  <c r="AC68"/>
  <c r="AC42"/>
  <c r="AA17"/>
  <c r="U16"/>
  <c r="U145"/>
  <c r="AC138"/>
  <c r="U36"/>
  <c r="N126" i="11"/>
  <c r="M129"/>
  <c r="N129" s="1"/>
  <c r="M19" i="18"/>
  <c r="G37" i="24"/>
  <c r="G131" s="1"/>
  <c r="G92" i="18"/>
  <c r="M37"/>
  <c r="M42" i="7"/>
  <c r="N42"/>
  <c r="M76" i="11"/>
  <c r="M46" i="18"/>
  <c r="M35" i="2"/>
  <c r="M36" s="1"/>
  <c r="M2" i="18"/>
  <c r="F145" i="20"/>
  <c r="D145"/>
  <c r="D145" i="23"/>
  <c r="F145" i="25"/>
  <c r="G37" i="26"/>
  <c r="G131" s="1"/>
  <c r="G101" i="18"/>
  <c r="F145" i="23"/>
  <c r="H145" i="24"/>
  <c r="H145" i="23"/>
  <c r="H145" i="26"/>
  <c r="M157"/>
  <c r="AA110" i="18"/>
  <c r="O76" i="11"/>
  <c r="N145" i="26"/>
  <c r="M129" i="4"/>
  <c r="N129" s="1"/>
  <c r="H36" i="24"/>
  <c r="H36" i="26"/>
  <c r="O145" i="25"/>
  <c r="P145" s="1"/>
  <c r="P84" i="18" s="1"/>
  <c r="P76" i="20"/>
  <c r="O145"/>
  <c r="O76" i="7"/>
  <c r="M76"/>
  <c r="J36" i="26"/>
  <c r="I37"/>
  <c r="K158" i="24"/>
  <c r="L145"/>
  <c r="M37" i="26"/>
  <c r="M156"/>
  <c r="N36"/>
  <c r="L36"/>
  <c r="K37"/>
  <c r="P35" i="25"/>
  <c r="M156"/>
  <c r="N36"/>
  <c r="M37"/>
  <c r="M131" s="1"/>
  <c r="L37"/>
  <c r="I156"/>
  <c r="I37"/>
  <c r="I131" s="1"/>
  <c r="J36"/>
  <c r="P35" i="21"/>
  <c r="J37"/>
  <c r="O35" i="20"/>
  <c r="N37"/>
  <c r="M131"/>
  <c r="N131" s="1"/>
  <c r="C131"/>
  <c r="D37"/>
  <c r="O35" i="11"/>
  <c r="O36" s="1"/>
  <c r="M35"/>
  <c r="O38" i="18"/>
  <c r="P35" i="7"/>
  <c r="D36" i="23"/>
  <c r="N16" i="4"/>
  <c r="W37" i="8"/>
  <c r="O157"/>
  <c r="O156"/>
  <c r="N145" i="2"/>
  <c r="P145"/>
  <c r="N145" i="23"/>
  <c r="J145"/>
  <c r="J145" i="24"/>
  <c r="I157"/>
  <c r="C135" i="8"/>
  <c r="I146"/>
  <c r="M146"/>
  <c r="K135"/>
  <c r="E135"/>
  <c r="G135"/>
  <c r="H37" i="26"/>
  <c r="J37" i="24"/>
  <c r="H37"/>
  <c r="O37" i="8"/>
  <c r="P21" i="24"/>
  <c r="O35"/>
  <c r="P35" s="1"/>
  <c r="P42"/>
  <c r="N16" i="7"/>
  <c r="N16" i="11"/>
  <c r="N16" i="2"/>
  <c r="AA12" i="8"/>
  <c r="AC5"/>
  <c r="AA21"/>
  <c r="AC17"/>
  <c r="AC164"/>
  <c r="Y37"/>
  <c r="U37"/>
  <c r="Q37"/>
  <c r="S16"/>
  <c r="AA129"/>
  <c r="AC117"/>
  <c r="AC144"/>
  <c r="N27" i="2"/>
  <c r="N76" i="11"/>
  <c r="N35" i="2"/>
  <c r="P76" i="25"/>
  <c r="O145" i="21"/>
  <c r="P145" s="1"/>
  <c r="P76"/>
  <c r="P145" i="20"/>
  <c r="O145" i="11"/>
  <c r="P145" s="1"/>
  <c r="P76"/>
  <c r="P76" i="4"/>
  <c r="O145"/>
  <c r="P145" s="1"/>
  <c r="M145"/>
  <c r="N145" s="1"/>
  <c r="N76"/>
  <c r="I162" i="8"/>
  <c r="AB105"/>
  <c r="AB100"/>
  <c r="AB107"/>
  <c r="AB97"/>
  <c r="AB110"/>
  <c r="AB101"/>
  <c r="AB96"/>
  <c r="AB112"/>
  <c r="AB103"/>
  <c r="AB95"/>
  <c r="AB106"/>
  <c r="AB115"/>
  <c r="AB113"/>
  <c r="AB108"/>
  <c r="AB99"/>
  <c r="AB102"/>
  <c r="AB109"/>
  <c r="AB104"/>
  <c r="AB111"/>
  <c r="AB98"/>
  <c r="AB114"/>
  <c r="AB94"/>
  <c r="P76" i="7"/>
  <c r="O145"/>
  <c r="M145"/>
  <c r="N145" s="1"/>
  <c r="N76"/>
  <c r="J37" i="26"/>
  <c r="I131"/>
  <c r="J131" s="1"/>
  <c r="N37"/>
  <c r="M131"/>
  <c r="L37"/>
  <c r="K131"/>
  <c r="N37" i="25"/>
  <c r="J37"/>
  <c r="P35" i="20"/>
  <c r="O36"/>
  <c r="O56" i="18" s="1"/>
  <c r="D131" i="20"/>
  <c r="C135"/>
  <c r="P35" i="11"/>
  <c r="N35"/>
  <c r="M36"/>
  <c r="M47" i="18"/>
  <c r="O156" i="7"/>
  <c r="P36"/>
  <c r="N35"/>
  <c r="P35" i="4"/>
  <c r="W131" i="8"/>
  <c r="G146"/>
  <c r="G162"/>
  <c r="E146"/>
  <c r="K146"/>
  <c r="C146"/>
  <c r="B153"/>
  <c r="O131"/>
  <c r="O135"/>
  <c r="P76" i="24"/>
  <c r="O145"/>
  <c r="O36"/>
  <c r="O156" s="1"/>
  <c r="AC21" i="8"/>
  <c r="AA16"/>
  <c r="AC166"/>
  <c r="AC129"/>
  <c r="Q131"/>
  <c r="U131"/>
  <c r="Y131"/>
  <c r="AA145"/>
  <c r="S37"/>
  <c r="AA36"/>
  <c r="AC12"/>
  <c r="O92" i="18"/>
  <c r="P145" i="7"/>
  <c r="AD95" i="8"/>
  <c r="AD96"/>
  <c r="AD94"/>
  <c r="AD97"/>
  <c r="AD101"/>
  <c r="AD102"/>
  <c r="AD103"/>
  <c r="AD104"/>
  <c r="AD115"/>
  <c r="AD105"/>
  <c r="AD106"/>
  <c r="AD107"/>
  <c r="AD108"/>
  <c r="AD109"/>
  <c r="AD110"/>
  <c r="AD111"/>
  <c r="AD112"/>
  <c r="AD113"/>
  <c r="AD114"/>
  <c r="AD98"/>
  <c r="AD99"/>
  <c r="AD100"/>
  <c r="I135" i="26"/>
  <c r="I146" s="1"/>
  <c r="N131"/>
  <c r="M135"/>
  <c r="K135"/>
  <c r="L135" s="1"/>
  <c r="L131"/>
  <c r="O37" i="20"/>
  <c r="O156"/>
  <c r="P36"/>
  <c r="D135"/>
  <c r="C146"/>
  <c r="C150" s="1"/>
  <c r="M156" i="11"/>
  <c r="M37"/>
  <c r="N36"/>
  <c r="N35" i="4"/>
  <c r="C162" i="8"/>
  <c r="W135"/>
  <c r="P145" i="24"/>
  <c r="P36"/>
  <c r="O37"/>
  <c r="O131" s="1"/>
  <c r="O146" i="8"/>
  <c r="AC16"/>
  <c r="AA37"/>
  <c r="S131"/>
  <c r="Q135"/>
  <c r="AC36"/>
  <c r="AC145"/>
  <c r="U135"/>
  <c r="Y135"/>
  <c r="O162"/>
  <c r="O111" i="18"/>
  <c r="O112"/>
  <c r="E162" i="8"/>
  <c r="E157"/>
  <c r="E152"/>
  <c r="E156"/>
  <c r="E158"/>
  <c r="M146" i="26"/>
  <c r="M150" s="1"/>
  <c r="N135"/>
  <c r="K146"/>
  <c r="K150" s="1"/>
  <c r="O131" i="20"/>
  <c r="P37"/>
  <c r="D146"/>
  <c r="M131" i="11"/>
  <c r="N131" s="1"/>
  <c r="N37"/>
  <c r="W146" i="8"/>
  <c r="W150"/>
  <c r="P37" i="24"/>
  <c r="O152" i="8"/>
  <c r="U146"/>
  <c r="Q146"/>
  <c r="S135"/>
  <c r="Y146"/>
  <c r="Y150"/>
  <c r="AA131"/>
  <c r="AC37"/>
  <c r="Y162"/>
  <c r="Y111" i="18"/>
  <c r="Y112"/>
  <c r="W162" i="8"/>
  <c r="W111" i="18"/>
  <c r="W112"/>
  <c r="U162" i="8"/>
  <c r="U111" i="18"/>
  <c r="U112"/>
  <c r="Q162" i="8"/>
  <c r="Q111" i="18"/>
  <c r="Q112"/>
  <c r="N146" i="26"/>
  <c r="L146"/>
  <c r="O135" i="20"/>
  <c r="P131"/>
  <c r="W152" i="8"/>
  <c r="O160"/>
  <c r="O169"/>
  <c r="O172"/>
  <c r="M152"/>
  <c r="S146"/>
  <c r="U152"/>
  <c r="AC131"/>
  <c r="Y152"/>
  <c r="I152"/>
  <c r="I160"/>
  <c r="I169"/>
  <c r="AA135"/>
  <c r="Q152"/>
  <c r="Q159"/>
  <c r="Q174"/>
  <c r="S162"/>
  <c r="S111" i="18"/>
  <c r="S112"/>
  <c r="AA150" i="8"/>
  <c r="AA162"/>
  <c r="O146" i="20"/>
  <c r="O150" s="1"/>
  <c r="P135"/>
  <c r="W160" i="8"/>
  <c r="W169"/>
  <c r="C152"/>
  <c r="Y160"/>
  <c r="Y169"/>
  <c r="G152"/>
  <c r="G160"/>
  <c r="G169"/>
  <c r="S152"/>
  <c r="AC135"/>
  <c r="Q160"/>
  <c r="Q169"/>
  <c r="AA146"/>
  <c r="E160"/>
  <c r="E169"/>
  <c r="U160"/>
  <c r="U169"/>
  <c r="S156"/>
  <c r="S158"/>
  <c r="S160"/>
  <c r="S169"/>
  <c r="C154"/>
  <c r="E154"/>
  <c r="G154"/>
  <c r="C160"/>
  <c r="C169"/>
  <c r="C172"/>
  <c r="AC146"/>
  <c r="K11" i="12"/>
  <c r="K10"/>
  <c r="K9"/>
  <c r="K8"/>
  <c r="K7"/>
  <c r="K6"/>
  <c r="E93" i="4"/>
  <c r="E24" i="18" s="1"/>
  <c r="C153" i="4"/>
  <c r="C153" i="3"/>
  <c r="C13" i="12"/>
  <c r="E13"/>
  <c r="G13"/>
  <c r="I13"/>
  <c r="K13"/>
  <c r="M13"/>
  <c r="O13"/>
  <c r="Q13"/>
  <c r="S13"/>
  <c r="U13"/>
  <c r="W13"/>
  <c r="Y13"/>
  <c r="C14"/>
  <c r="E14"/>
  <c r="G14"/>
  <c r="I14"/>
  <c r="K14"/>
  <c r="M14"/>
  <c r="O14"/>
  <c r="Q14"/>
  <c r="S14"/>
  <c r="U14"/>
  <c r="W14"/>
  <c r="Y14"/>
  <c r="C18"/>
  <c r="E18"/>
  <c r="G18"/>
  <c r="I18"/>
  <c r="K18"/>
  <c r="M18"/>
  <c r="O18"/>
  <c r="Q18"/>
  <c r="S18"/>
  <c r="U18"/>
  <c r="W18"/>
  <c r="Y18"/>
  <c r="C19"/>
  <c r="E19"/>
  <c r="G19"/>
  <c r="I19"/>
  <c r="K19"/>
  <c r="M19"/>
  <c r="O19"/>
  <c r="Q19"/>
  <c r="S19"/>
  <c r="U19"/>
  <c r="W19"/>
  <c r="Y19"/>
  <c r="C20"/>
  <c r="E20"/>
  <c r="G20"/>
  <c r="I20"/>
  <c r="K20"/>
  <c r="M20"/>
  <c r="O20"/>
  <c r="Q20"/>
  <c r="S20"/>
  <c r="U20"/>
  <c r="W20"/>
  <c r="Y20"/>
  <c r="C22"/>
  <c r="E22"/>
  <c r="G22"/>
  <c r="I22"/>
  <c r="K22"/>
  <c r="M22"/>
  <c r="O22"/>
  <c r="Q22"/>
  <c r="S22"/>
  <c r="U22"/>
  <c r="W22"/>
  <c r="Y22"/>
  <c r="C23"/>
  <c r="E23"/>
  <c r="G23"/>
  <c r="I23"/>
  <c r="K23"/>
  <c r="M23"/>
  <c r="O23"/>
  <c r="Q23"/>
  <c r="S23"/>
  <c r="U23"/>
  <c r="W23"/>
  <c r="Y23"/>
  <c r="C24"/>
  <c r="E24"/>
  <c r="G24"/>
  <c r="I24"/>
  <c r="K24"/>
  <c r="M24"/>
  <c r="O24"/>
  <c r="Q24"/>
  <c r="S24"/>
  <c r="U24"/>
  <c r="W24"/>
  <c r="Y24"/>
  <c r="C25"/>
  <c r="E25"/>
  <c r="G25"/>
  <c r="I25"/>
  <c r="K25"/>
  <c r="M25"/>
  <c r="O25"/>
  <c r="Q25"/>
  <c r="S25"/>
  <c r="U25"/>
  <c r="W25"/>
  <c r="Y25"/>
  <c r="C26"/>
  <c r="E26"/>
  <c r="G26"/>
  <c r="I26"/>
  <c r="K26"/>
  <c r="M26"/>
  <c r="O26"/>
  <c r="Q26"/>
  <c r="S26"/>
  <c r="U26"/>
  <c r="W26"/>
  <c r="Y26"/>
  <c r="C28"/>
  <c r="E28"/>
  <c r="G28"/>
  <c r="I28"/>
  <c r="K28"/>
  <c r="M28"/>
  <c r="O28"/>
  <c r="Q28"/>
  <c r="S28"/>
  <c r="U28"/>
  <c r="W28"/>
  <c r="Y28"/>
  <c r="C29"/>
  <c r="E29"/>
  <c r="G29"/>
  <c r="I29"/>
  <c r="K29"/>
  <c r="M29"/>
  <c r="O29"/>
  <c r="Q29"/>
  <c r="S29"/>
  <c r="U29"/>
  <c r="W29"/>
  <c r="Y29"/>
  <c r="C30"/>
  <c r="E30"/>
  <c r="G30"/>
  <c r="I30"/>
  <c r="K30"/>
  <c r="M30"/>
  <c r="O30"/>
  <c r="Q30"/>
  <c r="S30"/>
  <c r="U30"/>
  <c r="W30"/>
  <c r="Y30"/>
  <c r="C31"/>
  <c r="E31"/>
  <c r="G31"/>
  <c r="I31"/>
  <c r="K31"/>
  <c r="M31"/>
  <c r="O31"/>
  <c r="Q31"/>
  <c r="S31"/>
  <c r="U31"/>
  <c r="W31"/>
  <c r="Y31"/>
  <c r="C32"/>
  <c r="E32"/>
  <c r="G32"/>
  <c r="I32"/>
  <c r="K32"/>
  <c r="M32"/>
  <c r="O32"/>
  <c r="Q32"/>
  <c r="S32"/>
  <c r="U32"/>
  <c r="W32"/>
  <c r="Y32"/>
  <c r="C33"/>
  <c r="E33"/>
  <c r="G33"/>
  <c r="I33"/>
  <c r="K33"/>
  <c r="M33"/>
  <c r="O33"/>
  <c r="Q33"/>
  <c r="S33"/>
  <c r="U33"/>
  <c r="W33"/>
  <c r="Y33"/>
  <c r="C34"/>
  <c r="E34"/>
  <c r="G34"/>
  <c r="I34"/>
  <c r="K34"/>
  <c r="M34"/>
  <c r="O34"/>
  <c r="Q34"/>
  <c r="S34"/>
  <c r="U34"/>
  <c r="W34"/>
  <c r="Y34"/>
  <c r="C38"/>
  <c r="E38"/>
  <c r="G38"/>
  <c r="I38"/>
  <c r="K38"/>
  <c r="M38"/>
  <c r="O38"/>
  <c r="Q38"/>
  <c r="S38"/>
  <c r="U38"/>
  <c r="W38"/>
  <c r="Y38"/>
  <c r="C39"/>
  <c r="E39"/>
  <c r="G39"/>
  <c r="I39"/>
  <c r="K39"/>
  <c r="M39"/>
  <c r="O39"/>
  <c r="Q39"/>
  <c r="S39"/>
  <c r="U39"/>
  <c r="W39"/>
  <c r="Y39"/>
  <c r="C40"/>
  <c r="E40"/>
  <c r="G40"/>
  <c r="I40"/>
  <c r="K40"/>
  <c r="M40"/>
  <c r="O40"/>
  <c r="Q40"/>
  <c r="S40"/>
  <c r="U40"/>
  <c r="W40"/>
  <c r="Y40"/>
  <c r="C44"/>
  <c r="E44"/>
  <c r="G44"/>
  <c r="I44"/>
  <c r="K44"/>
  <c r="M44"/>
  <c r="O44"/>
  <c r="Q44"/>
  <c r="S44"/>
  <c r="U44"/>
  <c r="W44"/>
  <c r="Y44"/>
  <c r="C45"/>
  <c r="E45"/>
  <c r="G45"/>
  <c r="I45"/>
  <c r="K45"/>
  <c r="M45"/>
  <c r="O45"/>
  <c r="Q45"/>
  <c r="S45"/>
  <c r="U45"/>
  <c r="W45"/>
  <c r="Y45"/>
  <c r="C47"/>
  <c r="E47"/>
  <c r="G47"/>
  <c r="I47"/>
  <c r="K47"/>
  <c r="M47"/>
  <c r="O47"/>
  <c r="Q47"/>
  <c r="S47"/>
  <c r="U47"/>
  <c r="W47"/>
  <c r="Y47"/>
  <c r="C48"/>
  <c r="E48"/>
  <c r="G48"/>
  <c r="I48"/>
  <c r="K48"/>
  <c r="M48"/>
  <c r="O48"/>
  <c r="Q48"/>
  <c r="S48"/>
  <c r="U48"/>
  <c r="W48"/>
  <c r="Y48"/>
  <c r="C49"/>
  <c r="E49"/>
  <c r="G49"/>
  <c r="I49"/>
  <c r="K49"/>
  <c r="M49"/>
  <c r="O49"/>
  <c r="Q49"/>
  <c r="S49"/>
  <c r="U49"/>
  <c r="W49"/>
  <c r="Y49"/>
  <c r="C50"/>
  <c r="E50"/>
  <c r="G50"/>
  <c r="I50"/>
  <c r="K50"/>
  <c r="M50"/>
  <c r="O50"/>
  <c r="Q50"/>
  <c r="S50"/>
  <c r="U50"/>
  <c r="W50"/>
  <c r="Y50"/>
  <c r="C51"/>
  <c r="E51"/>
  <c r="G51"/>
  <c r="I51"/>
  <c r="K51"/>
  <c r="M51"/>
  <c r="O51"/>
  <c r="Q51"/>
  <c r="S51"/>
  <c r="U51"/>
  <c r="W51"/>
  <c r="Y51"/>
  <c r="C52"/>
  <c r="E52"/>
  <c r="G52"/>
  <c r="Q52"/>
  <c r="S52"/>
  <c r="U52"/>
  <c r="W52"/>
  <c r="Y52"/>
  <c r="C53"/>
  <c r="E53"/>
  <c r="G53"/>
  <c r="I53"/>
  <c r="K53"/>
  <c r="M53"/>
  <c r="O53"/>
  <c r="Q53"/>
  <c r="S53"/>
  <c r="U53"/>
  <c r="W53"/>
  <c r="Y53"/>
  <c r="C54"/>
  <c r="E54"/>
  <c r="G54"/>
  <c r="I54"/>
  <c r="K54"/>
  <c r="M54"/>
  <c r="O54"/>
  <c r="Q54"/>
  <c r="S54"/>
  <c r="U54"/>
  <c r="W54"/>
  <c r="Y54"/>
  <c r="C55"/>
  <c r="G55"/>
  <c r="I55"/>
  <c r="M55"/>
  <c r="O55"/>
  <c r="S55"/>
  <c r="U55"/>
  <c r="Y55"/>
  <c r="C56"/>
  <c r="E56"/>
  <c r="G56"/>
  <c r="I56"/>
  <c r="K56"/>
  <c r="M56"/>
  <c r="O56"/>
  <c r="Q56"/>
  <c r="S56"/>
  <c r="U56"/>
  <c r="W56"/>
  <c r="Y56"/>
  <c r="C58"/>
  <c r="E58"/>
  <c r="G58"/>
  <c r="I58"/>
  <c r="K58"/>
  <c r="M58"/>
  <c r="O58"/>
  <c r="Q58"/>
  <c r="S58"/>
  <c r="U58"/>
  <c r="W58"/>
  <c r="Y58"/>
  <c r="C59"/>
  <c r="E59"/>
  <c r="G59"/>
  <c r="I59"/>
  <c r="K59"/>
  <c r="M59"/>
  <c r="O59"/>
  <c r="Q59"/>
  <c r="S59"/>
  <c r="U59"/>
  <c r="W59"/>
  <c r="Y59"/>
  <c r="C60"/>
  <c r="E60"/>
  <c r="G60"/>
  <c r="I60"/>
  <c r="K60"/>
  <c r="M60"/>
  <c r="O60"/>
  <c r="Q60"/>
  <c r="S60"/>
  <c r="U60"/>
  <c r="W60"/>
  <c r="Y60"/>
  <c r="C61"/>
  <c r="E61"/>
  <c r="G61"/>
  <c r="I61"/>
  <c r="K61"/>
  <c r="M61"/>
  <c r="O61"/>
  <c r="Q61"/>
  <c r="S61"/>
  <c r="U61"/>
  <c r="W61"/>
  <c r="Y61"/>
  <c r="C62"/>
  <c r="E62"/>
  <c r="G62"/>
  <c r="I62"/>
  <c r="K62"/>
  <c r="M62"/>
  <c r="U62"/>
  <c r="W62"/>
  <c r="C63"/>
  <c r="E63"/>
  <c r="G63"/>
  <c r="I63"/>
  <c r="K63"/>
  <c r="M63"/>
  <c r="O63"/>
  <c r="Q63"/>
  <c r="S63"/>
  <c r="U63"/>
  <c r="W63"/>
  <c r="Y63"/>
  <c r="C64"/>
  <c r="E64"/>
  <c r="G64"/>
  <c r="I64"/>
  <c r="K64"/>
  <c r="M64"/>
  <c r="O64"/>
  <c r="Q64"/>
  <c r="S64"/>
  <c r="U64"/>
  <c r="W64"/>
  <c r="Y64"/>
  <c r="C66"/>
  <c r="E66"/>
  <c r="G66"/>
  <c r="I66"/>
  <c r="K66"/>
  <c r="M66"/>
  <c r="O66"/>
  <c r="Q66"/>
  <c r="S66"/>
  <c r="U66"/>
  <c r="W66"/>
  <c r="Y66"/>
  <c r="C67"/>
  <c r="E67"/>
  <c r="G67"/>
  <c r="I67"/>
  <c r="K67"/>
  <c r="M67"/>
  <c r="O67"/>
  <c r="Q67"/>
  <c r="S67"/>
  <c r="U67"/>
  <c r="W67"/>
  <c r="Y67"/>
  <c r="C68"/>
  <c r="E68"/>
  <c r="G68"/>
  <c r="I68"/>
  <c r="K68"/>
  <c r="M68"/>
  <c r="O68"/>
  <c r="Q68"/>
  <c r="S68"/>
  <c r="U68"/>
  <c r="W68"/>
  <c r="Y68"/>
  <c r="C69"/>
  <c r="E69"/>
  <c r="G69"/>
  <c r="I69"/>
  <c r="K69"/>
  <c r="M69"/>
  <c r="O69"/>
  <c r="Q69"/>
  <c r="S69"/>
  <c r="U69"/>
  <c r="W69"/>
  <c r="Y69"/>
  <c r="C77"/>
  <c r="E77"/>
  <c r="G77"/>
  <c r="I77"/>
  <c r="K77"/>
  <c r="M77"/>
  <c r="O77"/>
  <c r="Q77"/>
  <c r="S77"/>
  <c r="U77"/>
  <c r="W77"/>
  <c r="Y77"/>
  <c r="C78"/>
  <c r="E78"/>
  <c r="G78"/>
  <c r="I78"/>
  <c r="K78"/>
  <c r="M78"/>
  <c r="O78"/>
  <c r="Q78"/>
  <c r="S78"/>
  <c r="U78"/>
  <c r="W78"/>
  <c r="Y78"/>
  <c r="C79"/>
  <c r="E79"/>
  <c r="G79"/>
  <c r="I79"/>
  <c r="K79"/>
  <c r="M79"/>
  <c r="O79"/>
  <c r="Q79"/>
  <c r="S79"/>
  <c r="U79"/>
  <c r="W79"/>
  <c r="Y79"/>
  <c r="C80"/>
  <c r="E80"/>
  <c r="G80"/>
  <c r="I80"/>
  <c r="K80"/>
  <c r="M80"/>
  <c r="O80"/>
  <c r="Q80"/>
  <c r="S80"/>
  <c r="U80"/>
  <c r="W80"/>
  <c r="Y80"/>
  <c r="C81"/>
  <c r="E81"/>
  <c r="G81"/>
  <c r="I81"/>
  <c r="K81"/>
  <c r="M81"/>
  <c r="O81"/>
  <c r="Q81"/>
  <c r="S81"/>
  <c r="U81"/>
  <c r="W81"/>
  <c r="Y81"/>
  <c r="C82"/>
  <c r="E82"/>
  <c r="G82"/>
  <c r="I82"/>
  <c r="K82"/>
  <c r="M82"/>
  <c r="O82"/>
  <c r="Q82"/>
  <c r="S82"/>
  <c r="U82"/>
  <c r="W82"/>
  <c r="Y82"/>
  <c r="C83"/>
  <c r="E83"/>
  <c r="G83"/>
  <c r="I83"/>
  <c r="K83"/>
  <c r="M83"/>
  <c r="O83"/>
  <c r="Q83"/>
  <c r="S83"/>
  <c r="U83"/>
  <c r="W83"/>
  <c r="Y83"/>
  <c r="C84"/>
  <c r="E84"/>
  <c r="G84"/>
  <c r="I84"/>
  <c r="K84"/>
  <c r="M84"/>
  <c r="O84"/>
  <c r="Q84"/>
  <c r="S84"/>
  <c r="U84"/>
  <c r="W84"/>
  <c r="Y84"/>
  <c r="C85"/>
  <c r="E85"/>
  <c r="G85"/>
  <c r="I85"/>
  <c r="K85"/>
  <c r="M85"/>
  <c r="O85"/>
  <c r="Q85"/>
  <c r="S85"/>
  <c r="U85"/>
  <c r="W85"/>
  <c r="Y85"/>
  <c r="C86"/>
  <c r="E86"/>
  <c r="G86"/>
  <c r="I86"/>
  <c r="K86"/>
  <c r="M86"/>
  <c r="O86"/>
  <c r="Q86"/>
  <c r="S86"/>
  <c r="U86"/>
  <c r="W86"/>
  <c r="Y86"/>
  <c r="C87"/>
  <c r="E87"/>
  <c r="G87"/>
  <c r="I87"/>
  <c r="K87"/>
  <c r="M87"/>
  <c r="O87"/>
  <c r="Q87"/>
  <c r="S87"/>
  <c r="U87"/>
  <c r="W87"/>
  <c r="Y87"/>
  <c r="C88"/>
  <c r="E88"/>
  <c r="G88"/>
  <c r="I88"/>
  <c r="K88"/>
  <c r="M88"/>
  <c r="O88"/>
  <c r="Q88"/>
  <c r="S88"/>
  <c r="U88"/>
  <c r="W88"/>
  <c r="Y88"/>
  <c r="C89"/>
  <c r="E89"/>
  <c r="G89"/>
  <c r="I89"/>
  <c r="K89"/>
  <c r="M89"/>
  <c r="O89"/>
  <c r="Q89"/>
  <c r="S89"/>
  <c r="U89"/>
  <c r="W89"/>
  <c r="Y89"/>
  <c r="E90"/>
  <c r="G90"/>
  <c r="I90"/>
  <c r="K90"/>
  <c r="M90"/>
  <c r="O90"/>
  <c r="Q90"/>
  <c r="R90" s="1"/>
  <c r="S90"/>
  <c r="U90"/>
  <c r="W90"/>
  <c r="Y90"/>
  <c r="C91"/>
  <c r="E91"/>
  <c r="G91"/>
  <c r="I91"/>
  <c r="K91"/>
  <c r="M91"/>
  <c r="O91"/>
  <c r="Q91"/>
  <c r="S91"/>
  <c r="U91"/>
  <c r="W91"/>
  <c r="Y91"/>
  <c r="C92"/>
  <c r="E92"/>
  <c r="G92"/>
  <c r="I92"/>
  <c r="K92"/>
  <c r="M92"/>
  <c r="O92"/>
  <c r="Q92"/>
  <c r="S92"/>
  <c r="U92"/>
  <c r="W92"/>
  <c r="Y92"/>
  <c r="C94"/>
  <c r="E94"/>
  <c r="G94"/>
  <c r="I94"/>
  <c r="K94"/>
  <c r="M94"/>
  <c r="O94"/>
  <c r="Q94"/>
  <c r="S94"/>
  <c r="U94"/>
  <c r="W94"/>
  <c r="Y94"/>
  <c r="C96"/>
  <c r="E96"/>
  <c r="G96"/>
  <c r="I96"/>
  <c r="K96"/>
  <c r="M96"/>
  <c r="O96"/>
  <c r="Q96"/>
  <c r="S96"/>
  <c r="U96"/>
  <c r="W96"/>
  <c r="Y96"/>
  <c r="C97"/>
  <c r="O97"/>
  <c r="W97"/>
  <c r="C98"/>
  <c r="E98"/>
  <c r="G98"/>
  <c r="I98"/>
  <c r="K98"/>
  <c r="M98"/>
  <c r="O98"/>
  <c r="Q98"/>
  <c r="S98"/>
  <c r="U98"/>
  <c r="W98"/>
  <c r="Y98"/>
  <c r="C99"/>
  <c r="E99"/>
  <c r="G99"/>
  <c r="I99"/>
  <c r="K99"/>
  <c r="M99"/>
  <c r="O99"/>
  <c r="Q99"/>
  <c r="S99"/>
  <c r="U99"/>
  <c r="W99"/>
  <c r="Y99"/>
  <c r="E101"/>
  <c r="G101"/>
  <c r="G103"/>
  <c r="C116"/>
  <c r="E116"/>
  <c r="G116"/>
  <c r="I116"/>
  <c r="K116"/>
  <c r="M116"/>
  <c r="O116"/>
  <c r="Q116"/>
  <c r="S116"/>
  <c r="U116"/>
  <c r="W116"/>
  <c r="Y116"/>
  <c r="C117"/>
  <c r="E117"/>
  <c r="G117"/>
  <c r="I117"/>
  <c r="K117"/>
  <c r="M117"/>
  <c r="O117"/>
  <c r="Q117"/>
  <c r="S117"/>
  <c r="U117"/>
  <c r="W117"/>
  <c r="Y117"/>
  <c r="C119"/>
  <c r="E119"/>
  <c r="G119"/>
  <c r="I119"/>
  <c r="M119"/>
  <c r="O119"/>
  <c r="Q119"/>
  <c r="S119"/>
  <c r="U119"/>
  <c r="W119"/>
  <c r="Y119"/>
  <c r="C120"/>
  <c r="E120"/>
  <c r="G120"/>
  <c r="I120"/>
  <c r="K120"/>
  <c r="M120"/>
  <c r="O120"/>
  <c r="Q120"/>
  <c r="S120"/>
  <c r="U120"/>
  <c r="W120"/>
  <c r="Y120"/>
  <c r="C121"/>
  <c r="E121"/>
  <c r="G121"/>
  <c r="I121"/>
  <c r="K121"/>
  <c r="M121"/>
  <c r="O121"/>
  <c r="Q121"/>
  <c r="S121"/>
  <c r="U121"/>
  <c r="W121"/>
  <c r="Y121"/>
  <c r="C122"/>
  <c r="E122"/>
  <c r="G122"/>
  <c r="I122"/>
  <c r="K122"/>
  <c r="M122"/>
  <c r="O122"/>
  <c r="Q122"/>
  <c r="S122"/>
  <c r="U122"/>
  <c r="W122"/>
  <c r="Y122"/>
  <c r="C123"/>
  <c r="E123"/>
  <c r="G123"/>
  <c r="I123"/>
  <c r="K123"/>
  <c r="M123"/>
  <c r="O123"/>
  <c r="Q123"/>
  <c r="S123"/>
  <c r="U123"/>
  <c r="W123"/>
  <c r="Y123"/>
  <c r="C124"/>
  <c r="E124"/>
  <c r="G124"/>
  <c r="I124"/>
  <c r="K124"/>
  <c r="M124"/>
  <c r="O124"/>
  <c r="Q124"/>
  <c r="S124"/>
  <c r="U124"/>
  <c r="W124"/>
  <c r="Y124"/>
  <c r="C125"/>
  <c r="E125"/>
  <c r="G125"/>
  <c r="I125"/>
  <c r="K125"/>
  <c r="M125"/>
  <c r="O125"/>
  <c r="Q125"/>
  <c r="S125"/>
  <c r="U125"/>
  <c r="W125"/>
  <c r="Y125"/>
  <c r="C127"/>
  <c r="E127"/>
  <c r="G127"/>
  <c r="I127"/>
  <c r="K127"/>
  <c r="M127"/>
  <c r="O127"/>
  <c r="Q127"/>
  <c r="S127"/>
  <c r="U127"/>
  <c r="W127"/>
  <c r="Y127"/>
  <c r="C128"/>
  <c r="E128"/>
  <c r="G128"/>
  <c r="I128"/>
  <c r="K128"/>
  <c r="M128"/>
  <c r="O128"/>
  <c r="Q128"/>
  <c r="S128"/>
  <c r="U128"/>
  <c r="W128"/>
  <c r="Y128"/>
  <c r="C130"/>
  <c r="E130"/>
  <c r="G130"/>
  <c r="I130"/>
  <c r="K130"/>
  <c r="M130"/>
  <c r="O130"/>
  <c r="Q130"/>
  <c r="S130"/>
  <c r="U130"/>
  <c r="W130"/>
  <c r="Y130"/>
  <c r="C132"/>
  <c r="E132"/>
  <c r="G132"/>
  <c r="I132"/>
  <c r="K132"/>
  <c r="M132"/>
  <c r="O132"/>
  <c r="Q132"/>
  <c r="S132"/>
  <c r="U132"/>
  <c r="W132"/>
  <c r="Y132"/>
  <c r="C133"/>
  <c r="E133"/>
  <c r="G133"/>
  <c r="I133"/>
  <c r="K133"/>
  <c r="M133"/>
  <c r="O133"/>
  <c r="Q133"/>
  <c r="S133"/>
  <c r="U133"/>
  <c r="W133"/>
  <c r="Y133"/>
  <c r="C134"/>
  <c r="E134"/>
  <c r="G134"/>
  <c r="I134"/>
  <c r="K134"/>
  <c r="M134"/>
  <c r="O134"/>
  <c r="Q134"/>
  <c r="S134"/>
  <c r="U134"/>
  <c r="W134"/>
  <c r="Y134"/>
  <c r="C136"/>
  <c r="E136"/>
  <c r="G136"/>
  <c r="I136"/>
  <c r="K136"/>
  <c r="M136"/>
  <c r="O136"/>
  <c r="Q136"/>
  <c r="S136"/>
  <c r="U136"/>
  <c r="W136"/>
  <c r="Y136"/>
  <c r="C138"/>
  <c r="E138"/>
  <c r="G138"/>
  <c r="I138"/>
  <c r="K138"/>
  <c r="M138"/>
  <c r="O138"/>
  <c r="Q138"/>
  <c r="S138"/>
  <c r="U138"/>
  <c r="W138"/>
  <c r="Y138"/>
  <c r="C139"/>
  <c r="E139"/>
  <c r="G139"/>
  <c r="I139"/>
  <c r="K139"/>
  <c r="M139"/>
  <c r="O139"/>
  <c r="Q139"/>
  <c r="S139"/>
  <c r="U139"/>
  <c r="W139"/>
  <c r="Y139"/>
  <c r="C140"/>
  <c r="E140"/>
  <c r="G140"/>
  <c r="I140"/>
  <c r="K140"/>
  <c r="M140"/>
  <c r="O140"/>
  <c r="Q140"/>
  <c r="S140"/>
  <c r="U140"/>
  <c r="W140"/>
  <c r="Y140"/>
  <c r="C141"/>
  <c r="E141"/>
  <c r="G141"/>
  <c r="I141"/>
  <c r="K141"/>
  <c r="M141"/>
  <c r="O141"/>
  <c r="Q141"/>
  <c r="S141"/>
  <c r="U141"/>
  <c r="W141"/>
  <c r="Y141"/>
  <c r="C142"/>
  <c r="E142"/>
  <c r="I142"/>
  <c r="K142"/>
  <c r="Q142"/>
  <c r="S142"/>
  <c r="T142" s="1"/>
  <c r="C143"/>
  <c r="E143"/>
  <c r="G143"/>
  <c r="I143"/>
  <c r="K143"/>
  <c r="M143"/>
  <c r="O143"/>
  <c r="Q143"/>
  <c r="S143"/>
  <c r="U143"/>
  <c r="W143"/>
  <c r="Y143"/>
  <c r="C147"/>
  <c r="E147"/>
  <c r="G147"/>
  <c r="I147"/>
  <c r="K147"/>
  <c r="M147"/>
  <c r="O147"/>
  <c r="Q147"/>
  <c r="S147"/>
  <c r="U147"/>
  <c r="W147"/>
  <c r="Y147"/>
  <c r="C148"/>
  <c r="E148"/>
  <c r="G148"/>
  <c r="I148"/>
  <c r="K148"/>
  <c r="M148"/>
  <c r="O148"/>
  <c r="Q148"/>
  <c r="S148"/>
  <c r="U148"/>
  <c r="W148"/>
  <c r="Y148"/>
  <c r="C149"/>
  <c r="E149"/>
  <c r="G149"/>
  <c r="I149"/>
  <c r="K149"/>
  <c r="M149"/>
  <c r="O149"/>
  <c r="Q149"/>
  <c r="S149"/>
  <c r="U149"/>
  <c r="W149"/>
  <c r="Y149"/>
  <c r="G151"/>
  <c r="I151"/>
  <c r="K151"/>
  <c r="M151"/>
  <c r="O151"/>
  <c r="Q151"/>
  <c r="S151"/>
  <c r="U151"/>
  <c r="W151"/>
  <c r="Y151"/>
  <c r="G102"/>
  <c r="G107"/>
  <c r="G104"/>
  <c r="AA69"/>
  <c r="AC69"/>
  <c r="AA34"/>
  <c r="AC34"/>
  <c r="AA48"/>
  <c r="AC48"/>
  <c r="AA133"/>
  <c r="AC133"/>
  <c r="AA38"/>
  <c r="AC38"/>
  <c r="AA128"/>
  <c r="AC128"/>
  <c r="AA26"/>
  <c r="AC26"/>
  <c r="AA81"/>
  <c r="AC81"/>
  <c r="AA143"/>
  <c r="AC143"/>
  <c r="AA67"/>
  <c r="AC67"/>
  <c r="AA22"/>
  <c r="AC22"/>
  <c r="AA139"/>
  <c r="AC139"/>
  <c r="AA136"/>
  <c r="AC136"/>
  <c r="G105"/>
  <c r="AA140"/>
  <c r="AC140"/>
  <c r="AA134"/>
  <c r="AC134"/>
  <c r="AA49"/>
  <c r="AC49"/>
  <c r="AA45"/>
  <c r="AC45"/>
  <c r="AA85"/>
  <c r="AC85"/>
  <c r="AA125"/>
  <c r="AC125"/>
  <c r="G106"/>
  <c r="AA151"/>
  <c r="AC151"/>
  <c r="AA141"/>
  <c r="AC141"/>
  <c r="AA123"/>
  <c r="AC123"/>
  <c r="AA117"/>
  <c r="AC117" s="1"/>
  <c r="AD117" s="1"/>
  <c r="AA51"/>
  <c r="AC51"/>
  <c r="AA59"/>
  <c r="AC59"/>
  <c r="AA18"/>
  <c r="AC18"/>
  <c r="AA61"/>
  <c r="AC61"/>
  <c r="AA83"/>
  <c r="AC83"/>
  <c r="AA77"/>
  <c r="AC77"/>
  <c r="AA79"/>
  <c r="AC79"/>
  <c r="AA121"/>
  <c r="AC121"/>
  <c r="AA122"/>
  <c r="AC122"/>
  <c r="AA47"/>
  <c r="AC47"/>
  <c r="AA53"/>
  <c r="AC53"/>
  <c r="AA63"/>
  <c r="AC63"/>
  <c r="AA119"/>
  <c r="AC119"/>
  <c r="AA127"/>
  <c r="AC127"/>
  <c r="AA50"/>
  <c r="AC50"/>
  <c r="AA30"/>
  <c r="AC30"/>
  <c r="AA149"/>
  <c r="AA148"/>
  <c r="AA103"/>
  <c r="AA99"/>
  <c r="AA98"/>
  <c r="AA96"/>
  <c r="AA94"/>
  <c r="AA92"/>
  <c r="AA91"/>
  <c r="AA89"/>
  <c r="AA86"/>
  <c r="AA84"/>
  <c r="AA82"/>
  <c r="AA80"/>
  <c r="AA78"/>
  <c r="AA68"/>
  <c r="AA66"/>
  <c r="AA64"/>
  <c r="AA60"/>
  <c r="AA58"/>
  <c r="AA56"/>
  <c r="AA54"/>
  <c r="AA147"/>
  <c r="AA138"/>
  <c r="AA132"/>
  <c r="AA130"/>
  <c r="AA124"/>
  <c r="AA120"/>
  <c r="AA116"/>
  <c r="AA101"/>
  <c r="AA87"/>
  <c r="AC87" s="1"/>
  <c r="AD87" s="1"/>
  <c r="AA44"/>
  <c r="AA40"/>
  <c r="AA32"/>
  <c r="AA28"/>
  <c r="AA24"/>
  <c r="AA20"/>
  <c r="AA33"/>
  <c r="AA29"/>
  <c r="AA25"/>
  <c r="AA39"/>
  <c r="AA31"/>
  <c r="AA23"/>
  <c r="AA19"/>
  <c r="AA14"/>
  <c r="AA13"/>
  <c r="AA105"/>
  <c r="AA107"/>
  <c r="AA102"/>
  <c r="AA106"/>
  <c r="AC39"/>
  <c r="AC20"/>
  <c r="AC68"/>
  <c r="AC149"/>
  <c r="AC19"/>
  <c r="AC33"/>
  <c r="AC31"/>
  <c r="AC29"/>
  <c r="AC24"/>
  <c r="AC32"/>
  <c r="AC40"/>
  <c r="AC124"/>
  <c r="AC56"/>
  <c r="AC64"/>
  <c r="AC78"/>
  <c r="AC86"/>
  <c r="AC91"/>
  <c r="AC99"/>
  <c r="AC14"/>
  <c r="AC25"/>
  <c r="AC44"/>
  <c r="AC120"/>
  <c r="AC130"/>
  <c r="AC54"/>
  <c r="AC84"/>
  <c r="AC94"/>
  <c r="AC98"/>
  <c r="AC23"/>
  <c r="AC28"/>
  <c r="AC138"/>
  <c r="AC60"/>
  <c r="AC89"/>
  <c r="AC101"/>
  <c r="AC132"/>
  <c r="AC147"/>
  <c r="AC58"/>
  <c r="AC66"/>
  <c r="AC80"/>
  <c r="AC92"/>
  <c r="AC96"/>
  <c r="AC148"/>
  <c r="AC13"/>
  <c r="AC116"/>
  <c r="AC82"/>
  <c r="AC103"/>
  <c r="Y137"/>
  <c r="W137"/>
  <c r="U137"/>
  <c r="S137"/>
  <c r="Q137"/>
  <c r="O137"/>
  <c r="M137"/>
  <c r="K137"/>
  <c r="I137"/>
  <c r="G137"/>
  <c r="E137"/>
  <c r="C137"/>
  <c r="AC105"/>
  <c r="AC107"/>
  <c r="AC102"/>
  <c r="AC106"/>
  <c r="AA137" i="2"/>
  <c r="AA137" i="12"/>
  <c r="AC137"/>
  <c r="AA66" i="24"/>
  <c r="AC66"/>
  <c r="P10" i="26"/>
  <c r="F11"/>
  <c r="D11"/>
  <c r="F10"/>
  <c r="D10"/>
  <c r="F8"/>
  <c r="D8"/>
  <c r="D7"/>
  <c r="AA139" i="25"/>
  <c r="AA140"/>
  <c r="AA141"/>
  <c r="AC185" i="12"/>
  <c r="AC188"/>
  <c r="AC191"/>
  <c r="AA137" i="24"/>
  <c r="AC137"/>
  <c r="AA138"/>
  <c r="AC138"/>
  <c r="AA139"/>
  <c r="AC139"/>
  <c r="AA140"/>
  <c r="AC140"/>
  <c r="AA141"/>
  <c r="AC141"/>
  <c r="T10" i="26"/>
  <c r="T11"/>
  <c r="T8"/>
  <c r="V7"/>
  <c r="V8"/>
  <c r="V10"/>
  <c r="V11"/>
  <c r="T7"/>
  <c r="X11"/>
  <c r="X10"/>
  <c r="X8"/>
  <c r="X7"/>
  <c r="R8"/>
  <c r="R10"/>
  <c r="R7"/>
  <c r="R11"/>
  <c r="P7"/>
  <c r="AA9" i="20"/>
  <c r="AA9" i="3"/>
  <c r="P8" i="26"/>
  <c r="P11"/>
  <c r="AA9"/>
  <c r="AC9"/>
  <c r="AA9" i="25"/>
  <c r="AA9" i="23"/>
  <c r="AA9" i="21"/>
  <c r="AA9" i="11"/>
  <c r="AA9" i="7"/>
  <c r="AA9" i="6"/>
  <c r="AA9" i="4"/>
  <c r="AA59" i="24"/>
  <c r="AC59"/>
  <c r="AA44"/>
  <c r="AC44"/>
  <c r="AA45"/>
  <c r="AC45"/>
  <c r="AA48"/>
  <c r="AC48"/>
  <c r="AA49"/>
  <c r="AC49"/>
  <c r="AA50"/>
  <c r="AC50"/>
  <c r="AA52"/>
  <c r="AC52"/>
  <c r="AA54"/>
  <c r="AC54"/>
  <c r="AA57"/>
  <c r="AC57"/>
  <c r="AA58"/>
  <c r="AC58"/>
  <c r="AA60"/>
  <c r="AC60"/>
  <c r="AA61"/>
  <c r="AC61"/>
  <c r="AA63"/>
  <c r="AC63"/>
  <c r="AA64"/>
  <c r="AC64"/>
  <c r="AA67"/>
  <c r="AA25" i="26"/>
  <c r="AC25"/>
  <c r="AA137"/>
  <c r="AC137"/>
  <c r="AA138"/>
  <c r="AC138"/>
  <c r="AA120"/>
  <c r="AC120"/>
  <c r="AC67" i="24"/>
  <c r="AA65"/>
  <c r="AC65"/>
  <c r="Z8" i="26"/>
  <c r="Z10"/>
  <c r="Z7"/>
  <c r="Z11"/>
  <c r="AA43" i="24"/>
  <c r="AC43"/>
  <c r="AA77" i="25"/>
  <c r="AA78"/>
  <c r="AA79"/>
  <c r="AA80"/>
  <c r="AA81"/>
  <c r="AA82"/>
  <c r="AA83"/>
  <c r="AA84"/>
  <c r="AA85"/>
  <c r="AA86"/>
  <c r="AA87"/>
  <c r="AA88"/>
  <c r="AA89"/>
  <c r="AA90"/>
  <c r="AA91"/>
  <c r="AA92"/>
  <c r="AA77" i="23"/>
  <c r="AA78"/>
  <c r="AA79"/>
  <c r="AA80"/>
  <c r="AA81"/>
  <c r="AA82"/>
  <c r="AA83"/>
  <c r="AA84"/>
  <c r="AA85"/>
  <c r="AA86"/>
  <c r="AA87"/>
  <c r="AA88"/>
  <c r="AA89"/>
  <c r="AA90"/>
  <c r="AA91"/>
  <c r="AA92"/>
  <c r="W95" i="12"/>
  <c r="U95"/>
  <c r="S95"/>
  <c r="Q95"/>
  <c r="O95"/>
  <c r="M95"/>
  <c r="K95"/>
  <c r="AA104"/>
  <c r="I95"/>
  <c r="G95"/>
  <c r="E97"/>
  <c r="E95"/>
  <c r="C95"/>
  <c r="AC104"/>
  <c r="Y95"/>
  <c r="AA95"/>
  <c r="AC95"/>
  <c r="G97"/>
  <c r="I97"/>
  <c r="Y97"/>
  <c r="U97"/>
  <c r="S97"/>
  <c r="Q97"/>
  <c r="M97"/>
  <c r="K97"/>
  <c r="AA97"/>
  <c r="AC97"/>
  <c r="Y11"/>
  <c r="Y10"/>
  <c r="Y9"/>
  <c r="Y8"/>
  <c r="Y7"/>
  <c r="Y6"/>
  <c r="Y5"/>
  <c r="W11"/>
  <c r="W10"/>
  <c r="W9"/>
  <c r="W8"/>
  <c r="W7"/>
  <c r="W6"/>
  <c r="W5"/>
  <c r="U11"/>
  <c r="U10"/>
  <c r="U9"/>
  <c r="U8"/>
  <c r="U7"/>
  <c r="U6"/>
  <c r="U5"/>
  <c r="S11"/>
  <c r="S10"/>
  <c r="S9"/>
  <c r="S8"/>
  <c r="S7"/>
  <c r="S6"/>
  <c r="Q11"/>
  <c r="Q10"/>
  <c r="Q9"/>
  <c r="Q8"/>
  <c r="Q7"/>
  <c r="Q6"/>
  <c r="O11"/>
  <c r="O10"/>
  <c r="O9"/>
  <c r="O8"/>
  <c r="O7"/>
  <c r="O6"/>
  <c r="M11"/>
  <c r="M10"/>
  <c r="M9"/>
  <c r="M8"/>
  <c r="M7"/>
  <c r="M6"/>
  <c r="M5"/>
  <c r="I11"/>
  <c r="I10"/>
  <c r="I9"/>
  <c r="I8"/>
  <c r="I7"/>
  <c r="I6"/>
  <c r="I5"/>
  <c r="G11"/>
  <c r="G10"/>
  <c r="G9"/>
  <c r="G8"/>
  <c r="G7"/>
  <c r="G6"/>
  <c r="E10"/>
  <c r="E9"/>
  <c r="E8"/>
  <c r="E7"/>
  <c r="E6"/>
  <c r="C11"/>
  <c r="C10"/>
  <c r="C9"/>
  <c r="C8"/>
  <c r="C7"/>
  <c r="C6"/>
  <c r="Y164" i="26"/>
  <c r="W164"/>
  <c r="U164"/>
  <c r="S164"/>
  <c r="O164"/>
  <c r="M164"/>
  <c r="K164"/>
  <c r="I164"/>
  <c r="G164"/>
  <c r="E164"/>
  <c r="C164"/>
  <c r="C153"/>
  <c r="AA148"/>
  <c r="Y144"/>
  <c r="Y104" i="18" s="1"/>
  <c r="W144" i="26"/>
  <c r="W104" i="18" s="1"/>
  <c r="U144" i="26"/>
  <c r="U104" i="18" s="1"/>
  <c r="S144" i="26"/>
  <c r="S166" s="1"/>
  <c r="Q144"/>
  <c r="Q104" i="18" s="1"/>
  <c r="O144" i="26"/>
  <c r="O104" i="18" s="1"/>
  <c r="AA143" i="26"/>
  <c r="AA141"/>
  <c r="AA140"/>
  <c r="AA139"/>
  <c r="AA136"/>
  <c r="AC136"/>
  <c r="AA133"/>
  <c r="AA128"/>
  <c r="AC128"/>
  <c r="AA127"/>
  <c r="AC127"/>
  <c r="AA125"/>
  <c r="AC125"/>
  <c r="AA124"/>
  <c r="AC124"/>
  <c r="AA123"/>
  <c r="AC123"/>
  <c r="AA122"/>
  <c r="AC122"/>
  <c r="AA121"/>
  <c r="AC121"/>
  <c r="AA117"/>
  <c r="AC117" s="1"/>
  <c r="AD117" s="1"/>
  <c r="AA116"/>
  <c r="AC116"/>
  <c r="AA92"/>
  <c r="AC92"/>
  <c r="AA91"/>
  <c r="AC89"/>
  <c r="AC88"/>
  <c r="AC93" s="1"/>
  <c r="AD93" s="1"/>
  <c r="AC87"/>
  <c r="AC86"/>
  <c r="AC85"/>
  <c r="AC84"/>
  <c r="AC83"/>
  <c r="AC82"/>
  <c r="AC81"/>
  <c r="AC80"/>
  <c r="AC79"/>
  <c r="AC78"/>
  <c r="AC77"/>
  <c r="AA69"/>
  <c r="AC69"/>
  <c r="AA67"/>
  <c r="AC67"/>
  <c r="AA66"/>
  <c r="AA65"/>
  <c r="AC65"/>
  <c r="AA64"/>
  <c r="AC64"/>
  <c r="AA63"/>
  <c r="AC63"/>
  <c r="AA61"/>
  <c r="AC61"/>
  <c r="AA60"/>
  <c r="AC60"/>
  <c r="AA59"/>
  <c r="AC59"/>
  <c r="AA58"/>
  <c r="AC58"/>
  <c r="AA57"/>
  <c r="AC57"/>
  <c r="AA54"/>
  <c r="AC54"/>
  <c r="AA52"/>
  <c r="AC52"/>
  <c r="AA50"/>
  <c r="AC50"/>
  <c r="AA49"/>
  <c r="AC49"/>
  <c r="AA48"/>
  <c r="AC48"/>
  <c r="AA45"/>
  <c r="AC45"/>
  <c r="AA44"/>
  <c r="AC44"/>
  <c r="AA43"/>
  <c r="Y41"/>
  <c r="W41"/>
  <c r="U41"/>
  <c r="S41"/>
  <c r="Q41"/>
  <c r="O41"/>
  <c r="E41"/>
  <c r="C41"/>
  <c r="AA40"/>
  <c r="AA39"/>
  <c r="AA38"/>
  <c r="AA34"/>
  <c r="AC34"/>
  <c r="AA33"/>
  <c r="AC33"/>
  <c r="AA32"/>
  <c r="AC32"/>
  <c r="AA31"/>
  <c r="AC31"/>
  <c r="AA30"/>
  <c r="AC30"/>
  <c r="AA29"/>
  <c r="AC29"/>
  <c r="AA28"/>
  <c r="AC28"/>
  <c r="AA26"/>
  <c r="AC26"/>
  <c r="AA24"/>
  <c r="AC24"/>
  <c r="AA23"/>
  <c r="AC23"/>
  <c r="AA22"/>
  <c r="AC22"/>
  <c r="AA20"/>
  <c r="AA19"/>
  <c r="AC19"/>
  <c r="AA18"/>
  <c r="Y15"/>
  <c r="W15"/>
  <c r="U15"/>
  <c r="S15"/>
  <c r="Q15"/>
  <c r="O15"/>
  <c r="E15"/>
  <c r="C15"/>
  <c r="AA14"/>
  <c r="AA13"/>
  <c r="AC13"/>
  <c r="Y12"/>
  <c r="W12"/>
  <c r="U12"/>
  <c r="S12"/>
  <c r="Q12"/>
  <c r="O12"/>
  <c r="E12"/>
  <c r="C12"/>
  <c r="AA11"/>
  <c r="AA10"/>
  <c r="AC10"/>
  <c r="AA8"/>
  <c r="AC8"/>
  <c r="AA7"/>
  <c r="AC7"/>
  <c r="AA6"/>
  <c r="D62"/>
  <c r="D26"/>
  <c r="D25"/>
  <c r="D68"/>
  <c r="D72"/>
  <c r="D128"/>
  <c r="D127"/>
  <c r="C126"/>
  <c r="D126"/>
  <c r="D125"/>
  <c r="D122"/>
  <c r="D121"/>
  <c r="D120"/>
  <c r="D119"/>
  <c r="D118"/>
  <c r="D116"/>
  <c r="T62"/>
  <c r="T26"/>
  <c r="T25"/>
  <c r="T68"/>
  <c r="T72"/>
  <c r="T128"/>
  <c r="T127"/>
  <c r="S126"/>
  <c r="T126"/>
  <c r="T125"/>
  <c r="T122"/>
  <c r="T121"/>
  <c r="T120"/>
  <c r="T119"/>
  <c r="T118"/>
  <c r="T116"/>
  <c r="R62"/>
  <c r="R26"/>
  <c r="R25"/>
  <c r="R68"/>
  <c r="R72"/>
  <c r="R116"/>
  <c r="Q126"/>
  <c r="R126"/>
  <c r="R125"/>
  <c r="R122"/>
  <c r="R121"/>
  <c r="R120"/>
  <c r="R119"/>
  <c r="R118"/>
  <c r="R128"/>
  <c r="R127"/>
  <c r="Z62"/>
  <c r="Z26"/>
  <c r="Z25"/>
  <c r="Z68"/>
  <c r="Z72"/>
  <c r="Z125"/>
  <c r="Z122"/>
  <c r="Z121"/>
  <c r="Z120"/>
  <c r="Z119"/>
  <c r="Z118"/>
  <c r="Z116"/>
  <c r="Z128"/>
  <c r="Z127"/>
  <c r="Y126"/>
  <c r="Z126"/>
  <c r="P62"/>
  <c r="P26"/>
  <c r="P25"/>
  <c r="P68"/>
  <c r="P72"/>
  <c r="P125"/>
  <c r="P122"/>
  <c r="P121"/>
  <c r="P120"/>
  <c r="P119"/>
  <c r="P118"/>
  <c r="P116"/>
  <c r="P128"/>
  <c r="P127"/>
  <c r="O126"/>
  <c r="P126"/>
  <c r="X62"/>
  <c r="X26"/>
  <c r="X25"/>
  <c r="X68"/>
  <c r="X72"/>
  <c r="X125"/>
  <c r="X122"/>
  <c r="X121"/>
  <c r="X120"/>
  <c r="X119"/>
  <c r="X118"/>
  <c r="X116"/>
  <c r="W126"/>
  <c r="X126"/>
  <c r="X128"/>
  <c r="X127"/>
  <c r="F62"/>
  <c r="F72"/>
  <c r="F26"/>
  <c r="F25"/>
  <c r="F68"/>
  <c r="E126"/>
  <c r="F128"/>
  <c r="F127"/>
  <c r="F116"/>
  <c r="F125"/>
  <c r="F122"/>
  <c r="F121"/>
  <c r="F120"/>
  <c r="F119"/>
  <c r="F118"/>
  <c r="V62"/>
  <c r="V72"/>
  <c r="V26"/>
  <c r="V25"/>
  <c r="V68"/>
  <c r="U126"/>
  <c r="V126"/>
  <c r="V128"/>
  <c r="V127"/>
  <c r="V125"/>
  <c r="V122"/>
  <c r="V121"/>
  <c r="V120"/>
  <c r="V119"/>
  <c r="V118"/>
  <c r="V116"/>
  <c r="Z47"/>
  <c r="Z51"/>
  <c r="Z17"/>
  <c r="Z142"/>
  <c r="Z111"/>
  <c r="Z107"/>
  <c r="Z103"/>
  <c r="Z99"/>
  <c r="Z95"/>
  <c r="Z114"/>
  <c r="Z112"/>
  <c r="Z108"/>
  <c r="Z104"/>
  <c r="Z100"/>
  <c r="Z96"/>
  <c r="Z113"/>
  <c r="Z109"/>
  <c r="Z105"/>
  <c r="Z101"/>
  <c r="Z97"/>
  <c r="Z110"/>
  <c r="Z106"/>
  <c r="Z102"/>
  <c r="Z98"/>
  <c r="Z94"/>
  <c r="Z66"/>
  <c r="Z73"/>
  <c r="Z69"/>
  <c r="Z74"/>
  <c r="Z70"/>
  <c r="Z115"/>
  <c r="Z75"/>
  <c r="Z71"/>
  <c r="X47"/>
  <c r="W46"/>
  <c r="X46"/>
  <c r="W17"/>
  <c r="X17"/>
  <c r="X51"/>
  <c r="X142"/>
  <c r="X75"/>
  <c r="X73"/>
  <c r="X71"/>
  <c r="X69"/>
  <c r="X115"/>
  <c r="X74"/>
  <c r="X70"/>
  <c r="X66"/>
  <c r="V51"/>
  <c r="U46"/>
  <c r="V46"/>
  <c r="V17"/>
  <c r="V47"/>
  <c r="V142"/>
  <c r="V66"/>
  <c r="V75"/>
  <c r="V71"/>
  <c r="V74"/>
  <c r="V70"/>
  <c r="V115"/>
  <c r="V73"/>
  <c r="V69"/>
  <c r="T51"/>
  <c r="T47"/>
  <c r="S17"/>
  <c r="S46"/>
  <c r="T46"/>
  <c r="R51"/>
  <c r="Q46"/>
  <c r="R46"/>
  <c r="Q17"/>
  <c r="R47"/>
  <c r="P47"/>
  <c r="O46"/>
  <c r="P46"/>
  <c r="P51"/>
  <c r="P17"/>
  <c r="E46"/>
  <c r="F46"/>
  <c r="F51"/>
  <c r="F47"/>
  <c r="D51"/>
  <c r="D47"/>
  <c r="C46"/>
  <c r="D46"/>
  <c r="T142"/>
  <c r="T17"/>
  <c r="T74"/>
  <c r="T70"/>
  <c r="T115"/>
  <c r="T75"/>
  <c r="T73"/>
  <c r="T71"/>
  <c r="T69"/>
  <c r="T66"/>
  <c r="R142"/>
  <c r="R17"/>
  <c r="R73"/>
  <c r="R69"/>
  <c r="R70"/>
  <c r="R71"/>
  <c r="R115"/>
  <c r="R66"/>
  <c r="R74"/>
  <c r="R75"/>
  <c r="P142"/>
  <c r="P75"/>
  <c r="P73"/>
  <c r="P71"/>
  <c r="P69"/>
  <c r="P115"/>
  <c r="P74"/>
  <c r="P70"/>
  <c r="P66"/>
  <c r="AA93"/>
  <c r="AC91"/>
  <c r="F142"/>
  <c r="F17"/>
  <c r="F73"/>
  <c r="F74"/>
  <c r="F70"/>
  <c r="F66"/>
  <c r="F115"/>
  <c r="F75"/>
  <c r="F71"/>
  <c r="F69"/>
  <c r="D17"/>
  <c r="D142"/>
  <c r="D66"/>
  <c r="D75"/>
  <c r="D71"/>
  <c r="D74"/>
  <c r="D70"/>
  <c r="D115"/>
  <c r="D73"/>
  <c r="D69"/>
  <c r="AC66"/>
  <c r="F55"/>
  <c r="D55"/>
  <c r="Z55"/>
  <c r="X55"/>
  <c r="V55"/>
  <c r="T55"/>
  <c r="R55"/>
  <c r="P55"/>
  <c r="Z56"/>
  <c r="Z53"/>
  <c r="X53"/>
  <c r="X56"/>
  <c r="V56"/>
  <c r="V53"/>
  <c r="T53"/>
  <c r="T56"/>
  <c r="R56"/>
  <c r="R53"/>
  <c r="P53"/>
  <c r="P56"/>
  <c r="F56"/>
  <c r="F53"/>
  <c r="D53"/>
  <c r="D56"/>
  <c r="Z13" i="12"/>
  <c r="Z14"/>
  <c r="X13"/>
  <c r="X14"/>
  <c r="V13"/>
  <c r="V14"/>
  <c r="N13"/>
  <c r="N14"/>
  <c r="J13"/>
  <c r="J14"/>
  <c r="R19" i="26"/>
  <c r="Z19"/>
  <c r="F19"/>
  <c r="P19"/>
  <c r="X19"/>
  <c r="T19"/>
  <c r="D140"/>
  <c r="D19"/>
  <c r="V19"/>
  <c r="R43"/>
  <c r="Z43"/>
  <c r="P43"/>
  <c r="X43"/>
  <c r="V43"/>
  <c r="T33"/>
  <c r="T43"/>
  <c r="D93"/>
  <c r="D34"/>
  <c r="T40"/>
  <c r="P34"/>
  <c r="X32"/>
  <c r="D28"/>
  <c r="T29"/>
  <c r="D31"/>
  <c r="D38"/>
  <c r="D40"/>
  <c r="D136"/>
  <c r="D29"/>
  <c r="D32"/>
  <c r="D138"/>
  <c r="T143"/>
  <c r="AA15"/>
  <c r="AC15"/>
  <c r="D30"/>
  <c r="D33"/>
  <c r="D39"/>
  <c r="T31"/>
  <c r="T38"/>
  <c r="X29"/>
  <c r="X30"/>
  <c r="X33"/>
  <c r="X34"/>
  <c r="X144"/>
  <c r="X28"/>
  <c r="X31"/>
  <c r="T28"/>
  <c r="T30"/>
  <c r="T32"/>
  <c r="T34"/>
  <c r="T39"/>
  <c r="T137"/>
  <c r="T139"/>
  <c r="T141"/>
  <c r="P28"/>
  <c r="P29"/>
  <c r="P30"/>
  <c r="P31"/>
  <c r="P32"/>
  <c r="P33"/>
  <c r="F143"/>
  <c r="F141"/>
  <c r="F140"/>
  <c r="F139"/>
  <c r="F138"/>
  <c r="F137"/>
  <c r="F136"/>
  <c r="F148"/>
  <c r="F90"/>
  <c r="F40"/>
  <c r="F39"/>
  <c r="F38"/>
  <c r="F92"/>
  <c r="F89"/>
  <c r="F87"/>
  <c r="F85"/>
  <c r="F83"/>
  <c r="F81"/>
  <c r="F79"/>
  <c r="F77"/>
  <c r="F65"/>
  <c r="F63"/>
  <c r="F61"/>
  <c r="F59"/>
  <c r="F57"/>
  <c r="F49"/>
  <c r="F45"/>
  <c r="F43"/>
  <c r="F34"/>
  <c r="F33"/>
  <c r="F32"/>
  <c r="F31"/>
  <c r="F30"/>
  <c r="F29"/>
  <c r="F28"/>
  <c r="E16"/>
  <c r="J148"/>
  <c r="R143"/>
  <c r="R141"/>
  <c r="R140"/>
  <c r="R139"/>
  <c r="R138"/>
  <c r="R137"/>
  <c r="R136"/>
  <c r="R148"/>
  <c r="R93"/>
  <c r="R40"/>
  <c r="R39"/>
  <c r="R38"/>
  <c r="R91"/>
  <c r="R90"/>
  <c r="R88"/>
  <c r="R86"/>
  <c r="R84"/>
  <c r="R82"/>
  <c r="R80"/>
  <c r="R78"/>
  <c r="R64"/>
  <c r="R60"/>
  <c r="R58"/>
  <c r="R54"/>
  <c r="R52"/>
  <c r="R50"/>
  <c r="R48"/>
  <c r="R44"/>
  <c r="R34"/>
  <c r="R33"/>
  <c r="R32"/>
  <c r="R31"/>
  <c r="R30"/>
  <c r="R29"/>
  <c r="R28"/>
  <c r="Q16"/>
  <c r="V143"/>
  <c r="V141"/>
  <c r="V140"/>
  <c r="V139"/>
  <c r="V138"/>
  <c r="V137"/>
  <c r="V136"/>
  <c r="V148"/>
  <c r="V93"/>
  <c r="V92"/>
  <c r="V40"/>
  <c r="V39"/>
  <c r="V38"/>
  <c r="V89"/>
  <c r="V87"/>
  <c r="V85"/>
  <c r="V83"/>
  <c r="V81"/>
  <c r="V79"/>
  <c r="V77"/>
  <c r="V65"/>
  <c r="V63"/>
  <c r="V61"/>
  <c r="V59"/>
  <c r="V57"/>
  <c r="V49"/>
  <c r="V45"/>
  <c r="V34"/>
  <c r="V33"/>
  <c r="V32"/>
  <c r="V31"/>
  <c r="V30"/>
  <c r="V29"/>
  <c r="V28"/>
  <c r="U16"/>
  <c r="Z143"/>
  <c r="Z141"/>
  <c r="Z140"/>
  <c r="Z139"/>
  <c r="Z138"/>
  <c r="Z137"/>
  <c r="Z136"/>
  <c r="Z93"/>
  <c r="Z40"/>
  <c r="Z39"/>
  <c r="Z38"/>
  <c r="Z92"/>
  <c r="Z91"/>
  <c r="Z90"/>
  <c r="Z88"/>
  <c r="Z86"/>
  <c r="Z84"/>
  <c r="Z82"/>
  <c r="Z80"/>
  <c r="Z78"/>
  <c r="Z64"/>
  <c r="Z60"/>
  <c r="Z58"/>
  <c r="Z54"/>
  <c r="Z52"/>
  <c r="Z50"/>
  <c r="Z48"/>
  <c r="Z44"/>
  <c r="Z34"/>
  <c r="Z33"/>
  <c r="Z32"/>
  <c r="Z31"/>
  <c r="Z30"/>
  <c r="Z29"/>
  <c r="Z28"/>
  <c r="Y16"/>
  <c r="Z148"/>
  <c r="P93"/>
  <c r="P90"/>
  <c r="D41"/>
  <c r="P41"/>
  <c r="T41"/>
  <c r="X41"/>
  <c r="F22"/>
  <c r="V22"/>
  <c r="R23"/>
  <c r="Z23"/>
  <c r="F24"/>
  <c r="V24"/>
  <c r="F44"/>
  <c r="V44"/>
  <c r="R45"/>
  <c r="F48"/>
  <c r="V48"/>
  <c r="R49"/>
  <c r="F50"/>
  <c r="V50"/>
  <c r="F52"/>
  <c r="V52"/>
  <c r="F54"/>
  <c r="V54"/>
  <c r="R57"/>
  <c r="F58"/>
  <c r="V58"/>
  <c r="R59"/>
  <c r="F60"/>
  <c r="V60"/>
  <c r="R61"/>
  <c r="R63"/>
  <c r="F64"/>
  <c r="V64"/>
  <c r="R65"/>
  <c r="R77"/>
  <c r="F78"/>
  <c r="V78"/>
  <c r="R79"/>
  <c r="F80"/>
  <c r="V80"/>
  <c r="R81"/>
  <c r="F82"/>
  <c r="V82"/>
  <c r="R83"/>
  <c r="F84"/>
  <c r="V84"/>
  <c r="R85"/>
  <c r="F86"/>
  <c r="V86"/>
  <c r="R87"/>
  <c r="F88"/>
  <c r="V88"/>
  <c r="R89"/>
  <c r="R22"/>
  <c r="Z22"/>
  <c r="F23"/>
  <c r="V23"/>
  <c r="R24"/>
  <c r="Z24"/>
  <c r="AA41"/>
  <c r="Z45"/>
  <c r="Z49"/>
  <c r="Z57"/>
  <c r="Z59"/>
  <c r="Z61"/>
  <c r="Z63"/>
  <c r="Z65"/>
  <c r="Z77"/>
  <c r="Z79"/>
  <c r="Z81"/>
  <c r="Z83"/>
  <c r="Z85"/>
  <c r="Z87"/>
  <c r="Z89"/>
  <c r="V90"/>
  <c r="F91"/>
  <c r="V91"/>
  <c r="R92"/>
  <c r="F93"/>
  <c r="D144"/>
  <c r="C166"/>
  <c r="K166"/>
  <c r="P144"/>
  <c r="O166"/>
  <c r="D148"/>
  <c r="D92"/>
  <c r="D91"/>
  <c r="D89"/>
  <c r="D88"/>
  <c r="D87"/>
  <c r="D86"/>
  <c r="D85"/>
  <c r="D84"/>
  <c r="D83"/>
  <c r="D82"/>
  <c r="D81"/>
  <c r="D80"/>
  <c r="D79"/>
  <c r="D78"/>
  <c r="D77"/>
  <c r="D65"/>
  <c r="D64"/>
  <c r="D63"/>
  <c r="D61"/>
  <c r="D60"/>
  <c r="D59"/>
  <c r="D58"/>
  <c r="D57"/>
  <c r="D54"/>
  <c r="D52"/>
  <c r="D50"/>
  <c r="D49"/>
  <c r="D48"/>
  <c r="D45"/>
  <c r="D44"/>
  <c r="D43"/>
  <c r="L148"/>
  <c r="P148"/>
  <c r="P143"/>
  <c r="P141"/>
  <c r="P140"/>
  <c r="P139"/>
  <c r="P138"/>
  <c r="P137"/>
  <c r="P136"/>
  <c r="P92"/>
  <c r="P91"/>
  <c r="P89"/>
  <c r="P88"/>
  <c r="P87"/>
  <c r="P86"/>
  <c r="P85"/>
  <c r="P84"/>
  <c r="P83"/>
  <c r="P82"/>
  <c r="P81"/>
  <c r="P80"/>
  <c r="P79"/>
  <c r="P78"/>
  <c r="P77"/>
  <c r="P65"/>
  <c r="P64"/>
  <c r="P63"/>
  <c r="P61"/>
  <c r="P60"/>
  <c r="P59"/>
  <c r="P58"/>
  <c r="P57"/>
  <c r="P54"/>
  <c r="P52"/>
  <c r="P50"/>
  <c r="P49"/>
  <c r="P48"/>
  <c r="P45"/>
  <c r="P44"/>
  <c r="T148"/>
  <c r="T92"/>
  <c r="T93"/>
  <c r="T91"/>
  <c r="T90"/>
  <c r="T89"/>
  <c r="T88"/>
  <c r="T87"/>
  <c r="T86"/>
  <c r="T85"/>
  <c r="T84"/>
  <c r="T83"/>
  <c r="T82"/>
  <c r="T81"/>
  <c r="T80"/>
  <c r="T79"/>
  <c r="T78"/>
  <c r="T77"/>
  <c r="T65"/>
  <c r="T64"/>
  <c r="T63"/>
  <c r="T61"/>
  <c r="T60"/>
  <c r="T59"/>
  <c r="T58"/>
  <c r="T57"/>
  <c r="T54"/>
  <c r="T52"/>
  <c r="T50"/>
  <c r="T49"/>
  <c r="T48"/>
  <c r="T45"/>
  <c r="T44"/>
  <c r="X148"/>
  <c r="X143"/>
  <c r="X141"/>
  <c r="X140"/>
  <c r="X139"/>
  <c r="X138"/>
  <c r="X137"/>
  <c r="X136"/>
  <c r="X92"/>
  <c r="X93"/>
  <c r="X91"/>
  <c r="X90"/>
  <c r="X89"/>
  <c r="X88"/>
  <c r="X87"/>
  <c r="X86"/>
  <c r="X85"/>
  <c r="X84"/>
  <c r="X83"/>
  <c r="X82"/>
  <c r="X81"/>
  <c r="X80"/>
  <c r="X79"/>
  <c r="X78"/>
  <c r="X77"/>
  <c r="X65"/>
  <c r="X64"/>
  <c r="X63"/>
  <c r="X61"/>
  <c r="X60"/>
  <c r="X59"/>
  <c r="X58"/>
  <c r="X57"/>
  <c r="X54"/>
  <c r="X52"/>
  <c r="X50"/>
  <c r="X49"/>
  <c r="X48"/>
  <c r="X45"/>
  <c r="X44"/>
  <c r="F41"/>
  <c r="R41"/>
  <c r="V41"/>
  <c r="Z41"/>
  <c r="C16"/>
  <c r="O16"/>
  <c r="S16"/>
  <c r="W16"/>
  <c r="D22"/>
  <c r="P22"/>
  <c r="T22"/>
  <c r="X22"/>
  <c r="D23"/>
  <c r="P23"/>
  <c r="T23"/>
  <c r="X23"/>
  <c r="D24"/>
  <c r="P24"/>
  <c r="T24"/>
  <c r="X24"/>
  <c r="P38"/>
  <c r="X38"/>
  <c r="P39"/>
  <c r="X39"/>
  <c r="P40"/>
  <c r="X40"/>
  <c r="D90"/>
  <c r="T136"/>
  <c r="D137"/>
  <c r="T138"/>
  <c r="D139"/>
  <c r="T140"/>
  <c r="D141"/>
  <c r="D143"/>
  <c r="W166"/>
  <c r="AC90"/>
  <c r="E166"/>
  <c r="F144"/>
  <c r="I166"/>
  <c r="M166"/>
  <c r="R144"/>
  <c r="U166"/>
  <c r="V144"/>
  <c r="Y166"/>
  <c r="Z144"/>
  <c r="O42"/>
  <c r="F126"/>
  <c r="E129"/>
  <c r="F129" s="1"/>
  <c r="E42"/>
  <c r="S100" i="18"/>
  <c r="S42" i="26"/>
  <c r="S157"/>
  <c r="Q100" i="18"/>
  <c r="Q42" i="26"/>
  <c r="Q157"/>
  <c r="C100" i="18"/>
  <c r="C42" i="26"/>
  <c r="C76"/>
  <c r="Y46"/>
  <c r="Z46"/>
  <c r="Y100" i="18"/>
  <c r="W100"/>
  <c r="U100"/>
  <c r="E76" i="26"/>
  <c r="E100" i="18"/>
  <c r="O100"/>
  <c r="O76" i="26"/>
  <c r="W21"/>
  <c r="O21"/>
  <c r="P21" s="1"/>
  <c r="W42"/>
  <c r="W76"/>
  <c r="X16"/>
  <c r="P16"/>
  <c r="Y42"/>
  <c r="Y76"/>
  <c r="Z16"/>
  <c r="U42"/>
  <c r="U76"/>
  <c r="V16"/>
  <c r="Q21"/>
  <c r="E21"/>
  <c r="S21"/>
  <c r="C21"/>
  <c r="D21" s="1"/>
  <c r="T16"/>
  <c r="D16"/>
  <c r="Y21"/>
  <c r="Z21" s="1"/>
  <c r="U21"/>
  <c r="V21" s="1"/>
  <c r="R16"/>
  <c r="F16"/>
  <c r="AA66" i="23"/>
  <c r="Q76" i="26"/>
  <c r="S76"/>
  <c r="AA100" i="18"/>
  <c r="AA46" i="26"/>
  <c r="AC46"/>
  <c r="AA27"/>
  <c r="AC27" s="1"/>
  <c r="AD27" s="1"/>
  <c r="D76"/>
  <c r="D42"/>
  <c r="Y129"/>
  <c r="Z129" s="1"/>
  <c r="W129"/>
  <c r="X129" s="1"/>
  <c r="U129"/>
  <c r="V129" s="1"/>
  <c r="S129"/>
  <c r="T129" s="1"/>
  <c r="Q35"/>
  <c r="R42"/>
  <c r="C35"/>
  <c r="D35" s="1"/>
  <c r="S35"/>
  <c r="T35" s="1"/>
  <c r="T21"/>
  <c r="O35"/>
  <c r="P35"/>
  <c r="O129"/>
  <c r="P129" s="1"/>
  <c r="X42"/>
  <c r="X21"/>
  <c r="E35"/>
  <c r="F35" s="1"/>
  <c r="F42"/>
  <c r="Q129"/>
  <c r="C129"/>
  <c r="D129" s="1"/>
  <c r="T42"/>
  <c r="F21"/>
  <c r="R21"/>
  <c r="U35"/>
  <c r="V35" s="1"/>
  <c r="V42"/>
  <c r="Y35"/>
  <c r="Z35" s="1"/>
  <c r="Z42"/>
  <c r="P42"/>
  <c r="W35"/>
  <c r="X35" s="1"/>
  <c r="R35"/>
  <c r="R129"/>
  <c r="C36"/>
  <c r="C37" s="1"/>
  <c r="Q36"/>
  <c r="Q101" i="18" s="1"/>
  <c r="Z76" i="26"/>
  <c r="Y145"/>
  <c r="V76"/>
  <c r="U145"/>
  <c r="V145" s="1"/>
  <c r="C145"/>
  <c r="D145" s="1"/>
  <c r="R76"/>
  <c r="Q145"/>
  <c r="R145" s="1"/>
  <c r="Y36"/>
  <c r="Y101" i="18" s="1"/>
  <c r="U36" i="26"/>
  <c r="V36" s="1"/>
  <c r="P76"/>
  <c r="O145"/>
  <c r="T76"/>
  <c r="S145"/>
  <c r="T145" s="1"/>
  <c r="F76"/>
  <c r="E145"/>
  <c r="F145" s="1"/>
  <c r="X76"/>
  <c r="W145"/>
  <c r="X145" s="1"/>
  <c r="W36"/>
  <c r="W101" i="18" s="1"/>
  <c r="O36" i="26"/>
  <c r="O37" s="1"/>
  <c r="S36"/>
  <c r="S101" i="18" s="1"/>
  <c r="C101"/>
  <c r="Z145" i="26"/>
  <c r="Q37"/>
  <c r="AI145"/>
  <c r="D36"/>
  <c r="R36"/>
  <c r="X36"/>
  <c r="Y37"/>
  <c r="Y131" s="1"/>
  <c r="T36"/>
  <c r="S37"/>
  <c r="U37"/>
  <c r="V37" s="1"/>
  <c r="C65" i="12"/>
  <c r="Q131" i="26"/>
  <c r="Q135" s="1"/>
  <c r="R135" s="1"/>
  <c r="R37"/>
  <c r="U131"/>
  <c r="V131" s="1"/>
  <c r="T37"/>
  <c r="S131"/>
  <c r="T131" s="1"/>
  <c r="Z37"/>
  <c r="S135"/>
  <c r="S146" s="1"/>
  <c r="O65" i="12"/>
  <c r="Q62"/>
  <c r="Q65"/>
  <c r="Y62"/>
  <c r="O62"/>
  <c r="K65"/>
  <c r="I65"/>
  <c r="S65"/>
  <c r="S62"/>
  <c r="G65"/>
  <c r="E65"/>
  <c r="M65"/>
  <c r="AF126" i="23"/>
  <c r="AA62" i="12"/>
  <c r="AC62"/>
  <c r="Y57"/>
  <c r="W57"/>
  <c r="U57"/>
  <c r="S57"/>
  <c r="Q57"/>
  <c r="O57"/>
  <c r="M57"/>
  <c r="AC151" i="25"/>
  <c r="AC149"/>
  <c r="AC147"/>
  <c r="AC134"/>
  <c r="AC132"/>
  <c r="AC130"/>
  <c r="Y43" i="12"/>
  <c r="W43"/>
  <c r="K57"/>
  <c r="I57"/>
  <c r="G57"/>
  <c r="E57"/>
  <c r="C57"/>
  <c r="W55"/>
  <c r="Q55"/>
  <c r="K55"/>
  <c r="E55"/>
  <c r="U43"/>
  <c r="S43"/>
  <c r="Q43"/>
  <c r="O43"/>
  <c r="M43"/>
  <c r="K43"/>
  <c r="I43"/>
  <c r="G43"/>
  <c r="C43"/>
  <c r="E43"/>
  <c r="AA43"/>
  <c r="AC43"/>
  <c r="AA55"/>
  <c r="AC55"/>
  <c r="AA57"/>
  <c r="AC57"/>
  <c r="W93" i="20"/>
  <c r="W60" i="18" s="1"/>
  <c r="U93" i="20"/>
  <c r="U60" i="18" s="1"/>
  <c r="Q93" i="20"/>
  <c r="Q60" i="18" s="1"/>
  <c r="Y93" i="2"/>
  <c r="Y7" i="18" s="1"/>
  <c r="W93" i="2"/>
  <c r="W7" i="18" s="1"/>
  <c r="U93" i="2"/>
  <c r="U7" i="18" s="1"/>
  <c r="S93" i="2"/>
  <c r="S7" i="18" s="1"/>
  <c r="AC151" i="2"/>
  <c r="AC149"/>
  <c r="AC147"/>
  <c r="AC134"/>
  <c r="AC132"/>
  <c r="AC130"/>
  <c r="G142" i="12"/>
  <c r="C93" i="4"/>
  <c r="C24" i="18" s="1"/>
  <c r="Y65" i="12"/>
  <c r="W65"/>
  <c r="U65"/>
  <c r="AA65"/>
  <c r="AC65"/>
  <c r="Y144" i="25"/>
  <c r="W144"/>
  <c r="U144"/>
  <c r="S144"/>
  <c r="Q144"/>
  <c r="W93"/>
  <c r="W87" i="18" s="1"/>
  <c r="S93" i="25"/>
  <c r="S87" i="18" s="1"/>
  <c r="Q93" i="25"/>
  <c r="Q87" i="18" s="1"/>
  <c r="Z91" i="25"/>
  <c r="X91"/>
  <c r="V91"/>
  <c r="T91"/>
  <c r="R91"/>
  <c r="Y93"/>
  <c r="Y87" i="18" s="1"/>
  <c r="U93" i="25"/>
  <c r="U87" i="18" s="1"/>
  <c r="Y41" i="25"/>
  <c r="W41"/>
  <c r="U41"/>
  <c r="S41"/>
  <c r="Q41"/>
  <c r="Y15"/>
  <c r="W15"/>
  <c r="U15"/>
  <c r="S15"/>
  <c r="Q15"/>
  <c r="W12"/>
  <c r="S12"/>
  <c r="Q12"/>
  <c r="Y144" i="24"/>
  <c r="W144"/>
  <c r="W95" i="18" s="1"/>
  <c r="U144" i="24"/>
  <c r="U95" i="18" s="1"/>
  <c r="S144" i="24"/>
  <c r="S95" i="18" s="1"/>
  <c r="Q144" i="24"/>
  <c r="W93"/>
  <c r="W96" i="18" s="1"/>
  <c r="S93" i="24"/>
  <c r="S96" i="18" s="1"/>
  <c r="Q93" i="24"/>
  <c r="Q96" i="18" s="1"/>
  <c r="Y93" i="24"/>
  <c r="Y96" i="18" s="1"/>
  <c r="U93" i="24"/>
  <c r="U96" i="18" s="1"/>
  <c r="Y41" i="24"/>
  <c r="W41"/>
  <c r="U41"/>
  <c r="S41"/>
  <c r="Q41"/>
  <c r="Y15"/>
  <c r="W15"/>
  <c r="U15"/>
  <c r="S15"/>
  <c r="Q15"/>
  <c r="U12"/>
  <c r="Y12"/>
  <c r="W12"/>
  <c r="S12"/>
  <c r="T62"/>
  <c r="T26"/>
  <c r="T25"/>
  <c r="T68"/>
  <c r="T72"/>
  <c r="T128"/>
  <c r="T127"/>
  <c r="S126"/>
  <c r="T126"/>
  <c r="T125"/>
  <c r="T122"/>
  <c r="T121"/>
  <c r="T120"/>
  <c r="T119"/>
  <c r="T118"/>
  <c r="T116"/>
  <c r="V62"/>
  <c r="V26"/>
  <c r="V25"/>
  <c r="V68"/>
  <c r="V72"/>
  <c r="V125"/>
  <c r="V122"/>
  <c r="V128"/>
  <c r="V116"/>
  <c r="V127"/>
  <c r="U126"/>
  <c r="V126"/>
  <c r="V121"/>
  <c r="V120"/>
  <c r="V119"/>
  <c r="V118"/>
  <c r="Z62"/>
  <c r="Z26"/>
  <c r="Z72"/>
  <c r="Z25"/>
  <c r="Z68"/>
  <c r="Z128"/>
  <c r="Z127"/>
  <c r="Y126"/>
  <c r="Z126"/>
  <c r="Z125"/>
  <c r="Z122"/>
  <c r="Z121"/>
  <c r="Z120"/>
  <c r="Z119"/>
  <c r="Z118"/>
  <c r="Z116"/>
  <c r="X62"/>
  <c r="X72"/>
  <c r="X26"/>
  <c r="X25"/>
  <c r="X68"/>
  <c r="X128"/>
  <c r="X127"/>
  <c r="W126"/>
  <c r="X126"/>
  <c r="X125"/>
  <c r="X122"/>
  <c r="X121"/>
  <c r="X120"/>
  <c r="X119"/>
  <c r="X118"/>
  <c r="X116"/>
  <c r="R72" i="25"/>
  <c r="R26"/>
  <c r="R25"/>
  <c r="R68"/>
  <c r="R128"/>
  <c r="R127"/>
  <c r="Q126"/>
  <c r="R125"/>
  <c r="R122"/>
  <c r="R121"/>
  <c r="R120"/>
  <c r="R119"/>
  <c r="R118"/>
  <c r="R116"/>
  <c r="X26"/>
  <c r="X25"/>
  <c r="X68"/>
  <c r="X72"/>
  <c r="X128"/>
  <c r="X127"/>
  <c r="X125"/>
  <c r="X122"/>
  <c r="X121"/>
  <c r="X120"/>
  <c r="X119"/>
  <c r="X118"/>
  <c r="X116"/>
  <c r="W126"/>
  <c r="X126"/>
  <c r="T26"/>
  <c r="T25"/>
  <c r="T68"/>
  <c r="T72"/>
  <c r="S126"/>
  <c r="T126"/>
  <c r="T125"/>
  <c r="T122"/>
  <c r="T121"/>
  <c r="T120"/>
  <c r="T119"/>
  <c r="T118"/>
  <c r="T116"/>
  <c r="T128"/>
  <c r="T127"/>
  <c r="R62"/>
  <c r="X62"/>
  <c r="T62"/>
  <c r="Z53" i="24"/>
  <c r="Z47"/>
  <c r="Z51"/>
  <c r="X51"/>
  <c r="W17"/>
  <c r="X17"/>
  <c r="X53"/>
  <c r="W46"/>
  <c r="X46"/>
  <c r="X47"/>
  <c r="V53"/>
  <c r="V51"/>
  <c r="V47"/>
  <c r="U46"/>
  <c r="V46"/>
  <c r="T51"/>
  <c r="T47"/>
  <c r="T53"/>
  <c r="S46"/>
  <c r="T46"/>
  <c r="X51" i="25"/>
  <c r="W46"/>
  <c r="X46"/>
  <c r="X47"/>
  <c r="X53"/>
  <c r="T51"/>
  <c r="T47"/>
  <c r="T53"/>
  <c r="S46"/>
  <c r="T46"/>
  <c r="R51"/>
  <c r="Q46"/>
  <c r="R46"/>
  <c r="R53"/>
  <c r="R47"/>
  <c r="Z142" i="24"/>
  <c r="Z17"/>
  <c r="Z114"/>
  <c r="Z112"/>
  <c r="Z110"/>
  <c r="Z108"/>
  <c r="Z106"/>
  <c r="Z104"/>
  <c r="Z103"/>
  <c r="Z101"/>
  <c r="Z99"/>
  <c r="Z97"/>
  <c r="Z95"/>
  <c r="Z113"/>
  <c r="Z111"/>
  <c r="Z109"/>
  <c r="Z107"/>
  <c r="Z105"/>
  <c r="Z102"/>
  <c r="Z100"/>
  <c r="Z98"/>
  <c r="Z96"/>
  <c r="Z94"/>
  <c r="Z74"/>
  <c r="Z70"/>
  <c r="Z66"/>
  <c r="Z115"/>
  <c r="Z75"/>
  <c r="Z73"/>
  <c r="Z71"/>
  <c r="Z69"/>
  <c r="X142"/>
  <c r="X115"/>
  <c r="X75"/>
  <c r="X74"/>
  <c r="X73"/>
  <c r="X71"/>
  <c r="X70"/>
  <c r="X69"/>
  <c r="X66"/>
  <c r="V142"/>
  <c r="V17"/>
  <c r="V74"/>
  <c r="V70"/>
  <c r="V66"/>
  <c r="V115"/>
  <c r="V75"/>
  <c r="V73"/>
  <c r="V71"/>
  <c r="V69"/>
  <c r="T142"/>
  <c r="T17"/>
  <c r="T115"/>
  <c r="T75"/>
  <c r="T74"/>
  <c r="T73"/>
  <c r="T71"/>
  <c r="T70"/>
  <c r="T69"/>
  <c r="T66"/>
  <c r="X142" i="25"/>
  <c r="X115"/>
  <c r="X75"/>
  <c r="X74"/>
  <c r="X73"/>
  <c r="X71"/>
  <c r="X70"/>
  <c r="X69"/>
  <c r="X66"/>
  <c r="T142"/>
  <c r="T115"/>
  <c r="T75"/>
  <c r="T74"/>
  <c r="T73"/>
  <c r="T71"/>
  <c r="T70"/>
  <c r="T69"/>
  <c r="T66"/>
  <c r="R142"/>
  <c r="R74"/>
  <c r="R70"/>
  <c r="R66"/>
  <c r="R115"/>
  <c r="R75"/>
  <c r="R73"/>
  <c r="R71"/>
  <c r="R69"/>
  <c r="Z55" i="24"/>
  <c r="X55"/>
  <c r="V55"/>
  <c r="T55"/>
  <c r="X55" i="25"/>
  <c r="T55"/>
  <c r="R55"/>
  <c r="Z56" i="24"/>
  <c r="X56"/>
  <c r="V56"/>
  <c r="T56"/>
  <c r="X17" i="25"/>
  <c r="X56"/>
  <c r="T56"/>
  <c r="R56"/>
  <c r="T17"/>
  <c r="R17"/>
  <c r="N19" i="24"/>
  <c r="V19"/>
  <c r="Z19"/>
  <c r="X19"/>
  <c r="T19"/>
  <c r="T19" i="25"/>
  <c r="X19"/>
  <c r="R19"/>
  <c r="V64" i="24"/>
  <c r="V43"/>
  <c r="V61"/>
  <c r="V60"/>
  <c r="V59"/>
  <c r="V58"/>
  <c r="V57"/>
  <c r="V54"/>
  <c r="V52"/>
  <c r="V50"/>
  <c r="V49"/>
  <c r="V48"/>
  <c r="V45"/>
  <c r="V44"/>
  <c r="V63"/>
  <c r="V65"/>
  <c r="T65"/>
  <c r="T61"/>
  <c r="T60"/>
  <c r="T59"/>
  <c r="T58"/>
  <c r="T57"/>
  <c r="T54"/>
  <c r="T52"/>
  <c r="T50"/>
  <c r="T49"/>
  <c r="T48"/>
  <c r="T45"/>
  <c r="T44"/>
  <c r="T64"/>
  <c r="T63"/>
  <c r="T43"/>
  <c r="Z45"/>
  <c r="Z61"/>
  <c r="Z60"/>
  <c r="Z59"/>
  <c r="Z58"/>
  <c r="Z57"/>
  <c r="Z54"/>
  <c r="Z52"/>
  <c r="Z50"/>
  <c r="Z49"/>
  <c r="Z48"/>
  <c r="Z64"/>
  <c r="Z63"/>
  <c r="Z44"/>
  <c r="Z43"/>
  <c r="Z65"/>
  <c r="N61"/>
  <c r="N60"/>
  <c r="N59"/>
  <c r="N58"/>
  <c r="N57"/>
  <c r="N54"/>
  <c r="N52"/>
  <c r="N50"/>
  <c r="N49"/>
  <c r="N48"/>
  <c r="N45"/>
  <c r="N44"/>
  <c r="N64"/>
  <c r="N63"/>
  <c r="N43"/>
  <c r="N65"/>
  <c r="X58"/>
  <c r="X57"/>
  <c r="X54"/>
  <c r="X49"/>
  <c r="X48"/>
  <c r="X44"/>
  <c r="X65"/>
  <c r="X64"/>
  <c r="X63"/>
  <c r="X61"/>
  <c r="X60"/>
  <c r="X59"/>
  <c r="X52"/>
  <c r="X50"/>
  <c r="X45"/>
  <c r="X43"/>
  <c r="Z34"/>
  <c r="V93"/>
  <c r="V28"/>
  <c r="V144"/>
  <c r="T58" i="25"/>
  <c r="S16"/>
  <c r="T24"/>
  <c r="R41"/>
  <c r="X143"/>
  <c r="X140"/>
  <c r="X136"/>
  <c r="X93"/>
  <c r="X90"/>
  <c r="X89"/>
  <c r="X85"/>
  <c r="X81"/>
  <c r="X77"/>
  <c r="X63"/>
  <c r="X59"/>
  <c r="X43"/>
  <c r="X32"/>
  <c r="X141"/>
  <c r="X137"/>
  <c r="X86"/>
  <c r="X82"/>
  <c r="X78"/>
  <c r="X64"/>
  <c r="X138"/>
  <c r="X87"/>
  <c r="X83"/>
  <c r="X79"/>
  <c r="X65"/>
  <c r="X61"/>
  <c r="X148"/>
  <c r="X139"/>
  <c r="X92"/>
  <c r="X84"/>
  <c r="X80"/>
  <c r="X58"/>
  <c r="X54"/>
  <c r="X50"/>
  <c r="X40"/>
  <c r="X31"/>
  <c r="X57"/>
  <c r="X49"/>
  <c r="X60"/>
  <c r="X52"/>
  <c r="X44"/>
  <c r="X38"/>
  <c r="X33"/>
  <c r="X22"/>
  <c r="W16"/>
  <c r="X45"/>
  <c r="X39"/>
  <c r="X34"/>
  <c r="X30"/>
  <c r="X23"/>
  <c r="X48"/>
  <c r="X29"/>
  <c r="X24"/>
  <c r="X28"/>
  <c r="J148"/>
  <c r="J84" i="18"/>
  <c r="Y12" i="25"/>
  <c r="T23"/>
  <c r="R24"/>
  <c r="T30"/>
  <c r="U12"/>
  <c r="Q16"/>
  <c r="T22"/>
  <c r="R23"/>
  <c r="T31"/>
  <c r="R32"/>
  <c r="T41"/>
  <c r="R43"/>
  <c r="T50"/>
  <c r="R59"/>
  <c r="R63"/>
  <c r="T144"/>
  <c r="L148"/>
  <c r="L84" i="18"/>
  <c r="T138" i="25"/>
  <c r="T93"/>
  <c r="T87"/>
  <c r="T83"/>
  <c r="T79"/>
  <c r="T65"/>
  <c r="T61"/>
  <c r="T57"/>
  <c r="T49"/>
  <c r="T45"/>
  <c r="T39"/>
  <c r="T34"/>
  <c r="T148"/>
  <c r="T139"/>
  <c r="T92"/>
  <c r="T90"/>
  <c r="T84"/>
  <c r="T80"/>
  <c r="T143"/>
  <c r="T140"/>
  <c r="T136"/>
  <c r="T89"/>
  <c r="T85"/>
  <c r="T81"/>
  <c r="T77"/>
  <c r="T63"/>
  <c r="T141"/>
  <c r="T137"/>
  <c r="T86"/>
  <c r="T82"/>
  <c r="T78"/>
  <c r="T64"/>
  <c r="T60"/>
  <c r="T52"/>
  <c r="T48"/>
  <c r="T44"/>
  <c r="T38"/>
  <c r="T33"/>
  <c r="T29"/>
  <c r="R22"/>
  <c r="T28"/>
  <c r="R31"/>
  <c r="X41"/>
  <c r="R48"/>
  <c r="R148"/>
  <c r="R139"/>
  <c r="R92"/>
  <c r="R90"/>
  <c r="R84"/>
  <c r="R80"/>
  <c r="R58"/>
  <c r="R54"/>
  <c r="R50"/>
  <c r="R40"/>
  <c r="R143"/>
  <c r="R140"/>
  <c r="R136"/>
  <c r="R89"/>
  <c r="R85"/>
  <c r="R81"/>
  <c r="R77"/>
  <c r="R141"/>
  <c r="R137"/>
  <c r="R86"/>
  <c r="R82"/>
  <c r="R78"/>
  <c r="R64"/>
  <c r="R138"/>
  <c r="R87"/>
  <c r="R83"/>
  <c r="R79"/>
  <c r="R65"/>
  <c r="R61"/>
  <c r="R57"/>
  <c r="R49"/>
  <c r="R45"/>
  <c r="R39"/>
  <c r="R34"/>
  <c r="R30"/>
  <c r="R28"/>
  <c r="R29"/>
  <c r="T40"/>
  <c r="T54"/>
  <c r="X144"/>
  <c r="R144"/>
  <c r="T32"/>
  <c r="R33"/>
  <c r="R38"/>
  <c r="T43"/>
  <c r="R44"/>
  <c r="R52"/>
  <c r="T59"/>
  <c r="R60"/>
  <c r="R93"/>
  <c r="N148" i="24"/>
  <c r="N139"/>
  <c r="N87"/>
  <c r="N83"/>
  <c r="N79"/>
  <c r="N40"/>
  <c r="N31"/>
  <c r="N138"/>
  <c r="N90"/>
  <c r="N86"/>
  <c r="N82"/>
  <c r="N78"/>
  <c r="N39"/>
  <c r="N34"/>
  <c r="N141"/>
  <c r="N137"/>
  <c r="N92"/>
  <c r="N89"/>
  <c r="N85"/>
  <c r="N81"/>
  <c r="N77"/>
  <c r="N38"/>
  <c r="N33"/>
  <c r="N29"/>
  <c r="N22"/>
  <c r="N143"/>
  <c r="N140"/>
  <c r="N136"/>
  <c r="N91"/>
  <c r="N84"/>
  <c r="N80"/>
  <c r="N28"/>
  <c r="N23"/>
  <c r="N24"/>
  <c r="N32"/>
  <c r="N30"/>
  <c r="X143"/>
  <c r="X140"/>
  <c r="X136"/>
  <c r="X91"/>
  <c r="X90"/>
  <c r="X84"/>
  <c r="X80"/>
  <c r="X32"/>
  <c r="X28"/>
  <c r="X148"/>
  <c r="X139"/>
  <c r="X87"/>
  <c r="X83"/>
  <c r="X79"/>
  <c r="X40"/>
  <c r="X31"/>
  <c r="X138"/>
  <c r="X86"/>
  <c r="X82"/>
  <c r="X78"/>
  <c r="X39"/>
  <c r="X34"/>
  <c r="X30"/>
  <c r="X23"/>
  <c r="X141"/>
  <c r="X137"/>
  <c r="X92"/>
  <c r="X89"/>
  <c r="X85"/>
  <c r="X81"/>
  <c r="X77"/>
  <c r="X22"/>
  <c r="X38"/>
  <c r="X33"/>
  <c r="X29"/>
  <c r="X24"/>
  <c r="W16"/>
  <c r="T138"/>
  <c r="T86"/>
  <c r="T82"/>
  <c r="T78"/>
  <c r="T39"/>
  <c r="T34"/>
  <c r="T30"/>
  <c r="T141"/>
  <c r="T137"/>
  <c r="T92"/>
  <c r="T90"/>
  <c r="T89"/>
  <c r="T85"/>
  <c r="T81"/>
  <c r="T77"/>
  <c r="T38"/>
  <c r="T33"/>
  <c r="T143"/>
  <c r="T140"/>
  <c r="T136"/>
  <c r="T91"/>
  <c r="T84"/>
  <c r="T80"/>
  <c r="T32"/>
  <c r="T28"/>
  <c r="T148"/>
  <c r="T139"/>
  <c r="T87"/>
  <c r="T83"/>
  <c r="T79"/>
  <c r="Z41"/>
  <c r="V148"/>
  <c r="V139"/>
  <c r="V87"/>
  <c r="V83"/>
  <c r="V79"/>
  <c r="V40"/>
  <c r="V31"/>
  <c r="V138"/>
  <c r="V86"/>
  <c r="V82"/>
  <c r="V78"/>
  <c r="V39"/>
  <c r="V34"/>
  <c r="V30"/>
  <c r="V141"/>
  <c r="V137"/>
  <c r="V92"/>
  <c r="V89"/>
  <c r="V85"/>
  <c r="V81"/>
  <c r="V77"/>
  <c r="V38"/>
  <c r="V33"/>
  <c r="V29"/>
  <c r="V22"/>
  <c r="V84"/>
  <c r="V143"/>
  <c r="V140"/>
  <c r="V136"/>
  <c r="V91"/>
  <c r="V90"/>
  <c r="V80"/>
  <c r="N41"/>
  <c r="V41"/>
  <c r="T40"/>
  <c r="T22"/>
  <c r="T31"/>
  <c r="Z39"/>
  <c r="Z93"/>
  <c r="T93"/>
  <c r="N144"/>
  <c r="U16"/>
  <c r="Z23"/>
  <c r="V24"/>
  <c r="T29"/>
  <c r="Z30"/>
  <c r="T144"/>
  <c r="Q12"/>
  <c r="Y16"/>
  <c r="Z22"/>
  <c r="V23"/>
  <c r="T24"/>
  <c r="V32"/>
  <c r="X93"/>
  <c r="Z144"/>
  <c r="Z141"/>
  <c r="Z137"/>
  <c r="Z92"/>
  <c r="Z89"/>
  <c r="Z85"/>
  <c r="Z81"/>
  <c r="Z77"/>
  <c r="Z38"/>
  <c r="Z33"/>
  <c r="Z29"/>
  <c r="Z143"/>
  <c r="Z140"/>
  <c r="Z136"/>
  <c r="Z91"/>
  <c r="Z84"/>
  <c r="Z80"/>
  <c r="Z32"/>
  <c r="Z148"/>
  <c r="Z139"/>
  <c r="Z87"/>
  <c r="Z83"/>
  <c r="Z79"/>
  <c r="Z40"/>
  <c r="Z31"/>
  <c r="Z24"/>
  <c r="Z138"/>
  <c r="Z86"/>
  <c r="Z82"/>
  <c r="Z78"/>
  <c r="S16"/>
  <c r="T23"/>
  <c r="X144"/>
  <c r="Z28"/>
  <c r="N93"/>
  <c r="T41"/>
  <c r="X41"/>
  <c r="Z90"/>
  <c r="R62"/>
  <c r="R72"/>
  <c r="R26"/>
  <c r="R25"/>
  <c r="R68"/>
  <c r="R128"/>
  <c r="R127"/>
  <c r="Q126"/>
  <c r="R126"/>
  <c r="R125"/>
  <c r="R122"/>
  <c r="R121"/>
  <c r="R120"/>
  <c r="R119"/>
  <c r="R118"/>
  <c r="R116"/>
  <c r="R126" i="25"/>
  <c r="Q129"/>
  <c r="V62"/>
  <c r="V26"/>
  <c r="V25"/>
  <c r="V68"/>
  <c r="V72"/>
  <c r="V125"/>
  <c r="V122"/>
  <c r="V121"/>
  <c r="V120"/>
  <c r="V119"/>
  <c r="V118"/>
  <c r="V116"/>
  <c r="U126"/>
  <c r="V126"/>
  <c r="V128"/>
  <c r="V127"/>
  <c r="Z72"/>
  <c r="Z26"/>
  <c r="Z25"/>
  <c r="Z68"/>
  <c r="Z128"/>
  <c r="Z127"/>
  <c r="Y126"/>
  <c r="Z126"/>
  <c r="Z125"/>
  <c r="Z122"/>
  <c r="Z121"/>
  <c r="Z120"/>
  <c r="Z119"/>
  <c r="Z118"/>
  <c r="Z116"/>
  <c r="Z62"/>
  <c r="Y46" i="24"/>
  <c r="Z46"/>
  <c r="Y91" i="18"/>
  <c r="W91"/>
  <c r="U91"/>
  <c r="R51" i="24"/>
  <c r="Q46"/>
  <c r="R46"/>
  <c r="R53"/>
  <c r="R17"/>
  <c r="R47"/>
  <c r="Z53" i="25"/>
  <c r="Z47"/>
  <c r="Z51"/>
  <c r="W82" i="18"/>
  <c r="U46" i="25"/>
  <c r="V46"/>
  <c r="V51"/>
  <c r="V53"/>
  <c r="V47"/>
  <c r="S91" i="18"/>
  <c r="S82"/>
  <c r="Q82"/>
  <c r="R142" i="24"/>
  <c r="R74"/>
  <c r="R70"/>
  <c r="R66"/>
  <c r="R115"/>
  <c r="R75"/>
  <c r="R73"/>
  <c r="R71"/>
  <c r="R69"/>
  <c r="Z142" i="25"/>
  <c r="Z114"/>
  <c r="Z112"/>
  <c r="Z110"/>
  <c r="Z108"/>
  <c r="Z106"/>
  <c r="Z104"/>
  <c r="Z103"/>
  <c r="Z101"/>
  <c r="Z99"/>
  <c r="Z97"/>
  <c r="Z95"/>
  <c r="Z113"/>
  <c r="Z111"/>
  <c r="Z109"/>
  <c r="Z107"/>
  <c r="Z105"/>
  <c r="Z102"/>
  <c r="Z100"/>
  <c r="Z98"/>
  <c r="Z96"/>
  <c r="Z94"/>
  <c r="Z74"/>
  <c r="Z70"/>
  <c r="Z66"/>
  <c r="Z115"/>
  <c r="Z75"/>
  <c r="Z73"/>
  <c r="Z71"/>
  <c r="Z69"/>
  <c r="V142"/>
  <c r="V74"/>
  <c r="V70"/>
  <c r="V66"/>
  <c r="V115"/>
  <c r="V75"/>
  <c r="V73"/>
  <c r="V71"/>
  <c r="V69"/>
  <c r="R55" i="24"/>
  <c r="Z55" i="25"/>
  <c r="V55"/>
  <c r="R56" i="24"/>
  <c r="Z17" i="25"/>
  <c r="Z56"/>
  <c r="V17"/>
  <c r="V56"/>
  <c r="R19" i="24"/>
  <c r="V19" i="25"/>
  <c r="S129"/>
  <c r="T129" s="1"/>
  <c r="Z19"/>
  <c r="R61" i="24"/>
  <c r="R60"/>
  <c r="R59"/>
  <c r="R58"/>
  <c r="R57"/>
  <c r="R54"/>
  <c r="R52"/>
  <c r="R50"/>
  <c r="R49"/>
  <c r="R48"/>
  <c r="R45"/>
  <c r="R44"/>
  <c r="R64"/>
  <c r="R63"/>
  <c r="R43"/>
  <c r="R65"/>
  <c r="T16" i="25"/>
  <c r="U21" i="24"/>
  <c r="V21" s="1"/>
  <c r="Z90" i="25"/>
  <c r="V93"/>
  <c r="V90"/>
  <c r="V144"/>
  <c r="Z144"/>
  <c r="Z93"/>
  <c r="T42"/>
  <c r="V141"/>
  <c r="V137"/>
  <c r="V86"/>
  <c r="V82"/>
  <c r="V78"/>
  <c r="V64"/>
  <c r="V60"/>
  <c r="V52"/>
  <c r="V48"/>
  <c r="V44"/>
  <c r="V38"/>
  <c r="V33"/>
  <c r="V138"/>
  <c r="V87"/>
  <c r="V83"/>
  <c r="V79"/>
  <c r="V65"/>
  <c r="V148"/>
  <c r="V139"/>
  <c r="V92"/>
  <c r="V84"/>
  <c r="V80"/>
  <c r="V143"/>
  <c r="V140"/>
  <c r="V136"/>
  <c r="V89"/>
  <c r="V85"/>
  <c r="V81"/>
  <c r="V77"/>
  <c r="V63"/>
  <c r="V59"/>
  <c r="V43"/>
  <c r="V32"/>
  <c r="V58"/>
  <c r="V50"/>
  <c r="V31"/>
  <c r="V22"/>
  <c r="V45"/>
  <c r="V41"/>
  <c r="V39"/>
  <c r="V34"/>
  <c r="V30"/>
  <c r="V54"/>
  <c r="V40"/>
  <c r="V29"/>
  <c r="V24"/>
  <c r="V61"/>
  <c r="V57"/>
  <c r="V49"/>
  <c r="V28"/>
  <c r="U16"/>
  <c r="V23"/>
  <c r="X16"/>
  <c r="R16"/>
  <c r="Z148"/>
  <c r="Z139"/>
  <c r="Z92"/>
  <c r="Z84"/>
  <c r="Z80"/>
  <c r="Z58"/>
  <c r="Z54"/>
  <c r="Z50"/>
  <c r="Z40"/>
  <c r="Z31"/>
  <c r="Z143"/>
  <c r="Z140"/>
  <c r="Z136"/>
  <c r="Z89"/>
  <c r="Z85"/>
  <c r="Z81"/>
  <c r="Z77"/>
  <c r="Z141"/>
  <c r="Z137"/>
  <c r="Z86"/>
  <c r="Z82"/>
  <c r="Z78"/>
  <c r="Z64"/>
  <c r="Z60"/>
  <c r="Z138"/>
  <c r="Z87"/>
  <c r="Z83"/>
  <c r="Z79"/>
  <c r="Z65"/>
  <c r="Z61"/>
  <c r="Z57"/>
  <c r="Z49"/>
  <c r="Z45"/>
  <c r="Z39"/>
  <c r="Z34"/>
  <c r="Z30"/>
  <c r="Z63"/>
  <c r="Z48"/>
  <c r="Z41"/>
  <c r="Z29"/>
  <c r="Z24"/>
  <c r="Z59"/>
  <c r="Z43"/>
  <c r="Z32"/>
  <c r="Z28"/>
  <c r="Z52"/>
  <c r="Z44"/>
  <c r="Z38"/>
  <c r="Z33"/>
  <c r="Z22"/>
  <c r="Z23"/>
  <c r="Y16"/>
  <c r="Y21" i="24"/>
  <c r="R141"/>
  <c r="R137"/>
  <c r="R92"/>
  <c r="R90"/>
  <c r="R89"/>
  <c r="R85"/>
  <c r="R81"/>
  <c r="R77"/>
  <c r="R38"/>
  <c r="R33"/>
  <c r="R29"/>
  <c r="R143"/>
  <c r="R140"/>
  <c r="R136"/>
  <c r="R91"/>
  <c r="R84"/>
  <c r="R80"/>
  <c r="R32"/>
  <c r="R148"/>
  <c r="R139"/>
  <c r="R87"/>
  <c r="R83"/>
  <c r="R79"/>
  <c r="R40"/>
  <c r="R31"/>
  <c r="R24"/>
  <c r="R138"/>
  <c r="R86"/>
  <c r="R82"/>
  <c r="R78"/>
  <c r="R34"/>
  <c r="R30"/>
  <c r="R39"/>
  <c r="R28"/>
  <c r="R22"/>
  <c r="R23"/>
  <c r="Q16"/>
  <c r="V16"/>
  <c r="X16"/>
  <c r="W21"/>
  <c r="R41"/>
  <c r="R144"/>
  <c r="R93"/>
  <c r="N16"/>
  <c r="Z16"/>
  <c r="T16"/>
  <c r="S21"/>
  <c r="AA63" i="25"/>
  <c r="AC63"/>
  <c r="AA69" i="21"/>
  <c r="AA69" i="7"/>
  <c r="G93" i="6"/>
  <c r="G33" i="18" s="1"/>
  <c r="AA85" i="6"/>
  <c r="AA69" i="4"/>
  <c r="AA69" i="3"/>
  <c r="AA66" i="21"/>
  <c r="AA66" i="4"/>
  <c r="AA66" i="3"/>
  <c r="AA95" i="2"/>
  <c r="AC95"/>
  <c r="AA96"/>
  <c r="AC96"/>
  <c r="AA98"/>
  <c r="AC98"/>
  <c r="AA99"/>
  <c r="AC99"/>
  <c r="AA101"/>
  <c r="AA103"/>
  <c r="AG6" i="23"/>
  <c r="AG7"/>
  <c r="AG8"/>
  <c r="AG10"/>
  <c r="AG11"/>
  <c r="AG13"/>
  <c r="AG14"/>
  <c r="AG18"/>
  <c r="AG19"/>
  <c r="AG20"/>
  <c r="AG22"/>
  <c r="AG23"/>
  <c r="AG24"/>
  <c r="AG25"/>
  <c r="AG26"/>
  <c r="AG28"/>
  <c r="AG29"/>
  <c r="AG30"/>
  <c r="AG31"/>
  <c r="AG32"/>
  <c r="AG33"/>
  <c r="AG34"/>
  <c r="AG38"/>
  <c r="AG39"/>
  <c r="AG40"/>
  <c r="AG43"/>
  <c r="AG44"/>
  <c r="AG45"/>
  <c r="AG47"/>
  <c r="AG48"/>
  <c r="AG49"/>
  <c r="AG50"/>
  <c r="AG52"/>
  <c r="AG54"/>
  <c r="AG57"/>
  <c r="AG58"/>
  <c r="AG59"/>
  <c r="AG60"/>
  <c r="AG61"/>
  <c r="AG63"/>
  <c r="AG64"/>
  <c r="AG65"/>
  <c r="AG66"/>
  <c r="AG67"/>
  <c r="AG69"/>
  <c r="AG77"/>
  <c r="AG78"/>
  <c r="AG79"/>
  <c r="AG80"/>
  <c r="AG81"/>
  <c r="AG82"/>
  <c r="AG83"/>
  <c r="AG84"/>
  <c r="AG85"/>
  <c r="AG86"/>
  <c r="AG87"/>
  <c r="AG88"/>
  <c r="AG89"/>
  <c r="AG91"/>
  <c r="AG92"/>
  <c r="AG94"/>
  <c r="AG95"/>
  <c r="AG96"/>
  <c r="AG97"/>
  <c r="AG98"/>
  <c r="AG99"/>
  <c r="AG101"/>
  <c r="AG102"/>
  <c r="AG103"/>
  <c r="AG116"/>
  <c r="AG117"/>
  <c r="AG120"/>
  <c r="AG121"/>
  <c r="AG122"/>
  <c r="AG123"/>
  <c r="AG124"/>
  <c r="AG125"/>
  <c r="AG127"/>
  <c r="AG128"/>
  <c r="AG130"/>
  <c r="AH130"/>
  <c r="AG132"/>
  <c r="AH132"/>
  <c r="AG133"/>
  <c r="AG134"/>
  <c r="AH134"/>
  <c r="AG136"/>
  <c r="AG137"/>
  <c r="AG138"/>
  <c r="AG139"/>
  <c r="AG140"/>
  <c r="AG141"/>
  <c r="AG143"/>
  <c r="AG147"/>
  <c r="AH147"/>
  <c r="AG148"/>
  <c r="AG149"/>
  <c r="AH149"/>
  <c r="AG151"/>
  <c r="AH151"/>
  <c r="AC83" i="24"/>
  <c r="AA83" i="20"/>
  <c r="AC88" i="24"/>
  <c r="AA82" i="21"/>
  <c r="AA82" i="20"/>
  <c r="AA77" i="21"/>
  <c r="AA78"/>
  <c r="AA79"/>
  <c r="AA80"/>
  <c r="AA81"/>
  <c r="AA83"/>
  <c r="AA84"/>
  <c r="AA85"/>
  <c r="AA86"/>
  <c r="AA87"/>
  <c r="AA77" i="11"/>
  <c r="AA78"/>
  <c r="AA79"/>
  <c r="AA80"/>
  <c r="AA81"/>
  <c r="AA82"/>
  <c r="AA83"/>
  <c r="AA84"/>
  <c r="AA85"/>
  <c r="AA86"/>
  <c r="AA87"/>
  <c r="AA86" i="6"/>
  <c r="AA87"/>
  <c r="AA77" i="4"/>
  <c r="AA78"/>
  <c r="AA79"/>
  <c r="AA80"/>
  <c r="AA81"/>
  <c r="AA82"/>
  <c r="AA83"/>
  <c r="AA84"/>
  <c r="AA85"/>
  <c r="AA86"/>
  <c r="AA87"/>
  <c r="AF1" i="25"/>
  <c r="Y46"/>
  <c r="Z46"/>
  <c r="Y82" i="18"/>
  <c r="U82"/>
  <c r="Q91"/>
  <c r="S145" i="25"/>
  <c r="T145" s="1"/>
  <c r="T84" i="18" s="1"/>
  <c r="AC101" i="2"/>
  <c r="AC103"/>
  <c r="S35" i="25"/>
  <c r="S36" s="1"/>
  <c r="AH96" i="23"/>
  <c r="AG104"/>
  <c r="AH101"/>
  <c r="AH81"/>
  <c r="AH84"/>
  <c r="AH80"/>
  <c r="AH87"/>
  <c r="AH85"/>
  <c r="AH83"/>
  <c r="AH79"/>
  <c r="AH77"/>
  <c r="AH102"/>
  <c r="AH99"/>
  <c r="AH97"/>
  <c r="AH95"/>
  <c r="AH86"/>
  <c r="AH82"/>
  <c r="AH78"/>
  <c r="Z16" i="25"/>
  <c r="X42"/>
  <c r="W129"/>
  <c r="X129" s="1"/>
  <c r="V16"/>
  <c r="Y21"/>
  <c r="R42"/>
  <c r="Q35"/>
  <c r="Q36" s="1"/>
  <c r="W35"/>
  <c r="W36" s="1"/>
  <c r="X21"/>
  <c r="T21"/>
  <c r="R21"/>
  <c r="Y35" i="24"/>
  <c r="Z35" s="1"/>
  <c r="N129"/>
  <c r="X21"/>
  <c r="W129"/>
  <c r="X129" s="1"/>
  <c r="V42"/>
  <c r="S35"/>
  <c r="T35"/>
  <c r="Y129"/>
  <c r="Z129" s="1"/>
  <c r="N42"/>
  <c r="X42"/>
  <c r="Q21"/>
  <c r="T21"/>
  <c r="S129"/>
  <c r="T129"/>
  <c r="Z42"/>
  <c r="W35"/>
  <c r="X35"/>
  <c r="U35"/>
  <c r="R16"/>
  <c r="AA7" i="12"/>
  <c r="T42" i="24"/>
  <c r="N35"/>
  <c r="U129"/>
  <c r="V129" s="1"/>
  <c r="N21"/>
  <c r="Z21"/>
  <c r="AA107" i="2"/>
  <c r="AA106"/>
  <c r="AA102"/>
  <c r="AA97"/>
  <c r="AC97"/>
  <c r="AA8" i="12"/>
  <c r="AA104" i="2"/>
  <c r="AG106" i="23"/>
  <c r="AA105" i="2"/>
  <c r="AC69" i="21"/>
  <c r="AC69" i="7"/>
  <c r="AC69" i="4"/>
  <c r="AC69" i="3"/>
  <c r="AH98" i="23"/>
  <c r="AA10" i="12"/>
  <c r="AG105" i="23"/>
  <c r="AH103"/>
  <c r="AG107"/>
  <c r="AA82" i="18"/>
  <c r="T76" i="25"/>
  <c r="AA27"/>
  <c r="AC27" s="1"/>
  <c r="AD27" s="1"/>
  <c r="AC105" i="2"/>
  <c r="AC104"/>
  <c r="AC102"/>
  <c r="AC106"/>
  <c r="AC107"/>
  <c r="R129" i="25"/>
  <c r="R35"/>
  <c r="Y36" i="24"/>
  <c r="Y37" s="1"/>
  <c r="S36"/>
  <c r="AC8" i="12"/>
  <c r="AC7"/>
  <c r="AH106" i="23"/>
  <c r="AH104"/>
  <c r="R76" i="25"/>
  <c r="V42"/>
  <c r="Y129"/>
  <c r="Z129" s="1"/>
  <c r="U35"/>
  <c r="V35" s="1"/>
  <c r="X76"/>
  <c r="W145"/>
  <c r="X145" s="1"/>
  <c r="Z42"/>
  <c r="V21"/>
  <c r="Z21"/>
  <c r="U129"/>
  <c r="V129" s="1"/>
  <c r="Y35"/>
  <c r="Z35"/>
  <c r="T76" i="24"/>
  <c r="S145"/>
  <c r="T145" s="1"/>
  <c r="N76"/>
  <c r="N145"/>
  <c r="V76"/>
  <c r="U145"/>
  <c r="V145" s="1"/>
  <c r="W36"/>
  <c r="W92" i="18"/>
  <c r="Q35" i="24"/>
  <c r="V35"/>
  <c r="U36"/>
  <c r="V36" s="1"/>
  <c r="Z76"/>
  <c r="Y145"/>
  <c r="Z145" s="1"/>
  <c r="Q129"/>
  <c r="Q145" s="1"/>
  <c r="R42"/>
  <c r="X76"/>
  <c r="W145"/>
  <c r="X145" s="1"/>
  <c r="AC10" i="12"/>
  <c r="AH105" i="23"/>
  <c r="AH107"/>
  <c r="Y92" i="18"/>
  <c r="S37" i="24"/>
  <c r="S131" s="1"/>
  <c r="S92" i="18"/>
  <c r="AI145" i="25"/>
  <c r="R129" i="24"/>
  <c r="R35"/>
  <c r="T36"/>
  <c r="Y36" i="25"/>
  <c r="V76"/>
  <c r="Z76"/>
  <c r="Y145"/>
  <c r="Z145" s="1"/>
  <c r="X36" i="24"/>
  <c r="W37"/>
  <c r="W131" s="1"/>
  <c r="N36"/>
  <c r="R76"/>
  <c r="AA65" i="20"/>
  <c r="AA65" i="11"/>
  <c r="AA65" i="6"/>
  <c r="AA65" i="4"/>
  <c r="Z36" i="25"/>
  <c r="Y83" i="18"/>
  <c r="AI145" i="24"/>
  <c r="Y37" i="25"/>
  <c r="Y131" s="1"/>
  <c r="N37" i="24"/>
  <c r="X37"/>
  <c r="C90" i="12"/>
  <c r="S93" i="20"/>
  <c r="S60" i="18" s="1"/>
  <c r="AG90" i="23"/>
  <c r="AH90" s="1"/>
  <c r="AC151"/>
  <c r="AC149"/>
  <c r="AC147"/>
  <c r="AC134"/>
  <c r="AC132"/>
  <c r="AC130"/>
  <c r="AC77"/>
  <c r="AC78"/>
  <c r="AC79"/>
  <c r="AC80"/>
  <c r="AC81"/>
  <c r="AC82"/>
  <c r="AC83"/>
  <c r="AC84"/>
  <c r="AC85"/>
  <c r="AC86"/>
  <c r="AC87"/>
  <c r="AA77" i="20"/>
  <c r="AA78"/>
  <c r="AA79"/>
  <c r="AA80"/>
  <c r="AA81"/>
  <c r="AA84"/>
  <c r="AA85"/>
  <c r="AA86"/>
  <c r="AA87"/>
  <c r="AA88"/>
  <c r="AA89"/>
  <c r="AA88" i="11"/>
  <c r="AA89"/>
  <c r="AA77" i="6"/>
  <c r="AA78"/>
  <c r="AA79"/>
  <c r="AA80"/>
  <c r="AA81"/>
  <c r="AA82"/>
  <c r="AA83"/>
  <c r="AA84"/>
  <c r="AA88"/>
  <c r="AA89"/>
  <c r="AA88" i="4"/>
  <c r="AA89"/>
  <c r="AA90" i="20"/>
  <c r="Y93"/>
  <c r="Y60" i="18" s="1"/>
  <c r="AC88" i="23"/>
  <c r="AH88"/>
  <c r="AC89"/>
  <c r="AH89"/>
  <c r="AC90"/>
  <c r="AA90" i="11"/>
  <c r="AA90" i="6"/>
  <c r="AA90" i="4"/>
  <c r="AC82" i="25"/>
  <c r="AC43"/>
  <c r="AA55" i="11"/>
  <c r="AA117" i="24"/>
  <c r="AC117" s="1"/>
  <c r="AD117" s="1"/>
  <c r="O142" i="12"/>
  <c r="M142"/>
  <c r="U142"/>
  <c r="U164" s="1"/>
  <c r="Y142"/>
  <c r="W142"/>
  <c r="W164" s="1"/>
  <c r="AG142" i="23"/>
  <c r="AH142" s="1"/>
  <c r="AG9"/>
  <c r="AA57" i="20"/>
  <c r="AA57" i="6"/>
  <c r="AA137" i="23"/>
  <c r="AA138"/>
  <c r="AA65"/>
  <c r="AA45"/>
  <c r="AA43"/>
  <c r="AA117" i="21"/>
  <c r="AA52"/>
  <c r="AC43" i="23"/>
  <c r="AH43"/>
  <c r="AC137"/>
  <c r="AH137"/>
  <c r="AC138"/>
  <c r="AH138"/>
  <c r="AC65"/>
  <c r="AH65"/>
  <c r="AC45"/>
  <c r="AH45"/>
  <c r="AA43" i="20"/>
  <c r="AC43"/>
  <c r="AA25" i="11"/>
  <c r="AC25"/>
  <c r="AA120" i="7"/>
  <c r="AA55"/>
  <c r="AA127" i="6"/>
  <c r="AA120"/>
  <c r="AA117"/>
  <c r="AA66"/>
  <c r="AI147" i="12"/>
  <c r="AJ147"/>
  <c r="AI149"/>
  <c r="AJ149"/>
  <c r="AI151"/>
  <c r="AJ151"/>
  <c r="O41" i="23"/>
  <c r="AI130" i="12"/>
  <c r="AJ130"/>
  <c r="AI132"/>
  <c r="AJ132"/>
  <c r="AI134"/>
  <c r="AJ134"/>
  <c r="AA6"/>
  <c r="Y164" i="25"/>
  <c r="W164"/>
  <c r="U164"/>
  <c r="S164"/>
  <c r="Q164"/>
  <c r="O164"/>
  <c r="M164"/>
  <c r="K164"/>
  <c r="I164"/>
  <c r="G164"/>
  <c r="E164"/>
  <c r="C164"/>
  <c r="C153"/>
  <c r="AA148"/>
  <c r="AC148"/>
  <c r="Y166"/>
  <c r="U166"/>
  <c r="O166"/>
  <c r="M166"/>
  <c r="I166"/>
  <c r="E166"/>
  <c r="AA143"/>
  <c r="AC143"/>
  <c r="AC141"/>
  <c r="AC140"/>
  <c r="AC139"/>
  <c r="AC138"/>
  <c r="AC137"/>
  <c r="AA136"/>
  <c r="AC136"/>
  <c r="AA133"/>
  <c r="AC133"/>
  <c r="AA128"/>
  <c r="AC128"/>
  <c r="AA127"/>
  <c r="AC127"/>
  <c r="AA125"/>
  <c r="AC125"/>
  <c r="AA124"/>
  <c r="AC124"/>
  <c r="AA123"/>
  <c r="AC123"/>
  <c r="AA122"/>
  <c r="AC122"/>
  <c r="AA121"/>
  <c r="AC121"/>
  <c r="AA120"/>
  <c r="AC120"/>
  <c r="AA117"/>
  <c r="AC117" s="1"/>
  <c r="AD117" s="1"/>
  <c r="AA116"/>
  <c r="AC116"/>
  <c r="AC92"/>
  <c r="AC91"/>
  <c r="AC89"/>
  <c r="AC88"/>
  <c r="AC87"/>
  <c r="AC86"/>
  <c r="AC85"/>
  <c r="AC84"/>
  <c r="AC81"/>
  <c r="AC80"/>
  <c r="AC79"/>
  <c r="AC78"/>
  <c r="AC77"/>
  <c r="AA69"/>
  <c r="AC69"/>
  <c r="AA67"/>
  <c r="AC67"/>
  <c r="AA66"/>
  <c r="AA64"/>
  <c r="AC64"/>
  <c r="AA61"/>
  <c r="AC61"/>
  <c r="AA60"/>
  <c r="AC60"/>
  <c r="AA59"/>
  <c r="AC59"/>
  <c r="AA58"/>
  <c r="AC58"/>
  <c r="AA57"/>
  <c r="AC57"/>
  <c r="AA54"/>
  <c r="AC54"/>
  <c r="AA52"/>
  <c r="AC52"/>
  <c r="AA50"/>
  <c r="AC50"/>
  <c r="AA49"/>
  <c r="AC49"/>
  <c r="AA48"/>
  <c r="AC48"/>
  <c r="AA46"/>
  <c r="AC46"/>
  <c r="AA44"/>
  <c r="AC44"/>
  <c r="AA40"/>
  <c r="AC40"/>
  <c r="AA39"/>
  <c r="AC39"/>
  <c r="AA38"/>
  <c r="AC38"/>
  <c r="AA34"/>
  <c r="AC34"/>
  <c r="AA33"/>
  <c r="AC33"/>
  <c r="AA32"/>
  <c r="AC32"/>
  <c r="AA31"/>
  <c r="AC31"/>
  <c r="AA30"/>
  <c r="AC30"/>
  <c r="AA29"/>
  <c r="AC29"/>
  <c r="AA28"/>
  <c r="AC28"/>
  <c r="AA26"/>
  <c r="AC26"/>
  <c r="AA25"/>
  <c r="AC25"/>
  <c r="AA24"/>
  <c r="AC24"/>
  <c r="AA23"/>
  <c r="AC23"/>
  <c r="AA22"/>
  <c r="AC22"/>
  <c r="AA20"/>
  <c r="AC20"/>
  <c r="AA19"/>
  <c r="AC19"/>
  <c r="AA18"/>
  <c r="AC18"/>
  <c r="AA14"/>
  <c r="AC14"/>
  <c r="AA13"/>
  <c r="AC13"/>
  <c r="AA8"/>
  <c r="AC8"/>
  <c r="AA7"/>
  <c r="AC7"/>
  <c r="AA6"/>
  <c r="AC6"/>
  <c r="Y164" i="24"/>
  <c r="W164"/>
  <c r="U164"/>
  <c r="S164"/>
  <c r="Q164"/>
  <c r="O164"/>
  <c r="M164"/>
  <c r="K164"/>
  <c r="I164"/>
  <c r="G164"/>
  <c r="E164"/>
  <c r="C164"/>
  <c r="C153"/>
  <c r="AA148"/>
  <c r="AC148"/>
  <c r="W166"/>
  <c r="U166"/>
  <c r="S166"/>
  <c r="O166"/>
  <c r="M166"/>
  <c r="K166"/>
  <c r="G166"/>
  <c r="E166"/>
  <c r="C166"/>
  <c r="AA143"/>
  <c r="AC143"/>
  <c r="AA136"/>
  <c r="AC136"/>
  <c r="AA133"/>
  <c r="AC133"/>
  <c r="AA128"/>
  <c r="AC128"/>
  <c r="AA127"/>
  <c r="AC127"/>
  <c r="AA125"/>
  <c r="AC125"/>
  <c r="AA124"/>
  <c r="AC124"/>
  <c r="AA123"/>
  <c r="AC123"/>
  <c r="AA122"/>
  <c r="AC122"/>
  <c r="AA121"/>
  <c r="AC121"/>
  <c r="AA120"/>
  <c r="AC120"/>
  <c r="AA116"/>
  <c r="AC116"/>
  <c r="E93"/>
  <c r="E96" i="18" s="1"/>
  <c r="C93" i="24"/>
  <c r="C96" i="18" s="1"/>
  <c r="AA92" i="24"/>
  <c r="AC92"/>
  <c r="AA91"/>
  <c r="AC91"/>
  <c r="AC89"/>
  <c r="AC87"/>
  <c r="AC86"/>
  <c r="AC85"/>
  <c r="AC84"/>
  <c r="AC82"/>
  <c r="AC81"/>
  <c r="AC80"/>
  <c r="AC79"/>
  <c r="AC78"/>
  <c r="AC77"/>
  <c r="AA69"/>
  <c r="E41"/>
  <c r="C41"/>
  <c r="AA40"/>
  <c r="AC40"/>
  <c r="AA39"/>
  <c r="AC39"/>
  <c r="AA38"/>
  <c r="AC38"/>
  <c r="AA34"/>
  <c r="AC34"/>
  <c r="AA33"/>
  <c r="AC33"/>
  <c r="AA32"/>
  <c r="AC32"/>
  <c r="AA31"/>
  <c r="AC31"/>
  <c r="AA30"/>
  <c r="AC30"/>
  <c r="AA29"/>
  <c r="AC29"/>
  <c r="AA28"/>
  <c r="AC28"/>
  <c r="AA26"/>
  <c r="AC26"/>
  <c r="AA25"/>
  <c r="AC25"/>
  <c r="AA24"/>
  <c r="AC24"/>
  <c r="AA23"/>
  <c r="AC23"/>
  <c r="AA22"/>
  <c r="AC22"/>
  <c r="AA20"/>
  <c r="AC20"/>
  <c r="AA19"/>
  <c r="AC19"/>
  <c r="AA18"/>
  <c r="AC18"/>
  <c r="E15"/>
  <c r="C15"/>
  <c r="AA14"/>
  <c r="AC14"/>
  <c r="AA13"/>
  <c r="AC13"/>
  <c r="AA7"/>
  <c r="AA6"/>
  <c r="AC151" i="21"/>
  <c r="AC149"/>
  <c r="AC147"/>
  <c r="AC134"/>
  <c r="AC132"/>
  <c r="AC130"/>
  <c r="AC69" i="24"/>
  <c r="AC66" i="25"/>
  <c r="AC7" i="24"/>
  <c r="AB7"/>
  <c r="AC6"/>
  <c r="AB6"/>
  <c r="AG5" i="23"/>
  <c r="Z10" i="12"/>
  <c r="Z8"/>
  <c r="Z7"/>
  <c r="Z11"/>
  <c r="Q12" i="23"/>
  <c r="O12"/>
  <c r="AA41" i="24"/>
  <c r="AC41"/>
  <c r="AA10"/>
  <c r="AC10"/>
  <c r="AA15"/>
  <c r="AC15"/>
  <c r="AA15" i="25"/>
  <c r="AC15"/>
  <c r="AC90"/>
  <c r="H148"/>
  <c r="H84" i="18"/>
  <c r="AA11" i="25"/>
  <c r="AC11"/>
  <c r="AA10"/>
  <c r="AC10"/>
  <c r="AA41"/>
  <c r="AC41"/>
  <c r="AA45"/>
  <c r="AC45"/>
  <c r="G166"/>
  <c r="AC83"/>
  <c r="AA65"/>
  <c r="AC65"/>
  <c r="S166"/>
  <c r="AC9"/>
  <c r="C166"/>
  <c r="W166"/>
  <c r="AA5"/>
  <c r="K166"/>
  <c r="J148" i="24"/>
  <c r="AA144"/>
  <c r="AC144" s="1"/>
  <c r="Y166"/>
  <c r="AA11"/>
  <c r="AC11"/>
  <c r="C12"/>
  <c r="H148"/>
  <c r="E12"/>
  <c r="I166"/>
  <c r="Q166"/>
  <c r="AC90"/>
  <c r="AD90" s="1"/>
  <c r="AA5" i="21"/>
  <c r="D62" i="24"/>
  <c r="D26"/>
  <c r="D25"/>
  <c r="D68"/>
  <c r="D72"/>
  <c r="D128"/>
  <c r="D127"/>
  <c r="C126"/>
  <c r="D126"/>
  <c r="D125"/>
  <c r="D122"/>
  <c r="D121"/>
  <c r="D120"/>
  <c r="D119"/>
  <c r="D118"/>
  <c r="D116"/>
  <c r="F62"/>
  <c r="F26"/>
  <c r="F25"/>
  <c r="F68"/>
  <c r="F72"/>
  <c r="E126"/>
  <c r="F126"/>
  <c r="F128"/>
  <c r="F127"/>
  <c r="F122"/>
  <c r="F121"/>
  <c r="F120"/>
  <c r="F119"/>
  <c r="F118"/>
  <c r="F116"/>
  <c r="F125"/>
  <c r="P62" i="23"/>
  <c r="P26"/>
  <c r="P25"/>
  <c r="P68"/>
  <c r="P72"/>
  <c r="O126"/>
  <c r="P126"/>
  <c r="P125"/>
  <c r="P122"/>
  <c r="P121"/>
  <c r="P120"/>
  <c r="P119"/>
  <c r="P118"/>
  <c r="P116"/>
  <c r="P128"/>
  <c r="P127"/>
  <c r="R62"/>
  <c r="R72"/>
  <c r="R26"/>
  <c r="R25"/>
  <c r="R68"/>
  <c r="Q126"/>
  <c r="R126"/>
  <c r="R125"/>
  <c r="R120"/>
  <c r="R116"/>
  <c r="R127"/>
  <c r="R122"/>
  <c r="R118"/>
  <c r="R121"/>
  <c r="R119"/>
  <c r="R128"/>
  <c r="F47" i="24"/>
  <c r="E46"/>
  <c r="F46"/>
  <c r="F53"/>
  <c r="F51"/>
  <c r="D51"/>
  <c r="D47"/>
  <c r="C46"/>
  <c r="D46"/>
  <c r="D53"/>
  <c r="R53" i="23"/>
  <c r="Q46"/>
  <c r="R46"/>
  <c r="R51"/>
  <c r="Q17"/>
  <c r="P53"/>
  <c r="P51"/>
  <c r="O46"/>
  <c r="P46"/>
  <c r="O17"/>
  <c r="R142"/>
  <c r="R115"/>
  <c r="R75"/>
  <c r="P142"/>
  <c r="P75"/>
  <c r="P115"/>
  <c r="F142" i="24"/>
  <c r="F17"/>
  <c r="F74"/>
  <c r="F70"/>
  <c r="F66"/>
  <c r="F115"/>
  <c r="F75"/>
  <c r="F73"/>
  <c r="F71"/>
  <c r="F69"/>
  <c r="D142"/>
  <c r="D17"/>
  <c r="D75"/>
  <c r="D74"/>
  <c r="D73"/>
  <c r="D71"/>
  <c r="D70"/>
  <c r="D69"/>
  <c r="D66"/>
  <c r="D115"/>
  <c r="F55"/>
  <c r="D55"/>
  <c r="R55" i="23"/>
  <c r="P55"/>
  <c r="R43"/>
  <c r="P43"/>
  <c r="F56" i="24"/>
  <c r="D56"/>
  <c r="R66" i="23"/>
  <c r="R74"/>
  <c r="R73"/>
  <c r="R71"/>
  <c r="R70"/>
  <c r="R56"/>
  <c r="P17"/>
  <c r="P73"/>
  <c r="P71"/>
  <c r="P56"/>
  <c r="P74"/>
  <c r="P70"/>
  <c r="R17"/>
  <c r="P66"/>
  <c r="AC5" i="25"/>
  <c r="AD6"/>
  <c r="AB9"/>
  <c r="AC5" i="21"/>
  <c r="AB9"/>
  <c r="D19" i="24"/>
  <c r="F19"/>
  <c r="R19" i="23"/>
  <c r="P19"/>
  <c r="R69"/>
  <c r="P69"/>
  <c r="X8" i="12"/>
  <c r="X10"/>
  <c r="X7"/>
  <c r="X11"/>
  <c r="N11"/>
  <c r="N7"/>
  <c r="N8"/>
  <c r="N10"/>
  <c r="N9"/>
  <c r="V10"/>
  <c r="V8"/>
  <c r="V11"/>
  <c r="V7"/>
  <c r="R82" i="23"/>
  <c r="AB7" i="25"/>
  <c r="D90" i="24"/>
  <c r="D45"/>
  <c r="F90"/>
  <c r="F45"/>
  <c r="P45" i="23"/>
  <c r="R45"/>
  <c r="AA93" i="25"/>
  <c r="AC93" s="1"/>
  <c r="AD93" s="1"/>
  <c r="AA93" i="24"/>
  <c r="AC93" s="1"/>
  <c r="AD93" s="1"/>
  <c r="D41"/>
  <c r="L148" i="23"/>
  <c r="N148"/>
  <c r="F148"/>
  <c r="P65"/>
  <c r="P141"/>
  <c r="P137"/>
  <c r="P89"/>
  <c r="P85"/>
  <c r="P81"/>
  <c r="P77"/>
  <c r="P63"/>
  <c r="P59"/>
  <c r="P47"/>
  <c r="P31"/>
  <c r="P23"/>
  <c r="P138"/>
  <c r="P90"/>
  <c r="P86"/>
  <c r="P82"/>
  <c r="P78"/>
  <c r="P64"/>
  <c r="P60"/>
  <c r="P52"/>
  <c r="P48"/>
  <c r="P44"/>
  <c r="P38"/>
  <c r="P32"/>
  <c r="P28"/>
  <c r="P24"/>
  <c r="P143"/>
  <c r="P139"/>
  <c r="P91"/>
  <c r="P87"/>
  <c r="P83"/>
  <c r="P79"/>
  <c r="P61"/>
  <c r="P57"/>
  <c r="P49"/>
  <c r="P39"/>
  <c r="P33"/>
  <c r="P29"/>
  <c r="P148"/>
  <c r="P140"/>
  <c r="P136"/>
  <c r="P92"/>
  <c r="P84"/>
  <c r="P80"/>
  <c r="P58"/>
  <c r="P54"/>
  <c r="P50"/>
  <c r="P40"/>
  <c r="P34"/>
  <c r="P30"/>
  <c r="P22"/>
  <c r="P41"/>
  <c r="R138"/>
  <c r="R90"/>
  <c r="R86"/>
  <c r="R78"/>
  <c r="R65"/>
  <c r="R61"/>
  <c r="R57"/>
  <c r="R49"/>
  <c r="R38"/>
  <c r="R31"/>
  <c r="R23"/>
  <c r="R143"/>
  <c r="R139"/>
  <c r="R91"/>
  <c r="R87"/>
  <c r="R83"/>
  <c r="R79"/>
  <c r="R58"/>
  <c r="R54"/>
  <c r="R50"/>
  <c r="R39"/>
  <c r="R32"/>
  <c r="R28"/>
  <c r="R24"/>
  <c r="R148"/>
  <c r="R140"/>
  <c r="R136"/>
  <c r="R92"/>
  <c r="R84"/>
  <c r="R80"/>
  <c r="R63"/>
  <c r="R59"/>
  <c r="R47"/>
  <c r="R40"/>
  <c r="R33"/>
  <c r="R29"/>
  <c r="Q16"/>
  <c r="R141"/>
  <c r="R137"/>
  <c r="R89"/>
  <c r="R85"/>
  <c r="R81"/>
  <c r="R77"/>
  <c r="R64"/>
  <c r="R60"/>
  <c r="R52"/>
  <c r="R48"/>
  <c r="R44"/>
  <c r="R34"/>
  <c r="R30"/>
  <c r="R22"/>
  <c r="D148"/>
  <c r="H148"/>
  <c r="J148"/>
  <c r="F144" i="24"/>
  <c r="D43"/>
  <c r="AB11" i="25"/>
  <c r="AB6"/>
  <c r="AA12"/>
  <c r="AB8"/>
  <c r="D148"/>
  <c r="AB10"/>
  <c r="F148"/>
  <c r="AA166" i="24"/>
  <c r="F143"/>
  <c r="F140"/>
  <c r="F138"/>
  <c r="F136"/>
  <c r="F86"/>
  <c r="F84"/>
  <c r="F93"/>
  <c r="F92"/>
  <c r="F89"/>
  <c r="F141"/>
  <c r="F139"/>
  <c r="F137"/>
  <c r="F87"/>
  <c r="F82"/>
  <c r="F80"/>
  <c r="F78"/>
  <c r="F65"/>
  <c r="F64"/>
  <c r="F60"/>
  <c r="F58"/>
  <c r="F54"/>
  <c r="F52"/>
  <c r="F50"/>
  <c r="F48"/>
  <c r="F85"/>
  <c r="F79"/>
  <c r="F61"/>
  <c r="F49"/>
  <c r="F39"/>
  <c r="F33"/>
  <c r="F31"/>
  <c r="F29"/>
  <c r="F148"/>
  <c r="F83"/>
  <c r="F81"/>
  <c r="F63"/>
  <c r="F38"/>
  <c r="F32"/>
  <c r="E16"/>
  <c r="F28"/>
  <c r="F91"/>
  <c r="F34"/>
  <c r="F77"/>
  <c r="F44"/>
  <c r="F30"/>
  <c r="F23"/>
  <c r="F59"/>
  <c r="F43"/>
  <c r="F41"/>
  <c r="F57"/>
  <c r="F40"/>
  <c r="F24"/>
  <c r="F22"/>
  <c r="AA9"/>
  <c r="AC9"/>
  <c r="L148"/>
  <c r="D92"/>
  <c r="D148"/>
  <c r="D141"/>
  <c r="D139"/>
  <c r="D137"/>
  <c r="D140"/>
  <c r="D138"/>
  <c r="D136"/>
  <c r="D87"/>
  <c r="D84"/>
  <c r="D82"/>
  <c r="D80"/>
  <c r="D78"/>
  <c r="D64"/>
  <c r="D60"/>
  <c r="D58"/>
  <c r="D143"/>
  <c r="D91"/>
  <c r="D85"/>
  <c r="D86"/>
  <c r="D83"/>
  <c r="D81"/>
  <c r="D63"/>
  <c r="D52"/>
  <c r="D144"/>
  <c r="D89"/>
  <c r="D57"/>
  <c r="D50"/>
  <c r="D44"/>
  <c r="D77"/>
  <c r="D54"/>
  <c r="D30"/>
  <c r="D23"/>
  <c r="D48"/>
  <c r="D34"/>
  <c r="D31"/>
  <c r="D24"/>
  <c r="D22"/>
  <c r="D93"/>
  <c r="D38"/>
  <c r="D79"/>
  <c r="D59"/>
  <c r="D49"/>
  <c r="D39"/>
  <c r="D33"/>
  <c r="D28"/>
  <c r="D61"/>
  <c r="D40"/>
  <c r="C16"/>
  <c r="D65"/>
  <c r="D32"/>
  <c r="D29"/>
  <c r="C91" i="18"/>
  <c r="E91"/>
  <c r="AB118" i="25"/>
  <c r="AB119"/>
  <c r="Q73" i="18"/>
  <c r="Q157" i="23"/>
  <c r="AA46" i="24"/>
  <c r="AC46"/>
  <c r="AB110" i="25"/>
  <c r="AB114"/>
  <c r="AB106"/>
  <c r="AB105"/>
  <c r="AB102"/>
  <c r="AB101"/>
  <c r="AB98"/>
  <c r="AB100"/>
  <c r="AB104"/>
  <c r="AB108"/>
  <c r="AB109"/>
  <c r="AB112"/>
  <c r="AB115"/>
  <c r="AB94"/>
  <c r="AB96"/>
  <c r="AB99"/>
  <c r="AB103"/>
  <c r="AB107"/>
  <c r="AB113"/>
  <c r="AB111"/>
  <c r="AB95"/>
  <c r="AB97"/>
  <c r="AB75"/>
  <c r="AB68"/>
  <c r="AB55"/>
  <c r="AB27"/>
  <c r="AC12"/>
  <c r="AD118"/>
  <c r="AB53"/>
  <c r="AB62"/>
  <c r="AB51"/>
  <c r="AB47"/>
  <c r="AB71"/>
  <c r="AB73"/>
  <c r="AB56"/>
  <c r="AB70"/>
  <c r="AB72"/>
  <c r="AB74"/>
  <c r="Q21" i="23"/>
  <c r="O21"/>
  <c r="P21"/>
  <c r="AB82" i="25"/>
  <c r="R16" i="23"/>
  <c r="AD10" i="25"/>
  <c r="AD9"/>
  <c r="AD11"/>
  <c r="AB41"/>
  <c r="AB83"/>
  <c r="AB43"/>
  <c r="AB65"/>
  <c r="AB120"/>
  <c r="AB117"/>
  <c r="AB88"/>
  <c r="AB86"/>
  <c r="AB84"/>
  <c r="AB125"/>
  <c r="AB116"/>
  <c r="AB143"/>
  <c r="AB136"/>
  <c r="AB66"/>
  <c r="AB64"/>
  <c r="AB48"/>
  <c r="AB138"/>
  <c r="AB81"/>
  <c r="AB61"/>
  <c r="AB58"/>
  <c r="AB30"/>
  <c r="AB19"/>
  <c r="AA16"/>
  <c r="AC16"/>
  <c r="AB127"/>
  <c r="AB63"/>
  <c r="AB28"/>
  <c r="AB121"/>
  <c r="AB78"/>
  <c r="AB50"/>
  <c r="AB140"/>
  <c r="AB80"/>
  <c r="AB60"/>
  <c r="AB52"/>
  <c r="AB26"/>
  <c r="AB57"/>
  <c r="AB54"/>
  <c r="AB49"/>
  <c r="AB44"/>
  <c r="AB40"/>
  <c r="AB24"/>
  <c r="AB77"/>
  <c r="AB46"/>
  <c r="AB34"/>
  <c r="AB38"/>
  <c r="AB79"/>
  <c r="AB92"/>
  <c r="AB59"/>
  <c r="AB90"/>
  <c r="AB128"/>
  <c r="AB139"/>
  <c r="AB32"/>
  <c r="AB39"/>
  <c r="AB85"/>
  <c r="AB89"/>
  <c r="AB148"/>
  <c r="AB31"/>
  <c r="AB33"/>
  <c r="AB122"/>
  <c r="AB137"/>
  <c r="AB141"/>
  <c r="AB25"/>
  <c r="AB29"/>
  <c r="AB22"/>
  <c r="AB91"/>
  <c r="AB87"/>
  <c r="AB23"/>
  <c r="AB93"/>
  <c r="AD7"/>
  <c r="AD8"/>
  <c r="AB45"/>
  <c r="E21" i="24"/>
  <c r="F16"/>
  <c r="D16"/>
  <c r="C21"/>
  <c r="AA91" i="18"/>
  <c r="AD82" i="25"/>
  <c r="AD97"/>
  <c r="AD111"/>
  <c r="AD98"/>
  <c r="AD101"/>
  <c r="AD103"/>
  <c r="AD106"/>
  <c r="AD95"/>
  <c r="AD110"/>
  <c r="AD96"/>
  <c r="AD99"/>
  <c r="AD102"/>
  <c r="AD105"/>
  <c r="AD107"/>
  <c r="AD114"/>
  <c r="AD109"/>
  <c r="AD100"/>
  <c r="AD94"/>
  <c r="AD112"/>
  <c r="AD115"/>
  <c r="AD108"/>
  <c r="AD113"/>
  <c r="AD104"/>
  <c r="AD75"/>
  <c r="D76" i="24"/>
  <c r="D42"/>
  <c r="AD68" i="25"/>
  <c r="AD55"/>
  <c r="F76" i="24"/>
  <c r="AD72" i="25"/>
  <c r="AD73"/>
  <c r="AD70"/>
  <c r="AD74"/>
  <c r="AD71"/>
  <c r="AD51"/>
  <c r="AD56"/>
  <c r="AD62"/>
  <c r="AD47"/>
  <c r="AD53"/>
  <c r="R21" i="23"/>
  <c r="F42" i="24"/>
  <c r="AA42" i="25"/>
  <c r="R42" i="23"/>
  <c r="AD45" i="25"/>
  <c r="AA126"/>
  <c r="AC126"/>
  <c r="AD43"/>
  <c r="AD83"/>
  <c r="AD120"/>
  <c r="AD54"/>
  <c r="AD46"/>
  <c r="AD81"/>
  <c r="AD64"/>
  <c r="AD48"/>
  <c r="AD25"/>
  <c r="AD66"/>
  <c r="AD61"/>
  <c r="AD39"/>
  <c r="AD23"/>
  <c r="AD63"/>
  <c r="AD58"/>
  <c r="AD33"/>
  <c r="AD50"/>
  <c r="AD78"/>
  <c r="AD80"/>
  <c r="AD26"/>
  <c r="AD34"/>
  <c r="AD57"/>
  <c r="AD49"/>
  <c r="AD91"/>
  <c r="AD19"/>
  <c r="AD121"/>
  <c r="AD143"/>
  <c r="AD30"/>
  <c r="AD31"/>
  <c r="AD60"/>
  <c r="AD40"/>
  <c r="AD84"/>
  <c r="AD88"/>
  <c r="AD140"/>
  <c r="AD52"/>
  <c r="AD24"/>
  <c r="AD125"/>
  <c r="AD138"/>
  <c r="AD28"/>
  <c r="AD44"/>
  <c r="AD86"/>
  <c r="AD136"/>
  <c r="AD127"/>
  <c r="AD59"/>
  <c r="AD92"/>
  <c r="AD79"/>
  <c r="AD137"/>
  <c r="AD85"/>
  <c r="AD77"/>
  <c r="AD139"/>
  <c r="AD148"/>
  <c r="AD116"/>
  <c r="AD22"/>
  <c r="AD38"/>
  <c r="AD90"/>
  <c r="AD141"/>
  <c r="AD89"/>
  <c r="AD87"/>
  <c r="AD128"/>
  <c r="AD32"/>
  <c r="AD29"/>
  <c r="AD122"/>
  <c r="AB16"/>
  <c r="AD65"/>
  <c r="AD41"/>
  <c r="D21" i="24"/>
  <c r="E129"/>
  <c r="C35"/>
  <c r="C129"/>
  <c r="D129" s="1"/>
  <c r="E35"/>
  <c r="F35" s="1"/>
  <c r="F21"/>
  <c r="AC42" i="25"/>
  <c r="AA76"/>
  <c r="AC76"/>
  <c r="R76" i="23"/>
  <c r="AB42" i="25"/>
  <c r="AB126"/>
  <c r="AA129"/>
  <c r="AC129" s="1"/>
  <c r="AD129" s="1"/>
  <c r="AD16"/>
  <c r="C145" i="24"/>
  <c r="D145" s="1"/>
  <c r="D35"/>
  <c r="F129"/>
  <c r="E145"/>
  <c r="F145" s="1"/>
  <c r="E36"/>
  <c r="E92" i="18" s="1"/>
  <c r="AB76" i="25"/>
  <c r="AD76"/>
  <c r="AD42"/>
  <c r="AD126"/>
  <c r="AB129"/>
  <c r="AA35"/>
  <c r="AC35" s="1"/>
  <c r="AD35" s="1"/>
  <c r="AA127" i="4"/>
  <c r="AA62"/>
  <c r="AA51"/>
  <c r="AA117" i="3"/>
  <c r="AA47"/>
  <c r="AA120" i="23"/>
  <c r="AA121"/>
  <c r="AC120"/>
  <c r="AH120"/>
  <c r="AC121"/>
  <c r="AH121"/>
  <c r="S5" i="12"/>
  <c r="T13"/>
  <c r="T14"/>
  <c r="T10"/>
  <c r="T8"/>
  <c r="T11"/>
  <c r="T7"/>
  <c r="T9"/>
  <c r="O93" i="3"/>
  <c r="O15" i="18" s="1"/>
  <c r="O144" i="23"/>
  <c r="Q144"/>
  <c r="Q77" i="18" s="1"/>
  <c r="Q129" i="23"/>
  <c r="O93"/>
  <c r="Q93"/>
  <c r="Q78" i="18" s="1"/>
  <c r="Q41" i="23"/>
  <c r="O16"/>
  <c r="O144" i="3"/>
  <c r="O14" i="18" s="1"/>
  <c r="O41" i="3"/>
  <c r="O15"/>
  <c r="O12"/>
  <c r="O52" i="12"/>
  <c r="AA5" i="4"/>
  <c r="AA6"/>
  <c r="AA7"/>
  <c r="AA8"/>
  <c r="C12"/>
  <c r="G12"/>
  <c r="I12"/>
  <c r="K12"/>
  <c r="Q12"/>
  <c r="S12"/>
  <c r="AA13"/>
  <c r="AC13"/>
  <c r="AA14"/>
  <c r="AC14"/>
  <c r="C15"/>
  <c r="E15"/>
  <c r="G15"/>
  <c r="I15"/>
  <c r="K15"/>
  <c r="Q15"/>
  <c r="S15"/>
  <c r="U15"/>
  <c r="W15"/>
  <c r="Y15"/>
  <c r="AA18"/>
  <c r="AC18"/>
  <c r="AA19"/>
  <c r="AC19"/>
  <c r="AA20"/>
  <c r="AC20"/>
  <c r="AA22"/>
  <c r="AC22"/>
  <c r="AA23"/>
  <c r="AC23"/>
  <c r="AA24"/>
  <c r="AC24"/>
  <c r="AA25"/>
  <c r="AC25"/>
  <c r="AA26"/>
  <c r="AC26"/>
  <c r="AA28"/>
  <c r="AC28"/>
  <c r="AA29"/>
  <c r="AC29"/>
  <c r="AA30"/>
  <c r="AC30"/>
  <c r="AA31"/>
  <c r="AC31"/>
  <c r="AA32"/>
  <c r="AC32"/>
  <c r="AA33"/>
  <c r="AC33"/>
  <c r="AA34"/>
  <c r="AC34"/>
  <c r="AA38"/>
  <c r="AC38"/>
  <c r="AA39"/>
  <c r="AC39"/>
  <c r="AA40"/>
  <c r="AC40"/>
  <c r="C41"/>
  <c r="E41"/>
  <c r="G41"/>
  <c r="I41"/>
  <c r="K41"/>
  <c r="Q41"/>
  <c r="S41"/>
  <c r="U41"/>
  <c r="W41"/>
  <c r="Y41"/>
  <c r="AA42"/>
  <c r="AA44"/>
  <c r="AC44"/>
  <c r="AA47"/>
  <c r="AC47"/>
  <c r="AA48"/>
  <c r="AC48"/>
  <c r="AA49"/>
  <c r="AC49"/>
  <c r="AA50"/>
  <c r="AC50"/>
  <c r="AC51"/>
  <c r="AA52"/>
  <c r="AC52"/>
  <c r="AA54"/>
  <c r="AC54"/>
  <c r="AA55"/>
  <c r="AC55"/>
  <c r="AA56"/>
  <c r="AC56"/>
  <c r="AA57"/>
  <c r="AC57"/>
  <c r="AA58"/>
  <c r="AC58"/>
  <c r="AA59"/>
  <c r="AC59"/>
  <c r="AA60"/>
  <c r="AC60"/>
  <c r="AA61"/>
  <c r="AC61"/>
  <c r="AC62"/>
  <c r="AA63"/>
  <c r="AC63"/>
  <c r="AA64"/>
  <c r="AC64"/>
  <c r="AC65"/>
  <c r="AC66"/>
  <c r="AA67"/>
  <c r="AC78"/>
  <c r="AC80"/>
  <c r="AC82"/>
  <c r="AC84"/>
  <c r="AC85"/>
  <c r="AC86"/>
  <c r="AC87"/>
  <c r="AC88"/>
  <c r="AC89"/>
  <c r="AA91"/>
  <c r="AC91"/>
  <c r="AA92"/>
  <c r="AC92"/>
  <c r="G93"/>
  <c r="G24" i="18" s="1"/>
  <c r="I93" i="4"/>
  <c r="I24" i="18" s="1"/>
  <c r="K93" i="4"/>
  <c r="K24" i="18" s="1"/>
  <c r="Q93" i="4"/>
  <c r="Q24" i="18" s="1"/>
  <c r="W93" i="4"/>
  <c r="W24" i="18" s="1"/>
  <c r="Y93" i="4"/>
  <c r="Y24" i="18" s="1"/>
  <c r="AA116" i="4"/>
  <c r="AC116"/>
  <c r="AA117"/>
  <c r="AC117" s="1"/>
  <c r="AA120"/>
  <c r="AC120"/>
  <c r="AA121"/>
  <c r="AC121"/>
  <c r="AA122"/>
  <c r="AC122"/>
  <c r="AA123"/>
  <c r="AC123"/>
  <c r="AA124"/>
  <c r="AC124"/>
  <c r="AA125"/>
  <c r="AC125"/>
  <c r="AC127"/>
  <c r="AA128"/>
  <c r="AC128"/>
  <c r="AA133"/>
  <c r="AC133"/>
  <c r="AA136"/>
  <c r="AC136"/>
  <c r="AA137"/>
  <c r="AC137"/>
  <c r="AA138"/>
  <c r="AC138"/>
  <c r="AA139"/>
  <c r="AC139"/>
  <c r="AA140"/>
  <c r="AC140"/>
  <c r="AA141"/>
  <c r="AC141"/>
  <c r="AA143"/>
  <c r="C144"/>
  <c r="E144"/>
  <c r="G144"/>
  <c r="I144"/>
  <c r="I23" i="18" s="1"/>
  <c r="K144" i="4"/>
  <c r="K23" i="18" s="1"/>
  <c r="Q144" i="4"/>
  <c r="Q23" i="18" s="1"/>
  <c r="S144" i="4"/>
  <c r="U166"/>
  <c r="AA148"/>
  <c r="C164"/>
  <c r="E164"/>
  <c r="G164"/>
  <c r="I164"/>
  <c r="K164"/>
  <c r="M164"/>
  <c r="O164"/>
  <c r="Q164"/>
  <c r="S164"/>
  <c r="U164"/>
  <c r="W164"/>
  <c r="Y164"/>
  <c r="Y164" i="23"/>
  <c r="W164"/>
  <c r="U164"/>
  <c r="S164"/>
  <c r="Q164"/>
  <c r="O164"/>
  <c r="M164"/>
  <c r="K164"/>
  <c r="I164"/>
  <c r="G164"/>
  <c r="E164"/>
  <c r="C164"/>
  <c r="Y164" i="11"/>
  <c r="W164"/>
  <c r="U164"/>
  <c r="S164"/>
  <c r="Q164"/>
  <c r="O164"/>
  <c r="M164"/>
  <c r="K164"/>
  <c r="I164"/>
  <c r="G164"/>
  <c r="E164"/>
  <c r="C164"/>
  <c r="Y164" i="7"/>
  <c r="W164"/>
  <c r="U164"/>
  <c r="S164"/>
  <c r="Q164"/>
  <c r="O164"/>
  <c r="M164"/>
  <c r="K164"/>
  <c r="I164"/>
  <c r="G164"/>
  <c r="E164"/>
  <c r="C164"/>
  <c r="Y164" i="6"/>
  <c r="W164"/>
  <c r="U164"/>
  <c r="S164"/>
  <c r="Q164"/>
  <c r="O164"/>
  <c r="M164"/>
  <c r="K164"/>
  <c r="I164"/>
  <c r="G164"/>
  <c r="E164"/>
  <c r="C164"/>
  <c r="Y164" i="3"/>
  <c r="W164"/>
  <c r="U164"/>
  <c r="S164"/>
  <c r="Q164"/>
  <c r="O164"/>
  <c r="M164"/>
  <c r="K164"/>
  <c r="I164"/>
  <c r="G164"/>
  <c r="E164"/>
  <c r="C164"/>
  <c r="Y164" i="2"/>
  <c r="W164"/>
  <c r="U164"/>
  <c r="S164"/>
  <c r="Q164"/>
  <c r="O164"/>
  <c r="K164"/>
  <c r="I164"/>
  <c r="G164"/>
  <c r="E164"/>
  <c r="C164"/>
  <c r="M164"/>
  <c r="T56" i="4"/>
  <c r="T26"/>
  <c r="T25"/>
  <c r="T68"/>
  <c r="T73"/>
  <c r="T72"/>
  <c r="T125"/>
  <c r="T128"/>
  <c r="T122"/>
  <c r="T121"/>
  <c r="T120"/>
  <c r="T118"/>
  <c r="T116"/>
  <c r="T127"/>
  <c r="S126"/>
  <c r="T126"/>
  <c r="T119"/>
  <c r="R56"/>
  <c r="R68"/>
  <c r="R25"/>
  <c r="R26"/>
  <c r="R72"/>
  <c r="R73"/>
  <c r="Q126"/>
  <c r="R126"/>
  <c r="R121"/>
  <c r="R127"/>
  <c r="R118"/>
  <c r="R116"/>
  <c r="R122"/>
  <c r="R120"/>
  <c r="R128"/>
  <c r="R125"/>
  <c r="R119"/>
  <c r="L56"/>
  <c r="L25"/>
  <c r="L72"/>
  <c r="L26"/>
  <c r="L68"/>
  <c r="L73"/>
  <c r="L127"/>
  <c r="L121"/>
  <c r="L120"/>
  <c r="L128"/>
  <c r="K126"/>
  <c r="L126"/>
  <c r="L125"/>
  <c r="L122"/>
  <c r="L119"/>
  <c r="L118"/>
  <c r="L116"/>
  <c r="J56"/>
  <c r="J73"/>
  <c r="J68"/>
  <c r="J72"/>
  <c r="J25"/>
  <c r="J26"/>
  <c r="I126"/>
  <c r="J126"/>
  <c r="J120"/>
  <c r="J116"/>
  <c r="J121"/>
  <c r="J118"/>
  <c r="J128"/>
  <c r="J125"/>
  <c r="J119"/>
  <c r="J127"/>
  <c r="J122"/>
  <c r="H56"/>
  <c r="H26"/>
  <c r="H72"/>
  <c r="H25"/>
  <c r="H73"/>
  <c r="H68"/>
  <c r="H119"/>
  <c r="H128"/>
  <c r="H125"/>
  <c r="H127"/>
  <c r="G126"/>
  <c r="H126"/>
  <c r="H122"/>
  <c r="H120"/>
  <c r="H118"/>
  <c r="H116"/>
  <c r="H121"/>
  <c r="D56"/>
  <c r="D72"/>
  <c r="D26"/>
  <c r="D25"/>
  <c r="D68"/>
  <c r="D73"/>
  <c r="D125"/>
  <c r="D128"/>
  <c r="D127"/>
  <c r="C126"/>
  <c r="D126"/>
  <c r="D122"/>
  <c r="D121"/>
  <c r="D120"/>
  <c r="D119"/>
  <c r="D118"/>
  <c r="D116"/>
  <c r="P72" i="3"/>
  <c r="P26"/>
  <c r="P25"/>
  <c r="P68"/>
  <c r="P73"/>
  <c r="O126"/>
  <c r="P126"/>
  <c r="P128"/>
  <c r="P127"/>
  <c r="P125"/>
  <c r="P122"/>
  <c r="P121"/>
  <c r="P120"/>
  <c r="P119"/>
  <c r="P118"/>
  <c r="P116"/>
  <c r="E166" i="4"/>
  <c r="E23" i="18"/>
  <c r="S46" i="4"/>
  <c r="T51"/>
  <c r="T53"/>
  <c r="R51"/>
  <c r="R53"/>
  <c r="Q46"/>
  <c r="K46"/>
  <c r="L51"/>
  <c r="L53"/>
  <c r="K17"/>
  <c r="J51"/>
  <c r="J53"/>
  <c r="I46"/>
  <c r="H53"/>
  <c r="H51"/>
  <c r="G46"/>
  <c r="H46"/>
  <c r="D51"/>
  <c r="C46"/>
  <c r="D53"/>
  <c r="P56" i="3"/>
  <c r="P62"/>
  <c r="P51"/>
  <c r="P47"/>
  <c r="O46"/>
  <c r="P45"/>
  <c r="T55" i="4"/>
  <c r="T142"/>
  <c r="T75"/>
  <c r="T70"/>
  <c r="T66"/>
  <c r="T74"/>
  <c r="T71"/>
  <c r="T69"/>
  <c r="T115"/>
  <c r="R55"/>
  <c r="R142"/>
  <c r="R74"/>
  <c r="R70"/>
  <c r="R115"/>
  <c r="R75"/>
  <c r="R71"/>
  <c r="R66"/>
  <c r="R69"/>
  <c r="P144" i="23"/>
  <c r="O77" i="18"/>
  <c r="P93" i="23"/>
  <c r="O78" i="18"/>
  <c r="O73"/>
  <c r="P55" i="3"/>
  <c r="P142"/>
  <c r="P75"/>
  <c r="P71"/>
  <c r="P69"/>
  <c r="P74"/>
  <c r="P70"/>
  <c r="P66"/>
  <c r="P115"/>
  <c r="L55" i="4"/>
  <c r="L142"/>
  <c r="L74"/>
  <c r="L70"/>
  <c r="L66"/>
  <c r="L115"/>
  <c r="L75"/>
  <c r="L71"/>
  <c r="L69"/>
  <c r="J55"/>
  <c r="J142"/>
  <c r="J74"/>
  <c r="J70"/>
  <c r="J115"/>
  <c r="J69"/>
  <c r="J75"/>
  <c r="J71"/>
  <c r="J66"/>
  <c r="H55"/>
  <c r="H142"/>
  <c r="H75"/>
  <c r="H71"/>
  <c r="H69"/>
  <c r="H74"/>
  <c r="H70"/>
  <c r="H66"/>
  <c r="H115"/>
  <c r="D55"/>
  <c r="D142"/>
  <c r="D74"/>
  <c r="D70"/>
  <c r="D66"/>
  <c r="D75"/>
  <c r="D71"/>
  <c r="D69"/>
  <c r="D115"/>
  <c r="AC67"/>
  <c r="J17"/>
  <c r="T17"/>
  <c r="L17"/>
  <c r="H17"/>
  <c r="P53" i="3"/>
  <c r="P17"/>
  <c r="R17" i="4"/>
  <c r="R35" i="23"/>
  <c r="R144"/>
  <c r="R93"/>
  <c r="R129"/>
  <c r="D17" i="4"/>
  <c r="L64"/>
  <c r="L77"/>
  <c r="L144"/>
  <c r="AC5"/>
  <c r="AB9"/>
  <c r="M42" i="12"/>
  <c r="H19" i="4"/>
  <c r="T19"/>
  <c r="J19"/>
  <c r="D19"/>
  <c r="R19"/>
  <c r="L19"/>
  <c r="P19" i="3"/>
  <c r="D77" i="4"/>
  <c r="L80"/>
  <c r="T138"/>
  <c r="J34"/>
  <c r="L52"/>
  <c r="D92"/>
  <c r="L90"/>
  <c r="L141"/>
  <c r="L84"/>
  <c r="L92"/>
  <c r="L85"/>
  <c r="L81"/>
  <c r="L78"/>
  <c r="L63"/>
  <c r="L61"/>
  <c r="L62"/>
  <c r="L60"/>
  <c r="L89"/>
  <c r="L148"/>
  <c r="L143"/>
  <c r="L140"/>
  <c r="L139"/>
  <c r="L138"/>
  <c r="L137"/>
  <c r="L136"/>
  <c r="L93"/>
  <c r="L91"/>
  <c r="L87"/>
  <c r="L86"/>
  <c r="L83"/>
  <c r="L82"/>
  <c r="L65"/>
  <c r="L57"/>
  <c r="D52"/>
  <c r="AC42"/>
  <c r="T77"/>
  <c r="J31"/>
  <c r="R41" i="23"/>
  <c r="D31" i="4"/>
  <c r="T144"/>
  <c r="J144"/>
  <c r="J78"/>
  <c r="D41"/>
  <c r="D79"/>
  <c r="D78"/>
  <c r="D45"/>
  <c r="R45"/>
  <c r="H45"/>
  <c r="D148"/>
  <c r="D136"/>
  <c r="D81"/>
  <c r="J76"/>
  <c r="D62"/>
  <c r="D34"/>
  <c r="T90"/>
  <c r="T45"/>
  <c r="J45"/>
  <c r="D143"/>
  <c r="D85"/>
  <c r="D64"/>
  <c r="D59"/>
  <c r="L45"/>
  <c r="L29"/>
  <c r="R143"/>
  <c r="T23"/>
  <c r="L49"/>
  <c r="L23"/>
  <c r="L28"/>
  <c r="L22"/>
  <c r="L24"/>
  <c r="AA45"/>
  <c r="AC45"/>
  <c r="H52"/>
  <c r="T50"/>
  <c r="T143"/>
  <c r="T89"/>
  <c r="T64"/>
  <c r="T57"/>
  <c r="T42"/>
  <c r="R90"/>
  <c r="R52"/>
  <c r="R44"/>
  <c r="R31"/>
  <c r="J148"/>
  <c r="J136"/>
  <c r="J89"/>
  <c r="J33"/>
  <c r="J143"/>
  <c r="J81"/>
  <c r="J79"/>
  <c r="J58"/>
  <c r="J54"/>
  <c r="J42"/>
  <c r="J41"/>
  <c r="J38"/>
  <c r="J32"/>
  <c r="J24"/>
  <c r="J23"/>
  <c r="J92"/>
  <c r="J39"/>
  <c r="J30"/>
  <c r="J90"/>
  <c r="J80"/>
  <c r="J77"/>
  <c r="J61"/>
  <c r="J57"/>
  <c r="J52"/>
  <c r="J44"/>
  <c r="J43"/>
  <c r="H143"/>
  <c r="H90"/>
  <c r="H31"/>
  <c r="H44"/>
  <c r="I166"/>
  <c r="L54"/>
  <c r="L50"/>
  <c r="L47"/>
  <c r="L44"/>
  <c r="L40"/>
  <c r="L32"/>
  <c r="M166"/>
  <c r="U93"/>
  <c r="U24" i="18" s="1"/>
  <c r="AC90" i="4"/>
  <c r="L79"/>
  <c r="L59"/>
  <c r="L58"/>
  <c r="L48"/>
  <c r="L43"/>
  <c r="L42"/>
  <c r="L41"/>
  <c r="L39"/>
  <c r="L30"/>
  <c r="AA43"/>
  <c r="AC43"/>
  <c r="L38"/>
  <c r="L34"/>
  <c r="L33"/>
  <c r="L31"/>
  <c r="W12"/>
  <c r="T92"/>
  <c r="T85"/>
  <c r="T54"/>
  <c r="T41"/>
  <c r="T33"/>
  <c r="T29"/>
  <c r="T91"/>
  <c r="T79"/>
  <c r="T52"/>
  <c r="T47"/>
  <c r="T31"/>
  <c r="T30"/>
  <c r="T22"/>
  <c r="S16"/>
  <c r="T148"/>
  <c r="T141"/>
  <c r="T80"/>
  <c r="T63"/>
  <c r="T44"/>
  <c r="T38"/>
  <c r="T32"/>
  <c r="D139"/>
  <c r="D90"/>
  <c r="D80"/>
  <c r="D63"/>
  <c r="D60"/>
  <c r="D48"/>
  <c r="D44"/>
  <c r="D39"/>
  <c r="D33"/>
  <c r="D30"/>
  <c r="D22"/>
  <c r="C16"/>
  <c r="D140"/>
  <c r="D137"/>
  <c r="D91"/>
  <c r="D89"/>
  <c r="D86"/>
  <c r="D82"/>
  <c r="D65"/>
  <c r="D61"/>
  <c r="D58"/>
  <c r="D49"/>
  <c r="D43"/>
  <c r="D38"/>
  <c r="D32"/>
  <c r="D28"/>
  <c r="D24"/>
  <c r="D141"/>
  <c r="D138"/>
  <c r="D87"/>
  <c r="D84"/>
  <c r="D57"/>
  <c r="D54"/>
  <c r="D50"/>
  <c r="D47"/>
  <c r="D42"/>
  <c r="D40"/>
  <c r="D29"/>
  <c r="D23"/>
  <c r="Q16"/>
  <c r="H139"/>
  <c r="R86"/>
  <c r="H65"/>
  <c r="H48"/>
  <c r="R144"/>
  <c r="H144"/>
  <c r="J140"/>
  <c r="J137"/>
  <c r="T136"/>
  <c r="J87"/>
  <c r="J84"/>
  <c r="T83"/>
  <c r="J83"/>
  <c r="J82"/>
  <c r="T81"/>
  <c r="R79"/>
  <c r="H79"/>
  <c r="T78"/>
  <c r="J62"/>
  <c r="T61"/>
  <c r="T60"/>
  <c r="J60"/>
  <c r="J59"/>
  <c r="T58"/>
  <c r="J49"/>
  <c r="T43"/>
  <c r="J40"/>
  <c r="T39"/>
  <c r="T34"/>
  <c r="R32"/>
  <c r="H32"/>
  <c r="J28"/>
  <c r="T24"/>
  <c r="Y12"/>
  <c r="G16"/>
  <c r="K16"/>
  <c r="R139"/>
  <c r="H93"/>
  <c r="H86"/>
  <c r="R65"/>
  <c r="R48"/>
  <c r="J141"/>
  <c r="T140"/>
  <c r="T139"/>
  <c r="J139"/>
  <c r="J138"/>
  <c r="T137"/>
  <c r="J93"/>
  <c r="J91"/>
  <c r="T87"/>
  <c r="T86"/>
  <c r="J86"/>
  <c r="J85"/>
  <c r="T84"/>
  <c r="R83"/>
  <c r="H83"/>
  <c r="T82"/>
  <c r="T65"/>
  <c r="J65"/>
  <c r="J64"/>
  <c r="J63"/>
  <c r="T62"/>
  <c r="R60"/>
  <c r="H60"/>
  <c r="T59"/>
  <c r="J50"/>
  <c r="T49"/>
  <c r="T48"/>
  <c r="J48"/>
  <c r="J47"/>
  <c r="T40"/>
  <c r="J29"/>
  <c r="T28"/>
  <c r="J22"/>
  <c r="I16"/>
  <c r="Q166"/>
  <c r="R138"/>
  <c r="H138"/>
  <c r="R93"/>
  <c r="R89"/>
  <c r="H89"/>
  <c r="R85"/>
  <c r="H85"/>
  <c r="R82"/>
  <c r="H82"/>
  <c r="R78"/>
  <c r="H78"/>
  <c r="R64"/>
  <c r="H64"/>
  <c r="R63"/>
  <c r="H63"/>
  <c r="R59"/>
  <c r="H59"/>
  <c r="R47"/>
  <c r="H47"/>
  <c r="R41"/>
  <c r="H41"/>
  <c r="R40"/>
  <c r="H40"/>
  <c r="R39"/>
  <c r="H39"/>
  <c r="R30"/>
  <c r="H30"/>
  <c r="R24"/>
  <c r="H24"/>
  <c r="AB7"/>
  <c r="R141"/>
  <c r="H141"/>
  <c r="R137"/>
  <c r="H137"/>
  <c r="R92"/>
  <c r="H92"/>
  <c r="R84"/>
  <c r="H84"/>
  <c r="R81"/>
  <c r="H81"/>
  <c r="R77"/>
  <c r="H77"/>
  <c r="R62"/>
  <c r="H62"/>
  <c r="R58"/>
  <c r="H58"/>
  <c r="R54"/>
  <c r="H54"/>
  <c r="R50"/>
  <c r="H50"/>
  <c r="R43"/>
  <c r="H43"/>
  <c r="R38"/>
  <c r="H38"/>
  <c r="R34"/>
  <c r="H34"/>
  <c r="R29"/>
  <c r="H29"/>
  <c r="R23"/>
  <c r="H23"/>
  <c r="U12"/>
  <c r="Y166"/>
  <c r="R148"/>
  <c r="H148"/>
  <c r="R140"/>
  <c r="H140"/>
  <c r="R136"/>
  <c r="H136"/>
  <c r="R91"/>
  <c r="H91"/>
  <c r="R87"/>
  <c r="H87"/>
  <c r="R80"/>
  <c r="H80"/>
  <c r="R61"/>
  <c r="H61"/>
  <c r="R57"/>
  <c r="H57"/>
  <c r="R49"/>
  <c r="H49"/>
  <c r="R42"/>
  <c r="H42"/>
  <c r="R33"/>
  <c r="H33"/>
  <c r="R28"/>
  <c r="H28"/>
  <c r="R22"/>
  <c r="H22"/>
  <c r="AA10"/>
  <c r="AB10"/>
  <c r="S93"/>
  <c r="AA144"/>
  <c r="AA166" s="1"/>
  <c r="Q145" i="23"/>
  <c r="AB8" i="4"/>
  <c r="AB6"/>
  <c r="AA15"/>
  <c r="O16" i="3"/>
  <c r="AC15" i="4"/>
  <c r="AA41"/>
  <c r="AC41"/>
  <c r="AC8"/>
  <c r="AC7"/>
  <c r="AC6"/>
  <c r="E12"/>
  <c r="AA11"/>
  <c r="AC148"/>
  <c r="D83"/>
  <c r="AC143"/>
  <c r="W166"/>
  <c r="S166"/>
  <c r="O166"/>
  <c r="K166"/>
  <c r="G166"/>
  <c r="C166"/>
  <c r="AA164"/>
  <c r="AC81"/>
  <c r="AC79"/>
  <c r="AC77"/>
  <c r="Q166" i="23"/>
  <c r="O166"/>
  <c r="M166"/>
  <c r="I166"/>
  <c r="G166"/>
  <c r="E166"/>
  <c r="C166"/>
  <c r="Z56" i="4"/>
  <c r="Z26"/>
  <c r="Z73"/>
  <c r="Z68"/>
  <c r="Z72"/>
  <c r="Z25"/>
  <c r="Z120"/>
  <c r="Z127"/>
  <c r="Z122"/>
  <c r="Z118"/>
  <c r="Y126"/>
  <c r="Z126"/>
  <c r="Z121"/>
  <c r="Z128"/>
  <c r="Z125"/>
  <c r="Z119"/>
  <c r="Z116"/>
  <c r="X26"/>
  <c r="X72"/>
  <c r="X25"/>
  <c r="X73"/>
  <c r="X68"/>
  <c r="X120"/>
  <c r="W126"/>
  <c r="X126"/>
  <c r="X116"/>
  <c r="X128"/>
  <c r="X125"/>
  <c r="X121"/>
  <c r="X119"/>
  <c r="X127"/>
  <c r="X118"/>
  <c r="X122"/>
  <c r="V56"/>
  <c r="V72"/>
  <c r="V26"/>
  <c r="V25"/>
  <c r="V68"/>
  <c r="V73"/>
  <c r="V128"/>
  <c r="V127"/>
  <c r="V122"/>
  <c r="V118"/>
  <c r="V120"/>
  <c r="V116"/>
  <c r="V125"/>
  <c r="V119"/>
  <c r="V121"/>
  <c r="U126"/>
  <c r="V126"/>
  <c r="S19" i="18"/>
  <c r="Q19"/>
  <c r="K19"/>
  <c r="I19"/>
  <c r="G19"/>
  <c r="F56" i="4"/>
  <c r="F73"/>
  <c r="F68"/>
  <c r="F72"/>
  <c r="F26"/>
  <c r="F25"/>
  <c r="E126"/>
  <c r="F126"/>
  <c r="F120"/>
  <c r="F128"/>
  <c r="F125"/>
  <c r="F119"/>
  <c r="F127"/>
  <c r="F122"/>
  <c r="F118"/>
  <c r="F116"/>
  <c r="F121"/>
  <c r="C19" i="18"/>
  <c r="X56" i="4"/>
  <c r="X66"/>
  <c r="Z51"/>
  <c r="Y17"/>
  <c r="Z17"/>
  <c r="Z53"/>
  <c r="Z55"/>
  <c r="Z142"/>
  <c r="Z74"/>
  <c r="Z70"/>
  <c r="Z75"/>
  <c r="Z71"/>
  <c r="Z66"/>
  <c r="Z115"/>
  <c r="Z69"/>
  <c r="X53"/>
  <c r="W17"/>
  <c r="X17"/>
  <c r="X51"/>
  <c r="W46"/>
  <c r="X55"/>
  <c r="X142"/>
  <c r="X74"/>
  <c r="X70"/>
  <c r="X115"/>
  <c r="X75"/>
  <c r="X71"/>
  <c r="X69"/>
  <c r="V53"/>
  <c r="V51"/>
  <c r="U46"/>
  <c r="V55"/>
  <c r="V142"/>
  <c r="V74"/>
  <c r="V70"/>
  <c r="V69"/>
  <c r="V66"/>
  <c r="V115"/>
  <c r="V75"/>
  <c r="V71"/>
  <c r="T46"/>
  <c r="T76"/>
  <c r="R46"/>
  <c r="R76"/>
  <c r="F53"/>
  <c r="F51"/>
  <c r="E46"/>
  <c r="F46"/>
  <c r="D46"/>
  <c r="C76"/>
  <c r="D76"/>
  <c r="T93"/>
  <c r="S24" i="18"/>
  <c r="O10"/>
  <c r="L76" i="4"/>
  <c r="H76"/>
  <c r="F55"/>
  <c r="F142"/>
  <c r="F74"/>
  <c r="F70"/>
  <c r="F115"/>
  <c r="F75"/>
  <c r="F71"/>
  <c r="F69"/>
  <c r="F66"/>
  <c r="V17"/>
  <c r="I155"/>
  <c r="R145" i="23"/>
  <c r="AJ145"/>
  <c r="F17" i="4"/>
  <c r="AA17"/>
  <c r="I21"/>
  <c r="J21" s="1"/>
  <c r="AD8"/>
  <c r="AD7"/>
  <c r="AD6"/>
  <c r="Z19"/>
  <c r="F19"/>
  <c r="L16"/>
  <c r="V19"/>
  <c r="H16"/>
  <c r="X19"/>
  <c r="Y21"/>
  <c r="X42"/>
  <c r="Z47"/>
  <c r="Z81"/>
  <c r="Z49"/>
  <c r="Z38"/>
  <c r="Z63"/>
  <c r="Z91"/>
  <c r="Z89"/>
  <c r="Z87"/>
  <c r="Z34"/>
  <c r="Z33"/>
  <c r="Z61"/>
  <c r="Z140"/>
  <c r="Z23"/>
  <c r="Z50"/>
  <c r="Z84"/>
  <c r="Z137"/>
  <c r="Z41"/>
  <c r="Z64"/>
  <c r="Z148"/>
  <c r="Z29"/>
  <c r="Z54"/>
  <c r="F45"/>
  <c r="T16"/>
  <c r="D21"/>
  <c r="V45"/>
  <c r="Z45"/>
  <c r="X45"/>
  <c r="X41"/>
  <c r="AC10"/>
  <c r="AD10"/>
  <c r="Z85"/>
  <c r="T35"/>
  <c r="O129" i="23"/>
  <c r="P129" s="1"/>
  <c r="P42"/>
  <c r="D16" i="4"/>
  <c r="V41"/>
  <c r="X93"/>
  <c r="W16"/>
  <c r="X43"/>
  <c r="X24"/>
  <c r="X31"/>
  <c r="X52"/>
  <c r="X58"/>
  <c r="X59"/>
  <c r="X61"/>
  <c r="X62"/>
  <c r="X79"/>
  <c r="X84"/>
  <c r="X86"/>
  <c r="X91"/>
  <c r="X136"/>
  <c r="X23"/>
  <c r="X34"/>
  <c r="X38"/>
  <c r="X39"/>
  <c r="X50"/>
  <c r="X57"/>
  <c r="X60"/>
  <c r="X63"/>
  <c r="X78"/>
  <c r="X87"/>
  <c r="X137"/>
  <c r="X138"/>
  <c r="X139"/>
  <c r="X140"/>
  <c r="X141"/>
  <c r="X22"/>
  <c r="X28"/>
  <c r="X40"/>
  <c r="X44"/>
  <c r="X47"/>
  <c r="X48"/>
  <c r="X49"/>
  <c r="X54"/>
  <c r="X64"/>
  <c r="X77"/>
  <c r="X81"/>
  <c r="X83"/>
  <c r="X89"/>
  <c r="X92"/>
  <c r="X29"/>
  <c r="X30"/>
  <c r="X32"/>
  <c r="X33"/>
  <c r="X65"/>
  <c r="X80"/>
  <c r="X82"/>
  <c r="X85"/>
  <c r="X90"/>
  <c r="X143"/>
  <c r="X148"/>
  <c r="X144"/>
  <c r="V144"/>
  <c r="F41"/>
  <c r="K21"/>
  <c r="Z22"/>
  <c r="Z32"/>
  <c r="Z79"/>
  <c r="Z60"/>
  <c r="Z83"/>
  <c r="Z86"/>
  <c r="Z139"/>
  <c r="Z31"/>
  <c r="Z44"/>
  <c r="Z52"/>
  <c r="Z90"/>
  <c r="Z143"/>
  <c r="Z48"/>
  <c r="Z65"/>
  <c r="AC9"/>
  <c r="AD9"/>
  <c r="Y16"/>
  <c r="Z58"/>
  <c r="Z141"/>
  <c r="Z24"/>
  <c r="Z30"/>
  <c r="Z39"/>
  <c r="Z78"/>
  <c r="Z138"/>
  <c r="V93"/>
  <c r="Z43"/>
  <c r="Z144"/>
  <c r="R16"/>
  <c r="S129"/>
  <c r="T129" s="1"/>
  <c r="F144"/>
  <c r="J16"/>
  <c r="C129"/>
  <c r="D129" s="1"/>
  <c r="Z28"/>
  <c r="Z42"/>
  <c r="Z57"/>
  <c r="Z80"/>
  <c r="Z136"/>
  <c r="Z62"/>
  <c r="Z77"/>
  <c r="Z92"/>
  <c r="Z40"/>
  <c r="Z59"/>
  <c r="Z82"/>
  <c r="Z93"/>
  <c r="O35" i="3"/>
  <c r="O36" s="1"/>
  <c r="V43" i="4"/>
  <c r="V24"/>
  <c r="V30"/>
  <c r="V39"/>
  <c r="V40"/>
  <c r="V47"/>
  <c r="V59"/>
  <c r="V63"/>
  <c r="V64"/>
  <c r="V78"/>
  <c r="V82"/>
  <c r="V85"/>
  <c r="V89"/>
  <c r="V138"/>
  <c r="U16"/>
  <c r="V38"/>
  <c r="V50"/>
  <c r="V84"/>
  <c r="V92"/>
  <c r="V141"/>
  <c r="V31"/>
  <c r="V32"/>
  <c r="V44"/>
  <c r="V48"/>
  <c r="V52"/>
  <c r="V60"/>
  <c r="V65"/>
  <c r="V79"/>
  <c r="V83"/>
  <c r="V86"/>
  <c r="V90"/>
  <c r="V139"/>
  <c r="V143"/>
  <c r="V23"/>
  <c r="V29"/>
  <c r="V34"/>
  <c r="V62"/>
  <c r="V22"/>
  <c r="V28"/>
  <c r="V33"/>
  <c r="V42"/>
  <c r="V49"/>
  <c r="V57"/>
  <c r="V61"/>
  <c r="V80"/>
  <c r="V87"/>
  <c r="V91"/>
  <c r="V136"/>
  <c r="V140"/>
  <c r="V148"/>
  <c r="V54"/>
  <c r="V58"/>
  <c r="V77"/>
  <c r="V81"/>
  <c r="V137"/>
  <c r="D93"/>
  <c r="AB11"/>
  <c r="AC11"/>
  <c r="AA12"/>
  <c r="AB118"/>
  <c r="AC83"/>
  <c r="F28"/>
  <c r="F29"/>
  <c r="F30"/>
  <c r="F31"/>
  <c r="F32"/>
  <c r="F33"/>
  <c r="F34"/>
  <c r="F38"/>
  <c r="F39"/>
  <c r="F40"/>
  <c r="F42"/>
  <c r="F43"/>
  <c r="F47"/>
  <c r="F48"/>
  <c r="F49"/>
  <c r="F50"/>
  <c r="F52"/>
  <c r="F54"/>
  <c r="F57"/>
  <c r="F58"/>
  <c r="F59"/>
  <c r="F60"/>
  <c r="F61"/>
  <c r="F62"/>
  <c r="F63"/>
  <c r="F64"/>
  <c r="F65"/>
  <c r="F77"/>
  <c r="F78"/>
  <c r="F79"/>
  <c r="F80"/>
  <c r="F81"/>
  <c r="F82"/>
  <c r="E16"/>
  <c r="F22"/>
  <c r="F23"/>
  <c r="F24"/>
  <c r="F44"/>
  <c r="F93"/>
  <c r="F136"/>
  <c r="F137"/>
  <c r="F138"/>
  <c r="F139"/>
  <c r="F140"/>
  <c r="F141"/>
  <c r="F143"/>
  <c r="F148"/>
  <c r="F83"/>
  <c r="F84"/>
  <c r="F85"/>
  <c r="F86"/>
  <c r="F87"/>
  <c r="F89"/>
  <c r="F90"/>
  <c r="F91"/>
  <c r="F92"/>
  <c r="AA93"/>
  <c r="AB93" s="1"/>
  <c r="AA126"/>
  <c r="E19" i="18"/>
  <c r="Y46" i="4"/>
  <c r="Y19" i="18"/>
  <c r="W19"/>
  <c r="X46" i="4"/>
  <c r="X76"/>
  <c r="U19" i="18"/>
  <c r="V46" i="4"/>
  <c r="V76"/>
  <c r="O76" i="3"/>
  <c r="P46"/>
  <c r="AB142" i="4"/>
  <c r="AB96"/>
  <c r="AB106"/>
  <c r="AB109"/>
  <c r="AB99"/>
  <c r="AB102"/>
  <c r="AB98"/>
  <c r="AB94"/>
  <c r="AB111"/>
  <c r="AB114"/>
  <c r="AB103"/>
  <c r="AB97"/>
  <c r="AB113"/>
  <c r="AB107"/>
  <c r="AB110"/>
  <c r="AB75"/>
  <c r="AB112"/>
  <c r="AB105"/>
  <c r="AB108"/>
  <c r="AB95"/>
  <c r="AB104"/>
  <c r="AB101"/>
  <c r="AB100"/>
  <c r="AB115"/>
  <c r="AB68"/>
  <c r="AB119"/>
  <c r="AB53"/>
  <c r="AB70"/>
  <c r="AB72"/>
  <c r="AB74"/>
  <c r="AB73"/>
  <c r="AB71"/>
  <c r="F21"/>
  <c r="P35" i="23"/>
  <c r="Z16" i="4"/>
  <c r="P76" i="23"/>
  <c r="AB83" i="4"/>
  <c r="AB69"/>
  <c r="C145"/>
  <c r="O145" i="23"/>
  <c r="O129" i="3"/>
  <c r="X16" i="4"/>
  <c r="D35"/>
  <c r="I129"/>
  <c r="T21"/>
  <c r="H35"/>
  <c r="Q129"/>
  <c r="G129"/>
  <c r="K129"/>
  <c r="H21"/>
  <c r="L21"/>
  <c r="L35"/>
  <c r="R21"/>
  <c r="S145"/>
  <c r="T145" s="1"/>
  <c r="Z21"/>
  <c r="V16"/>
  <c r="F16"/>
  <c r="AB28"/>
  <c r="AB29"/>
  <c r="AB30"/>
  <c r="AB31"/>
  <c r="AB32"/>
  <c r="AB33"/>
  <c r="AB34"/>
  <c r="AA16"/>
  <c r="AB43"/>
  <c r="AB44"/>
  <c r="AB84"/>
  <c r="AB85"/>
  <c r="AB86"/>
  <c r="AB87"/>
  <c r="AB88"/>
  <c r="AB89"/>
  <c r="AB90"/>
  <c r="AB91"/>
  <c r="AB92"/>
  <c r="AB121"/>
  <c r="AB122"/>
  <c r="AB125"/>
  <c r="AB143"/>
  <c r="AB141"/>
  <c r="AB139"/>
  <c r="AB137"/>
  <c r="AB79"/>
  <c r="AB66"/>
  <c r="AB64"/>
  <c r="AB62"/>
  <c r="AB60"/>
  <c r="AB58"/>
  <c r="AB56"/>
  <c r="AB54"/>
  <c r="AB52"/>
  <c r="AB50"/>
  <c r="AB48"/>
  <c r="AB40"/>
  <c r="AB38"/>
  <c r="AB82"/>
  <c r="AB80"/>
  <c r="AB78"/>
  <c r="AB42"/>
  <c r="AB39"/>
  <c r="AB19"/>
  <c r="AB148"/>
  <c r="AB140"/>
  <c r="AB138"/>
  <c r="AB136"/>
  <c r="AB128"/>
  <c r="AB116"/>
  <c r="AB144"/>
  <c r="AB127"/>
  <c r="AB120"/>
  <c r="AB117"/>
  <c r="AB77"/>
  <c r="AB81"/>
  <c r="AB41"/>
  <c r="AB26"/>
  <c r="AB24"/>
  <c r="AB22"/>
  <c r="AB65"/>
  <c r="AB63"/>
  <c r="AB61"/>
  <c r="AB59"/>
  <c r="AB57"/>
  <c r="AB55"/>
  <c r="AB51"/>
  <c r="AB49"/>
  <c r="AB47"/>
  <c r="AB45"/>
  <c r="AB25"/>
  <c r="AB23"/>
  <c r="AD11"/>
  <c r="AC12"/>
  <c r="AD118"/>
  <c r="AC93"/>
  <c r="AF5" i="12"/>
  <c r="AF6"/>
  <c r="AF7"/>
  <c r="AF8"/>
  <c r="AF9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1"/>
  <c r="AF102"/>
  <c r="AF103"/>
  <c r="AF104"/>
  <c r="AF105"/>
  <c r="AF107"/>
  <c r="AF115"/>
  <c r="AF116"/>
  <c r="AF117"/>
  <c r="AF119"/>
  <c r="AF120"/>
  <c r="AF121"/>
  <c r="AF122"/>
  <c r="AF123"/>
  <c r="AF124"/>
  <c r="AF125"/>
  <c r="AF126"/>
  <c r="AF127"/>
  <c r="AF128"/>
  <c r="AF129"/>
  <c r="AF130"/>
  <c r="AG130"/>
  <c r="AF131"/>
  <c r="AF132"/>
  <c r="AG132"/>
  <c r="AF133"/>
  <c r="AF134"/>
  <c r="AG134"/>
  <c r="AF135"/>
  <c r="AF136"/>
  <c r="AF137"/>
  <c r="AF138"/>
  <c r="AF139"/>
  <c r="AF140"/>
  <c r="AF142"/>
  <c r="AF143"/>
  <c r="AF144"/>
  <c r="AF145"/>
  <c r="AF146"/>
  <c r="AF147"/>
  <c r="AG147"/>
  <c r="AF148"/>
  <c r="AF149"/>
  <c r="AG149"/>
  <c r="AF150"/>
  <c r="AF152"/>
  <c r="AA19" i="18"/>
  <c r="Z46" i="4"/>
  <c r="Z76"/>
  <c r="D145"/>
  <c r="F76"/>
  <c r="AA46"/>
  <c r="AA27"/>
  <c r="AC27" s="1"/>
  <c r="AD68"/>
  <c r="AD75"/>
  <c r="AD96"/>
  <c r="AD108"/>
  <c r="AD105"/>
  <c r="AD111"/>
  <c r="AD112"/>
  <c r="AD110"/>
  <c r="AD97"/>
  <c r="AD113"/>
  <c r="AD94"/>
  <c r="AD99"/>
  <c r="AD114"/>
  <c r="AD98"/>
  <c r="AD95"/>
  <c r="AD103"/>
  <c r="AD109"/>
  <c r="AD102"/>
  <c r="AD100"/>
  <c r="AD101"/>
  <c r="AD107"/>
  <c r="AD104"/>
  <c r="AD106"/>
  <c r="AD115"/>
  <c r="AD73"/>
  <c r="AD70"/>
  <c r="AD74"/>
  <c r="AD71"/>
  <c r="AD72"/>
  <c r="AD53"/>
  <c r="R35"/>
  <c r="P145" i="23"/>
  <c r="O145" i="3"/>
  <c r="M166" i="2"/>
  <c r="AD69" i="4"/>
  <c r="V35"/>
  <c r="W129"/>
  <c r="Q20" i="18"/>
  <c r="Y129" i="4"/>
  <c r="L129"/>
  <c r="K145"/>
  <c r="E129"/>
  <c r="U129"/>
  <c r="J35"/>
  <c r="Q145"/>
  <c r="R129"/>
  <c r="J129"/>
  <c r="I145"/>
  <c r="H129"/>
  <c r="G145"/>
  <c r="H145" s="1"/>
  <c r="V21"/>
  <c r="AD83"/>
  <c r="AD93"/>
  <c r="AD28"/>
  <c r="AD29"/>
  <c r="AD30"/>
  <c r="AD31"/>
  <c r="AD32"/>
  <c r="AD33"/>
  <c r="AD34"/>
  <c r="AC16"/>
  <c r="AD43"/>
  <c r="AD44"/>
  <c r="AD84"/>
  <c r="AD85"/>
  <c r="AD86"/>
  <c r="AD87"/>
  <c r="AD88"/>
  <c r="AD89"/>
  <c r="AD90"/>
  <c r="AD91"/>
  <c r="AD92"/>
  <c r="AD121"/>
  <c r="AD122"/>
  <c r="AD125"/>
  <c r="AD141"/>
  <c r="AD139"/>
  <c r="AD137"/>
  <c r="AD127"/>
  <c r="AD120"/>
  <c r="AD82"/>
  <c r="AD78"/>
  <c r="AD128"/>
  <c r="AD116"/>
  <c r="AD42"/>
  <c r="AD25"/>
  <c r="AD23"/>
  <c r="AD66"/>
  <c r="AD64"/>
  <c r="AD62"/>
  <c r="AD60"/>
  <c r="AD58"/>
  <c r="AD56"/>
  <c r="AD54"/>
  <c r="AD52"/>
  <c r="AD50"/>
  <c r="AD48"/>
  <c r="AD26"/>
  <c r="AD24"/>
  <c r="AD22"/>
  <c r="AD80"/>
  <c r="AD140"/>
  <c r="AD138"/>
  <c r="AD136"/>
  <c r="AD65"/>
  <c r="AD63"/>
  <c r="AD61"/>
  <c r="AD59"/>
  <c r="AD57"/>
  <c r="AD55"/>
  <c r="AD51"/>
  <c r="AD49"/>
  <c r="AD47"/>
  <c r="AD45"/>
  <c r="AD39"/>
  <c r="AD19"/>
  <c r="AD41"/>
  <c r="AD40"/>
  <c r="AD38"/>
  <c r="AD79"/>
  <c r="AD148"/>
  <c r="AD77"/>
  <c r="AD81"/>
  <c r="AD143"/>
  <c r="AB16"/>
  <c r="Y164" i="12"/>
  <c r="S164"/>
  <c r="Q164"/>
  <c r="I164"/>
  <c r="E164"/>
  <c r="AB27" i="4"/>
  <c r="AC46"/>
  <c r="AA76"/>
  <c r="AB76"/>
  <c r="AB46"/>
  <c r="J145"/>
  <c r="I157"/>
  <c r="L145"/>
  <c r="R36"/>
  <c r="R145"/>
  <c r="AP145"/>
  <c r="X129"/>
  <c r="W145"/>
  <c r="X145" s="1"/>
  <c r="X35"/>
  <c r="V129"/>
  <c r="U145"/>
  <c r="V145" s="1"/>
  <c r="E145"/>
  <c r="F129"/>
  <c r="AC126"/>
  <c r="AA129"/>
  <c r="AB126"/>
  <c r="F35"/>
  <c r="Z129"/>
  <c r="Y145"/>
  <c r="Z145" s="1"/>
  <c r="Z35"/>
  <c r="AA35"/>
  <c r="AB35" s="1"/>
  <c r="AD16"/>
  <c r="AE149" i="12"/>
  <c r="AH149"/>
  <c r="AE134"/>
  <c r="AH134"/>
  <c r="AE147"/>
  <c r="AH147"/>
  <c r="AE151"/>
  <c r="AH151"/>
  <c r="AE132"/>
  <c r="AH132"/>
  <c r="AE130"/>
  <c r="AH130"/>
  <c r="C164"/>
  <c r="AA148" i="23"/>
  <c r="Y144"/>
  <c r="W144"/>
  <c r="U144"/>
  <c r="S144"/>
  <c r="S166" s="1"/>
  <c r="AA143"/>
  <c r="AA141"/>
  <c r="AA140"/>
  <c r="AA139"/>
  <c r="AA136"/>
  <c r="AA133"/>
  <c r="AA128"/>
  <c r="AA125"/>
  <c r="AA124"/>
  <c r="AA123"/>
  <c r="AA122"/>
  <c r="AA117"/>
  <c r="AA116"/>
  <c r="W93"/>
  <c r="W78" i="18" s="1"/>
  <c r="S93" i="23"/>
  <c r="S78" i="18" s="1"/>
  <c r="U93" i="23"/>
  <c r="U78" i="18" s="1"/>
  <c r="AA69" i="23"/>
  <c r="AA67"/>
  <c r="AA64"/>
  <c r="AA63"/>
  <c r="AA61"/>
  <c r="AA60"/>
  <c r="AA59"/>
  <c r="AA58"/>
  <c r="AA57"/>
  <c r="AA54"/>
  <c r="AA52"/>
  <c r="AA50"/>
  <c r="AA49"/>
  <c r="AA48"/>
  <c r="AA47"/>
  <c r="AA44"/>
  <c r="Y41"/>
  <c r="W41"/>
  <c r="U41"/>
  <c r="S41"/>
  <c r="AA40"/>
  <c r="AA39"/>
  <c r="AA38"/>
  <c r="AA34"/>
  <c r="AA33"/>
  <c r="AA32"/>
  <c r="AA31"/>
  <c r="AA30"/>
  <c r="AA29"/>
  <c r="AA28"/>
  <c r="AA26"/>
  <c r="AA25"/>
  <c r="AA24"/>
  <c r="AA23"/>
  <c r="AA22"/>
  <c r="AA20"/>
  <c r="AA19"/>
  <c r="AA18"/>
  <c r="Y15"/>
  <c r="W15"/>
  <c r="U15"/>
  <c r="S15"/>
  <c r="AA14"/>
  <c r="AA13"/>
  <c r="AA11"/>
  <c r="AA10"/>
  <c r="W12"/>
  <c r="U12"/>
  <c r="S12"/>
  <c r="AA8"/>
  <c r="AA7"/>
  <c r="AA6"/>
  <c r="X62"/>
  <c r="X26"/>
  <c r="X25"/>
  <c r="X68"/>
  <c r="X72"/>
  <c r="X128"/>
  <c r="X127"/>
  <c r="X125"/>
  <c r="X122"/>
  <c r="X121"/>
  <c r="X120"/>
  <c r="X119"/>
  <c r="X118"/>
  <c r="X116"/>
  <c r="W126"/>
  <c r="X126"/>
  <c r="V62"/>
  <c r="V68"/>
  <c r="V72"/>
  <c r="V26"/>
  <c r="V25"/>
  <c r="V125"/>
  <c r="V122"/>
  <c r="V121"/>
  <c r="V120"/>
  <c r="V119"/>
  <c r="V118"/>
  <c r="V116"/>
  <c r="V128"/>
  <c r="V127"/>
  <c r="U126"/>
  <c r="V126"/>
  <c r="T62"/>
  <c r="T72"/>
  <c r="T26"/>
  <c r="T25"/>
  <c r="T68"/>
  <c r="T128"/>
  <c r="T127"/>
  <c r="S126"/>
  <c r="T126"/>
  <c r="T125"/>
  <c r="T122"/>
  <c r="T121"/>
  <c r="T120"/>
  <c r="T119"/>
  <c r="T118"/>
  <c r="T116"/>
  <c r="X53"/>
  <c r="X51"/>
  <c r="W46"/>
  <c r="X46"/>
  <c r="W17"/>
  <c r="X142"/>
  <c r="X75"/>
  <c r="X115"/>
  <c r="V53"/>
  <c r="V51"/>
  <c r="U46"/>
  <c r="V46"/>
  <c r="V142"/>
  <c r="V115"/>
  <c r="V75"/>
  <c r="S46"/>
  <c r="T51"/>
  <c r="T53"/>
  <c r="F145" i="4"/>
  <c r="T142" i="23"/>
  <c r="T75"/>
  <c r="T115"/>
  <c r="Y166"/>
  <c r="Y77" i="18"/>
  <c r="W166" i="23"/>
  <c r="W77" i="18"/>
  <c r="AC76" i="4"/>
  <c r="AD76"/>
  <c r="AD46"/>
  <c r="X55" i="23"/>
  <c r="V55"/>
  <c r="T55"/>
  <c r="X17"/>
  <c r="X56"/>
  <c r="X73"/>
  <c r="X71"/>
  <c r="X74"/>
  <c r="X70"/>
  <c r="V56"/>
  <c r="V74"/>
  <c r="V73"/>
  <c r="V71"/>
  <c r="V70"/>
  <c r="T56"/>
  <c r="T73"/>
  <c r="T71"/>
  <c r="T74"/>
  <c r="T70"/>
  <c r="T17"/>
  <c r="T66"/>
  <c r="V17"/>
  <c r="X66"/>
  <c r="V66"/>
  <c r="X19"/>
  <c r="V19"/>
  <c r="T19"/>
  <c r="AG41"/>
  <c r="AG15"/>
  <c r="V69"/>
  <c r="X69"/>
  <c r="AC6"/>
  <c r="AH6"/>
  <c r="T69"/>
  <c r="AC13"/>
  <c r="AH13"/>
  <c r="AC18"/>
  <c r="AH18"/>
  <c r="AC20"/>
  <c r="AH20"/>
  <c r="AC23"/>
  <c r="AH23"/>
  <c r="AC25"/>
  <c r="AH25"/>
  <c r="AC28"/>
  <c r="AH28"/>
  <c r="AC30"/>
  <c r="AH30"/>
  <c r="AC32"/>
  <c r="AH32"/>
  <c r="AC34"/>
  <c r="AH34"/>
  <c r="AC39"/>
  <c r="AH39"/>
  <c r="AC44"/>
  <c r="AH44"/>
  <c r="AC54"/>
  <c r="AH54"/>
  <c r="AC58"/>
  <c r="AH58"/>
  <c r="AC60"/>
  <c r="AH60"/>
  <c r="AC64"/>
  <c r="AH64"/>
  <c r="AC116"/>
  <c r="AH116"/>
  <c r="AC140"/>
  <c r="AH140"/>
  <c r="AC148"/>
  <c r="AH148"/>
  <c r="AC47"/>
  <c r="AH47"/>
  <c r="AC49"/>
  <c r="AH49"/>
  <c r="AC92"/>
  <c r="AH92"/>
  <c r="AH94"/>
  <c r="AC122"/>
  <c r="AH122"/>
  <c r="AC124"/>
  <c r="AH124"/>
  <c r="AC128"/>
  <c r="AH128"/>
  <c r="AC133"/>
  <c r="AH133"/>
  <c r="AC8"/>
  <c r="AH8"/>
  <c r="AC10"/>
  <c r="AH10"/>
  <c r="AC11"/>
  <c r="AH11"/>
  <c r="AC14"/>
  <c r="AH14"/>
  <c r="AC19"/>
  <c r="AH19"/>
  <c r="AC22"/>
  <c r="AH22"/>
  <c r="AC24"/>
  <c r="AH24"/>
  <c r="AC26"/>
  <c r="AH26"/>
  <c r="AC29"/>
  <c r="AH29"/>
  <c r="AC31"/>
  <c r="AH31"/>
  <c r="AC33"/>
  <c r="AH33"/>
  <c r="AC38"/>
  <c r="AH38"/>
  <c r="AC40"/>
  <c r="AH40"/>
  <c r="AC57"/>
  <c r="AH57"/>
  <c r="AC59"/>
  <c r="AH59"/>
  <c r="AC61"/>
  <c r="AH61"/>
  <c r="AC63"/>
  <c r="AH63"/>
  <c r="AC117"/>
  <c r="AH117"/>
  <c r="AC136"/>
  <c r="AH136"/>
  <c r="AC139"/>
  <c r="AH139"/>
  <c r="AC141"/>
  <c r="AH141"/>
  <c r="AC7"/>
  <c r="AH7"/>
  <c r="AC48"/>
  <c r="AH48"/>
  <c r="AC50"/>
  <c r="AH50"/>
  <c r="AC52"/>
  <c r="AH52"/>
  <c r="AC67"/>
  <c r="AH67"/>
  <c r="AC91"/>
  <c r="AH91"/>
  <c r="AC123"/>
  <c r="AH123"/>
  <c r="AC125"/>
  <c r="AH125"/>
  <c r="AC143"/>
  <c r="AH143"/>
  <c r="AC69"/>
  <c r="AH69"/>
  <c r="AC66"/>
  <c r="AH66"/>
  <c r="X45"/>
  <c r="X43"/>
  <c r="V43"/>
  <c r="V45"/>
  <c r="T45"/>
  <c r="T43"/>
  <c r="AD126" i="4"/>
  <c r="AB129"/>
  <c r="AA145"/>
  <c r="AB145" s="1"/>
  <c r="V59" i="23"/>
  <c r="AA164"/>
  <c r="AA15"/>
  <c r="AE140" i="12"/>
  <c r="AE95"/>
  <c r="AE86"/>
  <c r="AE77"/>
  <c r="AE62"/>
  <c r="AE54"/>
  <c r="AE33"/>
  <c r="AE25"/>
  <c r="AE13"/>
  <c r="AE137"/>
  <c r="AE123"/>
  <c r="AE119"/>
  <c r="AE101"/>
  <c r="AE91"/>
  <c r="AE82"/>
  <c r="AE67"/>
  <c r="AE50"/>
  <c r="AE34"/>
  <c r="AE26"/>
  <c r="AE138"/>
  <c r="AE128"/>
  <c r="AE124"/>
  <c r="AE107"/>
  <c r="AE92"/>
  <c r="AE84"/>
  <c r="AE79"/>
  <c r="AE68"/>
  <c r="AE64"/>
  <c r="AE60"/>
  <c r="AE56"/>
  <c r="AE51"/>
  <c r="AE47"/>
  <c r="AE38"/>
  <c r="AE31"/>
  <c r="AE23"/>
  <c r="AE18"/>
  <c r="AE6"/>
  <c r="AE148"/>
  <c r="AE136"/>
  <c r="AE122"/>
  <c r="AE99"/>
  <c r="AE81"/>
  <c r="AE58"/>
  <c r="AE49"/>
  <c r="AE40"/>
  <c r="AE29"/>
  <c r="AE20"/>
  <c r="AE8"/>
  <c r="AE96"/>
  <c r="AE87"/>
  <c r="AE78"/>
  <c r="AE63"/>
  <c r="AE30"/>
  <c r="AE22"/>
  <c r="AE14"/>
  <c r="AE143"/>
  <c r="AE139"/>
  <c r="AE133"/>
  <c r="AE125"/>
  <c r="AE121"/>
  <c r="AE116"/>
  <c r="AE94"/>
  <c r="AE89"/>
  <c r="AE85"/>
  <c r="AE80"/>
  <c r="AE69"/>
  <c r="AE65"/>
  <c r="AE61"/>
  <c r="AE48"/>
  <c r="AE44"/>
  <c r="AE39"/>
  <c r="AE32"/>
  <c r="AE28"/>
  <c r="AE24"/>
  <c r="AE19"/>
  <c r="AE7"/>
  <c r="AA144" i="23"/>
  <c r="AA166" s="1"/>
  <c r="AA41"/>
  <c r="T148"/>
  <c r="T143"/>
  <c r="T141"/>
  <c r="T140"/>
  <c r="T139"/>
  <c r="T138"/>
  <c r="T137"/>
  <c r="T136"/>
  <c r="T91"/>
  <c r="T40"/>
  <c r="T39"/>
  <c r="T38"/>
  <c r="T34"/>
  <c r="T33"/>
  <c r="T32"/>
  <c r="T31"/>
  <c r="T30"/>
  <c r="T29"/>
  <c r="T92"/>
  <c r="T90"/>
  <c r="T89"/>
  <c r="T87"/>
  <c r="T86"/>
  <c r="T85"/>
  <c r="T84"/>
  <c r="T83"/>
  <c r="T82"/>
  <c r="T81"/>
  <c r="T80"/>
  <c r="T79"/>
  <c r="T78"/>
  <c r="T77"/>
  <c r="T65"/>
  <c r="T64"/>
  <c r="T63"/>
  <c r="T61"/>
  <c r="T60"/>
  <c r="T59"/>
  <c r="T58"/>
  <c r="T57"/>
  <c r="T54"/>
  <c r="T52"/>
  <c r="T50"/>
  <c r="T49"/>
  <c r="T48"/>
  <c r="T47"/>
  <c r="T44"/>
  <c r="T41"/>
  <c r="T24"/>
  <c r="T23"/>
  <c r="T22"/>
  <c r="S16"/>
  <c r="T28"/>
  <c r="V148"/>
  <c r="V143"/>
  <c r="V141"/>
  <c r="V140"/>
  <c r="V139"/>
  <c r="V138"/>
  <c r="V137"/>
  <c r="V136"/>
  <c r="V92"/>
  <c r="V91"/>
  <c r="V89"/>
  <c r="V87"/>
  <c r="V86"/>
  <c r="V85"/>
  <c r="V84"/>
  <c r="V83"/>
  <c r="V82"/>
  <c r="V81"/>
  <c r="V80"/>
  <c r="V79"/>
  <c r="V78"/>
  <c r="V77"/>
  <c r="V65"/>
  <c r="V64"/>
  <c r="V63"/>
  <c r="V61"/>
  <c r="V60"/>
  <c r="V58"/>
  <c r="V57"/>
  <c r="V54"/>
  <c r="V52"/>
  <c r="V50"/>
  <c r="V49"/>
  <c r="V48"/>
  <c r="V47"/>
  <c r="V44"/>
  <c r="V90"/>
  <c r="V41"/>
  <c r="V40"/>
  <c r="V39"/>
  <c r="V38"/>
  <c r="V34"/>
  <c r="V32"/>
  <c r="V30"/>
  <c r="V28"/>
  <c r="U16"/>
  <c r="V33"/>
  <c r="V31"/>
  <c r="V29"/>
  <c r="V24"/>
  <c r="V23"/>
  <c r="V22"/>
  <c r="X148"/>
  <c r="X143"/>
  <c r="X141"/>
  <c r="X140"/>
  <c r="X139"/>
  <c r="X138"/>
  <c r="X137"/>
  <c r="X136"/>
  <c r="X90"/>
  <c r="X92"/>
  <c r="X89"/>
  <c r="X40"/>
  <c r="X39"/>
  <c r="X38"/>
  <c r="X34"/>
  <c r="X33"/>
  <c r="X32"/>
  <c r="X31"/>
  <c r="X30"/>
  <c r="X29"/>
  <c r="X91"/>
  <c r="X87"/>
  <c r="X86"/>
  <c r="X85"/>
  <c r="X84"/>
  <c r="X83"/>
  <c r="X82"/>
  <c r="X81"/>
  <c r="X80"/>
  <c r="X79"/>
  <c r="X78"/>
  <c r="X77"/>
  <c r="X65"/>
  <c r="X64"/>
  <c r="X63"/>
  <c r="X61"/>
  <c r="X60"/>
  <c r="X59"/>
  <c r="X58"/>
  <c r="X57"/>
  <c r="X54"/>
  <c r="X52"/>
  <c r="X50"/>
  <c r="X49"/>
  <c r="X48"/>
  <c r="X47"/>
  <c r="X44"/>
  <c r="X41"/>
  <c r="X24"/>
  <c r="X23"/>
  <c r="X22"/>
  <c r="W16"/>
  <c r="X28"/>
  <c r="AA5"/>
  <c r="AA93"/>
  <c r="AC93" s="1"/>
  <c r="AD93" s="1"/>
  <c r="T93"/>
  <c r="X93"/>
  <c r="Y93"/>
  <c r="AG93" s="1"/>
  <c r="V93"/>
  <c r="AA127"/>
  <c r="X144"/>
  <c r="V144"/>
  <c r="S73" i="18"/>
  <c r="Y78"/>
  <c r="W73"/>
  <c r="U73"/>
  <c r="T46" i="23"/>
  <c r="AH5"/>
  <c r="AB9"/>
  <c r="AC15"/>
  <c r="AH15"/>
  <c r="AC127"/>
  <c r="AH127"/>
  <c r="AC41"/>
  <c r="AH41"/>
  <c r="AG115"/>
  <c r="AB7"/>
  <c r="AC5"/>
  <c r="W129"/>
  <c r="X129" s="1"/>
  <c r="U129"/>
  <c r="V129" s="1"/>
  <c r="V42"/>
  <c r="AG133" i="12"/>
  <c r="AH133"/>
  <c r="Y12" i="23"/>
  <c r="W21"/>
  <c r="AB11"/>
  <c r="AB10"/>
  <c r="X16"/>
  <c r="V16"/>
  <c r="T16"/>
  <c r="AB8"/>
  <c r="AB6"/>
  <c r="Z62"/>
  <c r="Z26"/>
  <c r="Z25"/>
  <c r="Z68"/>
  <c r="Z72"/>
  <c r="Z122"/>
  <c r="Z119"/>
  <c r="Z118"/>
  <c r="Y126"/>
  <c r="Z126"/>
  <c r="Z125"/>
  <c r="Z121"/>
  <c r="Z120"/>
  <c r="Z116"/>
  <c r="Z128"/>
  <c r="Z127"/>
  <c r="Z53"/>
  <c r="Z51"/>
  <c r="Y17"/>
  <c r="Z17"/>
  <c r="Z142"/>
  <c r="Z113"/>
  <c r="Z109"/>
  <c r="Z105"/>
  <c r="Z101"/>
  <c r="Z97"/>
  <c r="Z110"/>
  <c r="Z106"/>
  <c r="Z102"/>
  <c r="Z98"/>
  <c r="Z94"/>
  <c r="Z111"/>
  <c r="Z107"/>
  <c r="Z103"/>
  <c r="Z99"/>
  <c r="Z95"/>
  <c r="Z114"/>
  <c r="Z112"/>
  <c r="Z108"/>
  <c r="Z104"/>
  <c r="Z100"/>
  <c r="Z96"/>
  <c r="Z115"/>
  <c r="Z75"/>
  <c r="Z55"/>
  <c r="X42"/>
  <c r="Z56"/>
  <c r="Z74"/>
  <c r="Z73"/>
  <c r="Z71"/>
  <c r="Z70"/>
  <c r="V35"/>
  <c r="Z66"/>
  <c r="V76"/>
  <c r="X35"/>
  <c r="Z19"/>
  <c r="X76"/>
  <c r="Z69"/>
  <c r="AG12"/>
  <c r="T35"/>
  <c r="AC9"/>
  <c r="AD9"/>
  <c r="AH9"/>
  <c r="AH115"/>
  <c r="Z45"/>
  <c r="W145"/>
  <c r="X145" s="1"/>
  <c r="Z85"/>
  <c r="S129"/>
  <c r="T42"/>
  <c r="Z143"/>
  <c r="Z60"/>
  <c r="Z29"/>
  <c r="Z52"/>
  <c r="Z77"/>
  <c r="Z43"/>
  <c r="Z32"/>
  <c r="Z38"/>
  <c r="Z48"/>
  <c r="Z64"/>
  <c r="Z81"/>
  <c r="Z139"/>
  <c r="Z23"/>
  <c r="Z33"/>
  <c r="Z40"/>
  <c r="Z50"/>
  <c r="Z54"/>
  <c r="Z58"/>
  <c r="Z79"/>
  <c r="Z83"/>
  <c r="Z87"/>
  <c r="Z91"/>
  <c r="Z137"/>
  <c r="Z141"/>
  <c r="Z22"/>
  <c r="Z24"/>
  <c r="Z30"/>
  <c r="Y16"/>
  <c r="Z28"/>
  <c r="Z31"/>
  <c r="Z34"/>
  <c r="Z39"/>
  <c r="Z41"/>
  <c r="Z44"/>
  <c r="Z47"/>
  <c r="Z49"/>
  <c r="Z57"/>
  <c r="Z59"/>
  <c r="Z61"/>
  <c r="Z63"/>
  <c r="Z65"/>
  <c r="Z78"/>
  <c r="Z80"/>
  <c r="Z82"/>
  <c r="Z84"/>
  <c r="Z86"/>
  <c r="Z89"/>
  <c r="Z92"/>
  <c r="Z136"/>
  <c r="Z138"/>
  <c r="Z140"/>
  <c r="Z148"/>
  <c r="Z90"/>
  <c r="Z144"/>
  <c r="Z93"/>
  <c r="AD8"/>
  <c r="AD11"/>
  <c r="AD7"/>
  <c r="AD6"/>
  <c r="AD10"/>
  <c r="S74" i="18"/>
  <c r="T21" i="23"/>
  <c r="V21"/>
  <c r="X21"/>
  <c r="AA12"/>
  <c r="AB118"/>
  <c r="Y46"/>
  <c r="Y73" i="18"/>
  <c r="AA73"/>
  <c r="AB142" i="23"/>
  <c r="AB99"/>
  <c r="AB100"/>
  <c r="AB102"/>
  <c r="AB105"/>
  <c r="AB107"/>
  <c r="AB101"/>
  <c r="AB110"/>
  <c r="AB104"/>
  <c r="AB106"/>
  <c r="AB115"/>
  <c r="AB113"/>
  <c r="AB96"/>
  <c r="AB111"/>
  <c r="AB109"/>
  <c r="AB98"/>
  <c r="AB114"/>
  <c r="AB94"/>
  <c r="AB112"/>
  <c r="AB95"/>
  <c r="AB97"/>
  <c r="AB103"/>
  <c r="AB108"/>
  <c r="AB75"/>
  <c r="AB119"/>
  <c r="AB68"/>
  <c r="AB55"/>
  <c r="AB72"/>
  <c r="AB56"/>
  <c r="AB73"/>
  <c r="AB70"/>
  <c r="AB74"/>
  <c r="AB53"/>
  <c r="AB71"/>
  <c r="AB62"/>
  <c r="AB51"/>
  <c r="AG16"/>
  <c r="AG17"/>
  <c r="T76"/>
  <c r="AG42"/>
  <c r="AC12"/>
  <c r="AD118"/>
  <c r="AH12"/>
  <c r="Z16"/>
  <c r="AG126"/>
  <c r="T129"/>
  <c r="S145"/>
  <c r="T145" s="1"/>
  <c r="AB120"/>
  <c r="AB121"/>
  <c r="Y21"/>
  <c r="AA17"/>
  <c r="AA42"/>
  <c r="Z42"/>
  <c r="T36"/>
  <c r="AB40"/>
  <c r="AB39"/>
  <c r="AB38"/>
  <c r="AB34"/>
  <c r="AB33"/>
  <c r="AB31"/>
  <c r="AB29"/>
  <c r="AA16"/>
  <c r="AB32"/>
  <c r="AB30"/>
  <c r="AB26"/>
  <c r="AB25"/>
  <c r="AB22"/>
  <c r="AB28"/>
  <c r="AB19"/>
  <c r="AB24"/>
  <c r="AB79"/>
  <c r="AB81"/>
  <c r="AB83"/>
  <c r="AB85"/>
  <c r="AB87"/>
  <c r="AB45"/>
  <c r="AB48"/>
  <c r="AB50"/>
  <c r="AB52"/>
  <c r="AB54"/>
  <c r="AB58"/>
  <c r="AB60"/>
  <c r="AB64"/>
  <c r="AB66"/>
  <c r="AB89"/>
  <c r="AB77"/>
  <c r="AB117"/>
  <c r="AB122"/>
  <c r="AB128"/>
  <c r="AB136"/>
  <c r="AB138"/>
  <c r="AB140"/>
  <c r="AB41"/>
  <c r="AB23"/>
  <c r="AB78"/>
  <c r="AB80"/>
  <c r="AB82"/>
  <c r="AB84"/>
  <c r="AB86"/>
  <c r="AB44"/>
  <c r="AB47"/>
  <c r="AB49"/>
  <c r="AB57"/>
  <c r="AB59"/>
  <c r="AB61"/>
  <c r="AB63"/>
  <c r="AB65"/>
  <c r="AB92"/>
  <c r="AB88"/>
  <c r="AB91"/>
  <c r="AB116"/>
  <c r="AB125"/>
  <c r="AB137"/>
  <c r="AB139"/>
  <c r="AB141"/>
  <c r="AB143"/>
  <c r="AB148"/>
  <c r="AB43"/>
  <c r="AB127"/>
  <c r="AB90"/>
  <c r="Z46"/>
  <c r="AA46"/>
  <c r="AA76"/>
  <c r="AB76"/>
  <c r="AG46"/>
  <c r="AA27"/>
  <c r="AC27" s="1"/>
  <c r="AD27" s="1"/>
  <c r="AD96"/>
  <c r="AD94"/>
  <c r="AD108"/>
  <c r="AD105"/>
  <c r="AD111"/>
  <c r="AD100"/>
  <c r="AD102"/>
  <c r="AD99"/>
  <c r="AD109"/>
  <c r="AD75"/>
  <c r="AD104"/>
  <c r="AD106"/>
  <c r="AD107"/>
  <c r="AD113"/>
  <c r="AD95"/>
  <c r="AD112"/>
  <c r="AD110"/>
  <c r="AD97"/>
  <c r="AD115"/>
  <c r="AD101"/>
  <c r="AD103"/>
  <c r="AD114"/>
  <c r="AD98"/>
  <c r="AB27"/>
  <c r="AD68"/>
  <c r="AD55"/>
  <c r="AD51"/>
  <c r="AD71"/>
  <c r="AD74"/>
  <c r="AD70"/>
  <c r="AD62"/>
  <c r="AD73"/>
  <c r="AD53"/>
  <c r="AD72"/>
  <c r="AD56"/>
  <c r="AG35"/>
  <c r="Z76"/>
  <c r="AG76"/>
  <c r="AC16"/>
  <c r="AH16"/>
  <c r="AH42"/>
  <c r="AC17"/>
  <c r="AD17"/>
  <c r="AH17"/>
  <c r="AG21"/>
  <c r="AB42"/>
  <c r="AC42"/>
  <c r="Y129"/>
  <c r="AG129" s="1"/>
  <c r="AH129" s="1"/>
  <c r="AA126"/>
  <c r="AB17"/>
  <c r="Z21"/>
  <c r="AA21"/>
  <c r="AB16"/>
  <c r="AD30"/>
  <c r="AD24"/>
  <c r="AD31"/>
  <c r="AD40"/>
  <c r="AD91"/>
  <c r="AD125"/>
  <c r="AD137"/>
  <c r="AD139"/>
  <c r="AD141"/>
  <c r="AD26"/>
  <c r="AD32"/>
  <c r="AD19"/>
  <c r="AD23"/>
  <c r="AD25"/>
  <c r="AD29"/>
  <c r="AD33"/>
  <c r="AD34"/>
  <c r="AD39"/>
  <c r="AD88"/>
  <c r="AD121"/>
  <c r="AD128"/>
  <c r="AD143"/>
  <c r="AD138"/>
  <c r="AD140"/>
  <c r="AD148"/>
  <c r="AD38"/>
  <c r="AD117"/>
  <c r="AD86"/>
  <c r="AD82"/>
  <c r="AD78"/>
  <c r="AD65"/>
  <c r="AD61"/>
  <c r="AD57"/>
  <c r="AD49"/>
  <c r="AD44"/>
  <c r="AD136"/>
  <c r="AD116"/>
  <c r="AD77"/>
  <c r="AD22"/>
  <c r="AD122"/>
  <c r="AD89"/>
  <c r="AD85"/>
  <c r="AD81"/>
  <c r="AD64"/>
  <c r="AD60"/>
  <c r="AD52"/>
  <c r="AD48"/>
  <c r="AD120"/>
  <c r="AD84"/>
  <c r="AD80"/>
  <c r="AD63"/>
  <c r="AD59"/>
  <c r="AD47"/>
  <c r="AD45"/>
  <c r="AD92"/>
  <c r="AD87"/>
  <c r="AD83"/>
  <c r="AD79"/>
  <c r="AD66"/>
  <c r="AD58"/>
  <c r="AD54"/>
  <c r="AD50"/>
  <c r="AD28"/>
  <c r="AD43"/>
  <c r="AD41"/>
  <c r="AD90"/>
  <c r="AD127"/>
  <c r="AC46"/>
  <c r="AD46"/>
  <c r="AH46"/>
  <c r="AB46"/>
  <c r="AC76"/>
  <c r="AD76"/>
  <c r="Z35"/>
  <c r="AA35"/>
  <c r="AA36" s="1"/>
  <c r="Y145"/>
  <c r="Z145" s="1"/>
  <c r="AH21"/>
  <c r="AC126"/>
  <c r="AH126"/>
  <c r="AH76"/>
  <c r="AB21"/>
  <c r="AC21"/>
  <c r="AD21"/>
  <c r="AA129"/>
  <c r="AC129" s="1"/>
  <c r="AD129" s="1"/>
  <c r="AB126"/>
  <c r="AD42"/>
  <c r="AD16"/>
  <c r="AB35"/>
  <c r="AC35"/>
  <c r="AD35"/>
  <c r="AH35"/>
  <c r="AB129"/>
  <c r="AD126"/>
  <c r="K144" i="11"/>
  <c r="K166" s="1"/>
  <c r="K144" i="7"/>
  <c r="K41" i="18" s="1"/>
  <c r="K144" i="6"/>
  <c r="K32" i="18" s="1"/>
  <c r="K93" i="6"/>
  <c r="K33" i="18" s="1"/>
  <c r="K144" i="2"/>
  <c r="K144" i="3"/>
  <c r="K14" i="18" s="1"/>
  <c r="K93" i="3"/>
  <c r="K15" i="18" s="1"/>
  <c r="G144" i="2"/>
  <c r="I93"/>
  <c r="I7" i="18" s="1"/>
  <c r="I12" i="2"/>
  <c r="I126"/>
  <c r="I129"/>
  <c r="I144"/>
  <c r="J89"/>
  <c r="J85"/>
  <c r="J81"/>
  <c r="J90"/>
  <c r="J86"/>
  <c r="J82"/>
  <c r="J78"/>
  <c r="J87"/>
  <c r="J83"/>
  <c r="J79"/>
  <c r="J84"/>
  <c r="J80"/>
  <c r="J77"/>
  <c r="J118"/>
  <c r="J17"/>
  <c r="J53"/>
  <c r="J73"/>
  <c r="J69"/>
  <c r="J71"/>
  <c r="J72"/>
  <c r="J68"/>
  <c r="J74"/>
  <c r="J70"/>
  <c r="J66"/>
  <c r="J75"/>
  <c r="J76"/>
  <c r="J10" i="12"/>
  <c r="J8"/>
  <c r="J7"/>
  <c r="J11"/>
  <c r="J9"/>
  <c r="AE117"/>
  <c r="J6"/>
  <c r="AE55"/>
  <c r="AE120"/>
  <c r="E5"/>
  <c r="F13"/>
  <c r="F14"/>
  <c r="G5"/>
  <c r="H10"/>
  <c r="F10"/>
  <c r="F8"/>
  <c r="F7"/>
  <c r="F9"/>
  <c r="AE103"/>
  <c r="F6"/>
  <c r="H6"/>
  <c r="H8"/>
  <c r="H7"/>
  <c r="H11"/>
  <c r="H9"/>
  <c r="H14"/>
  <c r="H13"/>
  <c r="AA148" i="21"/>
  <c r="AC148"/>
  <c r="AA148" i="20"/>
  <c r="AA148" i="11"/>
  <c r="AC148"/>
  <c r="AA148" i="7"/>
  <c r="AA148" i="6"/>
  <c r="X9" i="12"/>
  <c r="Z9"/>
  <c r="AC148" i="20"/>
  <c r="AC148" i="7"/>
  <c r="AC148" i="6"/>
  <c r="V9" i="12"/>
  <c r="AA9"/>
  <c r="C5"/>
  <c r="D14"/>
  <c r="AC9"/>
  <c r="AE83"/>
  <c r="D7"/>
  <c r="D10"/>
  <c r="D11"/>
  <c r="D13"/>
  <c r="D8"/>
  <c r="D6"/>
  <c r="D9"/>
  <c r="AE10"/>
  <c r="Z6"/>
  <c r="L148" i="21"/>
  <c r="H148" i="20"/>
  <c r="AA164" i="3"/>
  <c r="AA164" i="6"/>
  <c r="AA164" i="11"/>
  <c r="AA164" i="7"/>
  <c r="AC138" i="21"/>
  <c r="AC137"/>
  <c r="AA127" i="11"/>
  <c r="AC127"/>
  <c r="AA127" i="7"/>
  <c r="AC127"/>
  <c r="AA127" i="3"/>
  <c r="AC127"/>
  <c r="AC127" i="6"/>
  <c r="AC9" i="21"/>
  <c r="AC9" i="20"/>
  <c r="AE104" i="12"/>
  <c r="AE105"/>
  <c r="AE98"/>
  <c r="AE97"/>
  <c r="AE102"/>
  <c r="AC9" i="6"/>
  <c r="AA9" i="2"/>
  <c r="AC9"/>
  <c r="T6" i="12"/>
  <c r="X6"/>
  <c r="V6"/>
  <c r="AC9" i="7"/>
  <c r="AA56"/>
  <c r="AE9" i="12"/>
  <c r="AC9" i="3"/>
  <c r="AA139" i="21"/>
  <c r="AC139"/>
  <c r="AA138" i="20"/>
  <c r="AC138"/>
  <c r="AA137"/>
  <c r="AC137"/>
  <c r="AC52" i="21"/>
  <c r="AA52" i="20"/>
  <c r="AC52"/>
  <c r="AA42" i="21"/>
  <c r="Y144"/>
  <c r="Y68" i="18" s="1"/>
  <c r="W144" i="21"/>
  <c r="W68" i="18" s="1"/>
  <c r="U144" i="21"/>
  <c r="U68" i="18" s="1"/>
  <c r="S144" i="21"/>
  <c r="S68" i="18" s="1"/>
  <c r="Q144" i="21"/>
  <c r="Q68" i="18" s="1"/>
  <c r="AA143" i="21"/>
  <c r="AC143"/>
  <c r="AA141"/>
  <c r="AC141"/>
  <c r="AA140"/>
  <c r="AC140"/>
  <c r="AA136"/>
  <c r="AC136"/>
  <c r="AA133"/>
  <c r="AC133"/>
  <c r="AA128"/>
  <c r="AC128"/>
  <c r="AA125"/>
  <c r="AC125"/>
  <c r="AA124"/>
  <c r="AC124"/>
  <c r="AA123"/>
  <c r="AC123"/>
  <c r="AA122"/>
  <c r="AC122"/>
  <c r="AA121"/>
  <c r="AC121"/>
  <c r="AA120"/>
  <c r="AC120"/>
  <c r="AC117"/>
  <c r="AA116"/>
  <c r="AC116"/>
  <c r="Y93"/>
  <c r="Y69" i="18" s="1"/>
  <c r="W93" i="21"/>
  <c r="W69" i="18" s="1"/>
  <c r="U93" i="21"/>
  <c r="U69" i="18" s="1"/>
  <c r="Q93" i="21"/>
  <c r="Q69" i="18" s="1"/>
  <c r="AA92" i="21"/>
  <c r="AC92"/>
  <c r="AA91"/>
  <c r="AC91"/>
  <c r="AA90"/>
  <c r="AC90" s="1"/>
  <c r="AD90" s="1"/>
  <c r="AA89"/>
  <c r="AC89"/>
  <c r="AA88"/>
  <c r="AC88" s="1"/>
  <c r="AD88" s="1"/>
  <c r="AC87"/>
  <c r="AC86"/>
  <c r="AC85"/>
  <c r="AC84"/>
  <c r="AC83"/>
  <c r="AC81"/>
  <c r="AC80"/>
  <c r="AC79"/>
  <c r="AC78"/>
  <c r="AC77"/>
  <c r="AA67"/>
  <c r="AC66"/>
  <c r="AA65"/>
  <c r="AC65"/>
  <c r="AA64"/>
  <c r="AC64"/>
  <c r="AA63"/>
  <c r="AC63"/>
  <c r="AA61"/>
  <c r="AC61"/>
  <c r="AA60"/>
  <c r="AC60"/>
  <c r="AA59"/>
  <c r="AC59"/>
  <c r="AA58"/>
  <c r="AC58"/>
  <c r="AA57"/>
  <c r="AC57"/>
  <c r="AA54"/>
  <c r="AC54"/>
  <c r="AA50"/>
  <c r="AC50"/>
  <c r="AA49"/>
  <c r="AC49"/>
  <c r="AA48"/>
  <c r="AC48"/>
  <c r="AA44"/>
  <c r="AC44"/>
  <c r="Y41"/>
  <c r="W41"/>
  <c r="U41"/>
  <c r="S41"/>
  <c r="Q41"/>
  <c r="AA40"/>
  <c r="AC40"/>
  <c r="AA39"/>
  <c r="AC39"/>
  <c r="AA38"/>
  <c r="AC38"/>
  <c r="AA34"/>
  <c r="AC34"/>
  <c r="AA33"/>
  <c r="AC33"/>
  <c r="AA32"/>
  <c r="AC32"/>
  <c r="AA31"/>
  <c r="AC31"/>
  <c r="AA30"/>
  <c r="AC30"/>
  <c r="AA29"/>
  <c r="AC29"/>
  <c r="AA28"/>
  <c r="AC28"/>
  <c r="AA26"/>
  <c r="AC26"/>
  <c r="AA25"/>
  <c r="AC25"/>
  <c r="AA24"/>
  <c r="AC24"/>
  <c r="AA23"/>
  <c r="AC23"/>
  <c r="AA22"/>
  <c r="AC22"/>
  <c r="AA20"/>
  <c r="AC20"/>
  <c r="AA19"/>
  <c r="AC19"/>
  <c r="AA18"/>
  <c r="AC18"/>
  <c r="Y15"/>
  <c r="W15"/>
  <c r="U15"/>
  <c r="S15"/>
  <c r="Q15"/>
  <c r="AA14"/>
  <c r="AC14"/>
  <c r="AA13"/>
  <c r="AC13"/>
  <c r="Q12"/>
  <c r="AA10"/>
  <c r="AC10"/>
  <c r="AA8"/>
  <c r="AC8"/>
  <c r="AA7"/>
  <c r="AC7"/>
  <c r="AA6"/>
  <c r="AC6"/>
  <c r="Y144" i="20"/>
  <c r="Y59" i="18" s="1"/>
  <c r="W144" i="20"/>
  <c r="W59" i="18" s="1"/>
  <c r="U144" i="20"/>
  <c r="S144"/>
  <c r="S59" i="18" s="1"/>
  <c r="Q144" i="20"/>
  <c r="Q59" i="18" s="1"/>
  <c r="AA143" i="20"/>
  <c r="AC143"/>
  <c r="AA141"/>
  <c r="AC141"/>
  <c r="AA140"/>
  <c r="AC140"/>
  <c r="AA139"/>
  <c r="AC139"/>
  <c r="AA136"/>
  <c r="AC136"/>
  <c r="AA133"/>
  <c r="AC133"/>
  <c r="AA128"/>
  <c r="AC128"/>
  <c r="AA125"/>
  <c r="AC125"/>
  <c r="AA124"/>
  <c r="AC124"/>
  <c r="AA123"/>
  <c r="AC123"/>
  <c r="AA122"/>
  <c r="AC122"/>
  <c r="AA121"/>
  <c r="AC121"/>
  <c r="AA120"/>
  <c r="AC120"/>
  <c r="AA117"/>
  <c r="AC117" s="1"/>
  <c r="AA116"/>
  <c r="AC116"/>
  <c r="AA92"/>
  <c r="AC92" s="1"/>
  <c r="AA91"/>
  <c r="AC91"/>
  <c r="AC90"/>
  <c r="AC89"/>
  <c r="AC88"/>
  <c r="AC87"/>
  <c r="AC86"/>
  <c r="AC85"/>
  <c r="AC84"/>
  <c r="AC83"/>
  <c r="AC82"/>
  <c r="AC81"/>
  <c r="AC80"/>
  <c r="AC79"/>
  <c r="AC78"/>
  <c r="AC77"/>
  <c r="AA69"/>
  <c r="AA67"/>
  <c r="AA66"/>
  <c r="AC65"/>
  <c r="AA64"/>
  <c r="AC64"/>
  <c r="AA63"/>
  <c r="AC63"/>
  <c r="AA61"/>
  <c r="AC61"/>
  <c r="AA60"/>
  <c r="AC60"/>
  <c r="AA59"/>
  <c r="AC59"/>
  <c r="AA58"/>
  <c r="AC58"/>
  <c r="AC57"/>
  <c r="AA54"/>
  <c r="AC54"/>
  <c r="AA50"/>
  <c r="AC50"/>
  <c r="AA49"/>
  <c r="AC49"/>
  <c r="AA48"/>
  <c r="AC48"/>
  <c r="AA44"/>
  <c r="AC44"/>
  <c r="AA42"/>
  <c r="AC42"/>
  <c r="Y41"/>
  <c r="W41"/>
  <c r="U41"/>
  <c r="S41"/>
  <c r="Q41"/>
  <c r="AA40"/>
  <c r="AA39"/>
  <c r="AA38"/>
  <c r="AA34"/>
  <c r="AC34"/>
  <c r="AA33"/>
  <c r="AC33"/>
  <c r="AA32"/>
  <c r="AC32"/>
  <c r="AA31"/>
  <c r="AC31"/>
  <c r="AA30"/>
  <c r="AC30"/>
  <c r="AA29"/>
  <c r="AC29"/>
  <c r="AA28"/>
  <c r="AC28"/>
  <c r="AA26"/>
  <c r="AC26"/>
  <c r="AA25"/>
  <c r="AC25"/>
  <c r="AA24"/>
  <c r="AC24"/>
  <c r="AA23"/>
  <c r="AC23"/>
  <c r="AA22"/>
  <c r="AC22"/>
  <c r="AA20"/>
  <c r="AC20"/>
  <c r="AA19"/>
  <c r="AC19"/>
  <c r="AA18"/>
  <c r="AC18"/>
  <c r="Y15"/>
  <c r="W15"/>
  <c r="U15"/>
  <c r="S15"/>
  <c r="Q15"/>
  <c r="AA14"/>
  <c r="AC14"/>
  <c r="AA13"/>
  <c r="AC13"/>
  <c r="Q12"/>
  <c r="AA10"/>
  <c r="AC10"/>
  <c r="Y12"/>
  <c r="U12"/>
  <c r="AA8"/>
  <c r="AC8"/>
  <c r="AA7"/>
  <c r="AC7"/>
  <c r="AA6"/>
  <c r="AC6"/>
  <c r="R62" i="21"/>
  <c r="R26"/>
  <c r="R25"/>
  <c r="R68"/>
  <c r="R73"/>
  <c r="R72"/>
  <c r="Q126"/>
  <c r="R126"/>
  <c r="R125"/>
  <c r="R122"/>
  <c r="R121"/>
  <c r="R120"/>
  <c r="R119"/>
  <c r="R118"/>
  <c r="R116"/>
  <c r="R128"/>
  <c r="R127"/>
  <c r="V62" i="20"/>
  <c r="V26"/>
  <c r="V25"/>
  <c r="V68"/>
  <c r="V73"/>
  <c r="V72"/>
  <c r="V128"/>
  <c r="V127"/>
  <c r="U126"/>
  <c r="V126"/>
  <c r="V125"/>
  <c r="V122"/>
  <c r="V121"/>
  <c r="V120"/>
  <c r="V119"/>
  <c r="V118"/>
  <c r="V116"/>
  <c r="R62"/>
  <c r="R72"/>
  <c r="R26"/>
  <c r="R25"/>
  <c r="R68"/>
  <c r="R73"/>
  <c r="R128"/>
  <c r="R127"/>
  <c r="Q126"/>
  <c r="R126"/>
  <c r="R125"/>
  <c r="R122"/>
  <c r="R121"/>
  <c r="R120"/>
  <c r="R119"/>
  <c r="R118"/>
  <c r="R116"/>
  <c r="Z62"/>
  <c r="Z72"/>
  <c r="Z26"/>
  <c r="Z25"/>
  <c r="Z68"/>
  <c r="Z73"/>
  <c r="Z128"/>
  <c r="Z127"/>
  <c r="Y126"/>
  <c r="Z126"/>
  <c r="Z125"/>
  <c r="Z122"/>
  <c r="Z121"/>
  <c r="Z120"/>
  <c r="Z119"/>
  <c r="Z118"/>
  <c r="Z116"/>
  <c r="R51" i="21"/>
  <c r="Q46"/>
  <c r="R53"/>
  <c r="Z51" i="20"/>
  <c r="Z53"/>
  <c r="Y17"/>
  <c r="Z45"/>
  <c r="V53"/>
  <c r="V45"/>
  <c r="U46"/>
  <c r="V46"/>
  <c r="V51"/>
  <c r="R51"/>
  <c r="R45"/>
  <c r="R53"/>
  <c r="Q46"/>
  <c r="R46"/>
  <c r="R55" i="21"/>
  <c r="R69"/>
  <c r="R75"/>
  <c r="R115"/>
  <c r="R66"/>
  <c r="R74"/>
  <c r="R70"/>
  <c r="R71"/>
  <c r="Z142" i="20"/>
  <c r="Z112"/>
  <c r="Z110"/>
  <c r="Z108"/>
  <c r="Z106"/>
  <c r="Z104"/>
  <c r="Z103"/>
  <c r="Z101"/>
  <c r="Z99"/>
  <c r="Z97"/>
  <c r="Z95"/>
  <c r="Z113"/>
  <c r="Z111"/>
  <c r="Z109"/>
  <c r="Z107"/>
  <c r="Z105"/>
  <c r="Z102"/>
  <c r="Z100"/>
  <c r="Z98"/>
  <c r="Z96"/>
  <c r="Z94"/>
  <c r="Z115"/>
  <c r="Z74"/>
  <c r="Z70"/>
  <c r="Z67"/>
  <c r="Z114"/>
  <c r="Z75"/>
  <c r="Z71"/>
  <c r="Z69"/>
  <c r="Z66"/>
  <c r="V142"/>
  <c r="V115"/>
  <c r="V74"/>
  <c r="V70"/>
  <c r="V67"/>
  <c r="V75"/>
  <c r="V71"/>
  <c r="V69"/>
  <c r="V66"/>
  <c r="R142"/>
  <c r="R115"/>
  <c r="R74"/>
  <c r="R70"/>
  <c r="R67"/>
  <c r="R75"/>
  <c r="R71"/>
  <c r="R69"/>
  <c r="R66"/>
  <c r="Z55"/>
  <c r="V55"/>
  <c r="R17"/>
  <c r="R55"/>
  <c r="Z17"/>
  <c r="Z56"/>
  <c r="Z47"/>
  <c r="V17"/>
  <c r="V56"/>
  <c r="V47"/>
  <c r="R56"/>
  <c r="R47"/>
  <c r="R56" i="21"/>
  <c r="R47"/>
  <c r="R17"/>
  <c r="R19"/>
  <c r="R19" i="20"/>
  <c r="Z19"/>
  <c r="V19"/>
  <c r="V79"/>
  <c r="V83"/>
  <c r="V87"/>
  <c r="V91"/>
  <c r="V78"/>
  <c r="V82"/>
  <c r="V86"/>
  <c r="V90"/>
  <c r="V77"/>
  <c r="V81"/>
  <c r="V85"/>
  <c r="V89"/>
  <c r="V80"/>
  <c r="V84"/>
  <c r="V92"/>
  <c r="AC66"/>
  <c r="AC67" i="21"/>
  <c r="AC42"/>
  <c r="AC67" i="20"/>
  <c r="AC69"/>
  <c r="R45" i="21"/>
  <c r="Z148" i="20"/>
  <c r="AC82" i="21"/>
  <c r="AA41"/>
  <c r="AC41"/>
  <c r="AA45"/>
  <c r="AC45"/>
  <c r="AA45" i="20"/>
  <c r="AC45"/>
  <c r="H148" i="21"/>
  <c r="R148"/>
  <c r="D148"/>
  <c r="J148"/>
  <c r="V148" i="20"/>
  <c r="D148"/>
  <c r="J148"/>
  <c r="R148"/>
  <c r="L148"/>
  <c r="AA41"/>
  <c r="AC39"/>
  <c r="AA15"/>
  <c r="AC40"/>
  <c r="R138" i="21"/>
  <c r="R137"/>
  <c r="Z52" i="20"/>
  <c r="V138"/>
  <c r="R38"/>
  <c r="R52" i="21"/>
  <c r="R42"/>
  <c r="R139"/>
  <c r="Z137" i="20"/>
  <c r="Z138"/>
  <c r="R137"/>
  <c r="R52"/>
  <c r="R138"/>
  <c r="V52"/>
  <c r="V137"/>
  <c r="AA11" i="21"/>
  <c r="AC11"/>
  <c r="R143"/>
  <c r="R141"/>
  <c r="R140"/>
  <c r="R136"/>
  <c r="R92"/>
  <c r="R91"/>
  <c r="R90"/>
  <c r="R89"/>
  <c r="R87"/>
  <c r="R86"/>
  <c r="R85"/>
  <c r="R84"/>
  <c r="R83"/>
  <c r="R82"/>
  <c r="R81"/>
  <c r="R80"/>
  <c r="R79"/>
  <c r="R78"/>
  <c r="R77"/>
  <c r="R65"/>
  <c r="R64"/>
  <c r="R63"/>
  <c r="R61"/>
  <c r="R60"/>
  <c r="R59"/>
  <c r="R58"/>
  <c r="R57"/>
  <c r="R44"/>
  <c r="R43"/>
  <c r="R41"/>
  <c r="R54"/>
  <c r="R50"/>
  <c r="R49"/>
  <c r="R48"/>
  <c r="U12"/>
  <c r="Y12"/>
  <c r="AA15"/>
  <c r="AC15"/>
  <c r="Q16"/>
  <c r="S12"/>
  <c r="W12"/>
  <c r="R22"/>
  <c r="R23"/>
  <c r="R24"/>
  <c r="R28"/>
  <c r="R29"/>
  <c r="R30"/>
  <c r="R31"/>
  <c r="R32"/>
  <c r="R33"/>
  <c r="R34"/>
  <c r="R38"/>
  <c r="R39"/>
  <c r="R40"/>
  <c r="AA43"/>
  <c r="AC43"/>
  <c r="R93"/>
  <c r="R144"/>
  <c r="AA144"/>
  <c r="AC144" s="1"/>
  <c r="AD144" s="1"/>
  <c r="AA127"/>
  <c r="AC127"/>
  <c r="V144" i="20"/>
  <c r="V143"/>
  <c r="V141"/>
  <c r="V140"/>
  <c r="V139"/>
  <c r="V136"/>
  <c r="V65"/>
  <c r="V64"/>
  <c r="V63"/>
  <c r="V61"/>
  <c r="V60"/>
  <c r="V59"/>
  <c r="V58"/>
  <c r="V57"/>
  <c r="V54"/>
  <c r="V50"/>
  <c r="V44"/>
  <c r="V43"/>
  <c r="V42"/>
  <c r="V41"/>
  <c r="V40"/>
  <c r="V39"/>
  <c r="V49"/>
  <c r="V48"/>
  <c r="U16"/>
  <c r="V38"/>
  <c r="V34"/>
  <c r="V33"/>
  <c r="V32"/>
  <c r="V31"/>
  <c r="V30"/>
  <c r="V29"/>
  <c r="V28"/>
  <c r="V24"/>
  <c r="V23"/>
  <c r="V22"/>
  <c r="Z144"/>
  <c r="Z143"/>
  <c r="Z141"/>
  <c r="Z140"/>
  <c r="Z139"/>
  <c r="Z136"/>
  <c r="Z92"/>
  <c r="Z91"/>
  <c r="Z90"/>
  <c r="Z89"/>
  <c r="Z87"/>
  <c r="Z86"/>
  <c r="Z85"/>
  <c r="Z84"/>
  <c r="Z83"/>
  <c r="Z82"/>
  <c r="Z81"/>
  <c r="Z80"/>
  <c r="Z79"/>
  <c r="Z78"/>
  <c r="Z77"/>
  <c r="Z65"/>
  <c r="Z64"/>
  <c r="Z63"/>
  <c r="Z61"/>
  <c r="Z60"/>
  <c r="Z59"/>
  <c r="Z58"/>
  <c r="Z57"/>
  <c r="Z54"/>
  <c r="Z50"/>
  <c r="Z44"/>
  <c r="Z43"/>
  <c r="Z42"/>
  <c r="Z41"/>
  <c r="Z40"/>
  <c r="Z39"/>
  <c r="Z49"/>
  <c r="Z48"/>
  <c r="Y16"/>
  <c r="Z38"/>
  <c r="Z34"/>
  <c r="Z33"/>
  <c r="Z32"/>
  <c r="Z31"/>
  <c r="Z30"/>
  <c r="Z29"/>
  <c r="Z28"/>
  <c r="Z24"/>
  <c r="Z23"/>
  <c r="Z22"/>
  <c r="AA11"/>
  <c r="AC11"/>
  <c r="S12"/>
  <c r="W12"/>
  <c r="AC15"/>
  <c r="R22"/>
  <c r="R23"/>
  <c r="R24"/>
  <c r="R28"/>
  <c r="R29"/>
  <c r="R30"/>
  <c r="R31"/>
  <c r="R32"/>
  <c r="R33"/>
  <c r="R34"/>
  <c r="R144"/>
  <c r="R143"/>
  <c r="R141"/>
  <c r="R140"/>
  <c r="R139"/>
  <c r="R136"/>
  <c r="R92"/>
  <c r="R91"/>
  <c r="R90"/>
  <c r="R89"/>
  <c r="R87"/>
  <c r="R86"/>
  <c r="R85"/>
  <c r="R84"/>
  <c r="R83"/>
  <c r="R82"/>
  <c r="R81"/>
  <c r="R80"/>
  <c r="R79"/>
  <c r="R78"/>
  <c r="R77"/>
  <c r="R65"/>
  <c r="R64"/>
  <c r="R63"/>
  <c r="R61"/>
  <c r="R60"/>
  <c r="R59"/>
  <c r="R58"/>
  <c r="R57"/>
  <c r="R54"/>
  <c r="R50"/>
  <c r="R44"/>
  <c r="R43"/>
  <c r="R42"/>
  <c r="R41"/>
  <c r="R40"/>
  <c r="R39"/>
  <c r="R49"/>
  <c r="R48"/>
  <c r="AA5"/>
  <c r="Q16"/>
  <c r="AC38"/>
  <c r="R93"/>
  <c r="V93"/>
  <c r="AA127"/>
  <c r="AC127"/>
  <c r="AA120" i="11"/>
  <c r="AC120"/>
  <c r="AA120" i="3"/>
  <c r="AC127" i="2"/>
  <c r="T62" i="21"/>
  <c r="T26"/>
  <c r="T25"/>
  <c r="T68"/>
  <c r="T73"/>
  <c r="T72"/>
  <c r="S126"/>
  <c r="T126"/>
  <c r="T125"/>
  <c r="T122"/>
  <c r="T121"/>
  <c r="T120"/>
  <c r="T119"/>
  <c r="T118"/>
  <c r="T116"/>
  <c r="T128"/>
  <c r="T127"/>
  <c r="V62"/>
  <c r="V72"/>
  <c r="V26"/>
  <c r="V25"/>
  <c r="V68"/>
  <c r="V73"/>
  <c r="V128"/>
  <c r="V127"/>
  <c r="V125"/>
  <c r="V122"/>
  <c r="V121"/>
  <c r="V120"/>
  <c r="V119"/>
  <c r="V118"/>
  <c r="V116"/>
  <c r="U126"/>
  <c r="V126"/>
  <c r="X62"/>
  <c r="X26"/>
  <c r="X25"/>
  <c r="X68"/>
  <c r="X73"/>
  <c r="X72"/>
  <c r="W126"/>
  <c r="X126"/>
  <c r="X128"/>
  <c r="X127"/>
  <c r="X125"/>
  <c r="X122"/>
  <c r="X121"/>
  <c r="X120"/>
  <c r="X119"/>
  <c r="X118"/>
  <c r="X116"/>
  <c r="Z62"/>
  <c r="Z26"/>
  <c r="Z25"/>
  <c r="Z68"/>
  <c r="Z73"/>
  <c r="Z72"/>
  <c r="Z125"/>
  <c r="Z122"/>
  <c r="Z121"/>
  <c r="Z120"/>
  <c r="Z119"/>
  <c r="Z118"/>
  <c r="Z116"/>
  <c r="Z128"/>
  <c r="Z127"/>
  <c r="Y126"/>
  <c r="Z126"/>
  <c r="Q64" i="18"/>
  <c r="Q55"/>
  <c r="T62" i="20"/>
  <c r="T72"/>
  <c r="T26"/>
  <c r="T25"/>
  <c r="T68"/>
  <c r="T73"/>
  <c r="T128"/>
  <c r="T127"/>
  <c r="S126"/>
  <c r="T126"/>
  <c r="T125"/>
  <c r="T122"/>
  <c r="T121"/>
  <c r="T120"/>
  <c r="T119"/>
  <c r="T118"/>
  <c r="T116"/>
  <c r="X62"/>
  <c r="X72"/>
  <c r="X26"/>
  <c r="X25"/>
  <c r="X68"/>
  <c r="X73"/>
  <c r="X128"/>
  <c r="X127"/>
  <c r="W126"/>
  <c r="X126"/>
  <c r="X125"/>
  <c r="X122"/>
  <c r="X121"/>
  <c r="X120"/>
  <c r="X119"/>
  <c r="X118"/>
  <c r="X116"/>
  <c r="Z53" i="21"/>
  <c r="Z51"/>
  <c r="Z55"/>
  <c r="Z112"/>
  <c r="Z108"/>
  <c r="Z104"/>
  <c r="Z100"/>
  <c r="Z96"/>
  <c r="Z113"/>
  <c r="Z109"/>
  <c r="Z105"/>
  <c r="Z101"/>
  <c r="Z97"/>
  <c r="Z110"/>
  <c r="Z106"/>
  <c r="Z102"/>
  <c r="Z98"/>
  <c r="Z94"/>
  <c r="Z114"/>
  <c r="Z111"/>
  <c r="Z107"/>
  <c r="Z103"/>
  <c r="Z99"/>
  <c r="Z95"/>
  <c r="Z66"/>
  <c r="Z69"/>
  <c r="Z74"/>
  <c r="Z70"/>
  <c r="Z115"/>
  <c r="Z75"/>
  <c r="Z71"/>
  <c r="X53"/>
  <c r="X51"/>
  <c r="W46"/>
  <c r="X55"/>
  <c r="X75"/>
  <c r="X71"/>
  <c r="X69"/>
  <c r="X115"/>
  <c r="X74"/>
  <c r="X70"/>
  <c r="X66"/>
  <c r="V53"/>
  <c r="U46"/>
  <c r="V51"/>
  <c r="V55"/>
  <c r="V66"/>
  <c r="V75"/>
  <c r="V71"/>
  <c r="V74"/>
  <c r="V70"/>
  <c r="V115"/>
  <c r="V69"/>
  <c r="T51"/>
  <c r="S46"/>
  <c r="T53"/>
  <c r="R46"/>
  <c r="R76"/>
  <c r="Y46" i="20"/>
  <c r="Z46"/>
  <c r="Y55" i="18"/>
  <c r="X53" i="20"/>
  <c r="X51"/>
  <c r="X45"/>
  <c r="W46"/>
  <c r="X46"/>
  <c r="W17"/>
  <c r="U55" i="18"/>
  <c r="T45" i="20"/>
  <c r="S46"/>
  <c r="T46"/>
  <c r="T51"/>
  <c r="T53"/>
  <c r="T55" i="21"/>
  <c r="T115"/>
  <c r="T75"/>
  <c r="T74"/>
  <c r="T71"/>
  <c r="T70"/>
  <c r="T69"/>
  <c r="T66"/>
  <c r="X142" i="20"/>
  <c r="X75"/>
  <c r="X74"/>
  <c r="X71"/>
  <c r="X70"/>
  <c r="X69"/>
  <c r="X67"/>
  <c r="X66"/>
  <c r="X115"/>
  <c r="T142"/>
  <c r="T75"/>
  <c r="T74"/>
  <c r="T71"/>
  <c r="T70"/>
  <c r="T69"/>
  <c r="T67"/>
  <c r="T66"/>
  <c r="T115"/>
  <c r="X55"/>
  <c r="T17"/>
  <c r="T55"/>
  <c r="X17"/>
  <c r="X47"/>
  <c r="X56"/>
  <c r="T56"/>
  <c r="T47"/>
  <c r="T17" i="21"/>
  <c r="T56"/>
  <c r="T47"/>
  <c r="Z17"/>
  <c r="Z56"/>
  <c r="Z47"/>
  <c r="X17"/>
  <c r="X56"/>
  <c r="X47"/>
  <c r="V17"/>
  <c r="V56"/>
  <c r="V47"/>
  <c r="AC5" i="20"/>
  <c r="AD9"/>
  <c r="AB9"/>
  <c r="Z19" i="21"/>
  <c r="X19"/>
  <c r="V19"/>
  <c r="T19"/>
  <c r="T19" i="20"/>
  <c r="X19"/>
  <c r="Z45" i="21"/>
  <c r="X45"/>
  <c r="V90"/>
  <c r="V45"/>
  <c r="Z148"/>
  <c r="Y129" i="20"/>
  <c r="Z129" s="1"/>
  <c r="V93" i="21"/>
  <c r="X93" i="20"/>
  <c r="AE127" i="12"/>
  <c r="X144" i="21"/>
  <c r="X93"/>
  <c r="Z144"/>
  <c r="T93" i="20"/>
  <c r="T148" i="21"/>
  <c r="F148"/>
  <c r="X148"/>
  <c r="V148"/>
  <c r="X148" i="20"/>
  <c r="T148"/>
  <c r="F148"/>
  <c r="X138" i="21"/>
  <c r="X137"/>
  <c r="Z138"/>
  <c r="Z137"/>
  <c r="T138"/>
  <c r="T137"/>
  <c r="V138"/>
  <c r="V137"/>
  <c r="Q21" i="20"/>
  <c r="AB7" i="21"/>
  <c r="T144"/>
  <c r="V144"/>
  <c r="T93"/>
  <c r="X52"/>
  <c r="X139"/>
  <c r="X42"/>
  <c r="Z52"/>
  <c r="Z139"/>
  <c r="Z42"/>
  <c r="V52"/>
  <c r="V139"/>
  <c r="V42"/>
  <c r="T52"/>
  <c r="T42"/>
  <c r="T139"/>
  <c r="X138" i="20"/>
  <c r="X137"/>
  <c r="X52"/>
  <c r="T138"/>
  <c r="T137"/>
  <c r="T52"/>
  <c r="X143" i="21"/>
  <c r="X141"/>
  <c r="X140"/>
  <c r="X92"/>
  <c r="X91"/>
  <c r="X90"/>
  <c r="X89"/>
  <c r="X136"/>
  <c r="X87"/>
  <c r="X85"/>
  <c r="X83"/>
  <c r="X81"/>
  <c r="X79"/>
  <c r="X77"/>
  <c r="X65"/>
  <c r="X63"/>
  <c r="X61"/>
  <c r="X59"/>
  <c r="X57"/>
  <c r="X54"/>
  <c r="X50"/>
  <c r="X49"/>
  <c r="X48"/>
  <c r="X43"/>
  <c r="X41"/>
  <c r="X86"/>
  <c r="X84"/>
  <c r="X82"/>
  <c r="X80"/>
  <c r="X78"/>
  <c r="X64"/>
  <c r="X60"/>
  <c r="X58"/>
  <c r="X44"/>
  <c r="X39"/>
  <c r="X38"/>
  <c r="X34"/>
  <c r="X33"/>
  <c r="X32"/>
  <c r="X31"/>
  <c r="X30"/>
  <c r="X29"/>
  <c r="X28"/>
  <c r="X24"/>
  <c r="X23"/>
  <c r="X22"/>
  <c r="X40"/>
  <c r="W16"/>
  <c r="Z143"/>
  <c r="Z141"/>
  <c r="Z140"/>
  <c r="Z136"/>
  <c r="Z92"/>
  <c r="Z91"/>
  <c r="Z90"/>
  <c r="Z89"/>
  <c r="Z87"/>
  <c r="Z86"/>
  <c r="Z85"/>
  <c r="Z84"/>
  <c r="Z83"/>
  <c r="Z82"/>
  <c r="Z81"/>
  <c r="Z80"/>
  <c r="Z79"/>
  <c r="Z78"/>
  <c r="Z77"/>
  <c r="Z65"/>
  <c r="Z64"/>
  <c r="Z63"/>
  <c r="Z61"/>
  <c r="Z60"/>
  <c r="Z59"/>
  <c r="Z58"/>
  <c r="Z57"/>
  <c r="Z44"/>
  <c r="Z43"/>
  <c r="Z41"/>
  <c r="Z40"/>
  <c r="Z54"/>
  <c r="Z50"/>
  <c r="Z49"/>
  <c r="Z48"/>
  <c r="Z39"/>
  <c r="Z38"/>
  <c r="Z34"/>
  <c r="Z33"/>
  <c r="Z32"/>
  <c r="Z31"/>
  <c r="Z30"/>
  <c r="Z29"/>
  <c r="Z28"/>
  <c r="Z24"/>
  <c r="Z23"/>
  <c r="Z22"/>
  <c r="Y16"/>
  <c r="AB10"/>
  <c r="T143"/>
  <c r="T141"/>
  <c r="T140"/>
  <c r="T136"/>
  <c r="T92"/>
  <c r="T91"/>
  <c r="T90"/>
  <c r="T89"/>
  <c r="T86"/>
  <c r="T84"/>
  <c r="T82"/>
  <c r="T80"/>
  <c r="T78"/>
  <c r="T64"/>
  <c r="T60"/>
  <c r="T58"/>
  <c r="T54"/>
  <c r="T50"/>
  <c r="T49"/>
  <c r="T48"/>
  <c r="T43"/>
  <c r="T41"/>
  <c r="T87"/>
  <c r="T85"/>
  <c r="T83"/>
  <c r="T81"/>
  <c r="T79"/>
  <c r="T77"/>
  <c r="T65"/>
  <c r="T63"/>
  <c r="T61"/>
  <c r="T59"/>
  <c r="T57"/>
  <c r="T44"/>
  <c r="T40"/>
  <c r="T39"/>
  <c r="T38"/>
  <c r="T34"/>
  <c r="T33"/>
  <c r="T32"/>
  <c r="T31"/>
  <c r="T30"/>
  <c r="T29"/>
  <c r="T28"/>
  <c r="T24"/>
  <c r="T23"/>
  <c r="T22"/>
  <c r="S16"/>
  <c r="R16"/>
  <c r="V143"/>
  <c r="V141"/>
  <c r="V140"/>
  <c r="V136"/>
  <c r="V92"/>
  <c r="V91"/>
  <c r="V89"/>
  <c r="V87"/>
  <c r="V86"/>
  <c r="V85"/>
  <c r="V84"/>
  <c r="V83"/>
  <c r="V82"/>
  <c r="V81"/>
  <c r="V80"/>
  <c r="V79"/>
  <c r="V78"/>
  <c r="V77"/>
  <c r="V65"/>
  <c r="V64"/>
  <c r="V63"/>
  <c r="V61"/>
  <c r="V60"/>
  <c r="V59"/>
  <c r="V58"/>
  <c r="V57"/>
  <c r="V44"/>
  <c r="V43"/>
  <c r="V41"/>
  <c r="V40"/>
  <c r="V54"/>
  <c r="V50"/>
  <c r="V49"/>
  <c r="V48"/>
  <c r="V39"/>
  <c r="V38"/>
  <c r="V34"/>
  <c r="V33"/>
  <c r="V32"/>
  <c r="V31"/>
  <c r="V30"/>
  <c r="V29"/>
  <c r="V28"/>
  <c r="V24"/>
  <c r="V23"/>
  <c r="V22"/>
  <c r="U16"/>
  <c r="AA12"/>
  <c r="AB118"/>
  <c r="AD6"/>
  <c r="AB11"/>
  <c r="AD8"/>
  <c r="AB8"/>
  <c r="AB6"/>
  <c r="R16" i="20"/>
  <c r="T143"/>
  <c r="T141"/>
  <c r="T140"/>
  <c r="T139"/>
  <c r="T136"/>
  <c r="T144"/>
  <c r="T92"/>
  <c r="T91"/>
  <c r="T90"/>
  <c r="T89"/>
  <c r="T87"/>
  <c r="T85"/>
  <c r="T83"/>
  <c r="T81"/>
  <c r="T79"/>
  <c r="T77"/>
  <c r="T65"/>
  <c r="T63"/>
  <c r="T61"/>
  <c r="T59"/>
  <c r="T57"/>
  <c r="T49"/>
  <c r="T48"/>
  <c r="T43"/>
  <c r="T41"/>
  <c r="T86"/>
  <c r="T84"/>
  <c r="T82"/>
  <c r="T80"/>
  <c r="T78"/>
  <c r="T64"/>
  <c r="T60"/>
  <c r="T58"/>
  <c r="T54"/>
  <c r="T50"/>
  <c r="T44"/>
  <c r="T42"/>
  <c r="T40"/>
  <c r="T39"/>
  <c r="T38"/>
  <c r="T34"/>
  <c r="T33"/>
  <c r="T32"/>
  <c r="T31"/>
  <c r="T30"/>
  <c r="T29"/>
  <c r="T28"/>
  <c r="T24"/>
  <c r="T23"/>
  <c r="T22"/>
  <c r="S16"/>
  <c r="Y21"/>
  <c r="V16"/>
  <c r="AB8"/>
  <c r="AC41"/>
  <c r="AA12"/>
  <c r="AB118"/>
  <c r="X143"/>
  <c r="X141"/>
  <c r="X140"/>
  <c r="X139"/>
  <c r="X136"/>
  <c r="X144"/>
  <c r="X92"/>
  <c r="X91"/>
  <c r="X90"/>
  <c r="X89"/>
  <c r="X87"/>
  <c r="X86"/>
  <c r="X84"/>
  <c r="X82"/>
  <c r="X80"/>
  <c r="X78"/>
  <c r="X64"/>
  <c r="X60"/>
  <c r="X58"/>
  <c r="X54"/>
  <c r="X50"/>
  <c r="X49"/>
  <c r="X48"/>
  <c r="X43"/>
  <c r="X41"/>
  <c r="X85"/>
  <c r="X83"/>
  <c r="X81"/>
  <c r="X79"/>
  <c r="X77"/>
  <c r="X65"/>
  <c r="X63"/>
  <c r="X61"/>
  <c r="X59"/>
  <c r="X57"/>
  <c r="X44"/>
  <c r="X42"/>
  <c r="X40"/>
  <c r="X39"/>
  <c r="X38"/>
  <c r="X34"/>
  <c r="X33"/>
  <c r="X32"/>
  <c r="X31"/>
  <c r="X30"/>
  <c r="X29"/>
  <c r="X28"/>
  <c r="X24"/>
  <c r="X23"/>
  <c r="X22"/>
  <c r="W16"/>
  <c r="AB11"/>
  <c r="Z16"/>
  <c r="AB6"/>
  <c r="AB10"/>
  <c r="AB7"/>
  <c r="AC120" i="7"/>
  <c r="AC120" i="6"/>
  <c r="AC120" i="3"/>
  <c r="S64" i="18"/>
  <c r="S55"/>
  <c r="Y46" i="21"/>
  <c r="AA46"/>
  <c r="AB46"/>
  <c r="Y64" i="18"/>
  <c r="W64"/>
  <c r="X46" i="21"/>
  <c r="X76"/>
  <c r="U64" i="18"/>
  <c r="V46" i="21"/>
  <c r="V76"/>
  <c r="T46"/>
  <c r="T76"/>
  <c r="W55" i="18"/>
  <c r="U35" i="20"/>
  <c r="V35" s="1"/>
  <c r="AB142" i="21"/>
  <c r="AB111"/>
  <c r="AB108"/>
  <c r="AB99"/>
  <c r="AB109"/>
  <c r="AB114"/>
  <c r="AB115"/>
  <c r="AB96"/>
  <c r="AB104"/>
  <c r="AB110"/>
  <c r="AB106"/>
  <c r="AB95"/>
  <c r="AB105"/>
  <c r="AB100"/>
  <c r="AB113"/>
  <c r="AB107"/>
  <c r="AB102"/>
  <c r="AB94"/>
  <c r="AB75"/>
  <c r="AB101"/>
  <c r="AB103"/>
  <c r="AB98"/>
  <c r="AB112"/>
  <c r="AB97"/>
  <c r="Y76" i="20"/>
  <c r="Z76"/>
  <c r="U76"/>
  <c r="V76"/>
  <c r="Q76"/>
  <c r="R76"/>
  <c r="AA46"/>
  <c r="AB46"/>
  <c r="AB100"/>
  <c r="AB104"/>
  <c r="AB108"/>
  <c r="AB112"/>
  <c r="AB96"/>
  <c r="AB99"/>
  <c r="AB103"/>
  <c r="AB107"/>
  <c r="AB111"/>
  <c r="AB115"/>
  <c r="AB94"/>
  <c r="AB95"/>
  <c r="AB98"/>
  <c r="AB102"/>
  <c r="AB106"/>
  <c r="AB110"/>
  <c r="AB114"/>
  <c r="AB97"/>
  <c r="AB101"/>
  <c r="AB105"/>
  <c r="AB109"/>
  <c r="AB113"/>
  <c r="AB116"/>
  <c r="AB75"/>
  <c r="AA27" i="21"/>
  <c r="AC27" s="1"/>
  <c r="AD27" s="1"/>
  <c r="AB68"/>
  <c r="AB119"/>
  <c r="AB55"/>
  <c r="AA27" i="20"/>
  <c r="AC27" s="1"/>
  <c r="AB68"/>
  <c r="AB119"/>
  <c r="AB55"/>
  <c r="AB51"/>
  <c r="AB47"/>
  <c r="AB62"/>
  <c r="AB70"/>
  <c r="AB72"/>
  <c r="AB74"/>
  <c r="AB53"/>
  <c r="AB56"/>
  <c r="AB71"/>
  <c r="AB73"/>
  <c r="AB71" i="21"/>
  <c r="AB73"/>
  <c r="AB56"/>
  <c r="AB53"/>
  <c r="AB51"/>
  <c r="AB47"/>
  <c r="AB70"/>
  <c r="AB72"/>
  <c r="AB74"/>
  <c r="AB62"/>
  <c r="R21"/>
  <c r="R21" i="20"/>
  <c r="AD11"/>
  <c r="Y129" i="21"/>
  <c r="Y35" i="20"/>
  <c r="Z35" s="1"/>
  <c r="AB148"/>
  <c r="AB66"/>
  <c r="AB69"/>
  <c r="AB67"/>
  <c r="AC12" i="21"/>
  <c r="AB69"/>
  <c r="AB66"/>
  <c r="AB67"/>
  <c r="Q35" i="20"/>
  <c r="Q129" i="21"/>
  <c r="U129" i="20"/>
  <c r="Q129"/>
  <c r="X35" i="21"/>
  <c r="AB148"/>
  <c r="AB144"/>
  <c r="AA17" i="20"/>
  <c r="AC17" s="1"/>
  <c r="AD7"/>
  <c r="AB138" i="21"/>
  <c r="AB137"/>
  <c r="AD11"/>
  <c r="AD10"/>
  <c r="AD9"/>
  <c r="AA17"/>
  <c r="AC17" s="1"/>
  <c r="AD17" s="1"/>
  <c r="AB42"/>
  <c r="AB139"/>
  <c r="AB52"/>
  <c r="AB138" i="20"/>
  <c r="AB137"/>
  <c r="AB52"/>
  <c r="AB120" i="21"/>
  <c r="AB44"/>
  <c r="AB54"/>
  <c r="AA16"/>
  <c r="AC16"/>
  <c r="AB19"/>
  <c r="AB45"/>
  <c r="AB49"/>
  <c r="AB58"/>
  <c r="AB60"/>
  <c r="AB64"/>
  <c r="AB92"/>
  <c r="AB117"/>
  <c r="AB122"/>
  <c r="AB141"/>
  <c r="AB143"/>
  <c r="AB22"/>
  <c r="AB23"/>
  <c r="AB24"/>
  <c r="AB25"/>
  <c r="AB26"/>
  <c r="AB28"/>
  <c r="AB29"/>
  <c r="AB30"/>
  <c r="AB31"/>
  <c r="AB32"/>
  <c r="AB33"/>
  <c r="AB34"/>
  <c r="AB38"/>
  <c r="AB39"/>
  <c r="AB41"/>
  <c r="AB40"/>
  <c r="AB77"/>
  <c r="AB48"/>
  <c r="AB50"/>
  <c r="AB57"/>
  <c r="AB59"/>
  <c r="AB61"/>
  <c r="AB63"/>
  <c r="AB65"/>
  <c r="AB79"/>
  <c r="AB81"/>
  <c r="AB83"/>
  <c r="AB85"/>
  <c r="AB87"/>
  <c r="AB78"/>
  <c r="AB80"/>
  <c r="AB82"/>
  <c r="AB84"/>
  <c r="AB86"/>
  <c r="AB88"/>
  <c r="AB121"/>
  <c r="AB89"/>
  <c r="AB91"/>
  <c r="AB116"/>
  <c r="AB128"/>
  <c r="AB136"/>
  <c r="AB125"/>
  <c r="AB140"/>
  <c r="T16"/>
  <c r="V16"/>
  <c r="Z16"/>
  <c r="R35"/>
  <c r="Q65" i="18"/>
  <c r="AB127" i="21"/>
  <c r="AD7"/>
  <c r="AB43"/>
  <c r="X16"/>
  <c r="V21" i="20"/>
  <c r="W21"/>
  <c r="AB143"/>
  <c r="AB141"/>
  <c r="AB140"/>
  <c r="AB139"/>
  <c r="AB136"/>
  <c r="AB128"/>
  <c r="AB120"/>
  <c r="AB44"/>
  <c r="AB42"/>
  <c r="AB40"/>
  <c r="AB39"/>
  <c r="AA16"/>
  <c r="AB19"/>
  <c r="AB22"/>
  <c r="AB23"/>
  <c r="AB24"/>
  <c r="AB25"/>
  <c r="AB26"/>
  <c r="AB28"/>
  <c r="AB29"/>
  <c r="AB30"/>
  <c r="AB31"/>
  <c r="AB32"/>
  <c r="AB33"/>
  <c r="AB34"/>
  <c r="AB38"/>
  <c r="AB48"/>
  <c r="AB50"/>
  <c r="AB54"/>
  <c r="AB58"/>
  <c r="AB80"/>
  <c r="AB84"/>
  <c r="AB88"/>
  <c r="AB90"/>
  <c r="AB122"/>
  <c r="AB125"/>
  <c r="AB45"/>
  <c r="AB41"/>
  <c r="AB49"/>
  <c r="AB60"/>
  <c r="AB64"/>
  <c r="AB78"/>
  <c r="AB82"/>
  <c r="AB86"/>
  <c r="AB77"/>
  <c r="AB57"/>
  <c r="AB59"/>
  <c r="AB61"/>
  <c r="AB63"/>
  <c r="AB65"/>
  <c r="AB79"/>
  <c r="AB81"/>
  <c r="AB83"/>
  <c r="AB85"/>
  <c r="AB87"/>
  <c r="AB89"/>
  <c r="AB91"/>
  <c r="AB117"/>
  <c r="AB121"/>
  <c r="T16"/>
  <c r="AB43"/>
  <c r="X16"/>
  <c r="AC12"/>
  <c r="AD118"/>
  <c r="AD6"/>
  <c r="AD8"/>
  <c r="Z21"/>
  <c r="AD10"/>
  <c r="AB127"/>
  <c r="AA25" i="7"/>
  <c r="AA141" i="3"/>
  <c r="AA141" i="6"/>
  <c r="AC141"/>
  <c r="Y144"/>
  <c r="W144"/>
  <c r="U144"/>
  <c r="S144"/>
  <c r="Q144"/>
  <c r="Q32" i="18" s="1"/>
  <c r="O144" i="6"/>
  <c r="O32" i="18" s="1"/>
  <c r="M144" i="6"/>
  <c r="I144"/>
  <c r="G144"/>
  <c r="E144"/>
  <c r="C144"/>
  <c r="AA143"/>
  <c r="AC143"/>
  <c r="AA140"/>
  <c r="AC140"/>
  <c r="AA139"/>
  <c r="AC139"/>
  <c r="AA138"/>
  <c r="AC138"/>
  <c r="AA137"/>
  <c r="AC137"/>
  <c r="AA136"/>
  <c r="AC136"/>
  <c r="AA133"/>
  <c r="AC133"/>
  <c r="AA128"/>
  <c r="AA125"/>
  <c r="AC125"/>
  <c r="AA124"/>
  <c r="AC124"/>
  <c r="AA123"/>
  <c r="AC123"/>
  <c r="AA122"/>
  <c r="AA121"/>
  <c r="AA116"/>
  <c r="Y93"/>
  <c r="Y33" i="18" s="1"/>
  <c r="W93" i="6"/>
  <c r="W33" i="18" s="1"/>
  <c r="U93" i="6"/>
  <c r="U33" i="18" s="1"/>
  <c r="S93" i="6"/>
  <c r="S33" i="18" s="1"/>
  <c r="Q93" i="6"/>
  <c r="Q33" i="18" s="1"/>
  <c r="O93" i="6"/>
  <c r="O33" i="18" s="1"/>
  <c r="M93" i="6"/>
  <c r="M33" i="18" s="1"/>
  <c r="E93" i="6"/>
  <c r="E33" i="18" s="1"/>
  <c r="C93" i="6"/>
  <c r="C33" i="18" s="1"/>
  <c r="AA92" i="6"/>
  <c r="AC92"/>
  <c r="AA91"/>
  <c r="AC90"/>
  <c r="AC89"/>
  <c r="AC88"/>
  <c r="AC87"/>
  <c r="AC86"/>
  <c r="AC85"/>
  <c r="AC84"/>
  <c r="AC83"/>
  <c r="AC82"/>
  <c r="AC81"/>
  <c r="AC80"/>
  <c r="AC79"/>
  <c r="AC78"/>
  <c r="AC77"/>
  <c r="AA69"/>
  <c r="AA67"/>
  <c r="AA64"/>
  <c r="AC64"/>
  <c r="AA63"/>
  <c r="AC63"/>
  <c r="AA61"/>
  <c r="AC61"/>
  <c r="AA60"/>
  <c r="AA59"/>
  <c r="AA58"/>
  <c r="AC58"/>
  <c r="AA54"/>
  <c r="AA52"/>
  <c r="AC52"/>
  <c r="AA51"/>
  <c r="AA50"/>
  <c r="AC50"/>
  <c r="AA49"/>
  <c r="AA48"/>
  <c r="AC48"/>
  <c r="AA44"/>
  <c r="AC44"/>
  <c r="AA42"/>
  <c r="Y41"/>
  <c r="W41"/>
  <c r="U41"/>
  <c r="S41"/>
  <c r="Q41"/>
  <c r="O41"/>
  <c r="M41"/>
  <c r="K41"/>
  <c r="I41"/>
  <c r="G41"/>
  <c r="E41"/>
  <c r="AA40"/>
  <c r="AC40"/>
  <c r="AA39"/>
  <c r="AA38"/>
  <c r="AA34"/>
  <c r="AA33"/>
  <c r="AA32"/>
  <c r="AA31"/>
  <c r="AA30"/>
  <c r="AA29"/>
  <c r="AA28"/>
  <c r="AA26"/>
  <c r="AA25"/>
  <c r="AA24"/>
  <c r="AA23"/>
  <c r="AA22"/>
  <c r="AA20"/>
  <c r="AC20"/>
  <c r="AA19"/>
  <c r="AA18"/>
  <c r="AC18"/>
  <c r="Y15"/>
  <c r="W15"/>
  <c r="U15"/>
  <c r="S15"/>
  <c r="Q15"/>
  <c r="O15"/>
  <c r="M15"/>
  <c r="K15"/>
  <c r="I15"/>
  <c r="G15"/>
  <c r="E15"/>
  <c r="C15"/>
  <c r="AA14"/>
  <c r="AC14"/>
  <c r="AA13"/>
  <c r="AC13"/>
  <c r="W12"/>
  <c r="S12"/>
  <c r="Q12"/>
  <c r="O12"/>
  <c r="M12"/>
  <c r="K12"/>
  <c r="I12"/>
  <c r="G12"/>
  <c r="C12"/>
  <c r="E11" i="12"/>
  <c r="AA10" i="6"/>
  <c r="AC10"/>
  <c r="AA8"/>
  <c r="AC8"/>
  <c r="AA7"/>
  <c r="AC7"/>
  <c r="AA6"/>
  <c r="AC6"/>
  <c r="Y144" i="3"/>
  <c r="W144"/>
  <c r="U144"/>
  <c r="S144"/>
  <c r="Q144"/>
  <c r="O166"/>
  <c r="M144"/>
  <c r="M14" i="18" s="1"/>
  <c r="I144" i="3"/>
  <c r="I14" i="18" s="1"/>
  <c r="G144" i="3"/>
  <c r="E144"/>
  <c r="C144"/>
  <c r="C166" s="1"/>
  <c r="AA143"/>
  <c r="AA140"/>
  <c r="AA139"/>
  <c r="AA136"/>
  <c r="AA133"/>
  <c r="AA128"/>
  <c r="AA125"/>
  <c r="AA124"/>
  <c r="AA123"/>
  <c r="AA122"/>
  <c r="AA121"/>
  <c r="AC117"/>
  <c r="AA116"/>
  <c r="Y93"/>
  <c r="Y15" i="18" s="1"/>
  <c r="W93" i="3"/>
  <c r="W15" i="18" s="1"/>
  <c r="U93" i="3"/>
  <c r="U15" i="18" s="1"/>
  <c r="S93" i="3"/>
  <c r="S15" i="18" s="1"/>
  <c r="Q93" i="3"/>
  <c r="Q15" i="18" s="1"/>
  <c r="M93" i="3"/>
  <c r="M15" i="18" s="1"/>
  <c r="I93" i="3"/>
  <c r="I15" i="18" s="1"/>
  <c r="G93" i="3"/>
  <c r="G15" i="18" s="1"/>
  <c r="E93" i="3"/>
  <c r="E15" i="18" s="1"/>
  <c r="C93" i="3"/>
  <c r="C15" i="18" s="1"/>
  <c r="AA92" i="3"/>
  <c r="AA91"/>
  <c r="AA90"/>
  <c r="AA89"/>
  <c r="AA88"/>
  <c r="AA87"/>
  <c r="AA86"/>
  <c r="AA85"/>
  <c r="AA84"/>
  <c r="AA83"/>
  <c r="AA82"/>
  <c r="AA81"/>
  <c r="AA80"/>
  <c r="AA79"/>
  <c r="AA78"/>
  <c r="AA77"/>
  <c r="AA67"/>
  <c r="AA65"/>
  <c r="AA64"/>
  <c r="AA63"/>
  <c r="AA61"/>
  <c r="AA60"/>
  <c r="AA59"/>
  <c r="AA58"/>
  <c r="AA57"/>
  <c r="AA55"/>
  <c r="AA54"/>
  <c r="AA52"/>
  <c r="AA50"/>
  <c r="AA49"/>
  <c r="AA48"/>
  <c r="AC47"/>
  <c r="AA44"/>
  <c r="AA42"/>
  <c r="Y41"/>
  <c r="W41"/>
  <c r="U41"/>
  <c r="S41"/>
  <c r="Q41"/>
  <c r="M41"/>
  <c r="K41"/>
  <c r="I41"/>
  <c r="G41"/>
  <c r="E41"/>
  <c r="C41"/>
  <c r="AA40"/>
  <c r="AA39"/>
  <c r="AA38"/>
  <c r="AA34"/>
  <c r="AA33"/>
  <c r="AA32"/>
  <c r="AA31"/>
  <c r="AA30"/>
  <c r="AA29"/>
  <c r="AA28"/>
  <c r="AA26"/>
  <c r="AA25"/>
  <c r="AA24"/>
  <c r="AA23"/>
  <c r="AA22"/>
  <c r="AA20"/>
  <c r="AA19"/>
  <c r="AA18"/>
  <c r="Y15"/>
  <c r="W15"/>
  <c r="U15"/>
  <c r="S15"/>
  <c r="Q15"/>
  <c r="M15"/>
  <c r="K15"/>
  <c r="I15"/>
  <c r="G15"/>
  <c r="E15"/>
  <c r="C15"/>
  <c r="AA14"/>
  <c r="AA13"/>
  <c r="U12"/>
  <c r="Q12"/>
  <c r="M12"/>
  <c r="K12"/>
  <c r="I12"/>
  <c r="G12"/>
  <c r="C12"/>
  <c r="AA10"/>
  <c r="Y12"/>
  <c r="AA7"/>
  <c r="AA6"/>
  <c r="AA55" i="18"/>
  <c r="H72" i="6"/>
  <c r="H26"/>
  <c r="H25"/>
  <c r="H68"/>
  <c r="H73"/>
  <c r="H128"/>
  <c r="H127"/>
  <c r="H125"/>
  <c r="H122"/>
  <c r="H121"/>
  <c r="H120"/>
  <c r="H119"/>
  <c r="H118"/>
  <c r="H116"/>
  <c r="G126"/>
  <c r="H126"/>
  <c r="P72"/>
  <c r="P26"/>
  <c r="P25"/>
  <c r="P68"/>
  <c r="P73"/>
  <c r="P128"/>
  <c r="P127"/>
  <c r="O126"/>
  <c r="P126"/>
  <c r="P125"/>
  <c r="P122"/>
  <c r="P121"/>
  <c r="P120"/>
  <c r="P119"/>
  <c r="P118"/>
  <c r="P116"/>
  <c r="D26"/>
  <c r="D25"/>
  <c r="D68"/>
  <c r="D73"/>
  <c r="D72"/>
  <c r="C126"/>
  <c r="D125"/>
  <c r="D122"/>
  <c r="D121"/>
  <c r="D120"/>
  <c r="D119"/>
  <c r="D118"/>
  <c r="D116"/>
  <c r="D128"/>
  <c r="D127"/>
  <c r="N72"/>
  <c r="N26"/>
  <c r="N25"/>
  <c r="N68"/>
  <c r="N73"/>
  <c r="M126"/>
  <c r="N126"/>
  <c r="N125"/>
  <c r="N122"/>
  <c r="N121"/>
  <c r="N120"/>
  <c r="N119"/>
  <c r="N118"/>
  <c r="N116"/>
  <c r="N128"/>
  <c r="N127"/>
  <c r="X72"/>
  <c r="X26"/>
  <c r="X25"/>
  <c r="X68"/>
  <c r="X73"/>
  <c r="X128"/>
  <c r="X127"/>
  <c r="X125"/>
  <c r="X122"/>
  <c r="X121"/>
  <c r="X120"/>
  <c r="X119"/>
  <c r="X118"/>
  <c r="X116"/>
  <c r="W126"/>
  <c r="X126"/>
  <c r="L26"/>
  <c r="L25"/>
  <c r="L68"/>
  <c r="L73"/>
  <c r="L72"/>
  <c r="L125"/>
  <c r="L122"/>
  <c r="L121"/>
  <c r="L120"/>
  <c r="L119"/>
  <c r="L118"/>
  <c r="L116"/>
  <c r="L128"/>
  <c r="L127"/>
  <c r="K126"/>
  <c r="L126"/>
  <c r="T26"/>
  <c r="T25"/>
  <c r="T68"/>
  <c r="T73"/>
  <c r="T72"/>
  <c r="S126"/>
  <c r="T126"/>
  <c r="T125"/>
  <c r="T122"/>
  <c r="T121"/>
  <c r="T120"/>
  <c r="T119"/>
  <c r="T118"/>
  <c r="T116"/>
  <c r="T128"/>
  <c r="T127"/>
  <c r="J26"/>
  <c r="J25"/>
  <c r="J68"/>
  <c r="J73"/>
  <c r="J72"/>
  <c r="J128"/>
  <c r="J127"/>
  <c r="I126"/>
  <c r="J126"/>
  <c r="J125"/>
  <c r="J119"/>
  <c r="J116"/>
  <c r="J122"/>
  <c r="J121"/>
  <c r="J120"/>
  <c r="J118"/>
  <c r="R26"/>
  <c r="R25"/>
  <c r="R68"/>
  <c r="R73"/>
  <c r="R72"/>
  <c r="R128"/>
  <c r="R127"/>
  <c r="Q126"/>
  <c r="R126"/>
  <c r="R125"/>
  <c r="R122"/>
  <c r="R121"/>
  <c r="R120"/>
  <c r="R119"/>
  <c r="R118"/>
  <c r="R116"/>
  <c r="Z72" i="3"/>
  <c r="Z26"/>
  <c r="Z25"/>
  <c r="Z68"/>
  <c r="Z73"/>
  <c r="Y126"/>
  <c r="Z126"/>
  <c r="Z128"/>
  <c r="Z127"/>
  <c r="Z125"/>
  <c r="Z122"/>
  <c r="Z121"/>
  <c r="Z120"/>
  <c r="Z119"/>
  <c r="Z118"/>
  <c r="Z116"/>
  <c r="L26"/>
  <c r="L72"/>
  <c r="L25"/>
  <c r="L68"/>
  <c r="L73"/>
  <c r="L127"/>
  <c r="K126"/>
  <c r="L126"/>
  <c r="L125"/>
  <c r="L122"/>
  <c r="L121"/>
  <c r="L119"/>
  <c r="L116"/>
  <c r="L128"/>
  <c r="L120"/>
  <c r="L118"/>
  <c r="J72"/>
  <c r="J26"/>
  <c r="J25"/>
  <c r="J68"/>
  <c r="J73"/>
  <c r="I126"/>
  <c r="J126"/>
  <c r="J128"/>
  <c r="J127"/>
  <c r="J125"/>
  <c r="J122"/>
  <c r="J121"/>
  <c r="J120"/>
  <c r="J119"/>
  <c r="J118"/>
  <c r="J116"/>
  <c r="V72"/>
  <c r="V26"/>
  <c r="V25"/>
  <c r="V68"/>
  <c r="V73"/>
  <c r="V128"/>
  <c r="V127"/>
  <c r="V125"/>
  <c r="V122"/>
  <c r="V121"/>
  <c r="V120"/>
  <c r="V119"/>
  <c r="V118"/>
  <c r="V116"/>
  <c r="U126"/>
  <c r="V126"/>
  <c r="H72"/>
  <c r="H26"/>
  <c r="H25"/>
  <c r="H68"/>
  <c r="H73"/>
  <c r="G126"/>
  <c r="H126"/>
  <c r="H116"/>
  <c r="H128"/>
  <c r="H127"/>
  <c r="H125"/>
  <c r="H122"/>
  <c r="H121"/>
  <c r="H120"/>
  <c r="H119"/>
  <c r="H118"/>
  <c r="R72"/>
  <c r="R26"/>
  <c r="R25"/>
  <c r="R68"/>
  <c r="R73"/>
  <c r="Q126"/>
  <c r="R126"/>
  <c r="R128"/>
  <c r="R127"/>
  <c r="R125"/>
  <c r="R122"/>
  <c r="R121"/>
  <c r="R120"/>
  <c r="R119"/>
  <c r="R118"/>
  <c r="R116"/>
  <c r="D72"/>
  <c r="D25"/>
  <c r="D73"/>
  <c r="D26"/>
  <c r="D68"/>
  <c r="D128"/>
  <c r="D127"/>
  <c r="C126"/>
  <c r="D126"/>
  <c r="D125"/>
  <c r="D122"/>
  <c r="D121"/>
  <c r="D120"/>
  <c r="D119"/>
  <c r="D118"/>
  <c r="D116"/>
  <c r="N68"/>
  <c r="N73"/>
  <c r="N72"/>
  <c r="N26"/>
  <c r="N25"/>
  <c r="N128"/>
  <c r="N127"/>
  <c r="N125"/>
  <c r="N122"/>
  <c r="N121"/>
  <c r="N120"/>
  <c r="N119"/>
  <c r="N118"/>
  <c r="N116"/>
  <c r="M126"/>
  <c r="J56" i="6"/>
  <c r="J62"/>
  <c r="R56"/>
  <c r="R62"/>
  <c r="H62"/>
  <c r="H56"/>
  <c r="P62"/>
  <c r="P56"/>
  <c r="D56"/>
  <c r="D62"/>
  <c r="N62"/>
  <c r="N56"/>
  <c r="X56"/>
  <c r="X62"/>
  <c r="L56"/>
  <c r="L62"/>
  <c r="T56"/>
  <c r="T62"/>
  <c r="M166"/>
  <c r="M32" i="18"/>
  <c r="I166" i="6"/>
  <c r="I32" i="18"/>
  <c r="G166" i="6"/>
  <c r="G32" i="18"/>
  <c r="E166" i="6"/>
  <c r="E32" i="18"/>
  <c r="C166" i="6"/>
  <c r="C32" i="18"/>
  <c r="Y166" i="6"/>
  <c r="Y32" i="18"/>
  <c r="W166" i="6"/>
  <c r="W32" i="18"/>
  <c r="U166" i="6"/>
  <c r="U32" i="18"/>
  <c r="E166" i="3"/>
  <c r="E14" i="18"/>
  <c r="Y166" i="3"/>
  <c r="Y14" i="18"/>
  <c r="W166" i="3"/>
  <c r="W14" i="18"/>
  <c r="U166" i="3"/>
  <c r="U14" i="18"/>
  <c r="Z46" i="21"/>
  <c r="Z76"/>
  <c r="AA64" i="18"/>
  <c r="AC46" i="21"/>
  <c r="AC76"/>
  <c r="AA76"/>
  <c r="AB76"/>
  <c r="AD118"/>
  <c r="AD119"/>
  <c r="X53" i="6"/>
  <c r="X51"/>
  <c r="W46"/>
  <c r="X46"/>
  <c r="X45"/>
  <c r="X55"/>
  <c r="X47"/>
  <c r="X142"/>
  <c r="X75"/>
  <c r="X71"/>
  <c r="X69"/>
  <c r="X115"/>
  <c r="X74"/>
  <c r="X70"/>
  <c r="X66"/>
  <c r="S46"/>
  <c r="T46"/>
  <c r="T51"/>
  <c r="T53"/>
  <c r="R51"/>
  <c r="Q46"/>
  <c r="R46"/>
  <c r="R53"/>
  <c r="P53"/>
  <c r="P51"/>
  <c r="O46"/>
  <c r="P46"/>
  <c r="N53"/>
  <c r="N51"/>
  <c r="M46"/>
  <c r="K46"/>
  <c r="L51"/>
  <c r="L53"/>
  <c r="J51"/>
  <c r="I46"/>
  <c r="J53"/>
  <c r="I17"/>
  <c r="H53"/>
  <c r="G46"/>
  <c r="H46"/>
  <c r="H51"/>
  <c r="C46"/>
  <c r="D46"/>
  <c r="D51"/>
  <c r="D53"/>
  <c r="Z56" i="3"/>
  <c r="Z51"/>
  <c r="Z47"/>
  <c r="Z45"/>
  <c r="Z62"/>
  <c r="Y17"/>
  <c r="Z55"/>
  <c r="Z142"/>
  <c r="Z74"/>
  <c r="Z70"/>
  <c r="Z75"/>
  <c r="Z71"/>
  <c r="Z115"/>
  <c r="Z69"/>
  <c r="Z66"/>
  <c r="V56"/>
  <c r="V62"/>
  <c r="V47"/>
  <c r="U46"/>
  <c r="V45"/>
  <c r="V51"/>
  <c r="V55"/>
  <c r="V142"/>
  <c r="V74"/>
  <c r="V70"/>
  <c r="V69"/>
  <c r="V115"/>
  <c r="V75"/>
  <c r="V71"/>
  <c r="V66"/>
  <c r="R62"/>
  <c r="R56"/>
  <c r="Q46"/>
  <c r="Q76"/>
  <c r="R51"/>
  <c r="R47"/>
  <c r="R45"/>
  <c r="N56"/>
  <c r="N62"/>
  <c r="N47"/>
  <c r="N51"/>
  <c r="M46"/>
  <c r="N45"/>
  <c r="L62"/>
  <c r="L56"/>
  <c r="L51"/>
  <c r="L45"/>
  <c r="K17"/>
  <c r="L47"/>
  <c r="K46"/>
  <c r="K76"/>
  <c r="L82"/>
  <c r="J62"/>
  <c r="J56"/>
  <c r="I46"/>
  <c r="I76"/>
  <c r="J76"/>
  <c r="J51"/>
  <c r="J47"/>
  <c r="J45"/>
  <c r="H62"/>
  <c r="H56"/>
  <c r="H51"/>
  <c r="H47"/>
  <c r="G46"/>
  <c r="H46"/>
  <c r="H45"/>
  <c r="D56"/>
  <c r="D62"/>
  <c r="D45"/>
  <c r="D51"/>
  <c r="D47"/>
  <c r="C46"/>
  <c r="C76"/>
  <c r="AB27" i="20"/>
  <c r="T55" i="6"/>
  <c r="T47"/>
  <c r="T45"/>
  <c r="T142"/>
  <c r="T70"/>
  <c r="T74"/>
  <c r="T71"/>
  <c r="T69"/>
  <c r="T66"/>
  <c r="T115"/>
  <c r="T75"/>
  <c r="S166"/>
  <c r="S32" i="18"/>
  <c r="S166" i="3"/>
  <c r="S14" i="18"/>
  <c r="R47" i="6"/>
  <c r="R55"/>
  <c r="R45"/>
  <c r="R142"/>
  <c r="R70"/>
  <c r="R71"/>
  <c r="R115"/>
  <c r="R69"/>
  <c r="R74"/>
  <c r="R75"/>
  <c r="R66"/>
  <c r="R55" i="3"/>
  <c r="R142"/>
  <c r="R74"/>
  <c r="R70"/>
  <c r="R115"/>
  <c r="R75"/>
  <c r="R71"/>
  <c r="R66"/>
  <c r="R69"/>
  <c r="R46"/>
  <c r="P45" i="6"/>
  <c r="P47"/>
  <c r="P55"/>
  <c r="P142"/>
  <c r="P71"/>
  <c r="P69"/>
  <c r="P75"/>
  <c r="P70"/>
  <c r="P66"/>
  <c r="P115"/>
  <c r="P74"/>
  <c r="AB27" i="21"/>
  <c r="N55" i="6"/>
  <c r="N47"/>
  <c r="N45"/>
  <c r="N142"/>
  <c r="N75"/>
  <c r="N70"/>
  <c r="N66"/>
  <c r="N71"/>
  <c r="N74"/>
  <c r="N69"/>
  <c r="N115"/>
  <c r="N55" i="3"/>
  <c r="N142"/>
  <c r="N74"/>
  <c r="N70"/>
  <c r="N115"/>
  <c r="N75"/>
  <c r="N69"/>
  <c r="N66"/>
  <c r="N71"/>
  <c r="L55" i="6"/>
  <c r="L47"/>
  <c r="L45"/>
  <c r="L142"/>
  <c r="L71"/>
  <c r="L70"/>
  <c r="L69"/>
  <c r="L66"/>
  <c r="L115"/>
  <c r="L75"/>
  <c r="L74"/>
  <c r="L55" i="3"/>
  <c r="L142"/>
  <c r="L74"/>
  <c r="L71"/>
  <c r="L115"/>
  <c r="L75"/>
  <c r="L70"/>
  <c r="L69"/>
  <c r="L66"/>
  <c r="J55" i="6"/>
  <c r="J45"/>
  <c r="J47"/>
  <c r="J142"/>
  <c r="J70"/>
  <c r="J74"/>
  <c r="J71"/>
  <c r="J75"/>
  <c r="J66"/>
  <c r="J115"/>
  <c r="J69"/>
  <c r="J55" i="3"/>
  <c r="J142"/>
  <c r="J74"/>
  <c r="J70"/>
  <c r="J75"/>
  <c r="J71"/>
  <c r="J66"/>
  <c r="J115"/>
  <c r="J69"/>
  <c r="H45" i="6"/>
  <c r="H55"/>
  <c r="H47"/>
  <c r="H142"/>
  <c r="H71"/>
  <c r="H69"/>
  <c r="H75"/>
  <c r="H70"/>
  <c r="H66"/>
  <c r="H115"/>
  <c r="H74"/>
  <c r="H55" i="3"/>
  <c r="H142"/>
  <c r="H75"/>
  <c r="H71"/>
  <c r="H69"/>
  <c r="H74"/>
  <c r="H70"/>
  <c r="H66"/>
  <c r="H115"/>
  <c r="D55" i="6"/>
  <c r="D47"/>
  <c r="D45"/>
  <c r="D142"/>
  <c r="D75"/>
  <c r="D74"/>
  <c r="D71"/>
  <c r="D70"/>
  <c r="D69"/>
  <c r="D66"/>
  <c r="D115"/>
  <c r="D55" i="3"/>
  <c r="D142"/>
  <c r="D115"/>
  <c r="D46"/>
  <c r="D75"/>
  <c r="D70"/>
  <c r="D74"/>
  <c r="D71"/>
  <c r="D69"/>
  <c r="D66"/>
  <c r="AD142" i="21"/>
  <c r="AD112"/>
  <c r="AD108"/>
  <c r="AD95"/>
  <c r="AD97"/>
  <c r="AD114"/>
  <c r="AD96"/>
  <c r="AD110"/>
  <c r="AD75"/>
  <c r="AD107"/>
  <c r="AD109"/>
  <c r="AD103"/>
  <c r="AD98"/>
  <c r="AD100"/>
  <c r="AD111"/>
  <c r="AD105"/>
  <c r="AD106"/>
  <c r="AD94"/>
  <c r="AD102"/>
  <c r="AD113"/>
  <c r="AD115"/>
  <c r="AD99"/>
  <c r="AD101"/>
  <c r="AD104"/>
  <c r="W76" i="20"/>
  <c r="X76"/>
  <c r="S76"/>
  <c r="T76"/>
  <c r="AC46"/>
  <c r="AC76"/>
  <c r="AD76"/>
  <c r="AA76"/>
  <c r="AB76"/>
  <c r="AD96"/>
  <c r="AD116"/>
  <c r="AD94"/>
  <c r="AD114"/>
  <c r="AD110"/>
  <c r="AD106"/>
  <c r="AD102"/>
  <c r="AD98"/>
  <c r="AD95"/>
  <c r="AD111"/>
  <c r="AD107"/>
  <c r="AD103"/>
  <c r="AD99"/>
  <c r="AD75"/>
  <c r="AD112"/>
  <c r="AD108"/>
  <c r="AD104"/>
  <c r="AD100"/>
  <c r="AD115"/>
  <c r="AD113"/>
  <c r="AD109"/>
  <c r="AD105"/>
  <c r="AD101"/>
  <c r="AD97"/>
  <c r="AC42" i="6"/>
  <c r="AD68" i="21"/>
  <c r="AD55"/>
  <c r="AD68" i="20"/>
  <c r="AD55"/>
  <c r="T17" i="6"/>
  <c r="R17"/>
  <c r="M21"/>
  <c r="N21" s="1"/>
  <c r="L17"/>
  <c r="H17"/>
  <c r="D17"/>
  <c r="J17" i="3"/>
  <c r="H43" i="6"/>
  <c r="L43"/>
  <c r="P43"/>
  <c r="T43"/>
  <c r="D43"/>
  <c r="J43"/>
  <c r="N43"/>
  <c r="R43"/>
  <c r="X43"/>
  <c r="AD72" i="20"/>
  <c r="AD56"/>
  <c r="AD73"/>
  <c r="AD70"/>
  <c r="AD74"/>
  <c r="AD71"/>
  <c r="AD62"/>
  <c r="AD53"/>
  <c r="AD47"/>
  <c r="AD51"/>
  <c r="X17" i="6"/>
  <c r="P17"/>
  <c r="J17"/>
  <c r="AD73" i="21"/>
  <c r="AD70"/>
  <c r="AD74"/>
  <c r="AD47"/>
  <c r="AD53"/>
  <c r="AD71"/>
  <c r="AD72"/>
  <c r="AD51"/>
  <c r="AD56"/>
  <c r="AD62"/>
  <c r="Z53" i="3"/>
  <c r="D53"/>
  <c r="J53"/>
  <c r="N17"/>
  <c r="N53"/>
  <c r="V53"/>
  <c r="H17"/>
  <c r="H53"/>
  <c r="L17"/>
  <c r="L53"/>
  <c r="R53"/>
  <c r="Z17"/>
  <c r="V17"/>
  <c r="R35" i="20"/>
  <c r="R17" i="3"/>
  <c r="Q166" i="6"/>
  <c r="Q166" i="3"/>
  <c r="D17"/>
  <c r="D137"/>
  <c r="Z129" i="21"/>
  <c r="Z35"/>
  <c r="Y36" i="20"/>
  <c r="R19" i="6"/>
  <c r="P19"/>
  <c r="D19"/>
  <c r="N19"/>
  <c r="X19"/>
  <c r="J19"/>
  <c r="H19"/>
  <c r="L19"/>
  <c r="T19"/>
  <c r="L19" i="3"/>
  <c r="J19"/>
  <c r="H19"/>
  <c r="R19"/>
  <c r="Z19"/>
  <c r="V19"/>
  <c r="D19"/>
  <c r="N19"/>
  <c r="H21"/>
  <c r="N21"/>
  <c r="R137"/>
  <c r="R138"/>
  <c r="T35" i="21"/>
  <c r="AC20" i="3"/>
  <c r="AC25"/>
  <c r="AC30"/>
  <c r="AC34"/>
  <c r="AC50"/>
  <c r="AC54"/>
  <c r="AC58"/>
  <c r="AC82"/>
  <c r="AC90"/>
  <c r="AC123"/>
  <c r="AC133"/>
  <c r="AC139"/>
  <c r="J92" i="6"/>
  <c r="J84"/>
  <c r="J80"/>
  <c r="J58"/>
  <c r="J54"/>
  <c r="J50"/>
  <c r="J42"/>
  <c r="J89"/>
  <c r="J85"/>
  <c r="J81"/>
  <c r="J77"/>
  <c r="J63"/>
  <c r="J59"/>
  <c r="J90"/>
  <c r="J86"/>
  <c r="J82"/>
  <c r="J78"/>
  <c r="J64"/>
  <c r="J60"/>
  <c r="J52"/>
  <c r="J48"/>
  <c r="J44"/>
  <c r="J91"/>
  <c r="J87"/>
  <c r="J83"/>
  <c r="J79"/>
  <c r="J65"/>
  <c r="J61"/>
  <c r="J57"/>
  <c r="J49"/>
  <c r="R90"/>
  <c r="R86"/>
  <c r="R82"/>
  <c r="R78"/>
  <c r="R64"/>
  <c r="R60"/>
  <c r="R52"/>
  <c r="R48"/>
  <c r="R44"/>
  <c r="R91"/>
  <c r="R87"/>
  <c r="R83"/>
  <c r="R79"/>
  <c r="R65"/>
  <c r="R61"/>
  <c r="R57"/>
  <c r="R49"/>
  <c r="R92"/>
  <c r="R84"/>
  <c r="R80"/>
  <c r="R58"/>
  <c r="R54"/>
  <c r="R50"/>
  <c r="R42"/>
  <c r="R89"/>
  <c r="R85"/>
  <c r="R81"/>
  <c r="R77"/>
  <c r="R63"/>
  <c r="R59"/>
  <c r="O166"/>
  <c r="J93"/>
  <c r="T93"/>
  <c r="AC6" i="3"/>
  <c r="AC24"/>
  <c r="AC29"/>
  <c r="AC33"/>
  <c r="AC40"/>
  <c r="AC44"/>
  <c r="AC49"/>
  <c r="AC57"/>
  <c r="AC89"/>
  <c r="AC116"/>
  <c r="AC122"/>
  <c r="AC128"/>
  <c r="M166"/>
  <c r="H91" i="6"/>
  <c r="H87"/>
  <c r="H83"/>
  <c r="H79"/>
  <c r="H65"/>
  <c r="H61"/>
  <c r="H57"/>
  <c r="H49"/>
  <c r="H92"/>
  <c r="H84"/>
  <c r="H80"/>
  <c r="H58"/>
  <c r="H54"/>
  <c r="H50"/>
  <c r="H42"/>
  <c r="H93"/>
  <c r="H89"/>
  <c r="H85"/>
  <c r="H81"/>
  <c r="H77"/>
  <c r="H63"/>
  <c r="H59"/>
  <c r="H86"/>
  <c r="H82"/>
  <c r="H78"/>
  <c r="H64"/>
  <c r="H60"/>
  <c r="H52"/>
  <c r="H48"/>
  <c r="H44"/>
  <c r="H90"/>
  <c r="P89"/>
  <c r="P85"/>
  <c r="P81"/>
  <c r="P77"/>
  <c r="P63"/>
  <c r="P59"/>
  <c r="P86"/>
  <c r="P82"/>
  <c r="P78"/>
  <c r="P64"/>
  <c r="P60"/>
  <c r="P52"/>
  <c r="P48"/>
  <c r="P44"/>
  <c r="P91"/>
  <c r="P87"/>
  <c r="P83"/>
  <c r="P79"/>
  <c r="P65"/>
  <c r="P61"/>
  <c r="P57"/>
  <c r="P49"/>
  <c r="P92"/>
  <c r="P84"/>
  <c r="P80"/>
  <c r="P58"/>
  <c r="P54"/>
  <c r="P50"/>
  <c r="P42"/>
  <c r="P90"/>
  <c r="AC141" i="3"/>
  <c r="AD69" i="20"/>
  <c r="AD66"/>
  <c r="AD67"/>
  <c r="AD69" i="21"/>
  <c r="AD66"/>
  <c r="AD67"/>
  <c r="R93" i="6"/>
  <c r="D76" i="3"/>
  <c r="AC14"/>
  <c r="AC18"/>
  <c r="AC23"/>
  <c r="AC28"/>
  <c r="AC32"/>
  <c r="AC39"/>
  <c r="AC48"/>
  <c r="AC52"/>
  <c r="AC84"/>
  <c r="AC92"/>
  <c r="AC137"/>
  <c r="AC143"/>
  <c r="I166"/>
  <c r="D49" i="6"/>
  <c r="D57"/>
  <c r="D61"/>
  <c r="D65"/>
  <c r="D48"/>
  <c r="D54"/>
  <c r="D59"/>
  <c r="D64"/>
  <c r="D42"/>
  <c r="D52"/>
  <c r="D58"/>
  <c r="D63"/>
  <c r="D44"/>
  <c r="D50"/>
  <c r="D60"/>
  <c r="N92"/>
  <c r="N84"/>
  <c r="N80"/>
  <c r="N65"/>
  <c r="N61"/>
  <c r="N57"/>
  <c r="N49"/>
  <c r="N89"/>
  <c r="N85"/>
  <c r="N81"/>
  <c r="N77"/>
  <c r="N58"/>
  <c r="N54"/>
  <c r="N50"/>
  <c r="N42"/>
  <c r="N90"/>
  <c r="N86"/>
  <c r="N82"/>
  <c r="N78"/>
  <c r="N63"/>
  <c r="N59"/>
  <c r="N91"/>
  <c r="N87"/>
  <c r="N83"/>
  <c r="N79"/>
  <c r="N64"/>
  <c r="N60"/>
  <c r="N52"/>
  <c r="N48"/>
  <c r="N44"/>
  <c r="X91"/>
  <c r="X87"/>
  <c r="X83"/>
  <c r="X79"/>
  <c r="X65"/>
  <c r="X61"/>
  <c r="X57"/>
  <c r="X49"/>
  <c r="X92"/>
  <c r="X84"/>
  <c r="X80"/>
  <c r="X58"/>
  <c r="X54"/>
  <c r="X50"/>
  <c r="X42"/>
  <c r="X89"/>
  <c r="X85"/>
  <c r="X81"/>
  <c r="X77"/>
  <c r="X63"/>
  <c r="X59"/>
  <c r="X90"/>
  <c r="X86"/>
  <c r="X82"/>
  <c r="X78"/>
  <c r="X64"/>
  <c r="X60"/>
  <c r="X52"/>
  <c r="X48"/>
  <c r="X44"/>
  <c r="P93"/>
  <c r="X93"/>
  <c r="AC13" i="3"/>
  <c r="AC26"/>
  <c r="AC31"/>
  <c r="AC55"/>
  <c r="AC83"/>
  <c r="AC91"/>
  <c r="AC124"/>
  <c r="AC140"/>
  <c r="G166"/>
  <c r="F11" i="12"/>
  <c r="AA11"/>
  <c r="L86" i="6"/>
  <c r="L82"/>
  <c r="L78"/>
  <c r="L63"/>
  <c r="L59"/>
  <c r="L91"/>
  <c r="L87"/>
  <c r="L83"/>
  <c r="L79"/>
  <c r="L64"/>
  <c r="L60"/>
  <c r="L52"/>
  <c r="L48"/>
  <c r="L44"/>
  <c r="L92"/>
  <c r="L84"/>
  <c r="L80"/>
  <c r="L65"/>
  <c r="L61"/>
  <c r="L57"/>
  <c r="L49"/>
  <c r="L89"/>
  <c r="L85"/>
  <c r="L81"/>
  <c r="L77"/>
  <c r="L58"/>
  <c r="L54"/>
  <c r="L50"/>
  <c r="L42"/>
  <c r="L90"/>
  <c r="L93"/>
  <c r="T92"/>
  <c r="T84"/>
  <c r="T80"/>
  <c r="T65"/>
  <c r="T61"/>
  <c r="T57"/>
  <c r="T49"/>
  <c r="T89"/>
  <c r="T85"/>
  <c r="T81"/>
  <c r="T77"/>
  <c r="T58"/>
  <c r="T54"/>
  <c r="T50"/>
  <c r="T42"/>
  <c r="T86"/>
  <c r="T82"/>
  <c r="T78"/>
  <c r="T63"/>
  <c r="T59"/>
  <c r="T91"/>
  <c r="T87"/>
  <c r="T83"/>
  <c r="T79"/>
  <c r="T64"/>
  <c r="T60"/>
  <c r="T52"/>
  <c r="T48"/>
  <c r="T44"/>
  <c r="T90"/>
  <c r="N93"/>
  <c r="AC69"/>
  <c r="V35" i="21"/>
  <c r="S35" i="20"/>
  <c r="T35" s="1"/>
  <c r="Q36"/>
  <c r="Q56" i="18"/>
  <c r="W35" i="20"/>
  <c r="X35" s="1"/>
  <c r="W129"/>
  <c r="W129" i="21"/>
  <c r="R129"/>
  <c r="Q145"/>
  <c r="S129"/>
  <c r="X148" i="6"/>
  <c r="U129" i="21"/>
  <c r="S129" i="20"/>
  <c r="V129"/>
  <c r="U145"/>
  <c r="AA126" i="21"/>
  <c r="R129" i="20"/>
  <c r="Q145"/>
  <c r="AA126"/>
  <c r="AC121" i="6"/>
  <c r="AC117"/>
  <c r="AC66"/>
  <c r="AC65"/>
  <c r="AC60"/>
  <c r="AC59"/>
  <c r="AC57"/>
  <c r="AC54"/>
  <c r="H148"/>
  <c r="D148"/>
  <c r="T148"/>
  <c r="R148"/>
  <c r="AA41" i="3"/>
  <c r="AC15" i="6"/>
  <c r="P148"/>
  <c r="O21"/>
  <c r="N148"/>
  <c r="L148"/>
  <c r="J148"/>
  <c r="AD148" i="21"/>
  <c r="AD148" i="20"/>
  <c r="P76" i="3"/>
  <c r="P21"/>
  <c r="AC67" i="6"/>
  <c r="AC138" i="3"/>
  <c r="AC88"/>
  <c r="AC42"/>
  <c r="AB17" i="20"/>
  <c r="AD127" i="21"/>
  <c r="AD138"/>
  <c r="AD137"/>
  <c r="AB17"/>
  <c r="AC85" i="3"/>
  <c r="AC86"/>
  <c r="AC87"/>
  <c r="X141" i="6"/>
  <c r="T141"/>
  <c r="Q16"/>
  <c r="R141"/>
  <c r="P141"/>
  <c r="M16"/>
  <c r="N141"/>
  <c r="L141"/>
  <c r="I16"/>
  <c r="J141"/>
  <c r="H141"/>
  <c r="D141"/>
  <c r="Z141" i="3"/>
  <c r="V141"/>
  <c r="R34"/>
  <c r="R141"/>
  <c r="P23"/>
  <c r="P16"/>
  <c r="P22"/>
  <c r="P24"/>
  <c r="P141"/>
  <c r="N141"/>
  <c r="K16"/>
  <c r="L22"/>
  <c r="L23"/>
  <c r="L24"/>
  <c r="L141"/>
  <c r="J34"/>
  <c r="J141"/>
  <c r="H23"/>
  <c r="G16"/>
  <c r="H22"/>
  <c r="H24"/>
  <c r="H141"/>
  <c r="D22"/>
  <c r="D23"/>
  <c r="D24"/>
  <c r="D141"/>
  <c r="AD139" i="21"/>
  <c r="AD42"/>
  <c r="AD52"/>
  <c r="AD52" i="20"/>
  <c r="AD137"/>
  <c r="AD138"/>
  <c r="AD43"/>
  <c r="Z21" i="21"/>
  <c r="V21"/>
  <c r="AA21"/>
  <c r="AC21" s="1"/>
  <c r="AD21" s="1"/>
  <c r="AB16"/>
  <c r="AD23"/>
  <c r="AD25"/>
  <c r="AD28"/>
  <c r="AD30"/>
  <c r="AD32"/>
  <c r="AD34"/>
  <c r="AD46"/>
  <c r="AD48"/>
  <c r="AD50"/>
  <c r="AD58"/>
  <c r="AD60"/>
  <c r="AD64"/>
  <c r="AD78"/>
  <c r="AD80"/>
  <c r="AD82"/>
  <c r="AD84"/>
  <c r="AD86"/>
  <c r="AD92"/>
  <c r="AD117"/>
  <c r="AD125"/>
  <c r="AD141"/>
  <c r="AD143"/>
  <c r="AD24"/>
  <c r="AD26"/>
  <c r="AD29"/>
  <c r="AD31"/>
  <c r="AD33"/>
  <c r="AD39"/>
  <c r="AD54"/>
  <c r="AD44"/>
  <c r="AD49"/>
  <c r="AD136"/>
  <c r="AD89"/>
  <c r="AD91"/>
  <c r="AD120"/>
  <c r="AD140"/>
  <c r="AD121"/>
  <c r="AD61"/>
  <c r="AD81"/>
  <c r="AD63"/>
  <c r="AD59"/>
  <c r="AD19"/>
  <c r="AD77"/>
  <c r="AD38"/>
  <c r="AD122"/>
  <c r="AD87"/>
  <c r="AD83"/>
  <c r="AD79"/>
  <c r="AD116"/>
  <c r="AD22"/>
  <c r="AD65"/>
  <c r="AD57"/>
  <c r="AD45"/>
  <c r="AD128"/>
  <c r="AD85"/>
  <c r="AD40"/>
  <c r="R36"/>
  <c r="X21"/>
  <c r="T21"/>
  <c r="AD43"/>
  <c r="AD41"/>
  <c r="AC16" i="20"/>
  <c r="AD26"/>
  <c r="AD29"/>
  <c r="AD31"/>
  <c r="AD33"/>
  <c r="AD24"/>
  <c r="AD77"/>
  <c r="AD63"/>
  <c r="AD81"/>
  <c r="AD48"/>
  <c r="AD61"/>
  <c r="AD79"/>
  <c r="AD50"/>
  <c r="AD54"/>
  <c r="AD58"/>
  <c r="AD60"/>
  <c r="AD64"/>
  <c r="AD78"/>
  <c r="AD80"/>
  <c r="AD82"/>
  <c r="AD84"/>
  <c r="AD86"/>
  <c r="AD88"/>
  <c r="AD90"/>
  <c r="AD120"/>
  <c r="AD141"/>
  <c r="AD25"/>
  <c r="AD28"/>
  <c r="AD30"/>
  <c r="AD32"/>
  <c r="AD34"/>
  <c r="AD19"/>
  <c r="AD23"/>
  <c r="AD39"/>
  <c r="AD59"/>
  <c r="AD85"/>
  <c r="AD40"/>
  <c r="AD44"/>
  <c r="AD49"/>
  <c r="AD57"/>
  <c r="AD65"/>
  <c r="AD83"/>
  <c r="AD87"/>
  <c r="AD89"/>
  <c r="AD91"/>
  <c r="AD121"/>
  <c r="AD140"/>
  <c r="AD125"/>
  <c r="AD128"/>
  <c r="AD139"/>
  <c r="AD143"/>
  <c r="AD42"/>
  <c r="AD22"/>
  <c r="AD136"/>
  <c r="AD38"/>
  <c r="AD45"/>
  <c r="AD122"/>
  <c r="X21"/>
  <c r="AA21"/>
  <c r="T21"/>
  <c r="AB16"/>
  <c r="AD127"/>
  <c r="AD41"/>
  <c r="AA93" i="3"/>
  <c r="H143" i="6"/>
  <c r="H140"/>
  <c r="H139"/>
  <c r="H138"/>
  <c r="H137"/>
  <c r="H136"/>
  <c r="L143"/>
  <c r="L140"/>
  <c r="L139"/>
  <c r="L138"/>
  <c r="L136"/>
  <c r="L137"/>
  <c r="P143"/>
  <c r="P140"/>
  <c r="P139"/>
  <c r="P138"/>
  <c r="P137"/>
  <c r="P136"/>
  <c r="T143"/>
  <c r="T140"/>
  <c r="T139"/>
  <c r="T138"/>
  <c r="T137"/>
  <c r="T136"/>
  <c r="X143"/>
  <c r="X140"/>
  <c r="X139"/>
  <c r="X138"/>
  <c r="X137"/>
  <c r="X136"/>
  <c r="AA11"/>
  <c r="U12"/>
  <c r="Y12"/>
  <c r="AA15"/>
  <c r="C16"/>
  <c r="G16"/>
  <c r="K16"/>
  <c r="O16"/>
  <c r="S16"/>
  <c r="W16"/>
  <c r="AC19"/>
  <c r="D22"/>
  <c r="H22"/>
  <c r="L22"/>
  <c r="P22"/>
  <c r="T22"/>
  <c r="X22"/>
  <c r="AC22"/>
  <c r="D23"/>
  <c r="H23"/>
  <c r="L23"/>
  <c r="P23"/>
  <c r="T23"/>
  <c r="X23"/>
  <c r="AC23"/>
  <c r="D24"/>
  <c r="H24"/>
  <c r="L24"/>
  <c r="P24"/>
  <c r="T24"/>
  <c r="X24"/>
  <c r="AC24"/>
  <c r="AC25"/>
  <c r="AC26"/>
  <c r="D28"/>
  <c r="H28"/>
  <c r="L28"/>
  <c r="P28"/>
  <c r="T28"/>
  <c r="X28"/>
  <c r="AC28"/>
  <c r="D29"/>
  <c r="H29"/>
  <c r="L29"/>
  <c r="P29"/>
  <c r="T29"/>
  <c r="X29"/>
  <c r="AC29"/>
  <c r="D30"/>
  <c r="H30"/>
  <c r="L30"/>
  <c r="P30"/>
  <c r="T30"/>
  <c r="X30"/>
  <c r="AC30"/>
  <c r="D31"/>
  <c r="H31"/>
  <c r="L31"/>
  <c r="P31"/>
  <c r="T31"/>
  <c r="X31"/>
  <c r="AC31"/>
  <c r="D32"/>
  <c r="H32"/>
  <c r="L32"/>
  <c r="P32"/>
  <c r="T32"/>
  <c r="X32"/>
  <c r="AC32"/>
  <c r="D33"/>
  <c r="H33"/>
  <c r="L33"/>
  <c r="P33"/>
  <c r="T33"/>
  <c r="X33"/>
  <c r="AC33"/>
  <c r="D34"/>
  <c r="H34"/>
  <c r="L34"/>
  <c r="P34"/>
  <c r="T34"/>
  <c r="X34"/>
  <c r="AC34"/>
  <c r="D38"/>
  <c r="H38"/>
  <c r="L38"/>
  <c r="P38"/>
  <c r="T38"/>
  <c r="X38"/>
  <c r="AC38"/>
  <c r="D39"/>
  <c r="H39"/>
  <c r="L39"/>
  <c r="P39"/>
  <c r="T39"/>
  <c r="X39"/>
  <c r="AC39"/>
  <c r="D40"/>
  <c r="H40"/>
  <c r="L40"/>
  <c r="P40"/>
  <c r="T40"/>
  <c r="X40"/>
  <c r="AA41"/>
  <c r="AA45"/>
  <c r="D143"/>
  <c r="D140"/>
  <c r="D139"/>
  <c r="D138"/>
  <c r="D136"/>
  <c r="D92"/>
  <c r="D90"/>
  <c r="D89"/>
  <c r="D87"/>
  <c r="D86"/>
  <c r="D85"/>
  <c r="D84"/>
  <c r="D82"/>
  <c r="D81"/>
  <c r="D79"/>
  <c r="D77"/>
  <c r="D137"/>
  <c r="D91"/>
  <c r="D83"/>
  <c r="D80"/>
  <c r="D78"/>
  <c r="J143"/>
  <c r="J140"/>
  <c r="J139"/>
  <c r="J138"/>
  <c r="J137"/>
  <c r="J136"/>
  <c r="N143"/>
  <c r="N140"/>
  <c r="N139"/>
  <c r="N138"/>
  <c r="N137"/>
  <c r="N136"/>
  <c r="R143"/>
  <c r="R140"/>
  <c r="R139"/>
  <c r="R138"/>
  <c r="R137"/>
  <c r="R136"/>
  <c r="AA5"/>
  <c r="AB9"/>
  <c r="D12"/>
  <c r="H12"/>
  <c r="J12"/>
  <c r="L12"/>
  <c r="N12"/>
  <c r="P12"/>
  <c r="R12"/>
  <c r="T12"/>
  <c r="X12"/>
  <c r="J22"/>
  <c r="N22"/>
  <c r="R22"/>
  <c r="J23"/>
  <c r="N23"/>
  <c r="R23"/>
  <c r="J24"/>
  <c r="N24"/>
  <c r="R24"/>
  <c r="J28"/>
  <c r="N28"/>
  <c r="R28"/>
  <c r="J29"/>
  <c r="N29"/>
  <c r="R29"/>
  <c r="J30"/>
  <c r="N30"/>
  <c r="R30"/>
  <c r="J31"/>
  <c r="N31"/>
  <c r="R31"/>
  <c r="J32"/>
  <c r="N32"/>
  <c r="R32"/>
  <c r="J33"/>
  <c r="N33"/>
  <c r="R33"/>
  <c r="J34"/>
  <c r="N34"/>
  <c r="R34"/>
  <c r="J38"/>
  <c r="N38"/>
  <c r="R38"/>
  <c r="J39"/>
  <c r="N39"/>
  <c r="R39"/>
  <c r="J40"/>
  <c r="N40"/>
  <c r="R40"/>
  <c r="AC49"/>
  <c r="AC51"/>
  <c r="AC122"/>
  <c r="D93"/>
  <c r="AA93"/>
  <c r="H144"/>
  <c r="L144"/>
  <c r="P144"/>
  <c r="T144"/>
  <c r="X144"/>
  <c r="AC128"/>
  <c r="AC91"/>
  <c r="AC116"/>
  <c r="AA144"/>
  <c r="AA166" s="1"/>
  <c r="J144"/>
  <c r="N144"/>
  <c r="R144"/>
  <c r="D144"/>
  <c r="Z143" i="3"/>
  <c r="Z140"/>
  <c r="Z139"/>
  <c r="Z138"/>
  <c r="Z137"/>
  <c r="Z136"/>
  <c r="Z93"/>
  <c r="Z91"/>
  <c r="Z89"/>
  <c r="Z87"/>
  <c r="Z85"/>
  <c r="Z83"/>
  <c r="Z81"/>
  <c r="Z80"/>
  <c r="Z79"/>
  <c r="Z78"/>
  <c r="Z77"/>
  <c r="Z65"/>
  <c r="Z64"/>
  <c r="Z63"/>
  <c r="Z61"/>
  <c r="Z60"/>
  <c r="Z59"/>
  <c r="Z92"/>
  <c r="Z90"/>
  <c r="Z86"/>
  <c r="Z84"/>
  <c r="Z82"/>
  <c r="Z58"/>
  <c r="Z57"/>
  <c r="Z54"/>
  <c r="Z52"/>
  <c r="Z50"/>
  <c r="Z49"/>
  <c r="Z48"/>
  <c r="Z44"/>
  <c r="Z43"/>
  <c r="Z42"/>
  <c r="Z41"/>
  <c r="Z40"/>
  <c r="Z39"/>
  <c r="Z38"/>
  <c r="Z34"/>
  <c r="Z33"/>
  <c r="Z32"/>
  <c r="Z31"/>
  <c r="Z30"/>
  <c r="Z29"/>
  <c r="Z28"/>
  <c r="Z24"/>
  <c r="Z23"/>
  <c r="Z22"/>
  <c r="Y16"/>
  <c r="AA11"/>
  <c r="E12"/>
  <c r="N143"/>
  <c r="N140"/>
  <c r="N139"/>
  <c r="N138"/>
  <c r="N137"/>
  <c r="N136"/>
  <c r="N93"/>
  <c r="N92"/>
  <c r="N90"/>
  <c r="N86"/>
  <c r="N84"/>
  <c r="N82"/>
  <c r="N81"/>
  <c r="N80"/>
  <c r="N79"/>
  <c r="N78"/>
  <c r="N77"/>
  <c r="N65"/>
  <c r="N64"/>
  <c r="N63"/>
  <c r="N61"/>
  <c r="N60"/>
  <c r="N59"/>
  <c r="N91"/>
  <c r="N89"/>
  <c r="N87"/>
  <c r="N85"/>
  <c r="N83"/>
  <c r="N58"/>
  <c r="N57"/>
  <c r="N54"/>
  <c r="N52"/>
  <c r="N50"/>
  <c r="N49"/>
  <c r="N48"/>
  <c r="N44"/>
  <c r="N43"/>
  <c r="N42"/>
  <c r="N41"/>
  <c r="N40"/>
  <c r="N39"/>
  <c r="N38"/>
  <c r="V143"/>
  <c r="V140"/>
  <c r="V139"/>
  <c r="V138"/>
  <c r="V137"/>
  <c r="V136"/>
  <c r="V93"/>
  <c r="V92"/>
  <c r="V90"/>
  <c r="V86"/>
  <c r="V84"/>
  <c r="V82"/>
  <c r="V81"/>
  <c r="V80"/>
  <c r="V79"/>
  <c r="V78"/>
  <c r="V77"/>
  <c r="V65"/>
  <c r="V64"/>
  <c r="V63"/>
  <c r="V61"/>
  <c r="V60"/>
  <c r="V59"/>
  <c r="V91"/>
  <c r="V89"/>
  <c r="V87"/>
  <c r="V85"/>
  <c r="V83"/>
  <c r="V58"/>
  <c r="V57"/>
  <c r="V54"/>
  <c r="V52"/>
  <c r="V50"/>
  <c r="V49"/>
  <c r="V48"/>
  <c r="V44"/>
  <c r="V43"/>
  <c r="V42"/>
  <c r="V41"/>
  <c r="V40"/>
  <c r="V39"/>
  <c r="V38"/>
  <c r="D143"/>
  <c r="D140"/>
  <c r="D139"/>
  <c r="D138"/>
  <c r="D92"/>
  <c r="D91"/>
  <c r="D90"/>
  <c r="D89"/>
  <c r="D87"/>
  <c r="D86"/>
  <c r="D85"/>
  <c r="D84"/>
  <c r="D83"/>
  <c r="D93"/>
  <c r="D58"/>
  <c r="D57"/>
  <c r="D54"/>
  <c r="D52"/>
  <c r="D50"/>
  <c r="D49"/>
  <c r="D48"/>
  <c r="D44"/>
  <c r="D42"/>
  <c r="D40"/>
  <c r="D39"/>
  <c r="D38"/>
  <c r="D136"/>
  <c r="D82"/>
  <c r="D81"/>
  <c r="D80"/>
  <c r="D79"/>
  <c r="D78"/>
  <c r="D77"/>
  <c r="D65"/>
  <c r="D64"/>
  <c r="D63"/>
  <c r="D61"/>
  <c r="D60"/>
  <c r="D59"/>
  <c r="D43"/>
  <c r="D41"/>
  <c r="H143"/>
  <c r="H140"/>
  <c r="H139"/>
  <c r="H138"/>
  <c r="H136"/>
  <c r="H92"/>
  <c r="H91"/>
  <c r="H90"/>
  <c r="H89"/>
  <c r="H87"/>
  <c r="H86"/>
  <c r="H85"/>
  <c r="H84"/>
  <c r="H83"/>
  <c r="H137"/>
  <c r="H93"/>
  <c r="H58"/>
  <c r="H57"/>
  <c r="H54"/>
  <c r="H52"/>
  <c r="H50"/>
  <c r="H49"/>
  <c r="H48"/>
  <c r="H44"/>
  <c r="H42"/>
  <c r="H40"/>
  <c r="H39"/>
  <c r="H38"/>
  <c r="H82"/>
  <c r="H81"/>
  <c r="H80"/>
  <c r="H79"/>
  <c r="H78"/>
  <c r="H77"/>
  <c r="H65"/>
  <c r="H64"/>
  <c r="H63"/>
  <c r="H61"/>
  <c r="H60"/>
  <c r="H59"/>
  <c r="H43"/>
  <c r="H41"/>
  <c r="L143"/>
  <c r="L140"/>
  <c r="L139"/>
  <c r="L138"/>
  <c r="L137"/>
  <c r="L92"/>
  <c r="L91"/>
  <c r="L90"/>
  <c r="L89"/>
  <c r="L87"/>
  <c r="L86"/>
  <c r="L85"/>
  <c r="L84"/>
  <c r="L83"/>
  <c r="L136"/>
  <c r="L93"/>
  <c r="L58"/>
  <c r="L57"/>
  <c r="L54"/>
  <c r="L52"/>
  <c r="L50"/>
  <c r="L49"/>
  <c r="L48"/>
  <c r="L44"/>
  <c r="L42"/>
  <c r="L40"/>
  <c r="L39"/>
  <c r="L38"/>
  <c r="L81"/>
  <c r="L80"/>
  <c r="L79"/>
  <c r="L78"/>
  <c r="L77"/>
  <c r="L65"/>
  <c r="L64"/>
  <c r="L63"/>
  <c r="L61"/>
  <c r="L60"/>
  <c r="L59"/>
  <c r="L43"/>
  <c r="L41"/>
  <c r="P143"/>
  <c r="P140"/>
  <c r="P139"/>
  <c r="P138"/>
  <c r="P136"/>
  <c r="P92"/>
  <c r="P91"/>
  <c r="P90"/>
  <c r="P89"/>
  <c r="P87"/>
  <c r="P86"/>
  <c r="P85"/>
  <c r="P84"/>
  <c r="P83"/>
  <c r="P93"/>
  <c r="P58"/>
  <c r="P57"/>
  <c r="P54"/>
  <c r="P52"/>
  <c r="P50"/>
  <c r="P49"/>
  <c r="P48"/>
  <c r="P44"/>
  <c r="P42"/>
  <c r="P40"/>
  <c r="P39"/>
  <c r="P38"/>
  <c r="P137"/>
  <c r="P82"/>
  <c r="P81"/>
  <c r="P80"/>
  <c r="P79"/>
  <c r="P78"/>
  <c r="P77"/>
  <c r="P65"/>
  <c r="P64"/>
  <c r="P63"/>
  <c r="P61"/>
  <c r="P60"/>
  <c r="P59"/>
  <c r="P43"/>
  <c r="P41"/>
  <c r="AA5"/>
  <c r="AB9"/>
  <c r="AC7"/>
  <c r="AC10"/>
  <c r="AA15"/>
  <c r="C16"/>
  <c r="I16"/>
  <c r="M16"/>
  <c r="Q16"/>
  <c r="U16"/>
  <c r="AC19"/>
  <c r="AA8"/>
  <c r="S12"/>
  <c r="W12"/>
  <c r="J22"/>
  <c r="N22"/>
  <c r="R22"/>
  <c r="V22"/>
  <c r="J23"/>
  <c r="N23"/>
  <c r="R23"/>
  <c r="V23"/>
  <c r="J24"/>
  <c r="N24"/>
  <c r="R24"/>
  <c r="V24"/>
  <c r="J28"/>
  <c r="N28"/>
  <c r="R28"/>
  <c r="V28"/>
  <c r="J29"/>
  <c r="N29"/>
  <c r="R29"/>
  <c r="V29"/>
  <c r="J30"/>
  <c r="N30"/>
  <c r="R30"/>
  <c r="V30"/>
  <c r="J31"/>
  <c r="N31"/>
  <c r="R31"/>
  <c r="V31"/>
  <c r="J32"/>
  <c r="N32"/>
  <c r="R32"/>
  <c r="V32"/>
  <c r="J33"/>
  <c r="N33"/>
  <c r="R33"/>
  <c r="V33"/>
  <c r="N34"/>
  <c r="V34"/>
  <c r="J143"/>
  <c r="J140"/>
  <c r="J139"/>
  <c r="J138"/>
  <c r="J137"/>
  <c r="J136"/>
  <c r="J93"/>
  <c r="J91"/>
  <c r="J89"/>
  <c r="J87"/>
  <c r="J85"/>
  <c r="J83"/>
  <c r="J82"/>
  <c r="J81"/>
  <c r="J80"/>
  <c r="J79"/>
  <c r="J78"/>
  <c r="J77"/>
  <c r="J65"/>
  <c r="J64"/>
  <c r="J63"/>
  <c r="J61"/>
  <c r="J60"/>
  <c r="J59"/>
  <c r="J92"/>
  <c r="J90"/>
  <c r="J86"/>
  <c r="J84"/>
  <c r="J58"/>
  <c r="J57"/>
  <c r="J54"/>
  <c r="J52"/>
  <c r="J50"/>
  <c r="J49"/>
  <c r="J48"/>
  <c r="J44"/>
  <c r="J43"/>
  <c r="J42"/>
  <c r="J41"/>
  <c r="J40"/>
  <c r="J39"/>
  <c r="J38"/>
  <c r="R143"/>
  <c r="R140"/>
  <c r="R139"/>
  <c r="R136"/>
  <c r="R93"/>
  <c r="R91"/>
  <c r="R89"/>
  <c r="R87"/>
  <c r="R85"/>
  <c r="R83"/>
  <c r="R82"/>
  <c r="R81"/>
  <c r="R80"/>
  <c r="R79"/>
  <c r="R78"/>
  <c r="R77"/>
  <c r="R65"/>
  <c r="R64"/>
  <c r="R63"/>
  <c r="R61"/>
  <c r="R60"/>
  <c r="R59"/>
  <c r="R92"/>
  <c r="R90"/>
  <c r="R86"/>
  <c r="R84"/>
  <c r="R58"/>
  <c r="R57"/>
  <c r="R54"/>
  <c r="R52"/>
  <c r="R50"/>
  <c r="R49"/>
  <c r="R48"/>
  <c r="R44"/>
  <c r="R43"/>
  <c r="R42"/>
  <c r="R41"/>
  <c r="R40"/>
  <c r="R39"/>
  <c r="R38"/>
  <c r="AC22"/>
  <c r="D28"/>
  <c r="H28"/>
  <c r="L28"/>
  <c r="P28"/>
  <c r="D29"/>
  <c r="H29"/>
  <c r="L29"/>
  <c r="P29"/>
  <c r="D30"/>
  <c r="H30"/>
  <c r="L30"/>
  <c r="P30"/>
  <c r="D31"/>
  <c r="H31"/>
  <c r="L31"/>
  <c r="P31"/>
  <c r="D32"/>
  <c r="H32"/>
  <c r="L32"/>
  <c r="P32"/>
  <c r="D33"/>
  <c r="H33"/>
  <c r="L33"/>
  <c r="P33"/>
  <c r="D34"/>
  <c r="H34"/>
  <c r="L34"/>
  <c r="P34"/>
  <c r="R76"/>
  <c r="AC125"/>
  <c r="AC59"/>
  <c r="AC60"/>
  <c r="AC61"/>
  <c r="AC63"/>
  <c r="AC64"/>
  <c r="AC65"/>
  <c r="AC66"/>
  <c r="AC67"/>
  <c r="AC77"/>
  <c r="AC78"/>
  <c r="AC79"/>
  <c r="AC80"/>
  <c r="AC81"/>
  <c r="P129"/>
  <c r="J144"/>
  <c r="N144"/>
  <c r="R144"/>
  <c r="V144"/>
  <c r="Z144"/>
  <c r="AC121"/>
  <c r="AA144"/>
  <c r="AB144" s="1"/>
  <c r="AC136"/>
  <c r="AC38"/>
  <c r="AA43"/>
  <c r="AA45"/>
  <c r="H144"/>
  <c r="L144"/>
  <c r="P144"/>
  <c r="D144"/>
  <c r="Q28" i="18"/>
  <c r="S28"/>
  <c r="C28"/>
  <c r="D126" i="6"/>
  <c r="C129"/>
  <c r="V72"/>
  <c r="V26"/>
  <c r="V25"/>
  <c r="V68"/>
  <c r="V73"/>
  <c r="V125"/>
  <c r="V122"/>
  <c r="V121"/>
  <c r="V120"/>
  <c r="V119"/>
  <c r="V118"/>
  <c r="V116"/>
  <c r="U126"/>
  <c r="V126"/>
  <c r="V128"/>
  <c r="V127"/>
  <c r="I28" i="18"/>
  <c r="K28"/>
  <c r="Z26" i="6"/>
  <c r="Z25"/>
  <c r="Z68"/>
  <c r="Z73"/>
  <c r="Z72"/>
  <c r="Z128"/>
  <c r="Z127"/>
  <c r="Y126"/>
  <c r="Z126"/>
  <c r="Z125"/>
  <c r="Z122"/>
  <c r="Z121"/>
  <c r="Z120"/>
  <c r="Z119"/>
  <c r="Z118"/>
  <c r="Z116"/>
  <c r="M28" i="18"/>
  <c r="G10"/>
  <c r="K10"/>
  <c r="T72" i="3"/>
  <c r="T68"/>
  <c r="T26"/>
  <c r="T25"/>
  <c r="T73"/>
  <c r="T128"/>
  <c r="T127"/>
  <c r="S126"/>
  <c r="T126"/>
  <c r="T125"/>
  <c r="T122"/>
  <c r="T121"/>
  <c r="T120"/>
  <c r="T119"/>
  <c r="T118"/>
  <c r="T116"/>
  <c r="Q10" i="18"/>
  <c r="F72" i="3"/>
  <c r="F26"/>
  <c r="F25"/>
  <c r="F68"/>
  <c r="F73"/>
  <c r="F128"/>
  <c r="F127"/>
  <c r="F125"/>
  <c r="F122"/>
  <c r="F121"/>
  <c r="F120"/>
  <c r="F119"/>
  <c r="F118"/>
  <c r="E126"/>
  <c r="F126"/>
  <c r="F116"/>
  <c r="X72"/>
  <c r="X26"/>
  <c r="X25"/>
  <c r="X68"/>
  <c r="X73"/>
  <c r="W126"/>
  <c r="X126"/>
  <c r="X128"/>
  <c r="X127"/>
  <c r="X125"/>
  <c r="X122"/>
  <c r="X121"/>
  <c r="X120"/>
  <c r="X119"/>
  <c r="X118"/>
  <c r="X116"/>
  <c r="C10" i="18"/>
  <c r="I10"/>
  <c r="N126" i="3"/>
  <c r="M126" i="12"/>
  <c r="V56" i="6"/>
  <c r="V62"/>
  <c r="Z56"/>
  <c r="Z62"/>
  <c r="Z51"/>
  <c r="Y17"/>
  <c r="Z53"/>
  <c r="Z45"/>
  <c r="Z47"/>
  <c r="Z55"/>
  <c r="Z142"/>
  <c r="Z66"/>
  <c r="Z69"/>
  <c r="Z74"/>
  <c r="Z70"/>
  <c r="Z115"/>
  <c r="Z75"/>
  <c r="Z71"/>
  <c r="W28" i="18"/>
  <c r="V53" i="6"/>
  <c r="V51"/>
  <c r="V17"/>
  <c r="U46"/>
  <c r="V46"/>
  <c r="V55"/>
  <c r="V47"/>
  <c r="V45"/>
  <c r="V142"/>
  <c r="V66"/>
  <c r="V75"/>
  <c r="V71"/>
  <c r="V74"/>
  <c r="V70"/>
  <c r="V115"/>
  <c r="V69"/>
  <c r="G28" i="18"/>
  <c r="Y46" i="3"/>
  <c r="Y10" i="18"/>
  <c r="X56" i="3"/>
  <c r="X62"/>
  <c r="X51"/>
  <c r="X47"/>
  <c r="W46"/>
  <c r="W17"/>
  <c r="X45"/>
  <c r="X55"/>
  <c r="X142"/>
  <c r="X74"/>
  <c r="X70"/>
  <c r="X66"/>
  <c r="X115"/>
  <c r="X75"/>
  <c r="X71"/>
  <c r="X69"/>
  <c r="U76"/>
  <c r="V76"/>
  <c r="V46"/>
  <c r="U10" i="18"/>
  <c r="T62" i="3"/>
  <c r="T56"/>
  <c r="T51"/>
  <c r="T45"/>
  <c r="T47"/>
  <c r="S46"/>
  <c r="S76"/>
  <c r="M76"/>
  <c r="N76"/>
  <c r="M10" i="18"/>
  <c r="F56" i="3"/>
  <c r="F62"/>
  <c r="F47"/>
  <c r="F45"/>
  <c r="E46"/>
  <c r="F51"/>
  <c r="Y37" i="20"/>
  <c r="Y56" i="18"/>
  <c r="T55" i="3"/>
  <c r="T142"/>
  <c r="T69"/>
  <c r="T46"/>
  <c r="T75"/>
  <c r="T74"/>
  <c r="T71"/>
  <c r="T70"/>
  <c r="T115"/>
  <c r="T66"/>
  <c r="V145" i="20"/>
  <c r="O28" i="18"/>
  <c r="G76" i="3"/>
  <c r="H76"/>
  <c r="F55"/>
  <c r="F142"/>
  <c r="F74"/>
  <c r="F70"/>
  <c r="F115"/>
  <c r="F75"/>
  <c r="F69"/>
  <c r="F66"/>
  <c r="F71"/>
  <c r="AD46" i="20"/>
  <c r="N17" i="6"/>
  <c r="R21"/>
  <c r="J21" i="3"/>
  <c r="F43" i="6"/>
  <c r="Z43"/>
  <c r="V43"/>
  <c r="Z17"/>
  <c r="X53" i="3"/>
  <c r="F53"/>
  <c r="T53"/>
  <c r="X17"/>
  <c r="F17"/>
  <c r="I155"/>
  <c r="Q37" i="20"/>
  <c r="R145" i="21"/>
  <c r="BJ145"/>
  <c r="R145" i="20"/>
  <c r="AI145"/>
  <c r="T17" i="3"/>
  <c r="F17" i="6"/>
  <c r="E16"/>
  <c r="L21"/>
  <c r="G21"/>
  <c r="H21" s="1"/>
  <c r="F137" i="3"/>
  <c r="D21" i="6"/>
  <c r="Z36" i="20"/>
  <c r="Z19" i="6"/>
  <c r="F19"/>
  <c r="V19"/>
  <c r="T19" i="3"/>
  <c r="X19"/>
  <c r="F19"/>
  <c r="T138"/>
  <c r="T137"/>
  <c r="K21"/>
  <c r="L21"/>
  <c r="AC15"/>
  <c r="Z93" i="6"/>
  <c r="V90"/>
  <c r="V86"/>
  <c r="V82"/>
  <c r="V78"/>
  <c r="V63"/>
  <c r="V59"/>
  <c r="V91"/>
  <c r="V87"/>
  <c r="V83"/>
  <c r="V79"/>
  <c r="V64"/>
  <c r="V60"/>
  <c r="V52"/>
  <c r="V48"/>
  <c r="V44"/>
  <c r="V92"/>
  <c r="V84"/>
  <c r="V80"/>
  <c r="V65"/>
  <c r="V61"/>
  <c r="V57"/>
  <c r="V49"/>
  <c r="V89"/>
  <c r="V85"/>
  <c r="V81"/>
  <c r="V77"/>
  <c r="V58"/>
  <c r="V54"/>
  <c r="V50"/>
  <c r="V42"/>
  <c r="Z89"/>
  <c r="Z85"/>
  <c r="Z81"/>
  <c r="Z77"/>
  <c r="Z58"/>
  <c r="Z54"/>
  <c r="Z50"/>
  <c r="Z42"/>
  <c r="Z86"/>
  <c r="Z82"/>
  <c r="Z78"/>
  <c r="Z63"/>
  <c r="Z59"/>
  <c r="Z91"/>
  <c r="Z87"/>
  <c r="Z83"/>
  <c r="Z79"/>
  <c r="Z64"/>
  <c r="Z60"/>
  <c r="Z52"/>
  <c r="Z48"/>
  <c r="Z44"/>
  <c r="Z92"/>
  <c r="Z84"/>
  <c r="Z80"/>
  <c r="Z65"/>
  <c r="Z61"/>
  <c r="Z57"/>
  <c r="Z49"/>
  <c r="Z90"/>
  <c r="D21" i="3"/>
  <c r="F90" i="6"/>
  <c r="F86"/>
  <c r="F82"/>
  <c r="F78"/>
  <c r="F63"/>
  <c r="F59"/>
  <c r="F91"/>
  <c r="F85"/>
  <c r="F80"/>
  <c r="F57"/>
  <c r="F52"/>
  <c r="F92"/>
  <c r="F87"/>
  <c r="F81"/>
  <c r="F64"/>
  <c r="F58"/>
  <c r="F48"/>
  <c r="F42"/>
  <c r="F83"/>
  <c r="F77"/>
  <c r="F65"/>
  <c r="F60"/>
  <c r="F54"/>
  <c r="F49"/>
  <c r="F44"/>
  <c r="F89"/>
  <c r="F84"/>
  <c r="F79"/>
  <c r="F61"/>
  <c r="F50"/>
  <c r="AC11" i="12"/>
  <c r="V93" i="6"/>
  <c r="F93"/>
  <c r="R36" i="20"/>
  <c r="W36"/>
  <c r="I21" i="6"/>
  <c r="J21"/>
  <c r="AA35" i="21"/>
  <c r="AC35" s="1"/>
  <c r="AD35" s="1"/>
  <c r="AA35" i="20"/>
  <c r="AB35"/>
  <c r="Z148" i="6"/>
  <c r="J16"/>
  <c r="W145" i="20"/>
  <c r="X129"/>
  <c r="T129"/>
  <c r="S145"/>
  <c r="U145" i="21"/>
  <c r="V145" s="1"/>
  <c r="V129"/>
  <c r="W35" i="6"/>
  <c r="V148"/>
  <c r="R16"/>
  <c r="AC126" i="20"/>
  <c r="AA129"/>
  <c r="AB126"/>
  <c r="S145" i="21"/>
  <c r="T129"/>
  <c r="X129"/>
  <c r="N16" i="6"/>
  <c r="M35"/>
  <c r="N35"/>
  <c r="AC126" i="21"/>
  <c r="AD126"/>
  <c r="AA129"/>
  <c r="AB126"/>
  <c r="M35" i="3"/>
  <c r="M36" s="1"/>
  <c r="L16"/>
  <c r="F144"/>
  <c r="T76"/>
  <c r="H16"/>
  <c r="X144"/>
  <c r="L76"/>
  <c r="P21" i="6"/>
  <c r="P145" i="3"/>
  <c r="R21"/>
  <c r="Z144" i="6"/>
  <c r="V144"/>
  <c r="T144" i="3"/>
  <c r="F148" i="6"/>
  <c r="F144"/>
  <c r="AB6" i="3"/>
  <c r="P35"/>
  <c r="Z141" i="6"/>
  <c r="V141"/>
  <c r="F141"/>
  <c r="X141" i="3"/>
  <c r="T141"/>
  <c r="F141"/>
  <c r="AD16" i="21"/>
  <c r="AB21"/>
  <c r="AB21" i="20"/>
  <c r="AD16"/>
  <c r="Y131"/>
  <c r="Z131" s="1"/>
  <c r="Z37"/>
  <c r="F143" i="6"/>
  <c r="F140"/>
  <c r="F139"/>
  <c r="F138"/>
  <c r="F137"/>
  <c r="F136"/>
  <c r="F40"/>
  <c r="F39"/>
  <c r="F38"/>
  <c r="F34"/>
  <c r="F33"/>
  <c r="F32"/>
  <c r="F31"/>
  <c r="F30"/>
  <c r="F29"/>
  <c r="F28"/>
  <c r="F24"/>
  <c r="F23"/>
  <c r="F22"/>
  <c r="F12"/>
  <c r="AC41"/>
  <c r="W21"/>
  <c r="X16"/>
  <c r="P16"/>
  <c r="H16"/>
  <c r="Z143"/>
  <c r="Z140"/>
  <c r="Z139"/>
  <c r="Z138"/>
  <c r="Z137"/>
  <c r="Z136"/>
  <c r="Z40"/>
  <c r="Z39"/>
  <c r="Z38"/>
  <c r="Z34"/>
  <c r="Z33"/>
  <c r="Z32"/>
  <c r="Z31"/>
  <c r="Z30"/>
  <c r="Z29"/>
  <c r="Z28"/>
  <c r="Z24"/>
  <c r="Z23"/>
  <c r="Z22"/>
  <c r="Z12"/>
  <c r="Y16"/>
  <c r="AC93"/>
  <c r="AB7"/>
  <c r="AB6"/>
  <c r="AC5"/>
  <c r="AD9"/>
  <c r="AA12"/>
  <c r="AB118"/>
  <c r="AB10"/>
  <c r="AB8"/>
  <c r="AC45"/>
  <c r="T16"/>
  <c r="L16"/>
  <c r="D16"/>
  <c r="V143"/>
  <c r="V140"/>
  <c r="V139"/>
  <c r="V138"/>
  <c r="V137"/>
  <c r="V136"/>
  <c r="V40"/>
  <c r="V39"/>
  <c r="V38"/>
  <c r="V34"/>
  <c r="V33"/>
  <c r="V32"/>
  <c r="V31"/>
  <c r="V30"/>
  <c r="V29"/>
  <c r="V28"/>
  <c r="V24"/>
  <c r="V23"/>
  <c r="V22"/>
  <c r="V12"/>
  <c r="U16"/>
  <c r="AB11"/>
  <c r="AC11"/>
  <c r="AC45" i="3"/>
  <c r="AC93"/>
  <c r="T143"/>
  <c r="T140"/>
  <c r="T139"/>
  <c r="T92"/>
  <c r="T91"/>
  <c r="T90"/>
  <c r="T89"/>
  <c r="T87"/>
  <c r="T86"/>
  <c r="T85"/>
  <c r="T84"/>
  <c r="T83"/>
  <c r="T93"/>
  <c r="T58"/>
  <c r="T57"/>
  <c r="T54"/>
  <c r="T52"/>
  <c r="T50"/>
  <c r="T49"/>
  <c r="T48"/>
  <c r="T44"/>
  <c r="T42"/>
  <c r="T40"/>
  <c r="T39"/>
  <c r="T38"/>
  <c r="T136"/>
  <c r="T82"/>
  <c r="T81"/>
  <c r="T80"/>
  <c r="T79"/>
  <c r="T78"/>
  <c r="T77"/>
  <c r="T65"/>
  <c r="T64"/>
  <c r="T63"/>
  <c r="T61"/>
  <c r="T60"/>
  <c r="T59"/>
  <c r="T43"/>
  <c r="T41"/>
  <c r="T34"/>
  <c r="T33"/>
  <c r="T32"/>
  <c r="T31"/>
  <c r="T30"/>
  <c r="T29"/>
  <c r="T28"/>
  <c r="T24"/>
  <c r="T23"/>
  <c r="T22"/>
  <c r="S16"/>
  <c r="V16"/>
  <c r="N16"/>
  <c r="D16"/>
  <c r="AA12"/>
  <c r="AB118"/>
  <c r="AC5"/>
  <c r="AD9"/>
  <c r="F143"/>
  <c r="F140"/>
  <c r="F139"/>
  <c r="F138"/>
  <c r="F136"/>
  <c r="F93"/>
  <c r="F92"/>
  <c r="F90"/>
  <c r="F86"/>
  <c r="F84"/>
  <c r="F82"/>
  <c r="F81"/>
  <c r="F80"/>
  <c r="F79"/>
  <c r="F78"/>
  <c r="F77"/>
  <c r="F65"/>
  <c r="F64"/>
  <c r="F63"/>
  <c r="F61"/>
  <c r="F60"/>
  <c r="F59"/>
  <c r="F91"/>
  <c r="F89"/>
  <c r="F87"/>
  <c r="F85"/>
  <c r="F83"/>
  <c r="F58"/>
  <c r="F57"/>
  <c r="F54"/>
  <c r="F52"/>
  <c r="F50"/>
  <c r="F49"/>
  <c r="F48"/>
  <c r="F44"/>
  <c r="F43"/>
  <c r="F42"/>
  <c r="F41"/>
  <c r="F40"/>
  <c r="F39"/>
  <c r="F38"/>
  <c r="F34"/>
  <c r="F33"/>
  <c r="F32"/>
  <c r="F31"/>
  <c r="F30"/>
  <c r="F29"/>
  <c r="F28"/>
  <c r="F24"/>
  <c r="F23"/>
  <c r="F22"/>
  <c r="E16"/>
  <c r="Y21"/>
  <c r="AB7"/>
  <c r="AC41"/>
  <c r="X143"/>
  <c r="X140"/>
  <c r="X139"/>
  <c r="X138"/>
  <c r="X137"/>
  <c r="X136"/>
  <c r="X92"/>
  <c r="X91"/>
  <c r="X90"/>
  <c r="X89"/>
  <c r="X87"/>
  <c r="X86"/>
  <c r="X85"/>
  <c r="X84"/>
  <c r="X83"/>
  <c r="X82"/>
  <c r="X93"/>
  <c r="X58"/>
  <c r="X57"/>
  <c r="X54"/>
  <c r="X52"/>
  <c r="X50"/>
  <c r="X49"/>
  <c r="X48"/>
  <c r="X44"/>
  <c r="X42"/>
  <c r="X40"/>
  <c r="X39"/>
  <c r="X38"/>
  <c r="X81"/>
  <c r="X80"/>
  <c r="X79"/>
  <c r="X78"/>
  <c r="X77"/>
  <c r="X65"/>
  <c r="X64"/>
  <c r="X63"/>
  <c r="X61"/>
  <c r="X60"/>
  <c r="X59"/>
  <c r="X43"/>
  <c r="X41"/>
  <c r="X34"/>
  <c r="X33"/>
  <c r="X32"/>
  <c r="X31"/>
  <c r="X30"/>
  <c r="X29"/>
  <c r="X28"/>
  <c r="X24"/>
  <c r="X23"/>
  <c r="X22"/>
  <c r="W16"/>
  <c r="AC8"/>
  <c r="AB8"/>
  <c r="R16"/>
  <c r="J16"/>
  <c r="AC11"/>
  <c r="AB11"/>
  <c r="Z16"/>
  <c r="AB10"/>
  <c r="M117" i="18"/>
  <c r="E28"/>
  <c r="Q35" i="6"/>
  <c r="Q36"/>
  <c r="C35"/>
  <c r="C36" s="1"/>
  <c r="E10" i="18"/>
  <c r="S10"/>
  <c r="Y46" i="6"/>
  <c r="Z46"/>
  <c r="Y28" i="18"/>
  <c r="AA28"/>
  <c r="U28"/>
  <c r="Z46" i="3"/>
  <c r="Y76"/>
  <c r="Z76"/>
  <c r="W76"/>
  <c r="X76"/>
  <c r="X46"/>
  <c r="W10" i="18"/>
  <c r="Y65"/>
  <c r="X36" i="20"/>
  <c r="W56" i="18"/>
  <c r="T145" i="21"/>
  <c r="X145" i="20"/>
  <c r="T145"/>
  <c r="O117" i="18"/>
  <c r="F46" i="3"/>
  <c r="E76"/>
  <c r="F76"/>
  <c r="AA46"/>
  <c r="AB75" i="6"/>
  <c r="AB142"/>
  <c r="AB97"/>
  <c r="AB99"/>
  <c r="AB102"/>
  <c r="AB95"/>
  <c r="AB108"/>
  <c r="AB112"/>
  <c r="AB111"/>
  <c r="AB107"/>
  <c r="AB101"/>
  <c r="AB109"/>
  <c r="AB96"/>
  <c r="AB98"/>
  <c r="AB114"/>
  <c r="AB100"/>
  <c r="AB94"/>
  <c r="AB105"/>
  <c r="AB110"/>
  <c r="AB113"/>
  <c r="AB104"/>
  <c r="AB106"/>
  <c r="AB103"/>
  <c r="AB115"/>
  <c r="AB142" i="3"/>
  <c r="AB103"/>
  <c r="AB102"/>
  <c r="AB95"/>
  <c r="AB104"/>
  <c r="AB100"/>
  <c r="AB75"/>
  <c r="AB108"/>
  <c r="AB114"/>
  <c r="AB111"/>
  <c r="AB105"/>
  <c r="AB110"/>
  <c r="AB99"/>
  <c r="AB107"/>
  <c r="AB106"/>
  <c r="AB94"/>
  <c r="AB97"/>
  <c r="AB112"/>
  <c r="AB101"/>
  <c r="AB96"/>
  <c r="AB109"/>
  <c r="AB98"/>
  <c r="AB113"/>
  <c r="AB115"/>
  <c r="Q76" i="6"/>
  <c r="R76"/>
  <c r="W76"/>
  <c r="X76"/>
  <c r="I76"/>
  <c r="J76"/>
  <c r="M76"/>
  <c r="M46" i="12"/>
  <c r="S76" i="6"/>
  <c r="T76"/>
  <c r="G76"/>
  <c r="H76"/>
  <c r="C76"/>
  <c r="D76"/>
  <c r="K76"/>
  <c r="L76"/>
  <c r="O76"/>
  <c r="P76"/>
  <c r="O46" i="12"/>
  <c r="S35" i="6"/>
  <c r="S36" s="1"/>
  <c r="AB55"/>
  <c r="AB68"/>
  <c r="AA27" i="3"/>
  <c r="AC27" s="1"/>
  <c r="AB68"/>
  <c r="AB119"/>
  <c r="AB43" i="6"/>
  <c r="AB119"/>
  <c r="AB47"/>
  <c r="AB73"/>
  <c r="AB56"/>
  <c r="AB72"/>
  <c r="AB53"/>
  <c r="AB71"/>
  <c r="AB70"/>
  <c r="AB74"/>
  <c r="AB62"/>
  <c r="AB62" i="3"/>
  <c r="AB56"/>
  <c r="AB72"/>
  <c r="AB71"/>
  <c r="AB51"/>
  <c r="AB70"/>
  <c r="AB74"/>
  <c r="AB73"/>
  <c r="AB53"/>
  <c r="R37" i="20"/>
  <c r="Q131"/>
  <c r="F21" i="6"/>
  <c r="Z36" i="21"/>
  <c r="AB69" i="6"/>
  <c r="AB69" i="3"/>
  <c r="W37" i="20"/>
  <c r="W131" s="1"/>
  <c r="AA36" i="21"/>
  <c r="AC36" s="1"/>
  <c r="AD36" s="1"/>
  <c r="AB35"/>
  <c r="AA36" i="20"/>
  <c r="AA37" s="1"/>
  <c r="M36" i="6"/>
  <c r="M29" i="18" s="1"/>
  <c r="K129" i="6"/>
  <c r="W129"/>
  <c r="I35"/>
  <c r="J35"/>
  <c r="O129"/>
  <c r="K35"/>
  <c r="K36" s="1"/>
  <c r="AD126" i="20"/>
  <c r="S129" i="6"/>
  <c r="O35"/>
  <c r="AC129" i="21"/>
  <c r="AD129" s="1"/>
  <c r="AB129"/>
  <c r="AB129" i="20"/>
  <c r="G129" i="6"/>
  <c r="M129"/>
  <c r="Q129"/>
  <c r="G35"/>
  <c r="I129"/>
  <c r="U35" i="3"/>
  <c r="U36" s="1"/>
  <c r="Y35"/>
  <c r="Z35" s="1"/>
  <c r="AD11" i="6"/>
  <c r="C35" i="3"/>
  <c r="C36"/>
  <c r="K129"/>
  <c r="G35"/>
  <c r="G36"/>
  <c r="C129"/>
  <c r="Y129"/>
  <c r="I35"/>
  <c r="I36"/>
  <c r="M129"/>
  <c r="U129"/>
  <c r="K35"/>
  <c r="Q129"/>
  <c r="G129"/>
  <c r="I129"/>
  <c r="Q35"/>
  <c r="Q36"/>
  <c r="AA17" i="6"/>
  <c r="AB17" s="1"/>
  <c r="AD11" i="3"/>
  <c r="AD8"/>
  <c r="AB43"/>
  <c r="AB148" i="6"/>
  <c r="AD10" i="3"/>
  <c r="AD7"/>
  <c r="AB144" i="6"/>
  <c r="AB127"/>
  <c r="AB127" i="3"/>
  <c r="AB45" i="6"/>
  <c r="AB120"/>
  <c r="AB141"/>
  <c r="D35"/>
  <c r="AB120" i="3"/>
  <c r="AB141"/>
  <c r="V16" i="6"/>
  <c r="T21"/>
  <c r="AC12"/>
  <c r="AD118"/>
  <c r="AD10"/>
  <c r="AD8"/>
  <c r="AD7"/>
  <c r="AD6"/>
  <c r="Z16"/>
  <c r="X21"/>
  <c r="F16"/>
  <c r="AB83"/>
  <c r="AB80"/>
  <c r="AB78"/>
  <c r="AB89"/>
  <c r="AB88"/>
  <c r="AB87"/>
  <c r="AB86"/>
  <c r="AB85"/>
  <c r="AB40"/>
  <c r="AB12"/>
  <c r="AA16"/>
  <c r="AB22"/>
  <c r="AB24"/>
  <c r="AB26"/>
  <c r="AB28"/>
  <c r="AB30"/>
  <c r="AB32"/>
  <c r="AB34"/>
  <c r="AB39"/>
  <c r="AB42"/>
  <c r="AB51"/>
  <c r="AB44"/>
  <c r="AB54"/>
  <c r="AB122"/>
  <c r="AB57"/>
  <c r="AB59"/>
  <c r="AB61"/>
  <c r="AB63"/>
  <c r="AB65"/>
  <c r="AB79"/>
  <c r="AB82"/>
  <c r="AB128"/>
  <c r="AB90"/>
  <c r="AB92"/>
  <c r="AB117"/>
  <c r="AB121"/>
  <c r="AB137"/>
  <c r="AB139"/>
  <c r="AB19"/>
  <c r="AB23"/>
  <c r="AB25"/>
  <c r="AB29"/>
  <c r="AB31"/>
  <c r="AB33"/>
  <c r="AB38"/>
  <c r="AB49"/>
  <c r="AB48"/>
  <c r="AB50"/>
  <c r="AB52"/>
  <c r="AB116"/>
  <c r="AB58"/>
  <c r="AB60"/>
  <c r="AB64"/>
  <c r="AB66"/>
  <c r="AB77"/>
  <c r="AB81"/>
  <c r="AB84"/>
  <c r="AB91"/>
  <c r="AB136"/>
  <c r="AB125"/>
  <c r="AB138"/>
  <c r="AB140"/>
  <c r="AB143"/>
  <c r="Y21"/>
  <c r="AB93"/>
  <c r="V21" i="3"/>
  <c r="X16"/>
  <c r="F16"/>
  <c r="AB116"/>
  <c r="AB91"/>
  <c r="AB89"/>
  <c r="AB87"/>
  <c r="AB85"/>
  <c r="AB83"/>
  <c r="AB117"/>
  <c r="AB92"/>
  <c r="AB90"/>
  <c r="AB88"/>
  <c r="AB86"/>
  <c r="AB84"/>
  <c r="AB82"/>
  <c r="AB58"/>
  <c r="AB57"/>
  <c r="AB55"/>
  <c r="AB54"/>
  <c r="AB52"/>
  <c r="AB50"/>
  <c r="AB49"/>
  <c r="AB48"/>
  <c r="AB47"/>
  <c r="AB44"/>
  <c r="AB42"/>
  <c r="AA16"/>
  <c r="AB41"/>
  <c r="AB22"/>
  <c r="AB24"/>
  <c r="AB26"/>
  <c r="AB28"/>
  <c r="AB30"/>
  <c r="AB32"/>
  <c r="AB34"/>
  <c r="AB60"/>
  <c r="AB64"/>
  <c r="AB66"/>
  <c r="AB78"/>
  <c r="AB80"/>
  <c r="AB125"/>
  <c r="AB38"/>
  <c r="AB40"/>
  <c r="AB136"/>
  <c r="AB77"/>
  <c r="AB122"/>
  <c r="AB138"/>
  <c r="AB140"/>
  <c r="AB143"/>
  <c r="AB19"/>
  <c r="AB23"/>
  <c r="AB25"/>
  <c r="AB29"/>
  <c r="AB31"/>
  <c r="AB33"/>
  <c r="AB59"/>
  <c r="AB61"/>
  <c r="AB63"/>
  <c r="AB65"/>
  <c r="AB67"/>
  <c r="AB93"/>
  <c r="AB79"/>
  <c r="AB81"/>
  <c r="AB39"/>
  <c r="AB121"/>
  <c r="AB128"/>
  <c r="AB137"/>
  <c r="AB139"/>
  <c r="AA17"/>
  <c r="W21"/>
  <c r="Z21"/>
  <c r="AC12"/>
  <c r="AD118"/>
  <c r="AD6"/>
  <c r="T16"/>
  <c r="AB45"/>
  <c r="AA10" i="18"/>
  <c r="AC46" i="3"/>
  <c r="AC76"/>
  <c r="AD76"/>
  <c r="AA76"/>
  <c r="AB76"/>
  <c r="AB46"/>
  <c r="AD75" i="6"/>
  <c r="AD97"/>
  <c r="AD95"/>
  <c r="AD115"/>
  <c r="AD101"/>
  <c r="AD99"/>
  <c r="AD94"/>
  <c r="AD102"/>
  <c r="AD108"/>
  <c r="AD105"/>
  <c r="AD107"/>
  <c r="AD100"/>
  <c r="AD106"/>
  <c r="AD103"/>
  <c r="AD109"/>
  <c r="AD111"/>
  <c r="AD104"/>
  <c r="AD110"/>
  <c r="AD113"/>
  <c r="AD96"/>
  <c r="AD112"/>
  <c r="AD114"/>
  <c r="AD98"/>
  <c r="AD68" i="3"/>
  <c r="AD99"/>
  <c r="AD75"/>
  <c r="AD109"/>
  <c r="AD105"/>
  <c r="AD101"/>
  <c r="AD110"/>
  <c r="AD113"/>
  <c r="AD96"/>
  <c r="AD115"/>
  <c r="AD103"/>
  <c r="AD98"/>
  <c r="AD100"/>
  <c r="AD97"/>
  <c r="AD111"/>
  <c r="AD106"/>
  <c r="AD95"/>
  <c r="AD112"/>
  <c r="AD107"/>
  <c r="AD108"/>
  <c r="AD94"/>
  <c r="AD114"/>
  <c r="AD102"/>
  <c r="AD104"/>
  <c r="AA27" i="6"/>
  <c r="AB27" s="1"/>
  <c r="Y76"/>
  <c r="Z76"/>
  <c r="Y35"/>
  <c r="Z35" s="1"/>
  <c r="E76"/>
  <c r="F76"/>
  <c r="U76"/>
  <c r="V76"/>
  <c r="M76" i="12"/>
  <c r="N76" i="6"/>
  <c r="AA46"/>
  <c r="AD43"/>
  <c r="AD55"/>
  <c r="AD68"/>
  <c r="AB27" i="3"/>
  <c r="AD47" i="6"/>
  <c r="AD53"/>
  <c r="AD71"/>
  <c r="AD74"/>
  <c r="AD70"/>
  <c r="AD62"/>
  <c r="AD73"/>
  <c r="AD56"/>
  <c r="AD72"/>
  <c r="AD56" i="3"/>
  <c r="AD62"/>
  <c r="AD53"/>
  <c r="AD51"/>
  <c r="AD74"/>
  <c r="AD70"/>
  <c r="AD71"/>
  <c r="AD73"/>
  <c r="AD72"/>
  <c r="N36" i="6"/>
  <c r="Q135" i="20"/>
  <c r="Q146" s="1"/>
  <c r="R131"/>
  <c r="AD148" i="6"/>
  <c r="AD69"/>
  <c r="F21" i="3"/>
  <c r="AD69"/>
  <c r="AA37" i="21"/>
  <c r="AC37" s="1"/>
  <c r="AD37" s="1"/>
  <c r="X37" i="20"/>
  <c r="Y36" i="3"/>
  <c r="AD93" i="6"/>
  <c r="M37"/>
  <c r="N37" s="1"/>
  <c r="E35"/>
  <c r="E36" s="1"/>
  <c r="AB36" i="21"/>
  <c r="AB36" i="20"/>
  <c r="J129" i="6"/>
  <c r="I145"/>
  <c r="D129"/>
  <c r="C145"/>
  <c r="R129"/>
  <c r="Q145"/>
  <c r="Y129"/>
  <c r="X129"/>
  <c r="W145"/>
  <c r="X145" s="1"/>
  <c r="E129"/>
  <c r="P35"/>
  <c r="O36"/>
  <c r="I36"/>
  <c r="I29" i="18"/>
  <c r="N129" i="6"/>
  <c r="M145"/>
  <c r="U129"/>
  <c r="H129"/>
  <c r="G145"/>
  <c r="S145"/>
  <c r="T145" s="1"/>
  <c r="T129"/>
  <c r="L35"/>
  <c r="L129"/>
  <c r="K145"/>
  <c r="AA126"/>
  <c r="H35"/>
  <c r="G36"/>
  <c r="G29" i="18" s="1"/>
  <c r="U35" i="6"/>
  <c r="V35"/>
  <c r="P129"/>
  <c r="O145"/>
  <c r="S35" i="3"/>
  <c r="S36" s="1"/>
  <c r="W35"/>
  <c r="X35" s="1"/>
  <c r="J129"/>
  <c r="I145"/>
  <c r="R129"/>
  <c r="Q145"/>
  <c r="R145" s="1"/>
  <c r="M145"/>
  <c r="N129"/>
  <c r="H129"/>
  <c r="G145"/>
  <c r="H145" s="1"/>
  <c r="D129"/>
  <c r="D35"/>
  <c r="E35"/>
  <c r="E36" s="1"/>
  <c r="L35"/>
  <c r="K36"/>
  <c r="H35"/>
  <c r="W129"/>
  <c r="V129"/>
  <c r="U145"/>
  <c r="Z129"/>
  <c r="Y145"/>
  <c r="Z145" s="1"/>
  <c r="L129"/>
  <c r="K145"/>
  <c r="L145" s="1"/>
  <c r="R35"/>
  <c r="S129"/>
  <c r="E129"/>
  <c r="J35"/>
  <c r="AA126"/>
  <c r="AC17" i="6"/>
  <c r="AD17" s="1"/>
  <c r="AD45"/>
  <c r="AD127"/>
  <c r="AD127" i="3"/>
  <c r="AD120" i="6"/>
  <c r="AD141"/>
  <c r="AD87"/>
  <c r="AD120" i="3"/>
  <c r="AD25"/>
  <c r="AD141"/>
  <c r="Z21" i="6"/>
  <c r="Y36"/>
  <c r="Y29" i="18"/>
  <c r="AB16" i="6"/>
  <c r="V21"/>
  <c r="AD12"/>
  <c r="AC16"/>
  <c r="AD44"/>
  <c r="AD48"/>
  <c r="AD52"/>
  <c r="AD77"/>
  <c r="AD54"/>
  <c r="AD58"/>
  <c r="AD60"/>
  <c r="AD64"/>
  <c r="AD66"/>
  <c r="AD78"/>
  <c r="AD81"/>
  <c r="AD83"/>
  <c r="AD85"/>
  <c r="AD89"/>
  <c r="AD79"/>
  <c r="AD86"/>
  <c r="AD90"/>
  <c r="AD92"/>
  <c r="AD117"/>
  <c r="AD138"/>
  <c r="AD140"/>
  <c r="AD143"/>
  <c r="AD40"/>
  <c r="AD50"/>
  <c r="AD57"/>
  <c r="AD59"/>
  <c r="AD61"/>
  <c r="AD63"/>
  <c r="AD65"/>
  <c r="AD82"/>
  <c r="AD84"/>
  <c r="AD42"/>
  <c r="AD80"/>
  <c r="AD88"/>
  <c r="AD136"/>
  <c r="AD125"/>
  <c r="AD137"/>
  <c r="AD139"/>
  <c r="AD121"/>
  <c r="AD116"/>
  <c r="AD91"/>
  <c r="AD51"/>
  <c r="AD33"/>
  <c r="AD29"/>
  <c r="AD25"/>
  <c r="AD22"/>
  <c r="AD32"/>
  <c r="AD28"/>
  <c r="AD24"/>
  <c r="AD38"/>
  <c r="AD128"/>
  <c r="AD122"/>
  <c r="AD49"/>
  <c r="AD31"/>
  <c r="AD23"/>
  <c r="AD39"/>
  <c r="AD34"/>
  <c r="AD30"/>
  <c r="AD26"/>
  <c r="AD19"/>
  <c r="AB16" i="3"/>
  <c r="AD41"/>
  <c r="AC16"/>
  <c r="AD23"/>
  <c r="AD29"/>
  <c r="AD31"/>
  <c r="AD33"/>
  <c r="AD40"/>
  <c r="AD44"/>
  <c r="AD49"/>
  <c r="AD57"/>
  <c r="AD85"/>
  <c r="AD89"/>
  <c r="AD50"/>
  <c r="AD54"/>
  <c r="AD58"/>
  <c r="AD82"/>
  <c r="AD86"/>
  <c r="AD90"/>
  <c r="AD117"/>
  <c r="AD128"/>
  <c r="AD137"/>
  <c r="AD139"/>
  <c r="AD24"/>
  <c r="AD26"/>
  <c r="AD28"/>
  <c r="AD30"/>
  <c r="AD32"/>
  <c r="AD34"/>
  <c r="AD39"/>
  <c r="AD47"/>
  <c r="AD55"/>
  <c r="AD83"/>
  <c r="AD87"/>
  <c r="AD91"/>
  <c r="AD42"/>
  <c r="AD48"/>
  <c r="AD52"/>
  <c r="AD84"/>
  <c r="AD88"/>
  <c r="AD92"/>
  <c r="AD116"/>
  <c r="AD122"/>
  <c r="AD138"/>
  <c r="AD140"/>
  <c r="AD143"/>
  <c r="AD136"/>
  <c r="AD77"/>
  <c r="AD22"/>
  <c r="AD79"/>
  <c r="AD65"/>
  <c r="AD61"/>
  <c r="AD78"/>
  <c r="AD64"/>
  <c r="AD60"/>
  <c r="AD81"/>
  <c r="AD67"/>
  <c r="AD63"/>
  <c r="AD59"/>
  <c r="AD125"/>
  <c r="AD19"/>
  <c r="AD38"/>
  <c r="AD121"/>
  <c r="AD80"/>
  <c r="AD66"/>
  <c r="X21"/>
  <c r="AA21"/>
  <c r="AB17"/>
  <c r="AC17"/>
  <c r="T21"/>
  <c r="AD43"/>
  <c r="AD45"/>
  <c r="AD93"/>
  <c r="Z36"/>
  <c r="Y11" i="18"/>
  <c r="H145" i="6"/>
  <c r="L145"/>
  <c r="O156"/>
  <c r="O29" i="18"/>
  <c r="K156" i="3"/>
  <c r="K11" i="18"/>
  <c r="AA35" i="6"/>
  <c r="AB35" s="1"/>
  <c r="AD46" i="3"/>
  <c r="AC27" i="6"/>
  <c r="AD27" s="1"/>
  <c r="AC46"/>
  <c r="AA76"/>
  <c r="AB76"/>
  <c r="AB46"/>
  <c r="N145" i="3"/>
  <c r="J145" i="6"/>
  <c r="N145"/>
  <c r="J145" i="3"/>
  <c r="I157"/>
  <c r="R135" i="20"/>
  <c r="R145" i="6"/>
  <c r="AQ140" i="3"/>
  <c r="P145" i="6"/>
  <c r="Y37" i="3"/>
  <c r="Z37" s="1"/>
  <c r="V145"/>
  <c r="AB37" i="21"/>
  <c r="F35" i="6"/>
  <c r="U145"/>
  <c r="V145" s="1"/>
  <c r="V129"/>
  <c r="I37"/>
  <c r="J37" s="1"/>
  <c r="H36"/>
  <c r="G37"/>
  <c r="H37" s="1"/>
  <c r="F129"/>
  <c r="E145"/>
  <c r="AC126"/>
  <c r="AA129"/>
  <c r="AA145" s="1"/>
  <c r="AB145" s="1"/>
  <c r="AB126"/>
  <c r="P36"/>
  <c r="O37"/>
  <c r="Y145"/>
  <c r="Z145" s="1"/>
  <c r="Z129"/>
  <c r="D145"/>
  <c r="W36" i="3"/>
  <c r="W11" i="18"/>
  <c r="F35" i="3"/>
  <c r="AA35"/>
  <c r="AB35" s="1"/>
  <c r="AA129"/>
  <c r="AC126"/>
  <c r="AB126"/>
  <c r="W145"/>
  <c r="X145" s="1"/>
  <c r="X129"/>
  <c r="S145"/>
  <c r="T145" s="1"/>
  <c r="T129"/>
  <c r="E145"/>
  <c r="F145" s="1"/>
  <c r="F129"/>
  <c r="K37"/>
  <c r="K131" s="1"/>
  <c r="L36"/>
  <c r="Z36" i="6"/>
  <c r="Y37"/>
  <c r="Z37" s="1"/>
  <c r="AD16"/>
  <c r="AC21" i="3"/>
  <c r="AD17"/>
  <c r="AB21"/>
  <c r="AD16"/>
  <c r="L148"/>
  <c r="P148"/>
  <c r="X36"/>
  <c r="F145" i="6"/>
  <c r="AC35"/>
  <c r="AD35" s="1"/>
  <c r="AC76"/>
  <c r="AD76"/>
  <c r="AD46"/>
  <c r="Y131" i="3"/>
  <c r="Y135" s="1"/>
  <c r="G131" i="6"/>
  <c r="G135" s="1"/>
  <c r="P37"/>
  <c r="O131"/>
  <c r="P131" s="1"/>
  <c r="AC129"/>
  <c r="AD126"/>
  <c r="W37" i="3"/>
  <c r="X37" s="1"/>
  <c r="AA145"/>
  <c r="AB145" s="1"/>
  <c r="AB129"/>
  <c r="AC129"/>
  <c r="AD126"/>
  <c r="L37"/>
  <c r="AD21"/>
  <c r="N148"/>
  <c r="R148"/>
  <c r="J148"/>
  <c r="AD129" i="6"/>
  <c r="AD129" i="3"/>
  <c r="H148"/>
  <c r="D148"/>
  <c r="V148"/>
  <c r="Z148"/>
  <c r="F148"/>
  <c r="X148"/>
  <c r="T148"/>
  <c r="AA148"/>
  <c r="AC148"/>
  <c r="AB148"/>
  <c r="AD148"/>
  <c r="C12" i="11"/>
  <c r="D72"/>
  <c r="D26"/>
  <c r="D25"/>
  <c r="D68"/>
  <c r="D73"/>
  <c r="C126"/>
  <c r="D126"/>
  <c r="D125"/>
  <c r="D122"/>
  <c r="D121"/>
  <c r="D120"/>
  <c r="D119"/>
  <c r="D118"/>
  <c r="D116"/>
  <c r="D128"/>
  <c r="D127"/>
  <c r="D62"/>
  <c r="D56"/>
  <c r="D53"/>
  <c r="D51"/>
  <c r="C46"/>
  <c r="D55"/>
  <c r="D142"/>
  <c r="D75"/>
  <c r="D115"/>
  <c r="D17"/>
  <c r="D74"/>
  <c r="D70"/>
  <c r="D47"/>
  <c r="D71"/>
  <c r="D66"/>
  <c r="D19"/>
  <c r="D69"/>
  <c r="D67"/>
  <c r="D45"/>
  <c r="D148"/>
  <c r="D83"/>
  <c r="D77"/>
  <c r="D46"/>
  <c r="C76"/>
  <c r="AA141" i="7"/>
  <c r="AC141"/>
  <c r="AA141" i="2"/>
  <c r="AC141"/>
  <c r="D141" i="11"/>
  <c r="AE141" i="12"/>
  <c r="I166" i="11"/>
  <c r="AA141"/>
  <c r="AC141"/>
  <c r="AI141" i="12"/>
  <c r="AJ141"/>
  <c r="AH141"/>
  <c r="AE59"/>
  <c r="AE66"/>
  <c r="AE53"/>
  <c r="M52"/>
  <c r="K52"/>
  <c r="I52"/>
  <c r="AA52"/>
  <c r="AC52"/>
  <c r="AE45"/>
  <c r="AE57"/>
  <c r="AE52"/>
  <c r="AE43"/>
  <c r="AA137" i="11"/>
  <c r="D137"/>
  <c r="Q5" i="12"/>
  <c r="R13"/>
  <c r="R14"/>
  <c r="R11"/>
  <c r="R7"/>
  <c r="R10"/>
  <c r="R8"/>
  <c r="R9"/>
  <c r="AC137" i="11"/>
  <c r="R6" i="12"/>
  <c r="N6"/>
  <c r="K5"/>
  <c r="L13"/>
  <c r="L14"/>
  <c r="L7"/>
  <c r="L10"/>
  <c r="L8"/>
  <c r="L11"/>
  <c r="L9"/>
  <c r="L6"/>
  <c r="AA39" i="2"/>
  <c r="AC39"/>
  <c r="AA40"/>
  <c r="AC40"/>
  <c r="K12" i="11"/>
  <c r="I12"/>
  <c r="G12"/>
  <c r="E12"/>
  <c r="AA10"/>
  <c r="AC10"/>
  <c r="K12" i="7"/>
  <c r="I12"/>
  <c r="G12"/>
  <c r="C12"/>
  <c r="AA10"/>
  <c r="AC10"/>
  <c r="K12" i="2"/>
  <c r="K126"/>
  <c r="G12"/>
  <c r="G126"/>
  <c r="AA10"/>
  <c r="AC10"/>
  <c r="C12"/>
  <c r="C126"/>
  <c r="L72" i="11"/>
  <c r="L26"/>
  <c r="L25"/>
  <c r="L68"/>
  <c r="L73"/>
  <c r="L125"/>
  <c r="L122"/>
  <c r="L121"/>
  <c r="L120"/>
  <c r="L119"/>
  <c r="L118"/>
  <c r="L116"/>
  <c r="L128"/>
  <c r="L127"/>
  <c r="K126"/>
  <c r="L126"/>
  <c r="J72"/>
  <c r="J26"/>
  <c r="J25"/>
  <c r="J68"/>
  <c r="J73"/>
  <c r="J128"/>
  <c r="J127"/>
  <c r="I126"/>
  <c r="J125"/>
  <c r="J122"/>
  <c r="J121"/>
  <c r="J120"/>
  <c r="J119"/>
  <c r="J118"/>
  <c r="J116"/>
  <c r="H72"/>
  <c r="H26"/>
  <c r="H25"/>
  <c r="H68"/>
  <c r="H73"/>
  <c r="H125"/>
  <c r="H122"/>
  <c r="H121"/>
  <c r="H120"/>
  <c r="H119"/>
  <c r="H118"/>
  <c r="H116"/>
  <c r="H128"/>
  <c r="H127"/>
  <c r="G126"/>
  <c r="H126"/>
  <c r="F72"/>
  <c r="F26"/>
  <c r="F25"/>
  <c r="F68"/>
  <c r="F73"/>
  <c r="F125"/>
  <c r="F122"/>
  <c r="F121"/>
  <c r="F120"/>
  <c r="F119"/>
  <c r="F118"/>
  <c r="F116"/>
  <c r="F128"/>
  <c r="F127"/>
  <c r="E126"/>
  <c r="F126"/>
  <c r="D62" i="7"/>
  <c r="D72"/>
  <c r="D26"/>
  <c r="D25"/>
  <c r="D68"/>
  <c r="D73"/>
  <c r="D128"/>
  <c r="D127"/>
  <c r="D116"/>
  <c r="C126"/>
  <c r="D126"/>
  <c r="D125"/>
  <c r="D122"/>
  <c r="D121"/>
  <c r="D120"/>
  <c r="D119"/>
  <c r="D118"/>
  <c r="L62"/>
  <c r="L72"/>
  <c r="L26"/>
  <c r="L25"/>
  <c r="L68"/>
  <c r="L73"/>
  <c r="L128"/>
  <c r="L127"/>
  <c r="K126"/>
  <c r="L126"/>
  <c r="L125"/>
  <c r="L122"/>
  <c r="L121"/>
  <c r="L120"/>
  <c r="L119"/>
  <c r="L118"/>
  <c r="L116"/>
  <c r="J62"/>
  <c r="J26"/>
  <c r="J25"/>
  <c r="J68"/>
  <c r="J73"/>
  <c r="J72"/>
  <c r="J116"/>
  <c r="J125"/>
  <c r="J122"/>
  <c r="J121"/>
  <c r="J120"/>
  <c r="J119"/>
  <c r="J118"/>
  <c r="J128"/>
  <c r="J127"/>
  <c r="I126"/>
  <c r="J126"/>
  <c r="H62"/>
  <c r="H26"/>
  <c r="H25"/>
  <c r="H68"/>
  <c r="H73"/>
  <c r="H72"/>
  <c r="H125"/>
  <c r="H122"/>
  <c r="H121"/>
  <c r="H120"/>
  <c r="H119"/>
  <c r="H118"/>
  <c r="H116"/>
  <c r="G126"/>
  <c r="H126"/>
  <c r="H128"/>
  <c r="H127"/>
  <c r="L56" i="11"/>
  <c r="L62"/>
  <c r="J62"/>
  <c r="J56"/>
  <c r="H52"/>
  <c r="H62"/>
  <c r="H56"/>
  <c r="F56"/>
  <c r="F62"/>
  <c r="L90" i="2"/>
  <c r="L89"/>
  <c r="L87"/>
  <c r="L86"/>
  <c r="L85"/>
  <c r="L84"/>
  <c r="L83"/>
  <c r="L82"/>
  <c r="L81"/>
  <c r="L80"/>
  <c r="L79"/>
  <c r="L78"/>
  <c r="L77"/>
  <c r="H90"/>
  <c r="H86"/>
  <c r="H89"/>
  <c r="H87"/>
  <c r="H85"/>
  <c r="H83"/>
  <c r="H81"/>
  <c r="H79"/>
  <c r="H77"/>
  <c r="H84"/>
  <c r="H82"/>
  <c r="H80"/>
  <c r="H78"/>
  <c r="D90"/>
  <c r="D89"/>
  <c r="D87"/>
  <c r="D86"/>
  <c r="D85"/>
  <c r="D84"/>
  <c r="D83"/>
  <c r="D82"/>
  <c r="D81"/>
  <c r="D80"/>
  <c r="D79"/>
  <c r="D78"/>
  <c r="D77"/>
  <c r="L53" i="11"/>
  <c r="L51"/>
  <c r="K46"/>
  <c r="K17"/>
  <c r="J51"/>
  <c r="I17"/>
  <c r="J53"/>
  <c r="I46"/>
  <c r="I76"/>
  <c r="H53"/>
  <c r="H51"/>
  <c r="G46"/>
  <c r="G17"/>
  <c r="F51"/>
  <c r="F53"/>
  <c r="E46"/>
  <c r="L51" i="7"/>
  <c r="L53"/>
  <c r="K46"/>
  <c r="J51"/>
  <c r="I46"/>
  <c r="J53"/>
  <c r="G46"/>
  <c r="H46"/>
  <c r="H53"/>
  <c r="H51"/>
  <c r="C46"/>
  <c r="D46"/>
  <c r="D51"/>
  <c r="D53"/>
  <c r="L17" i="2"/>
  <c r="L118"/>
  <c r="H118"/>
  <c r="D118"/>
  <c r="L55" i="11"/>
  <c r="L142"/>
  <c r="L75"/>
  <c r="L115"/>
  <c r="L53" i="2"/>
  <c r="L75"/>
  <c r="L71"/>
  <c r="L70"/>
  <c r="L66"/>
  <c r="L72"/>
  <c r="L68"/>
  <c r="L73"/>
  <c r="L69"/>
  <c r="L74"/>
  <c r="H55" i="11"/>
  <c r="H142"/>
  <c r="H75"/>
  <c r="H115"/>
  <c r="J55"/>
  <c r="J142"/>
  <c r="J115"/>
  <c r="J75"/>
  <c r="H53" i="2"/>
  <c r="G129"/>
  <c r="H75"/>
  <c r="H71"/>
  <c r="H72"/>
  <c r="H68"/>
  <c r="H73"/>
  <c r="H69"/>
  <c r="H74"/>
  <c r="H70"/>
  <c r="H66"/>
  <c r="F55" i="11"/>
  <c r="F142"/>
  <c r="F75"/>
  <c r="F115"/>
  <c r="D53" i="2"/>
  <c r="D75"/>
  <c r="K126" i="12"/>
  <c r="L142" i="7"/>
  <c r="L74"/>
  <c r="L70"/>
  <c r="L66"/>
  <c r="L115"/>
  <c r="L75"/>
  <c r="L71"/>
  <c r="L69"/>
  <c r="I126" i="12"/>
  <c r="J142" i="7"/>
  <c r="J115"/>
  <c r="J75"/>
  <c r="J74"/>
  <c r="J71"/>
  <c r="J70"/>
  <c r="J69"/>
  <c r="J66"/>
  <c r="H142"/>
  <c r="H75"/>
  <c r="H71"/>
  <c r="H69"/>
  <c r="H115"/>
  <c r="H74"/>
  <c r="H70"/>
  <c r="H66"/>
  <c r="C126" i="12"/>
  <c r="D142" i="7"/>
  <c r="D75"/>
  <c r="D71"/>
  <c r="D69"/>
  <c r="D115"/>
  <c r="D74"/>
  <c r="D70"/>
  <c r="D66"/>
  <c r="L17" i="11"/>
  <c r="L47"/>
  <c r="L71"/>
  <c r="L74"/>
  <c r="L70"/>
  <c r="J17"/>
  <c r="J47"/>
  <c r="J74"/>
  <c r="J71"/>
  <c r="J70"/>
  <c r="H17"/>
  <c r="H74"/>
  <c r="H70"/>
  <c r="H47"/>
  <c r="H71"/>
  <c r="F17"/>
  <c r="F47"/>
  <c r="F74"/>
  <c r="F71"/>
  <c r="F70"/>
  <c r="L47" i="7"/>
  <c r="J47"/>
  <c r="H47"/>
  <c r="D47"/>
  <c r="H17" i="2"/>
  <c r="H76"/>
  <c r="D70"/>
  <c r="D72"/>
  <c r="D74"/>
  <c r="D71"/>
  <c r="D73"/>
  <c r="D76"/>
  <c r="H17" i="7"/>
  <c r="L17"/>
  <c r="J17"/>
  <c r="L66" i="11"/>
  <c r="J66"/>
  <c r="H66"/>
  <c r="F66"/>
  <c r="D17" i="7"/>
  <c r="L19" i="11"/>
  <c r="F19"/>
  <c r="J19"/>
  <c r="H19"/>
  <c r="J19" i="7"/>
  <c r="H19"/>
  <c r="D19"/>
  <c r="L19"/>
  <c r="D77"/>
  <c r="I21" i="11"/>
  <c r="D46" i="2"/>
  <c r="F67" i="11"/>
  <c r="F69"/>
  <c r="L67"/>
  <c r="L69"/>
  <c r="J67"/>
  <c r="J69"/>
  <c r="D68" i="2"/>
  <c r="D69"/>
  <c r="L76"/>
  <c r="H67" i="11"/>
  <c r="H69"/>
  <c r="L45"/>
  <c r="H45"/>
  <c r="F45"/>
  <c r="D45" i="7"/>
  <c r="L45"/>
  <c r="J45"/>
  <c r="H45"/>
  <c r="J45" i="11"/>
  <c r="D56" i="7"/>
  <c r="F57" i="11"/>
  <c r="L56" i="7"/>
  <c r="J56"/>
  <c r="AI10" i="12"/>
  <c r="AJ10"/>
  <c r="H56" i="7"/>
  <c r="F148" i="11"/>
  <c r="J148"/>
  <c r="H148"/>
  <c r="D148" i="7"/>
  <c r="AH10" i="12"/>
  <c r="L148" i="11"/>
  <c r="J148" i="7"/>
  <c r="H148"/>
  <c r="L148"/>
  <c r="H56" i="2"/>
  <c r="L56"/>
  <c r="J56"/>
  <c r="D56"/>
  <c r="L141" i="11"/>
  <c r="J141"/>
  <c r="L141" i="7"/>
  <c r="J141"/>
  <c r="H141"/>
  <c r="D141"/>
  <c r="L127" i="2"/>
  <c r="L141"/>
  <c r="J127"/>
  <c r="J141"/>
  <c r="H127"/>
  <c r="H141"/>
  <c r="H25"/>
  <c r="D127"/>
  <c r="D141"/>
  <c r="D142"/>
  <c r="H83" i="11"/>
  <c r="H141"/>
  <c r="F83"/>
  <c r="F141"/>
  <c r="F137"/>
  <c r="J126"/>
  <c r="I129"/>
  <c r="I145" s="1"/>
  <c r="H46"/>
  <c r="G76"/>
  <c r="H76"/>
  <c r="F46"/>
  <c r="E76"/>
  <c r="F76"/>
  <c r="I17" i="12"/>
  <c r="K17"/>
  <c r="C17"/>
  <c r="D17" i="2"/>
  <c r="J83" i="11"/>
  <c r="AC83"/>
  <c r="J83" i="7"/>
  <c r="H83"/>
  <c r="D83"/>
  <c r="AA83"/>
  <c r="AL149" i="8"/>
  <c r="AL147"/>
  <c r="AL143"/>
  <c r="AL142"/>
  <c r="AL140"/>
  <c r="AL138"/>
  <c r="AL137"/>
  <c r="AL136"/>
  <c r="AL134"/>
  <c r="AL133"/>
  <c r="AL132"/>
  <c r="AL130"/>
  <c r="AL128"/>
  <c r="AL127"/>
  <c r="AL126"/>
  <c r="AL125"/>
  <c r="AL124"/>
  <c r="AL123"/>
  <c r="AL122"/>
  <c r="AL121"/>
  <c r="AL120"/>
  <c r="AL119"/>
  <c r="AL116"/>
  <c r="AL107"/>
  <c r="AL105"/>
  <c r="AL104"/>
  <c r="AL103"/>
  <c r="AL102"/>
  <c r="AL101"/>
  <c r="AL99"/>
  <c r="AL98"/>
  <c r="AL97"/>
  <c r="AL96"/>
  <c r="AL95"/>
  <c r="AL94"/>
  <c r="AL92"/>
  <c r="AL91"/>
  <c r="AL90"/>
  <c r="AL89"/>
  <c r="AL88"/>
  <c r="AL87"/>
  <c r="AL86"/>
  <c r="AL85"/>
  <c r="AL84"/>
  <c r="AL83"/>
  <c r="AL82"/>
  <c r="AL81"/>
  <c r="AL80"/>
  <c r="AL79"/>
  <c r="AL78"/>
  <c r="AL77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0"/>
  <c r="AL39"/>
  <c r="AL38"/>
  <c r="AL34"/>
  <c r="AL33"/>
  <c r="AL32"/>
  <c r="AL31"/>
  <c r="AL30"/>
  <c r="AL29"/>
  <c r="AL28"/>
  <c r="AL26"/>
  <c r="AL25"/>
  <c r="AL24"/>
  <c r="AL23"/>
  <c r="AL22"/>
  <c r="AL20"/>
  <c r="AL19"/>
  <c r="AL18"/>
  <c r="AL14"/>
  <c r="AL13"/>
  <c r="AL9"/>
  <c r="AL8"/>
  <c r="AL7"/>
  <c r="AL6"/>
  <c r="AA11" i="7"/>
  <c r="AC11"/>
  <c r="E12"/>
  <c r="AA83" i="2"/>
  <c r="AC83"/>
  <c r="AC83" i="7"/>
  <c r="AA11" i="11"/>
  <c r="AC11"/>
  <c r="AL11" i="8"/>
  <c r="F62" i="7"/>
  <c r="F26"/>
  <c r="F25"/>
  <c r="F68"/>
  <c r="F73"/>
  <c r="F72"/>
  <c r="E126"/>
  <c r="F126"/>
  <c r="F128"/>
  <c r="F127"/>
  <c r="F125"/>
  <c r="F122"/>
  <c r="F121"/>
  <c r="F120"/>
  <c r="F119"/>
  <c r="F118"/>
  <c r="F116"/>
  <c r="F53"/>
  <c r="F51"/>
  <c r="E46"/>
  <c r="F46"/>
  <c r="F17"/>
  <c r="F142"/>
  <c r="F115"/>
  <c r="F75"/>
  <c r="F74"/>
  <c r="F71"/>
  <c r="F70"/>
  <c r="F69"/>
  <c r="F66"/>
  <c r="F47"/>
  <c r="F19"/>
  <c r="F45"/>
  <c r="F56"/>
  <c r="F148"/>
  <c r="F141"/>
  <c r="I41" i="2"/>
  <c r="I15"/>
  <c r="I16"/>
  <c r="I145"/>
  <c r="J58"/>
  <c r="I35"/>
  <c r="I2" i="18"/>
  <c r="AL117" i="8"/>
  <c r="Y144" i="11"/>
  <c r="Y166" s="1"/>
  <c r="W144"/>
  <c r="W50" i="18" s="1"/>
  <c r="U144" i="11"/>
  <c r="U50" i="18" s="1"/>
  <c r="S144" i="11"/>
  <c r="Q144"/>
  <c r="Q166" s="1"/>
  <c r="O166"/>
  <c r="M166"/>
  <c r="G144"/>
  <c r="G166" s="1"/>
  <c r="E144"/>
  <c r="E166" s="1"/>
  <c r="C144"/>
  <c r="Y144" i="7"/>
  <c r="Y166" s="1"/>
  <c r="W144"/>
  <c r="W41" i="18" s="1"/>
  <c r="U144" i="7"/>
  <c r="U41" i="18" s="1"/>
  <c r="S144" i="7"/>
  <c r="S41" i="18" s="1"/>
  <c r="Q144" i="7"/>
  <c r="Q166" s="1"/>
  <c r="I144"/>
  <c r="I166" s="1"/>
  <c r="G144"/>
  <c r="E144"/>
  <c r="C144"/>
  <c r="C41" i="18" s="1"/>
  <c r="Y144" i="2"/>
  <c r="Y166" s="1"/>
  <c r="W144"/>
  <c r="W6" i="18" s="1"/>
  <c r="U144" i="2"/>
  <c r="U166" s="1"/>
  <c r="S144"/>
  <c r="Q144"/>
  <c r="Q166" s="1"/>
  <c r="O166"/>
  <c r="E144"/>
  <c r="E166" s="1"/>
  <c r="C144"/>
  <c r="C166" s="1"/>
  <c r="G50" i="18"/>
  <c r="G144" i="12"/>
  <c r="G166" s="1"/>
  <c r="O166" i="7"/>
  <c r="M166"/>
  <c r="G166"/>
  <c r="AL5" i="8"/>
  <c r="AA143" i="11"/>
  <c r="AC143"/>
  <c r="AA140"/>
  <c r="AC140"/>
  <c r="AA139"/>
  <c r="AC139"/>
  <c r="AA138"/>
  <c r="AA136"/>
  <c r="AC136"/>
  <c r="AA133"/>
  <c r="AC133"/>
  <c r="AA128"/>
  <c r="AC128"/>
  <c r="AA125"/>
  <c r="AC125"/>
  <c r="AA124"/>
  <c r="AC124"/>
  <c r="AA123"/>
  <c r="AC123"/>
  <c r="AA122"/>
  <c r="AA121"/>
  <c r="AC121"/>
  <c r="AA117"/>
  <c r="AC117" s="1"/>
  <c r="AA116"/>
  <c r="AC116"/>
  <c r="Y93"/>
  <c r="Y51" i="18" s="1"/>
  <c r="U93" i="11"/>
  <c r="U51" i="18" s="1"/>
  <c r="S93" i="11"/>
  <c r="S51" i="18" s="1"/>
  <c r="Q93" i="11"/>
  <c r="Q51" i="18" s="1"/>
  <c r="K93" i="11"/>
  <c r="K51" i="18" s="1"/>
  <c r="G93" i="11"/>
  <c r="G51" i="18" s="1"/>
  <c r="C93" i="11"/>
  <c r="C51" i="18" s="1"/>
  <c r="AA92" i="11"/>
  <c r="AC92"/>
  <c r="AA91"/>
  <c r="AC91"/>
  <c r="AC89"/>
  <c r="AC88"/>
  <c r="AC87"/>
  <c r="AC86"/>
  <c r="AC85"/>
  <c r="AC84"/>
  <c r="AC82"/>
  <c r="AC81"/>
  <c r="AC80"/>
  <c r="AC79"/>
  <c r="AC78"/>
  <c r="AC77"/>
  <c r="AA69"/>
  <c r="AA67"/>
  <c r="AA66"/>
  <c r="AC65"/>
  <c r="AA64"/>
  <c r="AC64"/>
  <c r="AA63"/>
  <c r="AC63"/>
  <c r="AA61"/>
  <c r="AC61"/>
  <c r="AA60"/>
  <c r="AC60"/>
  <c r="AA59"/>
  <c r="AC59"/>
  <c r="AA58"/>
  <c r="AC58"/>
  <c r="AC55"/>
  <c r="AA54"/>
  <c r="AC54"/>
  <c r="AA52"/>
  <c r="AC52"/>
  <c r="AA50"/>
  <c r="AC50"/>
  <c r="AA49"/>
  <c r="AC49"/>
  <c r="AA48"/>
  <c r="AC48"/>
  <c r="AA44"/>
  <c r="AC44"/>
  <c r="AA43"/>
  <c r="AC43"/>
  <c r="AA42"/>
  <c r="AC42"/>
  <c r="U41"/>
  <c r="S41"/>
  <c r="Q41"/>
  <c r="K41"/>
  <c r="G41"/>
  <c r="E41"/>
  <c r="C41"/>
  <c r="AA40"/>
  <c r="AC40"/>
  <c r="Y41"/>
  <c r="AA38"/>
  <c r="AA34"/>
  <c r="AC34"/>
  <c r="AA33"/>
  <c r="AC33"/>
  <c r="AA32"/>
  <c r="AC32"/>
  <c r="AA31"/>
  <c r="AC31"/>
  <c r="AA30"/>
  <c r="AC30"/>
  <c r="AA29"/>
  <c r="AC29"/>
  <c r="AA28"/>
  <c r="AC28"/>
  <c r="AA26"/>
  <c r="AC26"/>
  <c r="AA24"/>
  <c r="AC24"/>
  <c r="AA23"/>
  <c r="AC23"/>
  <c r="AA22"/>
  <c r="AC22"/>
  <c r="AA20"/>
  <c r="AC20"/>
  <c r="AA19"/>
  <c r="AC19"/>
  <c r="AA18"/>
  <c r="AC18"/>
  <c r="Y15"/>
  <c r="W15"/>
  <c r="U15"/>
  <c r="S15"/>
  <c r="Q15"/>
  <c r="K15"/>
  <c r="I15"/>
  <c r="G15"/>
  <c r="E15"/>
  <c r="C15"/>
  <c r="AA14"/>
  <c r="AC14"/>
  <c r="AA13"/>
  <c r="AA8"/>
  <c r="AC8"/>
  <c r="AA7"/>
  <c r="AC7"/>
  <c r="AA6"/>
  <c r="AC6"/>
  <c r="AC66"/>
  <c r="AC67"/>
  <c r="AC69"/>
  <c r="AC13"/>
  <c r="AC38"/>
  <c r="AC138"/>
  <c r="AC122"/>
  <c r="U12"/>
  <c r="Y12"/>
  <c r="S12"/>
  <c r="Q12"/>
  <c r="W12"/>
  <c r="AA57"/>
  <c r="AC57"/>
  <c r="AC90"/>
  <c r="AD90" s="1"/>
  <c r="D144"/>
  <c r="AA39"/>
  <c r="AC39"/>
  <c r="AA15"/>
  <c r="W93"/>
  <c r="W51" i="18" s="1"/>
  <c r="D143" i="11"/>
  <c r="D140"/>
  <c r="D138"/>
  <c r="D136"/>
  <c r="D139"/>
  <c r="D91"/>
  <c r="D89"/>
  <c r="D87"/>
  <c r="D85"/>
  <c r="D81"/>
  <c r="D79"/>
  <c r="D64"/>
  <c r="D60"/>
  <c r="D58"/>
  <c r="D57"/>
  <c r="D93"/>
  <c r="D90"/>
  <c r="D92"/>
  <c r="D86"/>
  <c r="D84"/>
  <c r="D82"/>
  <c r="D80"/>
  <c r="D78"/>
  <c r="D65"/>
  <c r="L57"/>
  <c r="E16"/>
  <c r="D22"/>
  <c r="D21"/>
  <c r="F23"/>
  <c r="F24"/>
  <c r="D41"/>
  <c r="W41"/>
  <c r="AA45"/>
  <c r="AC45"/>
  <c r="F139"/>
  <c r="F143"/>
  <c r="F140"/>
  <c r="F138"/>
  <c r="F136"/>
  <c r="F92"/>
  <c r="F86"/>
  <c r="F84"/>
  <c r="F82"/>
  <c r="F80"/>
  <c r="F78"/>
  <c r="F65"/>
  <c r="F63"/>
  <c r="F61"/>
  <c r="F59"/>
  <c r="F91"/>
  <c r="F89"/>
  <c r="F87"/>
  <c r="F85"/>
  <c r="F81"/>
  <c r="F79"/>
  <c r="F77"/>
  <c r="F64"/>
  <c r="F90"/>
  <c r="F21"/>
  <c r="F22"/>
  <c r="D23"/>
  <c r="D24"/>
  <c r="D28"/>
  <c r="F29"/>
  <c r="D30"/>
  <c r="F31"/>
  <c r="D32"/>
  <c r="F33"/>
  <c r="D34"/>
  <c r="D38"/>
  <c r="F39"/>
  <c r="F40"/>
  <c r="F41"/>
  <c r="F42"/>
  <c r="D43"/>
  <c r="F44"/>
  <c r="D48"/>
  <c r="F49"/>
  <c r="D50"/>
  <c r="D52"/>
  <c r="F54"/>
  <c r="D59"/>
  <c r="D61"/>
  <c r="D63"/>
  <c r="AA5"/>
  <c r="C16"/>
  <c r="F58"/>
  <c r="F60"/>
  <c r="F93"/>
  <c r="F28"/>
  <c r="D29"/>
  <c r="F30"/>
  <c r="D31"/>
  <c r="F32"/>
  <c r="D33"/>
  <c r="F34"/>
  <c r="F38"/>
  <c r="D39"/>
  <c r="D40"/>
  <c r="D42"/>
  <c r="F43"/>
  <c r="D44"/>
  <c r="F48"/>
  <c r="D49"/>
  <c r="F50"/>
  <c r="F52"/>
  <c r="D54"/>
  <c r="X72"/>
  <c r="X26"/>
  <c r="X25"/>
  <c r="X68"/>
  <c r="X73"/>
  <c r="X125"/>
  <c r="X122"/>
  <c r="X121"/>
  <c r="X120"/>
  <c r="X119"/>
  <c r="X118"/>
  <c r="X116"/>
  <c r="X128"/>
  <c r="X127"/>
  <c r="W126"/>
  <c r="X126"/>
  <c r="V72"/>
  <c r="V26"/>
  <c r="V25"/>
  <c r="V68"/>
  <c r="V73"/>
  <c r="V125"/>
  <c r="V122"/>
  <c r="V121"/>
  <c r="V120"/>
  <c r="V119"/>
  <c r="V118"/>
  <c r="V116"/>
  <c r="V128"/>
  <c r="V127"/>
  <c r="U126"/>
  <c r="V126"/>
  <c r="Z72"/>
  <c r="Z26"/>
  <c r="Z25"/>
  <c r="Z68"/>
  <c r="Z73"/>
  <c r="Z128"/>
  <c r="Z127"/>
  <c r="Y126"/>
  <c r="Z126"/>
  <c r="Z125"/>
  <c r="Z122"/>
  <c r="Z121"/>
  <c r="Z120"/>
  <c r="Z119"/>
  <c r="Z118"/>
  <c r="Z116"/>
  <c r="C46" i="18"/>
  <c r="E46"/>
  <c r="T72" i="11"/>
  <c r="T26"/>
  <c r="T25"/>
  <c r="T68"/>
  <c r="T73"/>
  <c r="S126"/>
  <c r="T126"/>
  <c r="T125"/>
  <c r="T122"/>
  <c r="T121"/>
  <c r="T120"/>
  <c r="T119"/>
  <c r="T118"/>
  <c r="T116"/>
  <c r="T128"/>
  <c r="T127"/>
  <c r="R72"/>
  <c r="R26"/>
  <c r="R25"/>
  <c r="R68"/>
  <c r="R73"/>
  <c r="R128"/>
  <c r="R127"/>
  <c r="Q126"/>
  <c r="R126"/>
  <c r="R125"/>
  <c r="R122"/>
  <c r="R121"/>
  <c r="R120"/>
  <c r="R119"/>
  <c r="R118"/>
  <c r="R116"/>
  <c r="X62"/>
  <c r="X56"/>
  <c r="V56"/>
  <c r="V62"/>
  <c r="Z56"/>
  <c r="Z62"/>
  <c r="T62"/>
  <c r="T56"/>
  <c r="R62"/>
  <c r="R56"/>
  <c r="Z51"/>
  <c r="Z53"/>
  <c r="Y17"/>
  <c r="Z55"/>
  <c r="Z142"/>
  <c r="Z110"/>
  <c r="Z106"/>
  <c r="Z102"/>
  <c r="Z98"/>
  <c r="Z94"/>
  <c r="Z114"/>
  <c r="Z111"/>
  <c r="Z107"/>
  <c r="Z103"/>
  <c r="Z99"/>
  <c r="Z95"/>
  <c r="Z112"/>
  <c r="Z108"/>
  <c r="Z104"/>
  <c r="Z100"/>
  <c r="Z96"/>
  <c r="Z113"/>
  <c r="Z109"/>
  <c r="Z105"/>
  <c r="Z101"/>
  <c r="Z97"/>
  <c r="Z75"/>
  <c r="Z115"/>
  <c r="X53"/>
  <c r="X51"/>
  <c r="W46"/>
  <c r="X55"/>
  <c r="X142"/>
  <c r="X75"/>
  <c r="X115"/>
  <c r="V51"/>
  <c r="V53"/>
  <c r="U46"/>
  <c r="V55"/>
  <c r="V142"/>
  <c r="V75"/>
  <c r="V115"/>
  <c r="T53"/>
  <c r="T51"/>
  <c r="S46"/>
  <c r="R51"/>
  <c r="R53"/>
  <c r="Q46"/>
  <c r="R46"/>
  <c r="T55"/>
  <c r="T142"/>
  <c r="T75"/>
  <c r="T115"/>
  <c r="R17"/>
  <c r="R55"/>
  <c r="R142"/>
  <c r="R115"/>
  <c r="R75"/>
  <c r="T17"/>
  <c r="Z17"/>
  <c r="Z74"/>
  <c r="Z71"/>
  <c r="Z70"/>
  <c r="Z47"/>
  <c r="X17"/>
  <c r="X71"/>
  <c r="X47"/>
  <c r="X74"/>
  <c r="X70"/>
  <c r="V17"/>
  <c r="V74"/>
  <c r="V71"/>
  <c r="V70"/>
  <c r="V47"/>
  <c r="T47"/>
  <c r="T74"/>
  <c r="T70"/>
  <c r="T71"/>
  <c r="R74"/>
  <c r="R71"/>
  <c r="R70"/>
  <c r="R47"/>
  <c r="Z66"/>
  <c r="X66"/>
  <c r="V66"/>
  <c r="T66"/>
  <c r="R66"/>
  <c r="AC5"/>
  <c r="AD8"/>
  <c r="AB9"/>
  <c r="R19"/>
  <c r="X19"/>
  <c r="T19"/>
  <c r="V19"/>
  <c r="Z19"/>
  <c r="R67"/>
  <c r="R69"/>
  <c r="V67"/>
  <c r="V69"/>
  <c r="X67"/>
  <c r="X69"/>
  <c r="Z67"/>
  <c r="Z69"/>
  <c r="T67"/>
  <c r="T69"/>
  <c r="Z45"/>
  <c r="X45"/>
  <c r="T45"/>
  <c r="R45"/>
  <c r="V45"/>
  <c r="Z148"/>
  <c r="X148"/>
  <c r="AC9"/>
  <c r="V148"/>
  <c r="T148"/>
  <c r="R140"/>
  <c r="V29"/>
  <c r="V24"/>
  <c r="V79"/>
  <c r="V48"/>
  <c r="V43"/>
  <c r="V39"/>
  <c r="V32"/>
  <c r="R57"/>
  <c r="V57"/>
  <c r="V49"/>
  <c r="V42"/>
  <c r="V22"/>
  <c r="V90"/>
  <c r="V87"/>
  <c r="V65"/>
  <c r="R148"/>
  <c r="Z141"/>
  <c r="X83"/>
  <c r="X141"/>
  <c r="V83"/>
  <c r="V141"/>
  <c r="T83"/>
  <c r="T141"/>
  <c r="R83"/>
  <c r="R82"/>
  <c r="R141"/>
  <c r="AA93"/>
  <c r="AB93" s="1"/>
  <c r="T144"/>
  <c r="T57"/>
  <c r="R58"/>
  <c r="R77"/>
  <c r="R84"/>
  <c r="R29"/>
  <c r="R22"/>
  <c r="R40"/>
  <c r="R34"/>
  <c r="R85"/>
  <c r="R65"/>
  <c r="V144"/>
  <c r="V139"/>
  <c r="R144"/>
  <c r="V84"/>
  <c r="V140"/>
  <c r="AB6"/>
  <c r="AB7"/>
  <c r="AB11"/>
  <c r="AB10"/>
  <c r="AB8"/>
  <c r="AA12"/>
  <c r="AB118"/>
  <c r="Z83"/>
  <c r="L83"/>
  <c r="V50"/>
  <c r="V34"/>
  <c r="V93"/>
  <c r="V60"/>
  <c r="V44"/>
  <c r="V40"/>
  <c r="V31"/>
  <c r="V64"/>
  <c r="V81"/>
  <c r="V91"/>
  <c r="V89"/>
  <c r="V59"/>
  <c r="V78"/>
  <c r="V86"/>
  <c r="V143"/>
  <c r="V137"/>
  <c r="Q16"/>
  <c r="R23"/>
  <c r="R31"/>
  <c r="R42"/>
  <c r="R49"/>
  <c r="R60"/>
  <c r="R28"/>
  <c r="R38"/>
  <c r="R48"/>
  <c r="R90"/>
  <c r="R79"/>
  <c r="R87"/>
  <c r="R59"/>
  <c r="R78"/>
  <c r="R86"/>
  <c r="R143"/>
  <c r="R137"/>
  <c r="V30"/>
  <c r="V58"/>
  <c r="V77"/>
  <c r="V85"/>
  <c r="V63"/>
  <c r="V82"/>
  <c r="V92"/>
  <c r="V138"/>
  <c r="U16"/>
  <c r="R39"/>
  <c r="R54"/>
  <c r="R32"/>
  <c r="R43"/>
  <c r="R52"/>
  <c r="R93"/>
  <c r="R89"/>
  <c r="R63"/>
  <c r="R92"/>
  <c r="R138"/>
  <c r="V52"/>
  <c r="V38"/>
  <c r="V28"/>
  <c r="V54"/>
  <c r="V41"/>
  <c r="V33"/>
  <c r="V23"/>
  <c r="V61"/>
  <c r="V80"/>
  <c r="V136"/>
  <c r="R24"/>
  <c r="R33"/>
  <c r="R44"/>
  <c r="R30"/>
  <c r="R41"/>
  <c r="R50"/>
  <c r="R64"/>
  <c r="R81"/>
  <c r="R91"/>
  <c r="R61"/>
  <c r="R80"/>
  <c r="R136"/>
  <c r="R139"/>
  <c r="AA41"/>
  <c r="X93"/>
  <c r="F144"/>
  <c r="X144"/>
  <c r="L144"/>
  <c r="Z57"/>
  <c r="Z144"/>
  <c r="T41"/>
  <c r="J144"/>
  <c r="H144"/>
  <c r="H93"/>
  <c r="AC93"/>
  <c r="AD93" s="1"/>
  <c r="J139"/>
  <c r="J137"/>
  <c r="J143"/>
  <c r="J140"/>
  <c r="J138"/>
  <c r="J136"/>
  <c r="J92"/>
  <c r="J86"/>
  <c r="J84"/>
  <c r="J82"/>
  <c r="J80"/>
  <c r="J78"/>
  <c r="J65"/>
  <c r="J63"/>
  <c r="J61"/>
  <c r="J59"/>
  <c r="J93"/>
  <c r="J91"/>
  <c r="J89"/>
  <c r="J87"/>
  <c r="J85"/>
  <c r="J81"/>
  <c r="J79"/>
  <c r="J77"/>
  <c r="J64"/>
  <c r="J90"/>
  <c r="J60"/>
  <c r="J58"/>
  <c r="J52"/>
  <c r="J50"/>
  <c r="J48"/>
  <c r="J43"/>
  <c r="J41"/>
  <c r="J38"/>
  <c r="J34"/>
  <c r="J32"/>
  <c r="J30"/>
  <c r="J28"/>
  <c r="J39"/>
  <c r="J54"/>
  <c r="J49"/>
  <c r="J44"/>
  <c r="J42"/>
  <c r="J40"/>
  <c r="J33"/>
  <c r="J31"/>
  <c r="J29"/>
  <c r="J24"/>
  <c r="J23"/>
  <c r="J22"/>
  <c r="I16"/>
  <c r="X41"/>
  <c r="T143"/>
  <c r="T140"/>
  <c r="T138"/>
  <c r="T136"/>
  <c r="T139"/>
  <c r="T137"/>
  <c r="T91"/>
  <c r="T87"/>
  <c r="T85"/>
  <c r="T81"/>
  <c r="T79"/>
  <c r="T77"/>
  <c r="T64"/>
  <c r="T60"/>
  <c r="T58"/>
  <c r="T93"/>
  <c r="T90"/>
  <c r="T92"/>
  <c r="T86"/>
  <c r="T84"/>
  <c r="T82"/>
  <c r="T80"/>
  <c r="T78"/>
  <c r="T65"/>
  <c r="T63"/>
  <c r="T89"/>
  <c r="T54"/>
  <c r="T49"/>
  <c r="T44"/>
  <c r="T42"/>
  <c r="T40"/>
  <c r="T33"/>
  <c r="T31"/>
  <c r="T29"/>
  <c r="T24"/>
  <c r="S16"/>
  <c r="T61"/>
  <c r="T59"/>
  <c r="T52"/>
  <c r="T50"/>
  <c r="T48"/>
  <c r="T43"/>
  <c r="T38"/>
  <c r="T34"/>
  <c r="T32"/>
  <c r="T30"/>
  <c r="T28"/>
  <c r="T39"/>
  <c r="T23"/>
  <c r="T22"/>
  <c r="J57"/>
  <c r="L41"/>
  <c r="X143"/>
  <c r="X140"/>
  <c r="X138"/>
  <c r="X136"/>
  <c r="X139"/>
  <c r="X137"/>
  <c r="X91"/>
  <c r="X87"/>
  <c r="X85"/>
  <c r="X81"/>
  <c r="X79"/>
  <c r="X77"/>
  <c r="X64"/>
  <c r="X60"/>
  <c r="X58"/>
  <c r="X92"/>
  <c r="X90"/>
  <c r="X86"/>
  <c r="X84"/>
  <c r="X82"/>
  <c r="X80"/>
  <c r="X78"/>
  <c r="X65"/>
  <c r="X63"/>
  <c r="X89"/>
  <c r="X54"/>
  <c r="X49"/>
  <c r="X44"/>
  <c r="X42"/>
  <c r="X40"/>
  <c r="X33"/>
  <c r="X31"/>
  <c r="X29"/>
  <c r="X24"/>
  <c r="X23"/>
  <c r="X61"/>
  <c r="X59"/>
  <c r="X57"/>
  <c r="X52"/>
  <c r="X50"/>
  <c r="X48"/>
  <c r="X43"/>
  <c r="X39"/>
  <c r="X38"/>
  <c r="X34"/>
  <c r="X32"/>
  <c r="X30"/>
  <c r="X28"/>
  <c r="W16"/>
  <c r="X22"/>
  <c r="Z139"/>
  <c r="Z137"/>
  <c r="Z143"/>
  <c r="Z140"/>
  <c r="Z138"/>
  <c r="Z136"/>
  <c r="Z92"/>
  <c r="Z90"/>
  <c r="Z86"/>
  <c r="Z84"/>
  <c r="Z82"/>
  <c r="Z80"/>
  <c r="Z78"/>
  <c r="Z65"/>
  <c r="Z63"/>
  <c r="Z61"/>
  <c r="Z59"/>
  <c r="Z89"/>
  <c r="Z93"/>
  <c r="Z91"/>
  <c r="Z87"/>
  <c r="Z85"/>
  <c r="Z81"/>
  <c r="Z79"/>
  <c r="Z77"/>
  <c r="Z64"/>
  <c r="Z60"/>
  <c r="Z58"/>
  <c r="Z52"/>
  <c r="Z50"/>
  <c r="Z48"/>
  <c r="Z43"/>
  <c r="Z41"/>
  <c r="Z39"/>
  <c r="Z38"/>
  <c r="Z34"/>
  <c r="Z32"/>
  <c r="Z30"/>
  <c r="Z28"/>
  <c r="Z54"/>
  <c r="Z49"/>
  <c r="Z44"/>
  <c r="Z42"/>
  <c r="Z40"/>
  <c r="Z33"/>
  <c r="Z31"/>
  <c r="Z29"/>
  <c r="Z24"/>
  <c r="Z23"/>
  <c r="Z22"/>
  <c r="Y16"/>
  <c r="F16"/>
  <c r="D16"/>
  <c r="AC15"/>
  <c r="H143"/>
  <c r="H140"/>
  <c r="H138"/>
  <c r="H136"/>
  <c r="H139"/>
  <c r="H137"/>
  <c r="H91"/>
  <c r="H89"/>
  <c r="H87"/>
  <c r="H85"/>
  <c r="H81"/>
  <c r="H79"/>
  <c r="H77"/>
  <c r="H64"/>
  <c r="H60"/>
  <c r="H58"/>
  <c r="H90"/>
  <c r="H92"/>
  <c r="H86"/>
  <c r="H84"/>
  <c r="H82"/>
  <c r="H80"/>
  <c r="H78"/>
  <c r="H65"/>
  <c r="H54"/>
  <c r="H49"/>
  <c r="H44"/>
  <c r="H42"/>
  <c r="H40"/>
  <c r="H39"/>
  <c r="H33"/>
  <c r="H31"/>
  <c r="H23"/>
  <c r="H22"/>
  <c r="H63"/>
  <c r="H61"/>
  <c r="H59"/>
  <c r="H41"/>
  <c r="H50"/>
  <c r="H48"/>
  <c r="H43"/>
  <c r="H38"/>
  <c r="H34"/>
  <c r="H32"/>
  <c r="H30"/>
  <c r="H28"/>
  <c r="H57"/>
  <c r="G16"/>
  <c r="H29"/>
  <c r="H24"/>
  <c r="L143"/>
  <c r="L140"/>
  <c r="L138"/>
  <c r="L136"/>
  <c r="L139"/>
  <c r="L137"/>
  <c r="L91"/>
  <c r="L87"/>
  <c r="L85"/>
  <c r="L81"/>
  <c r="L79"/>
  <c r="L77"/>
  <c r="L64"/>
  <c r="L60"/>
  <c r="L58"/>
  <c r="L93"/>
  <c r="L90"/>
  <c r="L92"/>
  <c r="L86"/>
  <c r="L84"/>
  <c r="L82"/>
  <c r="L80"/>
  <c r="L78"/>
  <c r="L65"/>
  <c r="L63"/>
  <c r="L89"/>
  <c r="L61"/>
  <c r="L59"/>
  <c r="L54"/>
  <c r="L49"/>
  <c r="L44"/>
  <c r="L42"/>
  <c r="L40"/>
  <c r="L33"/>
  <c r="L31"/>
  <c r="L29"/>
  <c r="L24"/>
  <c r="K16"/>
  <c r="L52"/>
  <c r="L50"/>
  <c r="L48"/>
  <c r="L43"/>
  <c r="L39"/>
  <c r="L38"/>
  <c r="L34"/>
  <c r="L32"/>
  <c r="L30"/>
  <c r="L28"/>
  <c r="L23"/>
  <c r="L22"/>
  <c r="AC41"/>
  <c r="I35"/>
  <c r="I36" s="1"/>
  <c r="S46" i="18"/>
  <c r="Y46" i="11"/>
  <c r="Y46" i="18"/>
  <c r="X46" i="11"/>
  <c r="W76"/>
  <c r="X76"/>
  <c r="W46" i="18"/>
  <c r="U46"/>
  <c r="V46" i="11"/>
  <c r="U76"/>
  <c r="V76"/>
  <c r="T46"/>
  <c r="S76"/>
  <c r="T76"/>
  <c r="K76"/>
  <c r="L76"/>
  <c r="K46" i="18"/>
  <c r="I46"/>
  <c r="G46"/>
  <c r="Q46"/>
  <c r="AA126" i="11"/>
  <c r="AB142"/>
  <c r="AB98"/>
  <c r="AB100"/>
  <c r="AB96"/>
  <c r="AB113"/>
  <c r="AB97"/>
  <c r="AB112"/>
  <c r="AB95"/>
  <c r="AB107"/>
  <c r="AB108"/>
  <c r="AB110"/>
  <c r="AB94"/>
  <c r="AB99"/>
  <c r="AB106"/>
  <c r="AB104"/>
  <c r="AB103"/>
  <c r="AB102"/>
  <c r="AB101"/>
  <c r="AB75"/>
  <c r="AB111"/>
  <c r="AB109"/>
  <c r="AB114"/>
  <c r="AB105"/>
  <c r="AB115"/>
  <c r="AB68"/>
  <c r="AB119"/>
  <c r="AB73"/>
  <c r="AB72"/>
  <c r="AB51"/>
  <c r="AB56"/>
  <c r="AB62"/>
  <c r="AB47"/>
  <c r="AB71"/>
  <c r="AB70"/>
  <c r="AB74"/>
  <c r="AB53"/>
  <c r="AB148"/>
  <c r="AB67"/>
  <c r="AB66"/>
  <c r="AB69"/>
  <c r="K35"/>
  <c r="E129"/>
  <c r="R16"/>
  <c r="E35"/>
  <c r="E36" s="1"/>
  <c r="C129"/>
  <c r="G35"/>
  <c r="C35"/>
  <c r="C36" s="1"/>
  <c r="AB127"/>
  <c r="AB141"/>
  <c r="AB120"/>
  <c r="U35"/>
  <c r="U36" s="1"/>
  <c r="AD7"/>
  <c r="AD11"/>
  <c r="AD6"/>
  <c r="AD10"/>
  <c r="AD9"/>
  <c r="AC12"/>
  <c r="AD118"/>
  <c r="AB83"/>
  <c r="V16"/>
  <c r="K21"/>
  <c r="L16"/>
  <c r="G21"/>
  <c r="Y21"/>
  <c r="H16"/>
  <c r="V21"/>
  <c r="Z16"/>
  <c r="X16"/>
  <c r="AB45"/>
  <c r="AB143"/>
  <c r="AB140"/>
  <c r="AB138"/>
  <c r="AB136"/>
  <c r="AB128"/>
  <c r="AB125"/>
  <c r="AB122"/>
  <c r="AB91"/>
  <c r="AB87"/>
  <c r="AB85"/>
  <c r="AB81"/>
  <c r="AB79"/>
  <c r="AB77"/>
  <c r="AB116"/>
  <c r="AB49"/>
  <c r="AB44"/>
  <c r="AB42"/>
  <c r="AB40"/>
  <c r="AB33"/>
  <c r="AB31"/>
  <c r="AB29"/>
  <c r="AB26"/>
  <c r="AB24"/>
  <c r="AB23"/>
  <c r="AB22"/>
  <c r="AB19"/>
  <c r="AA16"/>
  <c r="AB55"/>
  <c r="AB64"/>
  <c r="AB60"/>
  <c r="AB58"/>
  <c r="AB52"/>
  <c r="AB28"/>
  <c r="AB48"/>
  <c r="AB63"/>
  <c r="AB137"/>
  <c r="AB25"/>
  <c r="AB34"/>
  <c r="AB50"/>
  <c r="AB41"/>
  <c r="AB43"/>
  <c r="AB59"/>
  <c r="AB54"/>
  <c r="AB80"/>
  <c r="AB84"/>
  <c r="AB88"/>
  <c r="AB30"/>
  <c r="AB39"/>
  <c r="AB57"/>
  <c r="AB32"/>
  <c r="AB61"/>
  <c r="AB38"/>
  <c r="AB89"/>
  <c r="AB78"/>
  <c r="AB82"/>
  <c r="AB86"/>
  <c r="AB121"/>
  <c r="AB65"/>
  <c r="AB117"/>
  <c r="AB92"/>
  <c r="AB139"/>
  <c r="AB90"/>
  <c r="T16"/>
  <c r="J16"/>
  <c r="Z46"/>
  <c r="Y76"/>
  <c r="Z76"/>
  <c r="AA46" i="18"/>
  <c r="Q76" i="11"/>
  <c r="R76"/>
  <c r="Q35"/>
  <c r="AA27"/>
  <c r="AC27" s="1"/>
  <c r="J76"/>
  <c r="AA46"/>
  <c r="AD68"/>
  <c r="AD95"/>
  <c r="AD97"/>
  <c r="AD75"/>
  <c r="AD113"/>
  <c r="AD106"/>
  <c r="AD108"/>
  <c r="AD109"/>
  <c r="AD107"/>
  <c r="AD114"/>
  <c r="AD112"/>
  <c r="AD115"/>
  <c r="AD111"/>
  <c r="AD96"/>
  <c r="AD101"/>
  <c r="AD94"/>
  <c r="AD100"/>
  <c r="AD102"/>
  <c r="AD99"/>
  <c r="AD105"/>
  <c r="AD98"/>
  <c r="AD104"/>
  <c r="AD110"/>
  <c r="AD103"/>
  <c r="AD47"/>
  <c r="AD71"/>
  <c r="AD51"/>
  <c r="AD74"/>
  <c r="AD70"/>
  <c r="AD56"/>
  <c r="AD73"/>
  <c r="AD62"/>
  <c r="AD72"/>
  <c r="AD53"/>
  <c r="R21"/>
  <c r="W35"/>
  <c r="W36" s="1"/>
  <c r="AD66"/>
  <c r="AD67"/>
  <c r="AD69"/>
  <c r="S35"/>
  <c r="S36" s="1"/>
  <c r="Y35"/>
  <c r="Z35" s="1"/>
  <c r="AD148"/>
  <c r="AC126"/>
  <c r="AD126"/>
  <c r="D129"/>
  <c r="E145"/>
  <c r="F145" s="1"/>
  <c r="F129"/>
  <c r="K129"/>
  <c r="W129"/>
  <c r="U129"/>
  <c r="Y129"/>
  <c r="Q129"/>
  <c r="S129"/>
  <c r="D35"/>
  <c r="G129"/>
  <c r="F35"/>
  <c r="AD120"/>
  <c r="AD127"/>
  <c r="AD83"/>
  <c r="AD141"/>
  <c r="V35"/>
  <c r="AA17"/>
  <c r="AC17" s="1"/>
  <c r="AD45"/>
  <c r="AD41"/>
  <c r="H21"/>
  <c r="G36"/>
  <c r="G47" i="18"/>
  <c r="K36" i="11"/>
  <c r="L21"/>
  <c r="T21"/>
  <c r="AD44"/>
  <c r="AD42"/>
  <c r="AD40"/>
  <c r="AD33"/>
  <c r="AD31"/>
  <c r="AD29"/>
  <c r="AD24"/>
  <c r="AD23"/>
  <c r="AC16"/>
  <c r="AD50"/>
  <c r="AD48"/>
  <c r="AD26"/>
  <c r="AD19"/>
  <c r="AD55"/>
  <c r="AD80"/>
  <c r="AD84"/>
  <c r="AD88"/>
  <c r="AD30"/>
  <c r="AD34"/>
  <c r="AD43"/>
  <c r="AD140"/>
  <c r="AD54"/>
  <c r="AD92"/>
  <c r="AD81"/>
  <c r="AD58"/>
  <c r="AD139"/>
  <c r="AD128"/>
  <c r="AD143"/>
  <c r="AD49"/>
  <c r="AD78"/>
  <c r="AD82"/>
  <c r="AD86"/>
  <c r="AD116"/>
  <c r="AD22"/>
  <c r="AD25"/>
  <c r="AD38"/>
  <c r="AD79"/>
  <c r="AD87"/>
  <c r="AD91"/>
  <c r="AD77"/>
  <c r="AD85"/>
  <c r="AD52"/>
  <c r="AD60"/>
  <c r="AD137"/>
  <c r="AD89"/>
  <c r="AD138"/>
  <c r="AD125"/>
  <c r="AD28"/>
  <c r="AD32"/>
  <c r="AD136"/>
  <c r="AD121"/>
  <c r="AD64"/>
  <c r="AD122"/>
  <c r="AD63"/>
  <c r="AD61"/>
  <c r="AD59"/>
  <c r="AD57"/>
  <c r="AD65"/>
  <c r="AD39"/>
  <c r="Z21"/>
  <c r="J21"/>
  <c r="AB16"/>
  <c r="L35"/>
  <c r="J35"/>
  <c r="H35"/>
  <c r="X21"/>
  <c r="K156"/>
  <c r="K47" i="18"/>
  <c r="R35" i="11"/>
  <c r="AB27"/>
  <c r="AC46"/>
  <c r="AA76"/>
  <c r="AB76"/>
  <c r="AB46"/>
  <c r="X35"/>
  <c r="T35"/>
  <c r="Y36"/>
  <c r="R129"/>
  <c r="Q145"/>
  <c r="R145" s="1"/>
  <c r="U145"/>
  <c r="V145" s="1"/>
  <c r="V129"/>
  <c r="W145"/>
  <c r="X145" s="1"/>
  <c r="X129"/>
  <c r="AA129"/>
  <c r="AB129" s="1"/>
  <c r="AB126"/>
  <c r="S145"/>
  <c r="T145" s="1"/>
  <c r="T129"/>
  <c r="Y145"/>
  <c r="Z145" s="1"/>
  <c r="Z129"/>
  <c r="J129"/>
  <c r="K145"/>
  <c r="L145" s="1"/>
  <c r="L129"/>
  <c r="H129"/>
  <c r="G145"/>
  <c r="H145" s="1"/>
  <c r="AB17"/>
  <c r="AA21"/>
  <c r="AB21" s="1"/>
  <c r="L36"/>
  <c r="K37"/>
  <c r="K131" s="1"/>
  <c r="AD16"/>
  <c r="H36"/>
  <c r="G37"/>
  <c r="C93" i="7"/>
  <c r="C42" i="18" s="1"/>
  <c r="C41" i="7"/>
  <c r="C21"/>
  <c r="C36" s="1"/>
  <c r="C15"/>
  <c r="C93" i="2"/>
  <c r="C7" i="18" s="1"/>
  <c r="C41" i="2"/>
  <c r="C15"/>
  <c r="Y37" i="11"/>
  <c r="Z37" s="1"/>
  <c r="Y47" i="18"/>
  <c r="AC76" i="11"/>
  <c r="AD76"/>
  <c r="AD46"/>
  <c r="Z36"/>
  <c r="AA35"/>
  <c r="AB35" s="1"/>
  <c r="D58" i="2"/>
  <c r="C16" i="7"/>
  <c r="D144"/>
  <c r="C16" i="2"/>
  <c r="D144"/>
  <c r="L37" i="11"/>
  <c r="G131"/>
  <c r="H131" s="1"/>
  <c r="H37"/>
  <c r="C37" i="18"/>
  <c r="C42" i="7"/>
  <c r="C42" i="12"/>
  <c r="C35" i="2"/>
  <c r="C2" i="18"/>
  <c r="Y131" i="11"/>
  <c r="Y135" s="1"/>
  <c r="G135"/>
  <c r="H135" s="1"/>
  <c r="C117" i="18"/>
  <c r="C27" i="12"/>
  <c r="C46"/>
  <c r="C76" i="7"/>
  <c r="D76"/>
  <c r="C129"/>
  <c r="U12"/>
  <c r="S12"/>
  <c r="Y12"/>
  <c r="Q12"/>
  <c r="W12"/>
  <c r="T62"/>
  <c r="T72"/>
  <c r="T26"/>
  <c r="T25"/>
  <c r="T68"/>
  <c r="T73"/>
  <c r="T128"/>
  <c r="T127"/>
  <c r="S126"/>
  <c r="T126"/>
  <c r="T125"/>
  <c r="T122"/>
  <c r="T121"/>
  <c r="T120"/>
  <c r="T119"/>
  <c r="T118"/>
  <c r="T116"/>
  <c r="X62"/>
  <c r="X26"/>
  <c r="X25"/>
  <c r="X68"/>
  <c r="X73"/>
  <c r="X72"/>
  <c r="X125"/>
  <c r="X122"/>
  <c r="X121"/>
  <c r="X120"/>
  <c r="X119"/>
  <c r="X118"/>
  <c r="X116"/>
  <c r="W126"/>
  <c r="X126"/>
  <c r="X128"/>
  <c r="X127"/>
  <c r="V62"/>
  <c r="V26"/>
  <c r="V25"/>
  <c r="V68"/>
  <c r="V73"/>
  <c r="V72"/>
  <c r="U126"/>
  <c r="V126"/>
  <c r="V128"/>
  <c r="V127"/>
  <c r="V125"/>
  <c r="V122"/>
  <c r="V121"/>
  <c r="V120"/>
  <c r="V119"/>
  <c r="V118"/>
  <c r="V116"/>
  <c r="Z62"/>
  <c r="Z26"/>
  <c r="Z25"/>
  <c r="Z68"/>
  <c r="Z73"/>
  <c r="Z72"/>
  <c r="Z116"/>
  <c r="Z125"/>
  <c r="Z122"/>
  <c r="Z121"/>
  <c r="Z120"/>
  <c r="Z119"/>
  <c r="Z118"/>
  <c r="Z128"/>
  <c r="Z127"/>
  <c r="Y126"/>
  <c r="Z126"/>
  <c r="R62"/>
  <c r="R26"/>
  <c r="R25"/>
  <c r="R68"/>
  <c r="R73"/>
  <c r="R72"/>
  <c r="Q126"/>
  <c r="R126"/>
  <c r="R125"/>
  <c r="R122"/>
  <c r="R121"/>
  <c r="R120"/>
  <c r="R119"/>
  <c r="R118"/>
  <c r="R116"/>
  <c r="R128"/>
  <c r="R127"/>
  <c r="Z51"/>
  <c r="Z53"/>
  <c r="X53"/>
  <c r="W46"/>
  <c r="X46"/>
  <c r="X51"/>
  <c r="V53"/>
  <c r="V51"/>
  <c r="U46"/>
  <c r="V46"/>
  <c r="T17"/>
  <c r="T51"/>
  <c r="T53"/>
  <c r="S46"/>
  <c r="T46"/>
  <c r="R51"/>
  <c r="Q46"/>
  <c r="R46"/>
  <c r="R53"/>
  <c r="X142"/>
  <c r="X74"/>
  <c r="X70"/>
  <c r="X66"/>
  <c r="X115"/>
  <c r="X75"/>
  <c r="X71"/>
  <c r="X69"/>
  <c r="V142"/>
  <c r="V115"/>
  <c r="V75"/>
  <c r="V74"/>
  <c r="V71"/>
  <c r="V70"/>
  <c r="V69"/>
  <c r="V66"/>
  <c r="T142"/>
  <c r="T74"/>
  <c r="T70"/>
  <c r="T66"/>
  <c r="T115"/>
  <c r="T75"/>
  <c r="T71"/>
  <c r="T69"/>
  <c r="R142"/>
  <c r="R115"/>
  <c r="R75"/>
  <c r="R74"/>
  <c r="R71"/>
  <c r="R70"/>
  <c r="R69"/>
  <c r="R66"/>
  <c r="Z142"/>
  <c r="Z75"/>
  <c r="Z74"/>
  <c r="Z71"/>
  <c r="Z70"/>
  <c r="Z69"/>
  <c r="Z66"/>
  <c r="Z115"/>
  <c r="Z17"/>
  <c r="Z47"/>
  <c r="X17"/>
  <c r="X47"/>
  <c r="V17"/>
  <c r="V47"/>
  <c r="T47"/>
  <c r="R47"/>
  <c r="R17"/>
  <c r="V19"/>
  <c r="Z19"/>
  <c r="R19"/>
  <c r="X19"/>
  <c r="T19"/>
  <c r="R45"/>
  <c r="T45"/>
  <c r="V45"/>
  <c r="X45"/>
  <c r="Z45"/>
  <c r="X56"/>
  <c r="Z148"/>
  <c r="Z56"/>
  <c r="T56"/>
  <c r="R56"/>
  <c r="V56"/>
  <c r="X148"/>
  <c r="V148"/>
  <c r="R148"/>
  <c r="T148"/>
  <c r="Z141"/>
  <c r="X83"/>
  <c r="X141"/>
  <c r="V83"/>
  <c r="V141"/>
  <c r="T83"/>
  <c r="T141"/>
  <c r="R83"/>
  <c r="R141"/>
  <c r="S12" i="2"/>
  <c r="S126"/>
  <c r="U12"/>
  <c r="U126"/>
  <c r="Q12"/>
  <c r="Q126"/>
  <c r="Q126" i="12"/>
  <c r="Y12" i="2"/>
  <c r="Y126"/>
  <c r="W12"/>
  <c r="W126"/>
  <c r="AA52"/>
  <c r="AC52"/>
  <c r="S126" i="12"/>
  <c r="Z85" i="2"/>
  <c r="Z90"/>
  <c r="Z86"/>
  <c r="Z82"/>
  <c r="Z78"/>
  <c r="Z87"/>
  <c r="Z83"/>
  <c r="Z79"/>
  <c r="Z84"/>
  <c r="Z80"/>
  <c r="Z89"/>
  <c r="Z81"/>
  <c r="Z77"/>
  <c r="X89"/>
  <c r="X87"/>
  <c r="X85"/>
  <c r="X83"/>
  <c r="X81"/>
  <c r="X79"/>
  <c r="X77"/>
  <c r="X90"/>
  <c r="X86"/>
  <c r="X84"/>
  <c r="X82"/>
  <c r="X80"/>
  <c r="X78"/>
  <c r="V89"/>
  <c r="V77"/>
  <c r="V84"/>
  <c r="V80"/>
  <c r="V87"/>
  <c r="V83"/>
  <c r="V79"/>
  <c r="V90"/>
  <c r="V86"/>
  <c r="V82"/>
  <c r="V78"/>
  <c r="V85"/>
  <c r="V81"/>
  <c r="T90"/>
  <c r="T89"/>
  <c r="T87"/>
  <c r="T86"/>
  <c r="T85"/>
  <c r="T84"/>
  <c r="T83"/>
  <c r="T82"/>
  <c r="T81"/>
  <c r="T80"/>
  <c r="T79"/>
  <c r="T78"/>
  <c r="T77"/>
  <c r="R89"/>
  <c r="R85"/>
  <c r="R81"/>
  <c r="R77"/>
  <c r="R90"/>
  <c r="R86"/>
  <c r="R82"/>
  <c r="R78"/>
  <c r="R87"/>
  <c r="R83"/>
  <c r="R79"/>
  <c r="R84"/>
  <c r="R80"/>
  <c r="Z118"/>
  <c r="Z53"/>
  <c r="Z72"/>
  <c r="Z68"/>
  <c r="Z73"/>
  <c r="Z69"/>
  <c r="Z74"/>
  <c r="Z70"/>
  <c r="Z66"/>
  <c r="Z75"/>
  <c r="Z71"/>
  <c r="X118"/>
  <c r="X53"/>
  <c r="W126" i="12"/>
  <c r="X74" i="2"/>
  <c r="X70"/>
  <c r="X66"/>
  <c r="X75"/>
  <c r="X71"/>
  <c r="X72"/>
  <c r="X68"/>
  <c r="X73"/>
  <c r="X69"/>
  <c r="V47"/>
  <c r="V118"/>
  <c r="V53"/>
  <c r="V73"/>
  <c r="V69"/>
  <c r="V74"/>
  <c r="V70"/>
  <c r="V66"/>
  <c r="V75"/>
  <c r="V71"/>
  <c r="V72"/>
  <c r="V68"/>
  <c r="U126" i="12"/>
  <c r="T118" i="2"/>
  <c r="R118"/>
  <c r="R17"/>
  <c r="T53"/>
  <c r="T75"/>
  <c r="T71"/>
  <c r="T68"/>
  <c r="T69"/>
  <c r="T74"/>
  <c r="T70"/>
  <c r="T66"/>
  <c r="T72"/>
  <c r="T73"/>
  <c r="R53"/>
  <c r="R73"/>
  <c r="R69"/>
  <c r="R71"/>
  <c r="R72"/>
  <c r="R74"/>
  <c r="R70"/>
  <c r="R66"/>
  <c r="R75"/>
  <c r="R68"/>
  <c r="AA126" i="7"/>
  <c r="Y126" i="12"/>
  <c r="Y42"/>
  <c r="W42"/>
  <c r="U42"/>
  <c r="Q42"/>
  <c r="Z17" i="2"/>
  <c r="X17"/>
  <c r="V17"/>
  <c r="T17"/>
  <c r="M17" i="12"/>
  <c r="Z43" i="2"/>
  <c r="V43"/>
  <c r="X43"/>
  <c r="T43"/>
  <c r="T46"/>
  <c r="R46"/>
  <c r="V76"/>
  <c r="X76"/>
  <c r="T76"/>
  <c r="Z76"/>
  <c r="R76"/>
  <c r="T56"/>
  <c r="R56"/>
  <c r="Z56"/>
  <c r="V56"/>
  <c r="X56"/>
  <c r="Z127"/>
  <c r="Z141"/>
  <c r="X127"/>
  <c r="X141"/>
  <c r="V119"/>
  <c r="V127"/>
  <c r="V141"/>
  <c r="T127"/>
  <c r="T141"/>
  <c r="R127"/>
  <c r="R141"/>
  <c r="AA5" i="7"/>
  <c r="AB9"/>
  <c r="Y17" i="12"/>
  <c r="U17"/>
  <c r="S17"/>
  <c r="Q17"/>
  <c r="AB11" i="7"/>
  <c r="AB10"/>
  <c r="C153"/>
  <c r="AC5"/>
  <c r="AD9"/>
  <c r="AA8"/>
  <c r="AB8"/>
  <c r="AD11"/>
  <c r="AD10"/>
  <c r="AC8"/>
  <c r="AD8"/>
  <c r="O54" i="17"/>
  <c r="O55"/>
  <c r="P55"/>
  <c r="I58"/>
  <c r="AC142" i="2"/>
  <c r="AA164"/>
  <c r="N52" i="17"/>
  <c r="I52"/>
  <c r="AA59" i="7"/>
  <c r="Z59"/>
  <c r="X59"/>
  <c r="V59"/>
  <c r="T59"/>
  <c r="R59"/>
  <c r="L59"/>
  <c r="J59"/>
  <c r="H59"/>
  <c r="AB59"/>
  <c r="AC59"/>
  <c r="AA143"/>
  <c r="AA140"/>
  <c r="AA139"/>
  <c r="AC139"/>
  <c r="AA138"/>
  <c r="AA137"/>
  <c r="AA136"/>
  <c r="AC136"/>
  <c r="AA133"/>
  <c r="AA128"/>
  <c r="AC128"/>
  <c r="AA125"/>
  <c r="AC125"/>
  <c r="AA124"/>
  <c r="AC124"/>
  <c r="AA123"/>
  <c r="AC123"/>
  <c r="AA122"/>
  <c r="AA121"/>
  <c r="AA117"/>
  <c r="AA116"/>
  <c r="AC116"/>
  <c r="Y93"/>
  <c r="Y42" i="18" s="1"/>
  <c r="W93" i="7"/>
  <c r="W42" i="18" s="1"/>
  <c r="U93" i="7"/>
  <c r="U42" i="18" s="1"/>
  <c r="S93" i="7"/>
  <c r="S42" i="18" s="1"/>
  <c r="Q93" i="7"/>
  <c r="Q42" i="18" s="1"/>
  <c r="K93" i="7"/>
  <c r="K42" i="18" s="1"/>
  <c r="I93" i="7"/>
  <c r="I42" i="18" s="1"/>
  <c r="G93" i="7"/>
  <c r="G42" i="18" s="1"/>
  <c r="E93" i="7"/>
  <c r="E42" i="18" s="1"/>
  <c r="AA92" i="7"/>
  <c r="AC92"/>
  <c r="AA91"/>
  <c r="AC91"/>
  <c r="AA90"/>
  <c r="AA89"/>
  <c r="AA88"/>
  <c r="AC87"/>
  <c r="AA86"/>
  <c r="AA85"/>
  <c r="AC85"/>
  <c r="AA84"/>
  <c r="AA82"/>
  <c r="AC82"/>
  <c r="AA81"/>
  <c r="AA80"/>
  <c r="AA79"/>
  <c r="AA78"/>
  <c r="AA77"/>
  <c r="AA67"/>
  <c r="AA66"/>
  <c r="AA65"/>
  <c r="AA64"/>
  <c r="AA63"/>
  <c r="AC63"/>
  <c r="AA61"/>
  <c r="AA60"/>
  <c r="AA58"/>
  <c r="AA57"/>
  <c r="AA54"/>
  <c r="AA52"/>
  <c r="AA51"/>
  <c r="AA50"/>
  <c r="AA49"/>
  <c r="AC49"/>
  <c r="AA48"/>
  <c r="AA45"/>
  <c r="AA44"/>
  <c r="AA43"/>
  <c r="U41"/>
  <c r="S41"/>
  <c r="Q41"/>
  <c r="O41" i="12"/>
  <c r="K41" i="7"/>
  <c r="I41"/>
  <c r="G41"/>
  <c r="E41"/>
  <c r="AA40"/>
  <c r="AA38"/>
  <c r="AC38"/>
  <c r="AA34"/>
  <c r="AA33"/>
  <c r="AC33"/>
  <c r="AA32"/>
  <c r="AA31"/>
  <c r="AC31"/>
  <c r="AA30"/>
  <c r="AA29"/>
  <c r="AC29"/>
  <c r="AA28"/>
  <c r="AA26"/>
  <c r="AA24"/>
  <c r="AC24"/>
  <c r="AA23"/>
  <c r="AC23"/>
  <c r="AA22"/>
  <c r="AA20"/>
  <c r="AA19"/>
  <c r="AA18"/>
  <c r="AC18"/>
  <c r="Y15"/>
  <c r="W15"/>
  <c r="U15"/>
  <c r="S15"/>
  <c r="Q15"/>
  <c r="K15"/>
  <c r="I15"/>
  <c r="G15"/>
  <c r="E15"/>
  <c r="AA14"/>
  <c r="AA13"/>
  <c r="X144"/>
  <c r="V144"/>
  <c r="T144"/>
  <c r="R144"/>
  <c r="F83"/>
  <c r="AA7"/>
  <c r="AB7"/>
  <c r="AA6"/>
  <c r="AC55"/>
  <c r="AC65"/>
  <c r="W41"/>
  <c r="AC6"/>
  <c r="AD6"/>
  <c r="AB6"/>
  <c r="AA12"/>
  <c r="AB118"/>
  <c r="Z144"/>
  <c r="Z83"/>
  <c r="L144"/>
  <c r="L83"/>
  <c r="F144"/>
  <c r="J144"/>
  <c r="AC137"/>
  <c r="AA144"/>
  <c r="AA166" s="1"/>
  <c r="H144"/>
  <c r="AC34"/>
  <c r="AC13"/>
  <c r="AA15"/>
  <c r="AC20"/>
  <c r="AC25"/>
  <c r="AC44"/>
  <c r="AC48"/>
  <c r="AC51"/>
  <c r="AC54"/>
  <c r="AC56"/>
  <c r="AC60"/>
  <c r="AC81"/>
  <c r="AC89"/>
  <c r="AC121"/>
  <c r="AC143"/>
  <c r="AC7"/>
  <c r="AD7"/>
  <c r="AA39"/>
  <c r="AC50"/>
  <c r="T39"/>
  <c r="F39"/>
  <c r="F59"/>
  <c r="L34"/>
  <c r="V40"/>
  <c r="T23"/>
  <c r="J32"/>
  <c r="Z34"/>
  <c r="H23"/>
  <c r="X23"/>
  <c r="D39"/>
  <c r="D59"/>
  <c r="K16"/>
  <c r="S16"/>
  <c r="L23"/>
  <c r="R39"/>
  <c r="AD59"/>
  <c r="AC140"/>
  <c r="AC138"/>
  <c r="AC77"/>
  <c r="AC79"/>
  <c r="AC78"/>
  <c r="AC52"/>
  <c r="D16"/>
  <c r="H143"/>
  <c r="H140"/>
  <c r="H138"/>
  <c r="H136"/>
  <c r="H139"/>
  <c r="H137"/>
  <c r="H92"/>
  <c r="H79"/>
  <c r="H77"/>
  <c r="H63"/>
  <c r="H60"/>
  <c r="H55"/>
  <c r="H49"/>
  <c r="H93"/>
  <c r="H90"/>
  <c r="H86"/>
  <c r="H84"/>
  <c r="H80"/>
  <c r="H64"/>
  <c r="H61"/>
  <c r="H58"/>
  <c r="H43"/>
  <c r="H91"/>
  <c r="H81"/>
  <c r="H78"/>
  <c r="H54"/>
  <c r="H52"/>
  <c r="H50"/>
  <c r="H48"/>
  <c r="H89"/>
  <c r="H87"/>
  <c r="H85"/>
  <c r="H82"/>
  <c r="H65"/>
  <c r="H44"/>
  <c r="H40"/>
  <c r="T143"/>
  <c r="T140"/>
  <c r="T138"/>
  <c r="T136"/>
  <c r="T139"/>
  <c r="T137"/>
  <c r="T92"/>
  <c r="T79"/>
  <c r="T77"/>
  <c r="T63"/>
  <c r="T60"/>
  <c r="T55"/>
  <c r="T49"/>
  <c r="T90"/>
  <c r="T86"/>
  <c r="T84"/>
  <c r="T80"/>
  <c r="T64"/>
  <c r="T61"/>
  <c r="T58"/>
  <c r="T57"/>
  <c r="T43"/>
  <c r="T91"/>
  <c r="T81"/>
  <c r="T78"/>
  <c r="T54"/>
  <c r="T52"/>
  <c r="T50"/>
  <c r="T48"/>
  <c r="T89"/>
  <c r="T87"/>
  <c r="T85"/>
  <c r="T82"/>
  <c r="T65"/>
  <c r="T44"/>
  <c r="T40"/>
  <c r="E16"/>
  <c r="AC19"/>
  <c r="AC22"/>
  <c r="J23"/>
  <c r="V23"/>
  <c r="AC26"/>
  <c r="F29"/>
  <c r="F31"/>
  <c r="AC32"/>
  <c r="H33"/>
  <c r="X33"/>
  <c r="AC14"/>
  <c r="G16"/>
  <c r="W16"/>
  <c r="D22"/>
  <c r="H22"/>
  <c r="L22"/>
  <c r="T22"/>
  <c r="X22"/>
  <c r="D24"/>
  <c r="J24"/>
  <c r="R24"/>
  <c r="V24"/>
  <c r="Z24"/>
  <c r="D28"/>
  <c r="H28"/>
  <c r="L28"/>
  <c r="T28"/>
  <c r="X28"/>
  <c r="J29"/>
  <c r="R29"/>
  <c r="V29"/>
  <c r="Z29"/>
  <c r="H30"/>
  <c r="L30"/>
  <c r="T30"/>
  <c r="X30"/>
  <c r="J31"/>
  <c r="R31"/>
  <c r="V31"/>
  <c r="Z31"/>
  <c r="H32"/>
  <c r="L32"/>
  <c r="T32"/>
  <c r="X32"/>
  <c r="F34"/>
  <c r="J34"/>
  <c r="R34"/>
  <c r="V34"/>
  <c r="L39"/>
  <c r="AC40"/>
  <c r="H41"/>
  <c r="H57"/>
  <c r="X57"/>
  <c r="F139"/>
  <c r="F137"/>
  <c r="F143"/>
  <c r="F140"/>
  <c r="F138"/>
  <c r="F136"/>
  <c r="F91"/>
  <c r="F81"/>
  <c r="F78"/>
  <c r="F57"/>
  <c r="F54"/>
  <c r="F52"/>
  <c r="F50"/>
  <c r="F48"/>
  <c r="F89"/>
  <c r="F87"/>
  <c r="F85"/>
  <c r="F82"/>
  <c r="F65"/>
  <c r="F44"/>
  <c r="F92"/>
  <c r="F79"/>
  <c r="F77"/>
  <c r="F63"/>
  <c r="F60"/>
  <c r="F55"/>
  <c r="F49"/>
  <c r="F90"/>
  <c r="F86"/>
  <c r="F84"/>
  <c r="F80"/>
  <c r="F64"/>
  <c r="F61"/>
  <c r="F58"/>
  <c r="F43"/>
  <c r="Z139"/>
  <c r="Z137"/>
  <c r="Z143"/>
  <c r="Z140"/>
  <c r="Z138"/>
  <c r="Z136"/>
  <c r="Z91"/>
  <c r="Z81"/>
  <c r="Z78"/>
  <c r="Z54"/>
  <c r="Z52"/>
  <c r="Z50"/>
  <c r="Z48"/>
  <c r="Z89"/>
  <c r="Z87"/>
  <c r="Z85"/>
  <c r="Z82"/>
  <c r="Z65"/>
  <c r="Z44"/>
  <c r="Z42"/>
  <c r="Z92"/>
  <c r="Z79"/>
  <c r="Z77"/>
  <c r="Z63"/>
  <c r="Z60"/>
  <c r="Z55"/>
  <c r="Z49"/>
  <c r="Z90"/>
  <c r="Z86"/>
  <c r="Z84"/>
  <c r="Z80"/>
  <c r="Z64"/>
  <c r="Z61"/>
  <c r="Z58"/>
  <c r="Z43"/>
  <c r="Y41"/>
  <c r="Z39"/>
  <c r="D41"/>
  <c r="L41"/>
  <c r="T41"/>
  <c r="Q16"/>
  <c r="F33"/>
  <c r="V33"/>
  <c r="Z33"/>
  <c r="F38"/>
  <c r="V38"/>
  <c r="R40"/>
  <c r="F93"/>
  <c r="Z93"/>
  <c r="F22"/>
  <c r="J22"/>
  <c r="R22"/>
  <c r="V22"/>
  <c r="Z22"/>
  <c r="F23"/>
  <c r="H24"/>
  <c r="L24"/>
  <c r="T24"/>
  <c r="X24"/>
  <c r="F28"/>
  <c r="J28"/>
  <c r="R28"/>
  <c r="V28"/>
  <c r="Z28"/>
  <c r="H29"/>
  <c r="L29"/>
  <c r="T29"/>
  <c r="X29"/>
  <c r="J30"/>
  <c r="R30"/>
  <c r="V30"/>
  <c r="Z30"/>
  <c r="H31"/>
  <c r="L31"/>
  <c r="T31"/>
  <c r="X31"/>
  <c r="R32"/>
  <c r="V32"/>
  <c r="Z32"/>
  <c r="D34"/>
  <c r="H34"/>
  <c r="T34"/>
  <c r="X34"/>
  <c r="H39"/>
  <c r="F40"/>
  <c r="F41"/>
  <c r="J139"/>
  <c r="J137"/>
  <c r="J143"/>
  <c r="J140"/>
  <c r="J138"/>
  <c r="J136"/>
  <c r="J91"/>
  <c r="J81"/>
  <c r="J78"/>
  <c r="J54"/>
  <c r="J52"/>
  <c r="J50"/>
  <c r="J48"/>
  <c r="J89"/>
  <c r="J87"/>
  <c r="J85"/>
  <c r="J82"/>
  <c r="J65"/>
  <c r="J44"/>
  <c r="J92"/>
  <c r="J79"/>
  <c r="J77"/>
  <c r="J63"/>
  <c r="J60"/>
  <c r="J55"/>
  <c r="J49"/>
  <c r="J90"/>
  <c r="J86"/>
  <c r="J84"/>
  <c r="J80"/>
  <c r="J64"/>
  <c r="J61"/>
  <c r="J58"/>
  <c r="J43"/>
  <c r="R139"/>
  <c r="R137"/>
  <c r="R143"/>
  <c r="R140"/>
  <c r="R138"/>
  <c r="R136"/>
  <c r="R91"/>
  <c r="R81"/>
  <c r="R78"/>
  <c r="R54"/>
  <c r="R52"/>
  <c r="R50"/>
  <c r="R48"/>
  <c r="R89"/>
  <c r="R87"/>
  <c r="R85"/>
  <c r="R82"/>
  <c r="R65"/>
  <c r="R44"/>
  <c r="R42"/>
  <c r="R92"/>
  <c r="R79"/>
  <c r="R77"/>
  <c r="R63"/>
  <c r="R60"/>
  <c r="R55"/>
  <c r="R49"/>
  <c r="R90"/>
  <c r="R86"/>
  <c r="R84"/>
  <c r="R80"/>
  <c r="R64"/>
  <c r="R61"/>
  <c r="R58"/>
  <c r="R43"/>
  <c r="V139"/>
  <c r="V137"/>
  <c r="V143"/>
  <c r="V140"/>
  <c r="V138"/>
  <c r="V136"/>
  <c r="V91"/>
  <c r="V81"/>
  <c r="V78"/>
  <c r="V57"/>
  <c r="V54"/>
  <c r="V52"/>
  <c r="V50"/>
  <c r="V48"/>
  <c r="V89"/>
  <c r="V87"/>
  <c r="V85"/>
  <c r="V82"/>
  <c r="V65"/>
  <c r="V44"/>
  <c r="V42"/>
  <c r="V41"/>
  <c r="V93"/>
  <c r="V92"/>
  <c r="V79"/>
  <c r="V77"/>
  <c r="V63"/>
  <c r="V60"/>
  <c r="V55"/>
  <c r="V49"/>
  <c r="V90"/>
  <c r="V86"/>
  <c r="V84"/>
  <c r="V80"/>
  <c r="V64"/>
  <c r="V61"/>
  <c r="V58"/>
  <c r="V43"/>
  <c r="V39"/>
  <c r="D143"/>
  <c r="D140"/>
  <c r="D138"/>
  <c r="D136"/>
  <c r="D139"/>
  <c r="D137"/>
  <c r="D92"/>
  <c r="D79"/>
  <c r="D63"/>
  <c r="D60"/>
  <c r="D55"/>
  <c r="D49"/>
  <c r="D90"/>
  <c r="D86"/>
  <c r="D84"/>
  <c r="D80"/>
  <c r="D64"/>
  <c r="D61"/>
  <c r="D58"/>
  <c r="D57"/>
  <c r="D43"/>
  <c r="D91"/>
  <c r="D81"/>
  <c r="D78"/>
  <c r="D54"/>
  <c r="D52"/>
  <c r="D50"/>
  <c r="D48"/>
  <c r="D89"/>
  <c r="D87"/>
  <c r="D85"/>
  <c r="D82"/>
  <c r="D65"/>
  <c r="D44"/>
  <c r="D42"/>
  <c r="D40"/>
  <c r="D32"/>
  <c r="D31"/>
  <c r="D30"/>
  <c r="D29"/>
  <c r="L143"/>
  <c r="L140"/>
  <c r="L138"/>
  <c r="L136"/>
  <c r="L139"/>
  <c r="L137"/>
  <c r="L92"/>
  <c r="L79"/>
  <c r="L77"/>
  <c r="L63"/>
  <c r="L60"/>
  <c r="L55"/>
  <c r="L49"/>
  <c r="L90"/>
  <c r="L86"/>
  <c r="L84"/>
  <c r="L80"/>
  <c r="L64"/>
  <c r="L61"/>
  <c r="L58"/>
  <c r="L57"/>
  <c r="L43"/>
  <c r="L91"/>
  <c r="L81"/>
  <c r="L78"/>
  <c r="L54"/>
  <c r="L52"/>
  <c r="L50"/>
  <c r="L48"/>
  <c r="L89"/>
  <c r="L87"/>
  <c r="L85"/>
  <c r="L82"/>
  <c r="L65"/>
  <c r="L44"/>
  <c r="L40"/>
  <c r="X143"/>
  <c r="X140"/>
  <c r="X138"/>
  <c r="X136"/>
  <c r="X139"/>
  <c r="X137"/>
  <c r="X92"/>
  <c r="X79"/>
  <c r="X77"/>
  <c r="X63"/>
  <c r="X60"/>
  <c r="X55"/>
  <c r="X49"/>
  <c r="X93"/>
  <c r="X90"/>
  <c r="X86"/>
  <c r="X84"/>
  <c r="X80"/>
  <c r="X64"/>
  <c r="X61"/>
  <c r="X58"/>
  <c r="X43"/>
  <c r="X91"/>
  <c r="X81"/>
  <c r="X78"/>
  <c r="X54"/>
  <c r="X52"/>
  <c r="X50"/>
  <c r="X48"/>
  <c r="X89"/>
  <c r="X87"/>
  <c r="X85"/>
  <c r="X82"/>
  <c r="X65"/>
  <c r="X44"/>
  <c r="X42"/>
  <c r="X40"/>
  <c r="J41"/>
  <c r="R41"/>
  <c r="AC57"/>
  <c r="I16"/>
  <c r="Y16"/>
  <c r="F30"/>
  <c r="F32"/>
  <c r="J33"/>
  <c r="R33"/>
  <c r="J38"/>
  <c r="R38"/>
  <c r="Z38"/>
  <c r="J39"/>
  <c r="J93"/>
  <c r="U16"/>
  <c r="D23"/>
  <c r="R23"/>
  <c r="Z23"/>
  <c r="F24"/>
  <c r="AC28"/>
  <c r="AC30"/>
  <c r="D33"/>
  <c r="L33"/>
  <c r="T33"/>
  <c r="D38"/>
  <c r="H38"/>
  <c r="L38"/>
  <c r="T38"/>
  <c r="X38"/>
  <c r="X39"/>
  <c r="J40"/>
  <c r="Z40"/>
  <c r="R93"/>
  <c r="AC43"/>
  <c r="AC45"/>
  <c r="AC58"/>
  <c r="AC61"/>
  <c r="AC64"/>
  <c r="AC66"/>
  <c r="AC67"/>
  <c r="AC80"/>
  <c r="AC84"/>
  <c r="AC86"/>
  <c r="AC88"/>
  <c r="AC90"/>
  <c r="D93"/>
  <c r="T93"/>
  <c r="J57"/>
  <c r="R57"/>
  <c r="Z57"/>
  <c r="D129"/>
  <c r="AC117"/>
  <c r="AC122"/>
  <c r="AC133"/>
  <c r="Q37" i="18"/>
  <c r="G42" i="7"/>
  <c r="H42"/>
  <c r="S37" i="18"/>
  <c r="I37"/>
  <c r="I117"/>
  <c r="I42" i="7"/>
  <c r="E37" i="18"/>
  <c r="E42" i="7"/>
  <c r="K37" i="18"/>
  <c r="K42" i="7"/>
  <c r="Y46"/>
  <c r="Z46"/>
  <c r="Y37" i="18"/>
  <c r="W37"/>
  <c r="U37"/>
  <c r="G37"/>
  <c r="I46" i="12"/>
  <c r="I76" i="7"/>
  <c r="AB142"/>
  <c r="AB98"/>
  <c r="AB102"/>
  <c r="AB106"/>
  <c r="AB110"/>
  <c r="AB114"/>
  <c r="AB95"/>
  <c r="AB99"/>
  <c r="AB103"/>
  <c r="AB107"/>
  <c r="AB111"/>
  <c r="AB96"/>
  <c r="AB100"/>
  <c r="AB104"/>
  <c r="AB108"/>
  <c r="AB112"/>
  <c r="AB97"/>
  <c r="AB101"/>
  <c r="AB105"/>
  <c r="AB109"/>
  <c r="AB113"/>
  <c r="AB115"/>
  <c r="AB94"/>
  <c r="AB75"/>
  <c r="I27" i="12"/>
  <c r="AB68" i="7"/>
  <c r="AB119"/>
  <c r="AB62"/>
  <c r="AB47"/>
  <c r="AB71"/>
  <c r="AB73"/>
  <c r="AB53"/>
  <c r="AB70"/>
  <c r="AB72"/>
  <c r="AB74"/>
  <c r="AB148"/>
  <c r="AB69"/>
  <c r="T16"/>
  <c r="AC39"/>
  <c r="AC41"/>
  <c r="L16"/>
  <c r="AB127"/>
  <c r="AB67"/>
  <c r="AB56"/>
  <c r="AB120"/>
  <c r="AB141"/>
  <c r="W21"/>
  <c r="X21" s="1"/>
  <c r="AA41"/>
  <c r="X41"/>
  <c r="AC12"/>
  <c r="AD118"/>
  <c r="AB57"/>
  <c r="AB137"/>
  <c r="AB19"/>
  <c r="AB32"/>
  <c r="AB80"/>
  <c r="AB28"/>
  <c r="AB83"/>
  <c r="AB139"/>
  <c r="AB64"/>
  <c r="AB91"/>
  <c r="AB50"/>
  <c r="AB34"/>
  <c r="AB86"/>
  <c r="AB43"/>
  <c r="AB90"/>
  <c r="AB31"/>
  <c r="AB125"/>
  <c r="AB122"/>
  <c r="AB117"/>
  <c r="AB88"/>
  <c r="AB84"/>
  <c r="AB66"/>
  <c r="AB61"/>
  <c r="AB58"/>
  <c r="AB45"/>
  <c r="AB78"/>
  <c r="AB52"/>
  <c r="AB48"/>
  <c r="AB39"/>
  <c r="AB29"/>
  <c r="AB22"/>
  <c r="AB81"/>
  <c r="AB30"/>
  <c r="AB54"/>
  <c r="AC15"/>
  <c r="AB24"/>
  <c r="K21"/>
  <c r="L21" s="1"/>
  <c r="H16"/>
  <c r="AB23"/>
  <c r="AB26"/>
  <c r="AB38"/>
  <c r="V16"/>
  <c r="U21"/>
  <c r="U36" s="1"/>
  <c r="Z16"/>
  <c r="R16"/>
  <c r="X16"/>
  <c r="Y21"/>
  <c r="Y36" s="1"/>
  <c r="AB121"/>
  <c r="AB116"/>
  <c r="AB143"/>
  <c r="AB140"/>
  <c r="AB138"/>
  <c r="AB136"/>
  <c r="AB128"/>
  <c r="AB89"/>
  <c r="AB87"/>
  <c r="AB85"/>
  <c r="AB82"/>
  <c r="AB65"/>
  <c r="AB44"/>
  <c r="AB92"/>
  <c r="AB79"/>
  <c r="AB77"/>
  <c r="AB63"/>
  <c r="AB60"/>
  <c r="AB55"/>
  <c r="AB51"/>
  <c r="AB49"/>
  <c r="AB33"/>
  <c r="AA16"/>
  <c r="AB40"/>
  <c r="AB25"/>
  <c r="J16"/>
  <c r="I21"/>
  <c r="J21" s="1"/>
  <c r="Z41"/>
  <c r="AA17"/>
  <c r="AB17" s="1"/>
  <c r="F16"/>
  <c r="K42" i="12"/>
  <c r="L42" i="7"/>
  <c r="I174"/>
  <c r="I42" i="12"/>
  <c r="J42" i="7"/>
  <c r="E42" i="12"/>
  <c r="F42" i="7"/>
  <c r="AA37" i="18"/>
  <c r="W76" i="7"/>
  <c r="W46" i="12"/>
  <c r="U76" i="7"/>
  <c r="U46" i="12"/>
  <c r="S76" i="7"/>
  <c r="S76" i="12"/>
  <c r="S46"/>
  <c r="Q76" i="7"/>
  <c r="Q46" i="12"/>
  <c r="K46"/>
  <c r="K76" i="7"/>
  <c r="J76"/>
  <c r="I76" i="12"/>
  <c r="G46"/>
  <c r="G76" i="7"/>
  <c r="H76"/>
  <c r="E46" i="12"/>
  <c r="E76" i="7"/>
  <c r="AD113"/>
  <c r="AD109"/>
  <c r="AD105"/>
  <c r="AD101"/>
  <c r="AD97"/>
  <c r="AD114"/>
  <c r="AD110"/>
  <c r="AD106"/>
  <c r="AD102"/>
  <c r="AD98"/>
  <c r="AD95"/>
  <c r="AD111"/>
  <c r="AD107"/>
  <c r="AD103"/>
  <c r="AD99"/>
  <c r="AD96"/>
  <c r="AD112"/>
  <c r="AD108"/>
  <c r="AD104"/>
  <c r="AD100"/>
  <c r="AD115"/>
  <c r="AD94"/>
  <c r="Y76"/>
  <c r="AA46"/>
  <c r="Y46" i="12"/>
  <c r="AA27" i="7"/>
  <c r="AA35" s="1"/>
  <c r="AB35" s="1"/>
  <c r="AD68"/>
  <c r="AD70"/>
  <c r="AD74"/>
  <c r="AD71"/>
  <c r="AD72"/>
  <c r="AD47"/>
  <c r="AD73"/>
  <c r="AD62"/>
  <c r="AD53"/>
  <c r="S42" i="12"/>
  <c r="AA42" i="7"/>
  <c r="T42"/>
  <c r="L35"/>
  <c r="AD148"/>
  <c r="AD69"/>
  <c r="Y129"/>
  <c r="U129"/>
  <c r="G129"/>
  <c r="Q129"/>
  <c r="W129"/>
  <c r="S129"/>
  <c r="E129"/>
  <c r="I129"/>
  <c r="K129"/>
  <c r="AD127"/>
  <c r="AD121"/>
  <c r="AD120"/>
  <c r="AD141"/>
  <c r="AD26"/>
  <c r="AD81"/>
  <c r="AD52"/>
  <c r="AD55"/>
  <c r="AD78"/>
  <c r="AD143"/>
  <c r="AD83"/>
  <c r="AD45"/>
  <c r="AD56"/>
  <c r="AD79"/>
  <c r="AB41"/>
  <c r="AD43"/>
  <c r="AD23"/>
  <c r="AD65"/>
  <c r="AD40"/>
  <c r="AD28"/>
  <c r="AC16"/>
  <c r="AD85"/>
  <c r="AD57"/>
  <c r="AD61"/>
  <c r="AD84"/>
  <c r="AD122"/>
  <c r="AD60"/>
  <c r="AD32"/>
  <c r="AD64"/>
  <c r="AD86"/>
  <c r="AD117"/>
  <c r="AD39"/>
  <c r="AD38"/>
  <c r="AD82"/>
  <c r="AD48"/>
  <c r="AD92"/>
  <c r="AD137"/>
  <c r="AD91"/>
  <c r="AD116"/>
  <c r="AD54"/>
  <c r="AD89"/>
  <c r="AD58"/>
  <c r="AD88"/>
  <c r="AD25"/>
  <c r="AD51"/>
  <c r="AD77"/>
  <c r="AD22"/>
  <c r="AD30"/>
  <c r="AD80"/>
  <c r="AD90"/>
  <c r="AD24"/>
  <c r="AD125"/>
  <c r="AD138"/>
  <c r="AD50"/>
  <c r="AD128"/>
  <c r="AD136"/>
  <c r="AD66"/>
  <c r="AD19"/>
  <c r="AD67"/>
  <c r="AD49"/>
  <c r="AD63"/>
  <c r="AD41"/>
  <c r="AD34"/>
  <c r="AD31"/>
  <c r="AD33"/>
  <c r="AD140"/>
  <c r="AD44"/>
  <c r="AD139"/>
  <c r="AD29"/>
  <c r="AA21"/>
  <c r="AB21" s="1"/>
  <c r="J35"/>
  <c r="T35"/>
  <c r="H35"/>
  <c r="D21"/>
  <c r="H21"/>
  <c r="F21"/>
  <c r="Z21"/>
  <c r="R21"/>
  <c r="T21"/>
  <c r="AB16"/>
  <c r="V21"/>
  <c r="D35"/>
  <c r="F35"/>
  <c r="AA76"/>
  <c r="AB76"/>
  <c r="X76"/>
  <c r="W76" i="12"/>
  <c r="V76" i="7"/>
  <c r="U76" i="12"/>
  <c r="R76" i="7"/>
  <c r="Q76" i="12"/>
  <c r="L76" i="7"/>
  <c r="K76" i="12"/>
  <c r="F76" i="7"/>
  <c r="E76" i="12"/>
  <c r="AA46"/>
  <c r="AC46"/>
  <c r="AE46"/>
  <c r="Z76" i="7"/>
  <c r="Y76" i="12"/>
  <c r="AC46" i="7"/>
  <c r="AD46"/>
  <c r="AB46"/>
  <c r="AC27"/>
  <c r="AD27"/>
  <c r="AB27"/>
  <c r="AC42"/>
  <c r="AB42"/>
  <c r="T76"/>
  <c r="R35"/>
  <c r="Z35"/>
  <c r="X35"/>
  <c r="V35"/>
  <c r="K145"/>
  <c r="L145" s="1"/>
  <c r="L129"/>
  <c r="AB126"/>
  <c r="AA129"/>
  <c r="AC126"/>
  <c r="T129"/>
  <c r="S145"/>
  <c r="T145" s="1"/>
  <c r="G145"/>
  <c r="H129"/>
  <c r="U145"/>
  <c r="V145" s="1"/>
  <c r="V129"/>
  <c r="W145"/>
  <c r="X145" s="1"/>
  <c r="X129"/>
  <c r="Z129"/>
  <c r="Y145"/>
  <c r="Z145" s="1"/>
  <c r="E145"/>
  <c r="F145" s="1"/>
  <c r="F129"/>
  <c r="R129"/>
  <c r="Q145"/>
  <c r="R145" s="1"/>
  <c r="I145"/>
  <c r="J145" s="1"/>
  <c r="J129"/>
  <c r="U144" i="12"/>
  <c r="U166" s="1"/>
  <c r="Y144"/>
  <c r="Y166" s="1"/>
  <c r="O144"/>
  <c r="W144"/>
  <c r="W166" s="1"/>
  <c r="M144"/>
  <c r="AL139" i="8"/>
  <c r="AD16" i="7"/>
  <c r="AC76"/>
  <c r="AD76"/>
  <c r="AD42"/>
  <c r="AY145"/>
  <c r="AC35"/>
  <c r="AC129"/>
  <c r="AD129" s="1"/>
  <c r="AD126"/>
  <c r="AB129"/>
  <c r="AL144" i="8"/>
  <c r="D17" i="17"/>
  <c r="D19"/>
  <c r="AD35" i="7"/>
  <c r="AC45" i="2"/>
  <c r="AA57"/>
  <c r="AC57"/>
  <c r="AI102" i="12"/>
  <c r="AJ102"/>
  <c r="AI107"/>
  <c r="AJ107"/>
  <c r="AI103"/>
  <c r="AJ103"/>
  <c r="AI105"/>
  <c r="AJ105"/>
  <c r="AI101"/>
  <c r="AJ101"/>
  <c r="AI104"/>
  <c r="AJ104"/>
  <c r="AH105"/>
  <c r="AH104"/>
  <c r="AH102"/>
  <c r="AH103"/>
  <c r="AH101"/>
  <c r="AH107"/>
  <c r="AG104"/>
  <c r="AG105"/>
  <c r="AG102"/>
  <c r="AG103"/>
  <c r="AG107"/>
  <c r="AG101"/>
  <c r="L64" i="17"/>
  <c r="N64"/>
  <c r="O64"/>
  <c r="L63"/>
  <c r="N63"/>
  <c r="O63"/>
  <c r="N62"/>
  <c r="E66"/>
  <c r="G67"/>
  <c r="O62"/>
  <c r="O65"/>
  <c r="D31"/>
  <c r="D62"/>
  <c r="D63"/>
  <c r="E62"/>
  <c r="E63"/>
  <c r="D64"/>
  <c r="E64"/>
  <c r="C64"/>
  <c r="C67"/>
  <c r="C58"/>
  <c r="C51"/>
  <c r="C37"/>
  <c r="C38"/>
  <c r="C60"/>
  <c r="AA143" i="2"/>
  <c r="AC143"/>
  <c r="AA140"/>
  <c r="AC140"/>
  <c r="AA139"/>
  <c r="AC139"/>
  <c r="AA138"/>
  <c r="AC138"/>
  <c r="AC137"/>
  <c r="AA136"/>
  <c r="AC136"/>
  <c r="AA133"/>
  <c r="AC133"/>
  <c r="U129"/>
  <c r="S129"/>
  <c r="Q129"/>
  <c r="K129"/>
  <c r="K129" i="12" s="1"/>
  <c r="L129" s="1"/>
  <c r="AA128" i="2"/>
  <c r="AC128"/>
  <c r="Y129"/>
  <c r="W129"/>
  <c r="AA125"/>
  <c r="AC125"/>
  <c r="AA124"/>
  <c r="AC124"/>
  <c r="AA123"/>
  <c r="AC123"/>
  <c r="AA122"/>
  <c r="AC122"/>
  <c r="AA121"/>
  <c r="AC121"/>
  <c r="AA120"/>
  <c r="AC120"/>
  <c r="AA119"/>
  <c r="AC119"/>
  <c r="AC117"/>
  <c r="AD117" s="1"/>
  <c r="AA116"/>
  <c r="AC116"/>
  <c r="AA94"/>
  <c r="Q93"/>
  <c r="Q7" i="18" s="1"/>
  <c r="K93" i="2"/>
  <c r="K7" i="18" s="1"/>
  <c r="G93" i="2"/>
  <c r="G7" i="18" s="1"/>
  <c r="E93" i="2"/>
  <c r="E7" i="18" s="1"/>
  <c r="AA92" i="2"/>
  <c r="AC92"/>
  <c r="AA91"/>
  <c r="AC91"/>
  <c r="AA90"/>
  <c r="AC90"/>
  <c r="AA89"/>
  <c r="AC89"/>
  <c r="AA88"/>
  <c r="AC88" s="1"/>
  <c r="AD88" s="1"/>
  <c r="AA87"/>
  <c r="AC87"/>
  <c r="AA86"/>
  <c r="AC86"/>
  <c r="AA85"/>
  <c r="AC85"/>
  <c r="AA84"/>
  <c r="AC84"/>
  <c r="AA82"/>
  <c r="AC82"/>
  <c r="AA81"/>
  <c r="AC81"/>
  <c r="AA80"/>
  <c r="AC80"/>
  <c r="AA79"/>
  <c r="AC79"/>
  <c r="AA78"/>
  <c r="AC78"/>
  <c r="AA77"/>
  <c r="AC77"/>
  <c r="AC69"/>
  <c r="AC66"/>
  <c r="AA64"/>
  <c r="AC64"/>
  <c r="AA63"/>
  <c r="AC63"/>
  <c r="AA62"/>
  <c r="AC62"/>
  <c r="AA61"/>
  <c r="AC61"/>
  <c r="AA60"/>
  <c r="AC60"/>
  <c r="AA59"/>
  <c r="AC59"/>
  <c r="AA58"/>
  <c r="AC58"/>
  <c r="AA56"/>
  <c r="AC56"/>
  <c r="AA55"/>
  <c r="AC55"/>
  <c r="AA54"/>
  <c r="AC54"/>
  <c r="AC53"/>
  <c r="AA51"/>
  <c r="AC51"/>
  <c r="AA50"/>
  <c r="AC50"/>
  <c r="AA49"/>
  <c r="AC49"/>
  <c r="AA48"/>
  <c r="AC48"/>
  <c r="AA47"/>
  <c r="AC47"/>
  <c r="AA46"/>
  <c r="AC46"/>
  <c r="AA44"/>
  <c r="AC44"/>
  <c r="AA43"/>
  <c r="AC43"/>
  <c r="AC42"/>
  <c r="U41"/>
  <c r="U41" i="12"/>
  <c r="S41" i="2"/>
  <c r="S41" i="12"/>
  <c r="M41"/>
  <c r="K41" i="2"/>
  <c r="K41" i="12"/>
  <c r="G41" i="2"/>
  <c r="E41"/>
  <c r="Y41"/>
  <c r="Y41" i="12"/>
  <c r="W41" i="2"/>
  <c r="W41" i="12"/>
  <c r="AA38" i="2"/>
  <c r="AC38"/>
  <c r="AA34"/>
  <c r="AC34"/>
  <c r="AA33"/>
  <c r="AC33"/>
  <c r="AA32"/>
  <c r="AC32"/>
  <c r="AA31"/>
  <c r="AC31"/>
  <c r="AA30"/>
  <c r="AC30"/>
  <c r="AA29"/>
  <c r="AC29"/>
  <c r="AA28"/>
  <c r="AC28"/>
  <c r="AA26"/>
  <c r="AC26"/>
  <c r="AA25"/>
  <c r="AC25"/>
  <c r="AA24"/>
  <c r="AC24"/>
  <c r="AA23"/>
  <c r="AC23"/>
  <c r="AA20"/>
  <c r="AC20"/>
  <c r="AA19"/>
  <c r="AC19"/>
  <c r="AA18"/>
  <c r="AC18"/>
  <c r="Y15"/>
  <c r="W15"/>
  <c r="U15"/>
  <c r="S15"/>
  <c r="Q15"/>
  <c r="K15"/>
  <c r="G15"/>
  <c r="E15"/>
  <c r="AA14"/>
  <c r="AC14"/>
  <c r="AA13"/>
  <c r="AC13"/>
  <c r="AA8"/>
  <c r="AC8"/>
  <c r="AA7"/>
  <c r="AC7"/>
  <c r="AA6"/>
  <c r="AC6"/>
  <c r="AA5"/>
  <c r="AC94"/>
  <c r="AA115"/>
  <c r="AC115"/>
  <c r="AC67"/>
  <c r="AC5"/>
  <c r="AE9"/>
  <c r="AC68"/>
  <c r="M27" i="12"/>
  <c r="AI143"/>
  <c r="AJ143"/>
  <c r="AH143"/>
  <c r="AE11"/>
  <c r="G145" i="2"/>
  <c r="AB9"/>
  <c r="E12"/>
  <c r="E126"/>
  <c r="AB8"/>
  <c r="AB7"/>
  <c r="AB10"/>
  <c r="T144"/>
  <c r="R144"/>
  <c r="H58"/>
  <c r="Z144"/>
  <c r="X144"/>
  <c r="Q41"/>
  <c r="V144"/>
  <c r="L144"/>
  <c r="L58"/>
  <c r="J144"/>
  <c r="AA144"/>
  <c r="AC144" s="1"/>
  <c r="H144"/>
  <c r="L62"/>
  <c r="H57"/>
  <c r="L57"/>
  <c r="T57"/>
  <c r="X57"/>
  <c r="D57"/>
  <c r="J57"/>
  <c r="V57"/>
  <c r="Z57"/>
  <c r="AA15"/>
  <c r="AC15"/>
  <c r="R57"/>
  <c r="D59"/>
  <c r="J26"/>
  <c r="J25"/>
  <c r="V19"/>
  <c r="V26"/>
  <c r="V25"/>
  <c r="X64"/>
  <c r="X26"/>
  <c r="X25"/>
  <c r="Z26"/>
  <c r="Z25"/>
  <c r="J41"/>
  <c r="H63"/>
  <c r="H26"/>
  <c r="L61"/>
  <c r="L26"/>
  <c r="L25"/>
  <c r="R22"/>
  <c r="R26"/>
  <c r="R25"/>
  <c r="T26"/>
  <c r="T25"/>
  <c r="AA11"/>
  <c r="AC11"/>
  <c r="Q16"/>
  <c r="J19"/>
  <c r="V22"/>
  <c r="Y16"/>
  <c r="J22"/>
  <c r="U16"/>
  <c r="R19"/>
  <c r="Z19"/>
  <c r="V39"/>
  <c r="Z39"/>
  <c r="AA93"/>
  <c r="AC93" s="1"/>
  <c r="AD93" s="1"/>
  <c r="Y145"/>
  <c r="Z41"/>
  <c r="J138"/>
  <c r="J128"/>
  <c r="J125"/>
  <c r="J122"/>
  <c r="J120"/>
  <c r="J117"/>
  <c r="J140"/>
  <c r="J143"/>
  <c r="J139"/>
  <c r="J137"/>
  <c r="J129"/>
  <c r="J126"/>
  <c r="J121"/>
  <c r="J119"/>
  <c r="J116"/>
  <c r="J115"/>
  <c r="J142"/>
  <c r="J63"/>
  <c r="J61"/>
  <c r="J93"/>
  <c r="J91"/>
  <c r="J65"/>
  <c r="J64"/>
  <c r="J54"/>
  <c r="J52"/>
  <c r="J50"/>
  <c r="J48"/>
  <c r="R138"/>
  <c r="R128"/>
  <c r="R125"/>
  <c r="R122"/>
  <c r="R120"/>
  <c r="R117"/>
  <c r="R140"/>
  <c r="R143"/>
  <c r="R139"/>
  <c r="R137"/>
  <c r="R129"/>
  <c r="R126"/>
  <c r="R121"/>
  <c r="R119"/>
  <c r="R116"/>
  <c r="R115"/>
  <c r="R142"/>
  <c r="R63"/>
  <c r="R61"/>
  <c r="R59"/>
  <c r="R93"/>
  <c r="R91"/>
  <c r="R65"/>
  <c r="R64"/>
  <c r="R58"/>
  <c r="R54"/>
  <c r="R52"/>
  <c r="R50"/>
  <c r="R48"/>
  <c r="V143"/>
  <c r="V138"/>
  <c r="V128"/>
  <c r="V125"/>
  <c r="V122"/>
  <c r="V120"/>
  <c r="V117"/>
  <c r="V139"/>
  <c r="V137"/>
  <c r="V126"/>
  <c r="V121"/>
  <c r="V116"/>
  <c r="V142"/>
  <c r="V140"/>
  <c r="V63"/>
  <c r="V61"/>
  <c r="V59"/>
  <c r="V91"/>
  <c r="V64"/>
  <c r="V58"/>
  <c r="V54"/>
  <c r="V52"/>
  <c r="V50"/>
  <c r="V48"/>
  <c r="V46"/>
  <c r="Z138"/>
  <c r="Z128"/>
  <c r="Z125"/>
  <c r="Z122"/>
  <c r="Z120"/>
  <c r="Z117"/>
  <c r="Z140"/>
  <c r="Z143"/>
  <c r="Z139"/>
  <c r="Z137"/>
  <c r="Z121"/>
  <c r="Z119"/>
  <c r="Z116"/>
  <c r="Z115"/>
  <c r="Z142"/>
  <c r="Z63"/>
  <c r="Z61"/>
  <c r="Z59"/>
  <c r="Z93"/>
  <c r="Z91"/>
  <c r="Z65"/>
  <c r="Z64"/>
  <c r="Z58"/>
  <c r="Z54"/>
  <c r="Z52"/>
  <c r="Z50"/>
  <c r="Z48"/>
  <c r="Z46"/>
  <c r="L41"/>
  <c r="K16"/>
  <c r="S16"/>
  <c r="X19"/>
  <c r="D22"/>
  <c r="H22"/>
  <c r="L22"/>
  <c r="T22"/>
  <c r="Z22"/>
  <c r="D23"/>
  <c r="J23"/>
  <c r="R23"/>
  <c r="V23"/>
  <c r="Z23"/>
  <c r="D24"/>
  <c r="J24"/>
  <c r="R24"/>
  <c r="V24"/>
  <c r="Z24"/>
  <c r="D25"/>
  <c r="D28"/>
  <c r="J28"/>
  <c r="R28"/>
  <c r="V28"/>
  <c r="Z28"/>
  <c r="D29"/>
  <c r="J29"/>
  <c r="R29"/>
  <c r="V29"/>
  <c r="Z29"/>
  <c r="D30"/>
  <c r="J30"/>
  <c r="R30"/>
  <c r="V30"/>
  <c r="Z30"/>
  <c r="D31"/>
  <c r="J31"/>
  <c r="R31"/>
  <c r="V31"/>
  <c r="Z31"/>
  <c r="D32"/>
  <c r="J32"/>
  <c r="R32"/>
  <c r="V32"/>
  <c r="Z32"/>
  <c r="D33"/>
  <c r="J33"/>
  <c r="R33"/>
  <c r="V33"/>
  <c r="Z33"/>
  <c r="D34"/>
  <c r="J34"/>
  <c r="R34"/>
  <c r="V34"/>
  <c r="Z34"/>
  <c r="J39"/>
  <c r="U145"/>
  <c r="X41"/>
  <c r="J43"/>
  <c r="R43"/>
  <c r="X44"/>
  <c r="R49"/>
  <c r="D50"/>
  <c r="T50"/>
  <c r="V51"/>
  <c r="H52"/>
  <c r="X52"/>
  <c r="L54"/>
  <c r="J60"/>
  <c r="Z60"/>
  <c r="H61"/>
  <c r="X61"/>
  <c r="V62"/>
  <c r="D63"/>
  <c r="T63"/>
  <c r="L65"/>
  <c r="V93"/>
  <c r="D39"/>
  <c r="H39"/>
  <c r="J42"/>
  <c r="R42"/>
  <c r="V42"/>
  <c r="Z42"/>
  <c r="D44"/>
  <c r="H44"/>
  <c r="L44"/>
  <c r="V44"/>
  <c r="J45"/>
  <c r="R45"/>
  <c r="V45"/>
  <c r="Z45"/>
  <c r="R47"/>
  <c r="D48"/>
  <c r="T48"/>
  <c r="V49"/>
  <c r="H50"/>
  <c r="X50"/>
  <c r="J51"/>
  <c r="Z51"/>
  <c r="L52"/>
  <c r="R55"/>
  <c r="H59"/>
  <c r="L59"/>
  <c r="J62"/>
  <c r="Z62"/>
  <c r="X63"/>
  <c r="D93"/>
  <c r="T93"/>
  <c r="D139"/>
  <c r="D137"/>
  <c r="D125"/>
  <c r="D121"/>
  <c r="D119"/>
  <c r="D115"/>
  <c r="D140"/>
  <c r="D138"/>
  <c r="D128"/>
  <c r="D122"/>
  <c r="D120"/>
  <c r="D117"/>
  <c r="D116"/>
  <c r="D143"/>
  <c r="D64"/>
  <c r="D62"/>
  <c r="D60"/>
  <c r="D91"/>
  <c r="D66"/>
  <c r="D55"/>
  <c r="D51"/>
  <c r="D49"/>
  <c r="D47"/>
  <c r="H140"/>
  <c r="H139"/>
  <c r="H137"/>
  <c r="H126"/>
  <c r="H121"/>
  <c r="H119"/>
  <c r="H116"/>
  <c r="H143"/>
  <c r="H142"/>
  <c r="H138"/>
  <c r="H128"/>
  <c r="H125"/>
  <c r="H122"/>
  <c r="H120"/>
  <c r="H117"/>
  <c r="H64"/>
  <c r="H62"/>
  <c r="H60"/>
  <c r="H93"/>
  <c r="H65"/>
  <c r="H91"/>
  <c r="H55"/>
  <c r="H51"/>
  <c r="H49"/>
  <c r="H47"/>
  <c r="L139"/>
  <c r="L137"/>
  <c r="L126"/>
  <c r="L121"/>
  <c r="L119"/>
  <c r="L116"/>
  <c r="L142"/>
  <c r="L129"/>
  <c r="L140"/>
  <c r="L138"/>
  <c r="L128"/>
  <c r="L125"/>
  <c r="L122"/>
  <c r="L120"/>
  <c r="L117"/>
  <c r="L143"/>
  <c r="L60"/>
  <c r="L91"/>
  <c r="L64"/>
  <c r="L55"/>
  <c r="L51"/>
  <c r="L49"/>
  <c r="L47"/>
  <c r="T139"/>
  <c r="T137"/>
  <c r="T126"/>
  <c r="T121"/>
  <c r="T119"/>
  <c r="T116"/>
  <c r="T129"/>
  <c r="T115"/>
  <c r="T140"/>
  <c r="T138"/>
  <c r="T128"/>
  <c r="T125"/>
  <c r="T122"/>
  <c r="T120"/>
  <c r="T117"/>
  <c r="T143"/>
  <c r="T64"/>
  <c r="T62"/>
  <c r="T60"/>
  <c r="T58"/>
  <c r="T91"/>
  <c r="T55"/>
  <c r="T51"/>
  <c r="T49"/>
  <c r="T47"/>
  <c r="T44"/>
  <c r="X140"/>
  <c r="X139"/>
  <c r="X137"/>
  <c r="X121"/>
  <c r="X119"/>
  <c r="X116"/>
  <c r="X143"/>
  <c r="X142"/>
  <c r="X126"/>
  <c r="X138"/>
  <c r="X128"/>
  <c r="X125"/>
  <c r="X122"/>
  <c r="X120"/>
  <c r="X117"/>
  <c r="X62"/>
  <c r="X60"/>
  <c r="X58"/>
  <c r="X93"/>
  <c r="X65"/>
  <c r="X91"/>
  <c r="X55"/>
  <c r="X51"/>
  <c r="X49"/>
  <c r="X47"/>
  <c r="D41"/>
  <c r="T41"/>
  <c r="D65"/>
  <c r="AA65"/>
  <c r="AC65"/>
  <c r="G16"/>
  <c r="W16"/>
  <c r="H23"/>
  <c r="L23"/>
  <c r="T23"/>
  <c r="X23"/>
  <c r="H24"/>
  <c r="L24"/>
  <c r="T24"/>
  <c r="X24"/>
  <c r="D26"/>
  <c r="D27"/>
  <c r="H28"/>
  <c r="L28"/>
  <c r="T28"/>
  <c r="X28"/>
  <c r="H29"/>
  <c r="L29"/>
  <c r="T29"/>
  <c r="X29"/>
  <c r="H30"/>
  <c r="L30"/>
  <c r="T30"/>
  <c r="X30"/>
  <c r="H31"/>
  <c r="L31"/>
  <c r="T31"/>
  <c r="X31"/>
  <c r="H32"/>
  <c r="L32"/>
  <c r="T32"/>
  <c r="X32"/>
  <c r="H33"/>
  <c r="L33"/>
  <c r="T33"/>
  <c r="X33"/>
  <c r="H34"/>
  <c r="L34"/>
  <c r="T34"/>
  <c r="X34"/>
  <c r="T39"/>
  <c r="V41"/>
  <c r="D43"/>
  <c r="H43"/>
  <c r="L43"/>
  <c r="Z44"/>
  <c r="H48"/>
  <c r="X48"/>
  <c r="J49"/>
  <c r="Z49"/>
  <c r="L50"/>
  <c r="D54"/>
  <c r="T54"/>
  <c r="V55"/>
  <c r="T59"/>
  <c r="R60"/>
  <c r="L63"/>
  <c r="T65"/>
  <c r="D19"/>
  <c r="H19"/>
  <c r="L19"/>
  <c r="T19"/>
  <c r="X22"/>
  <c r="AA22"/>
  <c r="AC22"/>
  <c r="L39"/>
  <c r="R39"/>
  <c r="X39"/>
  <c r="H41"/>
  <c r="D42"/>
  <c r="H42"/>
  <c r="L42"/>
  <c r="T42"/>
  <c r="X42"/>
  <c r="J44"/>
  <c r="R44"/>
  <c r="D45"/>
  <c r="H45"/>
  <c r="L45"/>
  <c r="T45"/>
  <c r="X45"/>
  <c r="X46"/>
  <c r="J47"/>
  <c r="Z47"/>
  <c r="L48"/>
  <c r="R51"/>
  <c r="D52"/>
  <c r="T52"/>
  <c r="H54"/>
  <c r="X54"/>
  <c r="J55"/>
  <c r="Z55"/>
  <c r="J59"/>
  <c r="X59"/>
  <c r="V60"/>
  <c r="D61"/>
  <c r="T61"/>
  <c r="R62"/>
  <c r="L93"/>
  <c r="V65"/>
  <c r="H129"/>
  <c r="L115"/>
  <c r="Z129"/>
  <c r="X129"/>
  <c r="V115"/>
  <c r="V129"/>
  <c r="H115"/>
  <c r="X115"/>
  <c r="AC164"/>
  <c r="Z126"/>
  <c r="E126" i="12"/>
  <c r="E129" i="2"/>
  <c r="E145" s="1"/>
  <c r="F89"/>
  <c r="F84"/>
  <c r="F80"/>
  <c r="F87"/>
  <c r="F83"/>
  <c r="F79"/>
  <c r="F90"/>
  <c r="F86"/>
  <c r="F82"/>
  <c r="F78"/>
  <c r="F85"/>
  <c r="F81"/>
  <c r="F77"/>
  <c r="Y2" i="18"/>
  <c r="Y117"/>
  <c r="W2"/>
  <c r="W117"/>
  <c r="U27" i="12"/>
  <c r="U2" i="18"/>
  <c r="U117"/>
  <c r="S2"/>
  <c r="S117"/>
  <c r="S27" i="12"/>
  <c r="K35" i="2"/>
  <c r="K35" i="12" s="1"/>
  <c r="K2" i="18"/>
  <c r="K117"/>
  <c r="G2"/>
  <c r="G117"/>
  <c r="F17" i="2"/>
  <c r="F118"/>
  <c r="Q2" i="18"/>
  <c r="Q27" i="12"/>
  <c r="F53" i="2"/>
  <c r="F73"/>
  <c r="F69"/>
  <c r="F71"/>
  <c r="F68"/>
  <c r="F74"/>
  <c r="F70"/>
  <c r="F66"/>
  <c r="F75"/>
  <c r="F72"/>
  <c r="AA76"/>
  <c r="AC76"/>
  <c r="Y27" i="12"/>
  <c r="X27" i="2"/>
  <c r="F76"/>
  <c r="Q41" i="12"/>
  <c r="F46" i="2"/>
  <c r="Q145"/>
  <c r="R145" s="1"/>
  <c r="F32"/>
  <c r="AI11" i="12"/>
  <c r="AJ11"/>
  <c r="F143" i="2"/>
  <c r="F47"/>
  <c r="F48"/>
  <c r="F137"/>
  <c r="E16"/>
  <c r="AG11" i="12"/>
  <c r="AA166" i="2"/>
  <c r="AG143" i="12"/>
  <c r="R41" i="2"/>
  <c r="F115"/>
  <c r="F43"/>
  <c r="F49"/>
  <c r="F28"/>
  <c r="F44"/>
  <c r="F61"/>
  <c r="F142"/>
  <c r="F120"/>
  <c r="F25"/>
  <c r="K145"/>
  <c r="W145"/>
  <c r="AD9"/>
  <c r="V16"/>
  <c r="F51"/>
  <c r="F42"/>
  <c r="F22"/>
  <c r="F23"/>
  <c r="F30"/>
  <c r="F34"/>
  <c r="F59"/>
  <c r="F52"/>
  <c r="F116"/>
  <c r="F121"/>
  <c r="F125"/>
  <c r="F128"/>
  <c r="F129"/>
  <c r="F65"/>
  <c r="F93"/>
  <c r="F62"/>
  <c r="F19"/>
  <c r="F45"/>
  <c r="F64"/>
  <c r="F41"/>
  <c r="F55"/>
  <c r="F24"/>
  <c r="F29"/>
  <c r="F31"/>
  <c r="F33"/>
  <c r="F39"/>
  <c r="F60"/>
  <c r="F50"/>
  <c r="F54"/>
  <c r="F91"/>
  <c r="F63"/>
  <c r="F140"/>
  <c r="F119"/>
  <c r="F126"/>
  <c r="F139"/>
  <c r="F117"/>
  <c r="F122"/>
  <c r="F138"/>
  <c r="F26"/>
  <c r="F57"/>
  <c r="F127"/>
  <c r="F141"/>
  <c r="F56"/>
  <c r="AB11"/>
  <c r="AA12"/>
  <c r="AB118"/>
  <c r="AD8"/>
  <c r="AD7"/>
  <c r="AD10"/>
  <c r="F58"/>
  <c r="F144"/>
  <c r="W21"/>
  <c r="J16"/>
  <c r="K21" i="12"/>
  <c r="L21" s="1"/>
  <c r="H27" i="2"/>
  <c r="G35"/>
  <c r="G36" s="1"/>
  <c r="U35"/>
  <c r="J27"/>
  <c r="T27"/>
  <c r="S35"/>
  <c r="T35" s="1"/>
  <c r="Z27"/>
  <c r="Y35"/>
  <c r="Z35" s="1"/>
  <c r="U21"/>
  <c r="U36" s="1"/>
  <c r="R16"/>
  <c r="Z16"/>
  <c r="H145"/>
  <c r="X16"/>
  <c r="T16"/>
  <c r="H16"/>
  <c r="D16"/>
  <c r="Z145"/>
  <c r="J145"/>
  <c r="L16"/>
  <c r="S145"/>
  <c r="V145"/>
  <c r="AA41"/>
  <c r="AC41"/>
  <c r="K27" i="12"/>
  <c r="L27" i="2"/>
  <c r="V27"/>
  <c r="E27" i="12"/>
  <c r="E2" i="18"/>
  <c r="E117"/>
  <c r="Q117"/>
  <c r="AJ145" i="2"/>
  <c r="AB75"/>
  <c r="AB110"/>
  <c r="AB111"/>
  <c r="AB113"/>
  <c r="AB114"/>
  <c r="AB100"/>
  <c r="AB112"/>
  <c r="AB108"/>
  <c r="AB109"/>
  <c r="AB103"/>
  <c r="AB101"/>
  <c r="AB104"/>
  <c r="AB106"/>
  <c r="AB105"/>
  <c r="AB102"/>
  <c r="AB107"/>
  <c r="W35"/>
  <c r="X35" s="1"/>
  <c r="W27" i="12"/>
  <c r="AC12" i="2"/>
  <c r="AD118"/>
  <c r="AB74"/>
  <c r="AB72"/>
  <c r="AB70"/>
  <c r="AB73"/>
  <c r="AB71"/>
  <c r="AB76"/>
  <c r="E17" i="12"/>
  <c r="Q35" i="2"/>
  <c r="Q36" s="1"/>
  <c r="R27"/>
  <c r="AB95"/>
  <c r="AB96"/>
  <c r="AB99"/>
  <c r="AB98"/>
  <c r="AB97"/>
  <c r="AB94"/>
  <c r="AB69"/>
  <c r="E35"/>
  <c r="E35" i="12"/>
  <c r="F16" i="2"/>
  <c r="AH11" i="12"/>
  <c r="X145" i="2"/>
  <c r="X21"/>
  <c r="AB127"/>
  <c r="AB141"/>
  <c r="AB82"/>
  <c r="AD11"/>
  <c r="AB25"/>
  <c r="AB83"/>
  <c r="AB39"/>
  <c r="AB57"/>
  <c r="AB144"/>
  <c r="AB142"/>
  <c r="AB48"/>
  <c r="AB28"/>
  <c r="AB64"/>
  <c r="AB50"/>
  <c r="AB62"/>
  <c r="AB52"/>
  <c r="AB32"/>
  <c r="AB89"/>
  <c r="AB93"/>
  <c r="AB49"/>
  <c r="AB23"/>
  <c r="AB29"/>
  <c r="AB33"/>
  <c r="AB55"/>
  <c r="AB56"/>
  <c r="AB66"/>
  <c r="AB77"/>
  <c r="AB116"/>
  <c r="AB137"/>
  <c r="AB90"/>
  <c r="AB86"/>
  <c r="AB26"/>
  <c r="AA16"/>
  <c r="AB31"/>
  <c r="AB47"/>
  <c r="AB45"/>
  <c r="AB58"/>
  <c r="AB87"/>
  <c r="AB60"/>
  <c r="AB121"/>
  <c r="AB143"/>
  <c r="AB22"/>
  <c r="AB115"/>
  <c r="AB19"/>
  <c r="AB59"/>
  <c r="AB65"/>
  <c r="AB24"/>
  <c r="AB30"/>
  <c r="AB34"/>
  <c r="AB42"/>
  <c r="AB51"/>
  <c r="AB85"/>
  <c r="AB79"/>
  <c r="AB119"/>
  <c r="AB139"/>
  <c r="AB44"/>
  <c r="AB63"/>
  <c r="AB128"/>
  <c r="AB78"/>
  <c r="AB53"/>
  <c r="AB122"/>
  <c r="AB125"/>
  <c r="AB140"/>
  <c r="AB54"/>
  <c r="AB88"/>
  <c r="AB91"/>
  <c r="AB120"/>
  <c r="AB68"/>
  <c r="AB61"/>
  <c r="AB43"/>
  <c r="AB46"/>
  <c r="AB117"/>
  <c r="AB138"/>
  <c r="D21"/>
  <c r="H21"/>
  <c r="J35"/>
  <c r="V35"/>
  <c r="T21"/>
  <c r="V21"/>
  <c r="L35"/>
  <c r="R21"/>
  <c r="D35"/>
  <c r="H35"/>
  <c r="L21"/>
  <c r="L145"/>
  <c r="AB41"/>
  <c r="T145"/>
  <c r="AA27"/>
  <c r="AC27" s="1"/>
  <c r="AD27" s="1"/>
  <c r="AA2" i="18"/>
  <c r="AA117"/>
  <c r="AC16" i="2"/>
  <c r="AE16"/>
  <c r="AD76"/>
  <c r="AD75"/>
  <c r="AD111"/>
  <c r="AD108"/>
  <c r="AD109"/>
  <c r="AD100"/>
  <c r="AD110"/>
  <c r="AD113"/>
  <c r="AD112"/>
  <c r="AD114"/>
  <c r="AD101"/>
  <c r="AD103"/>
  <c r="AD106"/>
  <c r="AD105"/>
  <c r="AD107"/>
  <c r="AD104"/>
  <c r="AD102"/>
  <c r="W36"/>
  <c r="W3" i="18" s="1"/>
  <c r="AD97" i="2"/>
  <c r="AD73"/>
  <c r="AD71"/>
  <c r="AD74"/>
  <c r="AD72"/>
  <c r="AD70"/>
  <c r="AD98"/>
  <c r="AD96"/>
  <c r="AD95"/>
  <c r="AD99"/>
  <c r="AD69"/>
  <c r="AD94"/>
  <c r="F27"/>
  <c r="F35"/>
  <c r="F21"/>
  <c r="AB16"/>
  <c r="AD49"/>
  <c r="AD127"/>
  <c r="AD141"/>
  <c r="AD82"/>
  <c r="AD31"/>
  <c r="AD60"/>
  <c r="AD115"/>
  <c r="AD91"/>
  <c r="AD54"/>
  <c r="AD44"/>
  <c r="AD85"/>
  <c r="AD116"/>
  <c r="AD43"/>
  <c r="AD142"/>
  <c r="AD79"/>
  <c r="AD138"/>
  <c r="AD23"/>
  <c r="AD65"/>
  <c r="AD39"/>
  <c r="AD62"/>
  <c r="AD137"/>
  <c r="AD45"/>
  <c r="AD78"/>
  <c r="AD19"/>
  <c r="AD58"/>
  <c r="AD25"/>
  <c r="AD143"/>
  <c r="AD128"/>
  <c r="AD57"/>
  <c r="AD61"/>
  <c r="AD47"/>
  <c r="AD33"/>
  <c r="AD50"/>
  <c r="AD52"/>
  <c r="AD125"/>
  <c r="AD46"/>
  <c r="AD51"/>
  <c r="AD24"/>
  <c r="AD63"/>
  <c r="AD56"/>
  <c r="AD77"/>
  <c r="AD90"/>
  <c r="AD30"/>
  <c r="AD32"/>
  <c r="AD22"/>
  <c r="AD139"/>
  <c r="AD53"/>
  <c r="AD122"/>
  <c r="AD120"/>
  <c r="AD48"/>
  <c r="AD89"/>
  <c r="AD28"/>
  <c r="AD86"/>
  <c r="AD64"/>
  <c r="AD29"/>
  <c r="AD42"/>
  <c r="AD140"/>
  <c r="AD55"/>
  <c r="AD26"/>
  <c r="AD66"/>
  <c r="AD34"/>
  <c r="AD83"/>
  <c r="AD87"/>
  <c r="AD68"/>
  <c r="AD121"/>
  <c r="AD59"/>
  <c r="AD41"/>
  <c r="AD16"/>
  <c r="X148"/>
  <c r="V148"/>
  <c r="T148"/>
  <c r="R148"/>
  <c r="L148"/>
  <c r="J148"/>
  <c r="H148"/>
  <c r="D148"/>
  <c r="F148"/>
  <c r="Y115" i="12"/>
  <c r="W115"/>
  <c r="U115"/>
  <c r="S115"/>
  <c r="Q115"/>
  <c r="O115"/>
  <c r="M115"/>
  <c r="K115"/>
  <c r="I115"/>
  <c r="G115"/>
  <c r="E115"/>
  <c r="AL115" i="8"/>
  <c r="Q129" i="12"/>
  <c r="W93"/>
  <c r="X93" s="1"/>
  <c r="U93"/>
  <c r="S93"/>
  <c r="Q93"/>
  <c r="O93"/>
  <c r="M93"/>
  <c r="K93"/>
  <c r="L93" s="1"/>
  <c r="AI39"/>
  <c r="AJ39"/>
  <c r="AH39"/>
  <c r="I93"/>
  <c r="J93" s="1"/>
  <c r="I41"/>
  <c r="I15"/>
  <c r="J15"/>
  <c r="AG39"/>
  <c r="I12"/>
  <c r="J118"/>
  <c r="J75"/>
  <c r="J110"/>
  <c r="J113"/>
  <c r="J100"/>
  <c r="J109"/>
  <c r="J104"/>
  <c r="J105"/>
  <c r="J102"/>
  <c r="J106"/>
  <c r="J103"/>
  <c r="J112"/>
  <c r="J107"/>
  <c r="J101"/>
  <c r="J114"/>
  <c r="J111"/>
  <c r="J108"/>
  <c r="J74"/>
  <c r="J73"/>
  <c r="J72"/>
  <c r="J71"/>
  <c r="J70"/>
  <c r="J41"/>
  <c r="J98"/>
  <c r="J63"/>
  <c r="J46"/>
  <c r="J53"/>
  <c r="J91"/>
  <c r="J34"/>
  <c r="J45"/>
  <c r="J127"/>
  <c r="J95"/>
  <c r="J12"/>
  <c r="J28"/>
  <c r="J121"/>
  <c r="J85"/>
  <c r="J60"/>
  <c r="J99"/>
  <c r="J77"/>
  <c r="J88"/>
  <c r="J47"/>
  <c r="J26"/>
  <c r="J33"/>
  <c r="J64"/>
  <c r="J69"/>
  <c r="J42"/>
  <c r="J24"/>
  <c r="J55"/>
  <c r="J125"/>
  <c r="J139"/>
  <c r="J90"/>
  <c r="J62"/>
  <c r="J76"/>
  <c r="J116"/>
  <c r="J86"/>
  <c r="J29"/>
  <c r="J56"/>
  <c r="J23"/>
  <c r="J66"/>
  <c r="J83"/>
  <c r="J52"/>
  <c r="J22"/>
  <c r="J122"/>
  <c r="J31"/>
  <c r="J43"/>
  <c r="J140"/>
  <c r="J143"/>
  <c r="J30"/>
  <c r="J96"/>
  <c r="J58"/>
  <c r="J49"/>
  <c r="J44"/>
  <c r="J78"/>
  <c r="J54"/>
  <c r="J61"/>
  <c r="I16"/>
  <c r="J16"/>
  <c r="J120"/>
  <c r="J126"/>
  <c r="J48"/>
  <c r="J148"/>
  <c r="J117"/>
  <c r="J87"/>
  <c r="J137"/>
  <c r="J141"/>
  <c r="J25"/>
  <c r="J68"/>
  <c r="J119"/>
  <c r="J128"/>
  <c r="J59"/>
  <c r="J19"/>
  <c r="J39"/>
  <c r="J138"/>
  <c r="J50"/>
  <c r="J57"/>
  <c r="J32"/>
  <c r="J89"/>
  <c r="J97"/>
  <c r="J142"/>
  <c r="J65"/>
  <c r="J82"/>
  <c r="J51"/>
  <c r="J94"/>
  <c r="J17"/>
  <c r="J27"/>
  <c r="J115"/>
  <c r="AI40"/>
  <c r="AJ40"/>
  <c r="AI133"/>
  <c r="AJ133"/>
  <c r="AH40"/>
  <c r="AG40"/>
  <c r="AI140"/>
  <c r="AJ140"/>
  <c r="AI139"/>
  <c r="AJ139"/>
  <c r="AI138"/>
  <c r="AJ138"/>
  <c r="AI137"/>
  <c r="AJ137"/>
  <c r="AI136"/>
  <c r="AJ136"/>
  <c r="I129"/>
  <c r="J129" s="1"/>
  <c r="E129"/>
  <c r="AI128"/>
  <c r="AJ128"/>
  <c r="AI127"/>
  <c r="AJ127"/>
  <c r="AI125"/>
  <c r="AJ125"/>
  <c r="AI124"/>
  <c r="AJ124"/>
  <c r="AI123"/>
  <c r="AJ123"/>
  <c r="AI122"/>
  <c r="AJ122"/>
  <c r="AI121"/>
  <c r="AJ121"/>
  <c r="AI120"/>
  <c r="AJ120"/>
  <c r="AI119"/>
  <c r="AJ119"/>
  <c r="AI117"/>
  <c r="AJ117" s="1"/>
  <c r="AI116"/>
  <c r="AJ116"/>
  <c r="AI99"/>
  <c r="AJ99"/>
  <c r="AI98"/>
  <c r="AJ98"/>
  <c r="AI97"/>
  <c r="AJ97"/>
  <c r="AI96"/>
  <c r="AJ96"/>
  <c r="AI95"/>
  <c r="AJ95"/>
  <c r="AI94"/>
  <c r="AJ94"/>
  <c r="G93"/>
  <c r="E93"/>
  <c r="C93"/>
  <c r="AI92"/>
  <c r="AJ92" s="1"/>
  <c r="AI91"/>
  <c r="AJ91"/>
  <c r="AI89"/>
  <c r="AJ89"/>
  <c r="AI88"/>
  <c r="AI87"/>
  <c r="AJ87" s="1"/>
  <c r="AI86"/>
  <c r="AJ86"/>
  <c r="AI85"/>
  <c r="AJ85"/>
  <c r="AI84"/>
  <c r="AJ84"/>
  <c r="AI83"/>
  <c r="AJ83"/>
  <c r="AI82"/>
  <c r="AJ82"/>
  <c r="AI81"/>
  <c r="AJ81"/>
  <c r="AI80"/>
  <c r="AJ80"/>
  <c r="AI79"/>
  <c r="AJ79"/>
  <c r="AI78"/>
  <c r="AJ78"/>
  <c r="AI77"/>
  <c r="AJ77"/>
  <c r="AI69"/>
  <c r="AJ69"/>
  <c r="AI68"/>
  <c r="AJ68"/>
  <c r="AI67"/>
  <c r="AJ67"/>
  <c r="AI66"/>
  <c r="AJ66"/>
  <c r="AI65"/>
  <c r="AJ65"/>
  <c r="AI64"/>
  <c r="AJ64"/>
  <c r="AI63"/>
  <c r="AJ63"/>
  <c r="AI62"/>
  <c r="AJ62"/>
  <c r="AI61"/>
  <c r="AJ61"/>
  <c r="AI60"/>
  <c r="AJ60"/>
  <c r="AI59"/>
  <c r="AJ59"/>
  <c r="AI58"/>
  <c r="AJ58"/>
  <c r="AI57"/>
  <c r="AJ57"/>
  <c r="AI56"/>
  <c r="AJ56"/>
  <c r="AI55"/>
  <c r="AJ55"/>
  <c r="AI54"/>
  <c r="AJ54"/>
  <c r="AI53"/>
  <c r="AJ53"/>
  <c r="AI52"/>
  <c r="AJ52"/>
  <c r="AI51"/>
  <c r="AJ51"/>
  <c r="AI50"/>
  <c r="AJ50"/>
  <c r="AI49"/>
  <c r="AJ49"/>
  <c r="AI48"/>
  <c r="AJ48"/>
  <c r="AI47"/>
  <c r="AJ47"/>
  <c r="AI46"/>
  <c r="AJ46"/>
  <c r="AI45"/>
  <c r="AJ45"/>
  <c r="AI44"/>
  <c r="AJ44"/>
  <c r="AI43"/>
  <c r="AJ43"/>
  <c r="G41"/>
  <c r="E41"/>
  <c r="C41"/>
  <c r="AI38"/>
  <c r="AJ38"/>
  <c r="AI34"/>
  <c r="AJ34"/>
  <c r="AI33"/>
  <c r="AJ33"/>
  <c r="AI32"/>
  <c r="AJ32"/>
  <c r="AI31"/>
  <c r="AJ31"/>
  <c r="AI30"/>
  <c r="AJ30"/>
  <c r="AI29"/>
  <c r="AJ29"/>
  <c r="AI28"/>
  <c r="AJ28"/>
  <c r="AI26"/>
  <c r="AJ26"/>
  <c r="AI25"/>
  <c r="AJ25"/>
  <c r="AI24"/>
  <c r="AJ24"/>
  <c r="AI23"/>
  <c r="AJ23"/>
  <c r="AI20"/>
  <c r="AJ20"/>
  <c r="AI19"/>
  <c r="AJ19"/>
  <c r="AI18"/>
  <c r="AJ18"/>
  <c r="Y15"/>
  <c r="Z15"/>
  <c r="W15"/>
  <c r="X15"/>
  <c r="U15"/>
  <c r="V15"/>
  <c r="S15"/>
  <c r="T15"/>
  <c r="Q15"/>
  <c r="R15"/>
  <c r="O15"/>
  <c r="M15"/>
  <c r="N15"/>
  <c r="K15"/>
  <c r="L15"/>
  <c r="G15"/>
  <c r="H15"/>
  <c r="E15"/>
  <c r="F15"/>
  <c r="C15"/>
  <c r="AI14"/>
  <c r="AJ14"/>
  <c r="AI13"/>
  <c r="AJ13"/>
  <c r="E12"/>
  <c r="F118"/>
  <c r="C12"/>
  <c r="D118"/>
  <c r="AI9"/>
  <c r="AJ9"/>
  <c r="AI8"/>
  <c r="AJ8"/>
  <c r="AI7"/>
  <c r="AJ7"/>
  <c r="AI6"/>
  <c r="AJ6"/>
  <c r="F75"/>
  <c r="F106"/>
  <c r="F102"/>
  <c r="F111"/>
  <c r="F107"/>
  <c r="F103"/>
  <c r="F112"/>
  <c r="F108"/>
  <c r="F100"/>
  <c r="F104"/>
  <c r="F113"/>
  <c r="F109"/>
  <c r="F105"/>
  <c r="F114"/>
  <c r="F110"/>
  <c r="F101"/>
  <c r="D75"/>
  <c r="D107"/>
  <c r="D103"/>
  <c r="D106"/>
  <c r="D102"/>
  <c r="D114"/>
  <c r="D109"/>
  <c r="D112"/>
  <c r="D111"/>
  <c r="D105"/>
  <c r="D100"/>
  <c r="D104"/>
  <c r="D101"/>
  <c r="D110"/>
  <c r="D113"/>
  <c r="D108"/>
  <c r="D99"/>
  <c r="F74"/>
  <c r="F73"/>
  <c r="F72"/>
  <c r="F71"/>
  <c r="F70"/>
  <c r="D74"/>
  <c r="D73"/>
  <c r="D72"/>
  <c r="D71"/>
  <c r="D70"/>
  <c r="F41"/>
  <c r="L79"/>
  <c r="D90"/>
  <c r="D64"/>
  <c r="D48"/>
  <c r="D28"/>
  <c r="V79"/>
  <c r="D142"/>
  <c r="D116"/>
  <c r="D91"/>
  <c r="D65"/>
  <c r="D49"/>
  <c r="D29"/>
  <c r="P79"/>
  <c r="D128"/>
  <c r="D83"/>
  <c r="D58"/>
  <c r="D42"/>
  <c r="D22"/>
  <c r="D89"/>
  <c r="D63"/>
  <c r="D47"/>
  <c r="D12"/>
  <c r="T79"/>
  <c r="D120"/>
  <c r="D95"/>
  <c r="D69"/>
  <c r="D52"/>
  <c r="D32"/>
  <c r="AD79"/>
  <c r="D148"/>
  <c r="D121"/>
  <c r="D96"/>
  <c r="D53"/>
  <c r="D33"/>
  <c r="X79"/>
  <c r="D139"/>
  <c r="D88"/>
  <c r="D62"/>
  <c r="D46"/>
  <c r="D26"/>
  <c r="J79"/>
  <c r="D119"/>
  <c r="D94"/>
  <c r="D68"/>
  <c r="D51"/>
  <c r="D23"/>
  <c r="AB79"/>
  <c r="D137"/>
  <c r="D79"/>
  <c r="D56"/>
  <c r="D39"/>
  <c r="C16"/>
  <c r="D16"/>
  <c r="F79"/>
  <c r="D127"/>
  <c r="D82"/>
  <c r="D57"/>
  <c r="D19"/>
  <c r="D143"/>
  <c r="D117"/>
  <c r="D66"/>
  <c r="D50"/>
  <c r="D30"/>
  <c r="R79"/>
  <c r="D125"/>
  <c r="D98"/>
  <c r="D78"/>
  <c r="D55"/>
  <c r="D31"/>
  <c r="D141"/>
  <c r="D86"/>
  <c r="D60"/>
  <c r="D44"/>
  <c r="D24"/>
  <c r="N79"/>
  <c r="D138"/>
  <c r="D87"/>
  <c r="D61"/>
  <c r="D45"/>
  <c r="D25"/>
  <c r="H79"/>
  <c r="D122"/>
  <c r="D97"/>
  <c r="D77"/>
  <c r="D54"/>
  <c r="D34"/>
  <c r="Z79"/>
  <c r="D140"/>
  <c r="D85"/>
  <c r="D59"/>
  <c r="D43"/>
  <c r="D126"/>
  <c r="D17"/>
  <c r="D27"/>
  <c r="AA41"/>
  <c r="AC41"/>
  <c r="D41"/>
  <c r="F93"/>
  <c r="F129"/>
  <c r="F142"/>
  <c r="F34"/>
  <c r="F61"/>
  <c r="F137"/>
  <c r="E16"/>
  <c r="F16"/>
  <c r="F64"/>
  <c r="F140"/>
  <c r="F39"/>
  <c r="F55"/>
  <c r="F66"/>
  <c r="F23"/>
  <c r="F46"/>
  <c r="F53"/>
  <c r="F28"/>
  <c r="F63"/>
  <c r="F85"/>
  <c r="F117"/>
  <c r="F138"/>
  <c r="F30"/>
  <c r="F125"/>
  <c r="F32"/>
  <c r="F68"/>
  <c r="F89"/>
  <c r="F97"/>
  <c r="F43"/>
  <c r="F54"/>
  <c r="F88"/>
  <c r="F127"/>
  <c r="F26"/>
  <c r="F33"/>
  <c r="F128"/>
  <c r="F69"/>
  <c r="F120"/>
  <c r="F24"/>
  <c r="F116"/>
  <c r="F126"/>
  <c r="F45"/>
  <c r="F82"/>
  <c r="F99"/>
  <c r="F119"/>
  <c r="F27"/>
  <c r="F83"/>
  <c r="F121"/>
  <c r="F22"/>
  <c r="F49"/>
  <c r="F60"/>
  <c r="F141"/>
  <c r="F19"/>
  <c r="F52"/>
  <c r="F95"/>
  <c r="F122"/>
  <c r="F91"/>
  <c r="F47"/>
  <c r="F58"/>
  <c r="F86"/>
  <c r="F98"/>
  <c r="F139"/>
  <c r="F51"/>
  <c r="F62"/>
  <c r="F76"/>
  <c r="F48"/>
  <c r="F90"/>
  <c r="F143"/>
  <c r="F31"/>
  <c r="F50"/>
  <c r="F148"/>
  <c r="F42"/>
  <c r="F65"/>
  <c r="F87"/>
  <c r="F59"/>
  <c r="F77"/>
  <c r="F25"/>
  <c r="F56"/>
  <c r="F78"/>
  <c r="F94"/>
  <c r="F57"/>
  <c r="F96"/>
  <c r="F12"/>
  <c r="F29"/>
  <c r="F44"/>
  <c r="F17"/>
  <c r="F35"/>
  <c r="F115"/>
  <c r="AA15"/>
  <c r="AC15"/>
  <c r="D15"/>
  <c r="D93"/>
  <c r="AH20"/>
  <c r="AH23"/>
  <c r="AH24"/>
  <c r="AH25"/>
  <c r="AH26"/>
  <c r="AH28"/>
  <c r="AH29"/>
  <c r="AH30"/>
  <c r="AH31"/>
  <c r="AH32"/>
  <c r="AH33"/>
  <c r="AH34"/>
  <c r="AH66"/>
  <c r="AH94"/>
  <c r="AH137"/>
  <c r="AH6"/>
  <c r="AH14"/>
  <c r="AH18"/>
  <c r="AH19"/>
  <c r="AH38"/>
  <c r="AH98"/>
  <c r="AH124"/>
  <c r="AH125"/>
  <c r="AH136"/>
  <c r="AH140"/>
  <c r="AH7"/>
  <c r="AH8"/>
  <c r="AH9"/>
  <c r="AH13"/>
  <c r="AH43"/>
  <c r="AH44"/>
  <c r="AH45"/>
  <c r="AH46"/>
  <c r="AH47"/>
  <c r="AH69"/>
  <c r="AH116"/>
  <c r="AH123"/>
  <c r="AH127"/>
  <c r="AH128"/>
  <c r="AH139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7"/>
  <c r="AH68"/>
  <c r="AH77"/>
  <c r="AH78"/>
  <c r="AH79"/>
  <c r="AH80"/>
  <c r="AH81"/>
  <c r="AH82"/>
  <c r="AH83"/>
  <c r="AH84"/>
  <c r="AH85"/>
  <c r="AH86"/>
  <c r="AH87"/>
  <c r="AH89"/>
  <c r="AH91"/>
  <c r="AH92"/>
  <c r="AH95"/>
  <c r="AH96"/>
  <c r="AH97"/>
  <c r="AH99"/>
  <c r="AH117"/>
  <c r="AH119"/>
  <c r="AH120"/>
  <c r="AH121"/>
  <c r="AH122"/>
  <c r="AH138"/>
  <c r="AI41"/>
  <c r="AL15" i="8"/>
  <c r="AL93"/>
  <c r="AL41"/>
  <c r="AL76"/>
  <c r="C21" i="12"/>
  <c r="D21" s="1"/>
  <c r="AI115"/>
  <c r="E21"/>
  <c r="F21" s="1"/>
  <c r="K12"/>
  <c r="L118"/>
  <c r="S12"/>
  <c r="T118"/>
  <c r="W12"/>
  <c r="X118"/>
  <c r="AI15"/>
  <c r="M12"/>
  <c r="N118"/>
  <c r="Q12"/>
  <c r="U12"/>
  <c r="V118"/>
  <c r="Y12"/>
  <c r="Z118"/>
  <c r="H33" i="17"/>
  <c r="I33"/>
  <c r="D23"/>
  <c r="E23"/>
  <c r="H13"/>
  <c r="H11"/>
  <c r="H9"/>
  <c r="H7"/>
  <c r="H5"/>
  <c r="H3"/>
  <c r="E13"/>
  <c r="E11"/>
  <c r="E9"/>
  <c r="E7"/>
  <c r="E5"/>
  <c r="E3"/>
  <c r="B3"/>
  <c r="B13"/>
  <c r="B11"/>
  <c r="B9"/>
  <c r="B7"/>
  <c r="B5"/>
  <c r="R118" i="12"/>
  <c r="R119"/>
  <c r="X75"/>
  <c r="X112"/>
  <c r="X110"/>
  <c r="X100"/>
  <c r="X111"/>
  <c r="X108"/>
  <c r="X105"/>
  <c r="X101"/>
  <c r="X106"/>
  <c r="X102"/>
  <c r="X109"/>
  <c r="X107"/>
  <c r="X103"/>
  <c r="X114"/>
  <c r="X104"/>
  <c r="X113"/>
  <c r="V75"/>
  <c r="V113"/>
  <c r="V100"/>
  <c r="V105"/>
  <c r="V101"/>
  <c r="V112"/>
  <c r="V108"/>
  <c r="V104"/>
  <c r="V111"/>
  <c r="V107"/>
  <c r="V103"/>
  <c r="V114"/>
  <c r="V110"/>
  <c r="V106"/>
  <c r="V102"/>
  <c r="V109"/>
  <c r="T75"/>
  <c r="T109"/>
  <c r="T113"/>
  <c r="T100"/>
  <c r="T104"/>
  <c r="T114"/>
  <c r="T110"/>
  <c r="T107"/>
  <c r="T103"/>
  <c r="T111"/>
  <c r="T106"/>
  <c r="T102"/>
  <c r="T112"/>
  <c r="T108"/>
  <c r="T105"/>
  <c r="T101"/>
  <c r="R75"/>
  <c r="R100"/>
  <c r="R110"/>
  <c r="R104"/>
  <c r="R114"/>
  <c r="R108"/>
  <c r="R105"/>
  <c r="R101"/>
  <c r="R111"/>
  <c r="R106"/>
  <c r="R102"/>
  <c r="R112"/>
  <c r="R107"/>
  <c r="R103"/>
  <c r="R113"/>
  <c r="R109"/>
  <c r="N75"/>
  <c r="N100"/>
  <c r="N105"/>
  <c r="N101"/>
  <c r="N111"/>
  <c r="N106"/>
  <c r="N102"/>
  <c r="N112"/>
  <c r="N108"/>
  <c r="N107"/>
  <c r="N103"/>
  <c r="N113"/>
  <c r="N109"/>
  <c r="N104"/>
  <c r="N114"/>
  <c r="N110"/>
  <c r="L75"/>
  <c r="L100"/>
  <c r="L105"/>
  <c r="L101"/>
  <c r="L112"/>
  <c r="L108"/>
  <c r="L104"/>
  <c r="L113"/>
  <c r="L109"/>
  <c r="L107"/>
  <c r="L103"/>
  <c r="L114"/>
  <c r="L110"/>
  <c r="L106"/>
  <c r="L102"/>
  <c r="L111"/>
  <c r="Z75"/>
  <c r="Z110"/>
  <c r="Z100"/>
  <c r="Z113"/>
  <c r="Z109"/>
  <c r="Z105"/>
  <c r="Z101"/>
  <c r="Z112"/>
  <c r="Z106"/>
  <c r="Z102"/>
  <c r="Z107"/>
  <c r="Z103"/>
  <c r="Z114"/>
  <c r="Z108"/>
  <c r="Z104"/>
  <c r="Z111"/>
  <c r="V74"/>
  <c r="V73"/>
  <c r="V72"/>
  <c r="V71"/>
  <c r="V70"/>
  <c r="N74"/>
  <c r="N73"/>
  <c r="N72"/>
  <c r="N71"/>
  <c r="N70"/>
  <c r="X74"/>
  <c r="X73"/>
  <c r="X72"/>
  <c r="X71"/>
  <c r="X70"/>
  <c r="L74"/>
  <c r="L73"/>
  <c r="L72"/>
  <c r="L71"/>
  <c r="L70"/>
  <c r="Z74"/>
  <c r="Z73"/>
  <c r="Z72"/>
  <c r="Z71"/>
  <c r="Z70"/>
  <c r="R74"/>
  <c r="R73"/>
  <c r="R72"/>
  <c r="R71"/>
  <c r="R70"/>
  <c r="T74"/>
  <c r="T73"/>
  <c r="T72"/>
  <c r="T71"/>
  <c r="T70"/>
  <c r="R89"/>
  <c r="R62"/>
  <c r="R46"/>
  <c r="R25"/>
  <c r="R120"/>
  <c r="R95"/>
  <c r="R68"/>
  <c r="R51"/>
  <c r="R26"/>
  <c r="R138"/>
  <c r="R87"/>
  <c r="R60"/>
  <c r="R44"/>
  <c r="Q16"/>
  <c r="R16"/>
  <c r="R122"/>
  <c r="R97"/>
  <c r="R76"/>
  <c r="R53"/>
  <c r="R33"/>
  <c r="R126"/>
  <c r="R12"/>
  <c r="R94"/>
  <c r="R66"/>
  <c r="R50"/>
  <c r="R29"/>
  <c r="R137"/>
  <c r="R99"/>
  <c r="R78"/>
  <c r="R55"/>
  <c r="R31"/>
  <c r="R142"/>
  <c r="R116"/>
  <c r="R91"/>
  <c r="R64"/>
  <c r="R48"/>
  <c r="R23"/>
  <c r="R128"/>
  <c r="R83"/>
  <c r="R57"/>
  <c r="R30"/>
  <c r="R125"/>
  <c r="R98"/>
  <c r="R77"/>
  <c r="R54"/>
  <c r="R34"/>
  <c r="R141"/>
  <c r="R86"/>
  <c r="R59"/>
  <c r="R43"/>
  <c r="R148"/>
  <c r="R121"/>
  <c r="R96"/>
  <c r="R69"/>
  <c r="R52"/>
  <c r="R32"/>
  <c r="R139"/>
  <c r="R88"/>
  <c r="R61"/>
  <c r="R45"/>
  <c r="R24"/>
  <c r="R140"/>
  <c r="R85"/>
  <c r="R58"/>
  <c r="R42"/>
  <c r="R19"/>
  <c r="R63"/>
  <c r="R47"/>
  <c r="R22"/>
  <c r="R127"/>
  <c r="R82"/>
  <c r="R56"/>
  <c r="R39"/>
  <c r="R143"/>
  <c r="R117"/>
  <c r="R65"/>
  <c r="R49"/>
  <c r="R28"/>
  <c r="R17"/>
  <c r="R41"/>
  <c r="R27"/>
  <c r="R115"/>
  <c r="R129"/>
  <c r="R93"/>
  <c r="T139"/>
  <c r="T88"/>
  <c r="T61"/>
  <c r="T45"/>
  <c r="T24"/>
  <c r="T125"/>
  <c r="T98"/>
  <c r="T77"/>
  <c r="T54"/>
  <c r="T34"/>
  <c r="T141"/>
  <c r="T86"/>
  <c r="T59"/>
  <c r="T43"/>
  <c r="T148"/>
  <c r="T121"/>
  <c r="T96"/>
  <c r="T69"/>
  <c r="T52"/>
  <c r="T32"/>
  <c r="T126"/>
  <c r="T143"/>
  <c r="T117"/>
  <c r="T65"/>
  <c r="T49"/>
  <c r="T28"/>
  <c r="T140"/>
  <c r="T85"/>
  <c r="T58"/>
  <c r="T42"/>
  <c r="T19"/>
  <c r="T90"/>
  <c r="T63"/>
  <c r="T47"/>
  <c r="T22"/>
  <c r="T127"/>
  <c r="T82"/>
  <c r="T56"/>
  <c r="T39"/>
  <c r="T30"/>
  <c r="T122"/>
  <c r="T97"/>
  <c r="T76"/>
  <c r="T53"/>
  <c r="T33"/>
  <c r="T89"/>
  <c r="T62"/>
  <c r="T46"/>
  <c r="T25"/>
  <c r="T120"/>
  <c r="T95"/>
  <c r="T68"/>
  <c r="T51"/>
  <c r="T26"/>
  <c r="T138"/>
  <c r="T87"/>
  <c r="T60"/>
  <c r="T44"/>
  <c r="T12"/>
  <c r="T128"/>
  <c r="T83"/>
  <c r="T57"/>
  <c r="S16"/>
  <c r="T16"/>
  <c r="T119"/>
  <c r="T94"/>
  <c r="T66"/>
  <c r="T50"/>
  <c r="T29"/>
  <c r="T137"/>
  <c r="T99"/>
  <c r="T78"/>
  <c r="T55"/>
  <c r="T31"/>
  <c r="T116"/>
  <c r="T91"/>
  <c r="T64"/>
  <c r="T48"/>
  <c r="T23"/>
  <c r="T17"/>
  <c r="T41"/>
  <c r="T27"/>
  <c r="T115"/>
  <c r="T93"/>
  <c r="V148"/>
  <c r="V121"/>
  <c r="V96"/>
  <c r="V69"/>
  <c r="V52"/>
  <c r="V32"/>
  <c r="V128"/>
  <c r="V83"/>
  <c r="V57"/>
  <c r="V89"/>
  <c r="V62"/>
  <c r="V46"/>
  <c r="V25"/>
  <c r="V137"/>
  <c r="V99"/>
  <c r="V78"/>
  <c r="V55"/>
  <c r="V31"/>
  <c r="V126"/>
  <c r="V12"/>
  <c r="V127"/>
  <c r="V82"/>
  <c r="V56"/>
  <c r="V39"/>
  <c r="V139"/>
  <c r="V88"/>
  <c r="V61"/>
  <c r="V45"/>
  <c r="V24"/>
  <c r="V119"/>
  <c r="V94"/>
  <c r="V66"/>
  <c r="V50"/>
  <c r="V29"/>
  <c r="V141"/>
  <c r="V86"/>
  <c r="V59"/>
  <c r="V43"/>
  <c r="V30"/>
  <c r="V138"/>
  <c r="V87"/>
  <c r="V60"/>
  <c r="V44"/>
  <c r="V143"/>
  <c r="V117"/>
  <c r="V65"/>
  <c r="V49"/>
  <c r="V28"/>
  <c r="V125"/>
  <c r="V98"/>
  <c r="V77"/>
  <c r="V54"/>
  <c r="V34"/>
  <c r="U16"/>
  <c r="V16"/>
  <c r="V90"/>
  <c r="V63"/>
  <c r="V47"/>
  <c r="V22"/>
  <c r="V142"/>
  <c r="V116"/>
  <c r="V91"/>
  <c r="V64"/>
  <c r="V48"/>
  <c r="V23"/>
  <c r="V122"/>
  <c r="V97"/>
  <c r="V76"/>
  <c r="V53"/>
  <c r="V33"/>
  <c r="V140"/>
  <c r="V85"/>
  <c r="V58"/>
  <c r="V42"/>
  <c r="V19"/>
  <c r="V120"/>
  <c r="V95"/>
  <c r="V68"/>
  <c r="V51"/>
  <c r="V26"/>
  <c r="V17"/>
  <c r="V144"/>
  <c r="V41"/>
  <c r="V27"/>
  <c r="V115"/>
  <c r="X137"/>
  <c r="X99"/>
  <c r="X78"/>
  <c r="X55"/>
  <c r="X31"/>
  <c r="X148"/>
  <c r="X121"/>
  <c r="X96"/>
  <c r="X69"/>
  <c r="X52"/>
  <c r="X32"/>
  <c r="X139"/>
  <c r="X88"/>
  <c r="X61"/>
  <c r="X45"/>
  <c r="X24"/>
  <c r="X119"/>
  <c r="X94"/>
  <c r="X66"/>
  <c r="X50"/>
  <c r="X29"/>
  <c r="X126"/>
  <c r="X141"/>
  <c r="X86"/>
  <c r="X59"/>
  <c r="X43"/>
  <c r="W16"/>
  <c r="X16"/>
  <c r="X127"/>
  <c r="X82"/>
  <c r="X56"/>
  <c r="X39"/>
  <c r="X143"/>
  <c r="X117"/>
  <c r="X65"/>
  <c r="X49"/>
  <c r="X28"/>
  <c r="X125"/>
  <c r="X98"/>
  <c r="X77"/>
  <c r="X54"/>
  <c r="X34"/>
  <c r="X30"/>
  <c r="X90"/>
  <c r="X63"/>
  <c r="X47"/>
  <c r="X22"/>
  <c r="X138"/>
  <c r="X87"/>
  <c r="X60"/>
  <c r="X44"/>
  <c r="X12"/>
  <c r="X122"/>
  <c r="X97"/>
  <c r="X76"/>
  <c r="X53"/>
  <c r="X33"/>
  <c r="X140"/>
  <c r="X85"/>
  <c r="X58"/>
  <c r="X42"/>
  <c r="X19"/>
  <c r="X120"/>
  <c r="X95"/>
  <c r="X68"/>
  <c r="X51"/>
  <c r="X26"/>
  <c r="X142"/>
  <c r="X116"/>
  <c r="X91"/>
  <c r="X64"/>
  <c r="X48"/>
  <c r="X23"/>
  <c r="X128"/>
  <c r="X83"/>
  <c r="X57"/>
  <c r="X89"/>
  <c r="X62"/>
  <c r="X46"/>
  <c r="X25"/>
  <c r="X41"/>
  <c r="X27"/>
  <c r="X115"/>
  <c r="Z12"/>
  <c r="Z119"/>
  <c r="Z94"/>
  <c r="Z66"/>
  <c r="Z50"/>
  <c r="Z29"/>
  <c r="Z137"/>
  <c r="Z99"/>
  <c r="Z78"/>
  <c r="Z55"/>
  <c r="Z31"/>
  <c r="Z142"/>
  <c r="Z116"/>
  <c r="Z91"/>
  <c r="Z64"/>
  <c r="Z48"/>
  <c r="Z23"/>
  <c r="Z128"/>
  <c r="Z83"/>
  <c r="Z57"/>
  <c r="Z30"/>
  <c r="Z125"/>
  <c r="Z98"/>
  <c r="Z77"/>
  <c r="Z54"/>
  <c r="Z34"/>
  <c r="Z141"/>
  <c r="Z86"/>
  <c r="Z59"/>
  <c r="Z43"/>
  <c r="Z148"/>
  <c r="Z121"/>
  <c r="Z96"/>
  <c r="Z69"/>
  <c r="Z52"/>
  <c r="Z32"/>
  <c r="Z139"/>
  <c r="Z88"/>
  <c r="Z61"/>
  <c r="Z45"/>
  <c r="Z24"/>
  <c r="Z140"/>
  <c r="Z85"/>
  <c r="Z58"/>
  <c r="Z42"/>
  <c r="Z19"/>
  <c r="Z63"/>
  <c r="Z47"/>
  <c r="Z22"/>
  <c r="Z127"/>
  <c r="Z82"/>
  <c r="Z56"/>
  <c r="Z39"/>
  <c r="Z143"/>
  <c r="Z117"/>
  <c r="Z65"/>
  <c r="Z49"/>
  <c r="Z28"/>
  <c r="Z89"/>
  <c r="Z62"/>
  <c r="Z46"/>
  <c r="Z25"/>
  <c r="Z120"/>
  <c r="Z95"/>
  <c r="Z68"/>
  <c r="Z51"/>
  <c r="Z26"/>
  <c r="Z138"/>
  <c r="Z87"/>
  <c r="Z60"/>
  <c r="Z44"/>
  <c r="Y16"/>
  <c r="Z16"/>
  <c r="Z122"/>
  <c r="Z97"/>
  <c r="Z76"/>
  <c r="Z53"/>
  <c r="Z33"/>
  <c r="Z126"/>
  <c r="Z17"/>
  <c r="Z144"/>
  <c r="Z41"/>
  <c r="Z27"/>
  <c r="Z115"/>
  <c r="L143"/>
  <c r="L117"/>
  <c r="L65"/>
  <c r="L49"/>
  <c r="L29"/>
  <c r="L140"/>
  <c r="L85"/>
  <c r="L58"/>
  <c r="L42"/>
  <c r="L22"/>
  <c r="L90"/>
  <c r="L63"/>
  <c r="L47"/>
  <c r="L12"/>
  <c r="L127"/>
  <c r="L82"/>
  <c r="L56"/>
  <c r="L39"/>
  <c r="K16"/>
  <c r="L16"/>
  <c r="L122"/>
  <c r="L97"/>
  <c r="L76"/>
  <c r="L53"/>
  <c r="L33"/>
  <c r="L89"/>
  <c r="L62"/>
  <c r="L46"/>
  <c r="L26"/>
  <c r="L120"/>
  <c r="L95"/>
  <c r="L68"/>
  <c r="L51"/>
  <c r="L23"/>
  <c r="L138"/>
  <c r="L87"/>
  <c r="L60"/>
  <c r="L44"/>
  <c r="L24"/>
  <c r="L128"/>
  <c r="L83"/>
  <c r="L57"/>
  <c r="L19"/>
  <c r="L119"/>
  <c r="L94"/>
  <c r="L66"/>
  <c r="L50"/>
  <c r="L30"/>
  <c r="L137"/>
  <c r="L99"/>
  <c r="L78"/>
  <c r="L55"/>
  <c r="L31"/>
  <c r="L142"/>
  <c r="L116"/>
  <c r="L91"/>
  <c r="L64"/>
  <c r="L48"/>
  <c r="L28"/>
  <c r="L139"/>
  <c r="L88"/>
  <c r="L61"/>
  <c r="L45"/>
  <c r="L25"/>
  <c r="L125"/>
  <c r="L98"/>
  <c r="L77"/>
  <c r="L54"/>
  <c r="L34"/>
  <c r="L141"/>
  <c r="L86"/>
  <c r="L59"/>
  <c r="L43"/>
  <c r="L148"/>
  <c r="L121"/>
  <c r="L96"/>
  <c r="L69"/>
  <c r="L52"/>
  <c r="L32"/>
  <c r="L126"/>
  <c r="L17"/>
  <c r="L41"/>
  <c r="L27"/>
  <c r="L115"/>
  <c r="N12"/>
  <c r="N85"/>
  <c r="N68"/>
  <c r="N26"/>
  <c r="N89"/>
  <c r="N25"/>
  <c r="N53"/>
  <c r="N90"/>
  <c r="N43"/>
  <c r="N98"/>
  <c r="N42"/>
  <c r="N126"/>
  <c r="N143"/>
  <c r="N51"/>
  <c r="N119"/>
  <c r="N54"/>
  <c r="N30"/>
  <c r="N60"/>
  <c r="N19"/>
  <c r="N59"/>
  <c r="N66"/>
  <c r="M16"/>
  <c r="N16"/>
  <c r="N55"/>
  <c r="N137"/>
  <c r="N140"/>
  <c r="N62"/>
  <c r="N117"/>
  <c r="N138"/>
  <c r="N49"/>
  <c r="N128"/>
  <c r="N52"/>
  <c r="N148"/>
  <c r="N97"/>
  <c r="N29"/>
  <c r="N23"/>
  <c r="N64"/>
  <c r="N116"/>
  <c r="N47"/>
  <c r="N99"/>
  <c r="N95"/>
  <c r="N34"/>
  <c r="N65"/>
  <c r="N87"/>
  <c r="N32"/>
  <c r="N121"/>
  <c r="N88"/>
  <c r="N139"/>
  <c r="N125"/>
  <c r="N56"/>
  <c r="N31"/>
  <c r="N78"/>
  <c r="N33"/>
  <c r="N86"/>
  <c r="N141"/>
  <c r="N45"/>
  <c r="N44"/>
  <c r="N28"/>
  <c r="N83"/>
  <c r="N96"/>
  <c r="N76"/>
  <c r="N122"/>
  <c r="N94"/>
  <c r="N48"/>
  <c r="N91"/>
  <c r="N142"/>
  <c r="N22"/>
  <c r="N63"/>
  <c r="N50"/>
  <c r="N120"/>
  <c r="N24"/>
  <c r="N77"/>
  <c r="N57"/>
  <c r="N46"/>
  <c r="N69"/>
  <c r="N61"/>
  <c r="N58"/>
  <c r="N39"/>
  <c r="N82"/>
  <c r="N127"/>
  <c r="N17"/>
  <c r="N144"/>
  <c r="N41"/>
  <c r="N27"/>
  <c r="N115"/>
  <c r="N93"/>
  <c r="AE41"/>
  <c r="AE15"/>
  <c r="AG38"/>
  <c r="AG24"/>
  <c r="AG19"/>
  <c r="AG33"/>
  <c r="AG49"/>
  <c r="AG29"/>
  <c r="AG96"/>
  <c r="AG14"/>
  <c r="AC6"/>
  <c r="AG69"/>
  <c r="AG52"/>
  <c r="AG65"/>
  <c r="AG122"/>
  <c r="AG31"/>
  <c r="AG26"/>
  <c r="AG9"/>
  <c r="AG86"/>
  <c r="AG57"/>
  <c r="AG78"/>
  <c r="AG61"/>
  <c r="AG55"/>
  <c r="AG116"/>
  <c r="AG25"/>
  <c r="AG20"/>
  <c r="AG125"/>
  <c r="AG98"/>
  <c r="AG84"/>
  <c r="AG77"/>
  <c r="AG64"/>
  <c r="AG60"/>
  <c r="AG56"/>
  <c r="AG53"/>
  <c r="AG8"/>
  <c r="AG138"/>
  <c r="AG51"/>
  <c r="AG82"/>
  <c r="AG123"/>
  <c r="AG44"/>
  <c r="AG121"/>
  <c r="AG95"/>
  <c r="AG85"/>
  <c r="AG48"/>
  <c r="AG127"/>
  <c r="AG45"/>
  <c r="AG30"/>
  <c r="AG13"/>
  <c r="AG117"/>
  <c r="AG18"/>
  <c r="AG128"/>
  <c r="AG94"/>
  <c r="AG46"/>
  <c r="AG140"/>
  <c r="AG124"/>
  <c r="AG119"/>
  <c r="AG97"/>
  <c r="AG91"/>
  <c r="AG87"/>
  <c r="AG83"/>
  <c r="AG79"/>
  <c r="AG67"/>
  <c r="AG62"/>
  <c r="AG58"/>
  <c r="AG54"/>
  <c r="AG50"/>
  <c r="AG6"/>
  <c r="AG139"/>
  <c r="AG66"/>
  <c r="AG136"/>
  <c r="AG99"/>
  <c r="AG89"/>
  <c r="AG81"/>
  <c r="AG34"/>
  <c r="AG137"/>
  <c r="AG47"/>
  <c r="AG43"/>
  <c r="AG32"/>
  <c r="AG28"/>
  <c r="AG23"/>
  <c r="AG120"/>
  <c r="AG92"/>
  <c r="AG80"/>
  <c r="AG68"/>
  <c r="AG63"/>
  <c r="AG59"/>
  <c r="AG7"/>
  <c r="AL12" i="8"/>
  <c r="AL17"/>
  <c r="H15" i="17"/>
  <c r="H17"/>
  <c r="AI22" i="12"/>
  <c r="AJ22"/>
  <c r="Q21"/>
  <c r="R21" s="1"/>
  <c r="M21"/>
  <c r="N21" s="1"/>
  <c r="Y129"/>
  <c r="Z129" s="1"/>
  <c r="W129"/>
  <c r="X129" s="1"/>
  <c r="S21"/>
  <c r="T21" s="1"/>
  <c r="S129"/>
  <c r="T129" s="1"/>
  <c r="M129"/>
  <c r="N129" s="1"/>
  <c r="U21"/>
  <c r="V21" s="1"/>
  <c r="U129"/>
  <c r="V129" s="1"/>
  <c r="B15" i="17"/>
  <c r="B17"/>
  <c r="E15"/>
  <c r="E17"/>
  <c r="AH15" i="12"/>
  <c r="AJ15"/>
  <c r="AH41"/>
  <c r="AJ41"/>
  <c r="AG41"/>
  <c r="AG15"/>
  <c r="AH22"/>
  <c r="AL16" i="8"/>
  <c r="AL129"/>
  <c r="AL21"/>
  <c r="S145" i="12"/>
  <c r="T145" s="1"/>
  <c r="I17" i="17"/>
  <c r="H20"/>
  <c r="E20"/>
  <c r="F17"/>
  <c r="C17"/>
  <c r="B20"/>
  <c r="AG22" i="12"/>
  <c r="AL145" i="8"/>
  <c r="Y35" i="12"/>
  <c r="Z35" s="1"/>
  <c r="Y187"/>
  <c r="U35"/>
  <c r="V35" s="1"/>
  <c r="M35"/>
  <c r="N35" s="1"/>
  <c r="I35"/>
  <c r="J35" s="1"/>
  <c r="S35"/>
  <c r="T35" s="1"/>
  <c r="Q35"/>
  <c r="R35" s="1"/>
  <c r="G187"/>
  <c r="E187"/>
  <c r="I187"/>
  <c r="Q187"/>
  <c r="O187"/>
  <c r="M187"/>
  <c r="S187"/>
  <c r="U187"/>
  <c r="C35"/>
  <c r="D35" s="1"/>
  <c r="C187"/>
  <c r="W35"/>
  <c r="X35" s="1"/>
  <c r="AL27" i="8"/>
  <c r="AL35"/>
  <c r="AL36"/>
  <c r="AL37"/>
  <c r="AL131"/>
  <c r="AL135"/>
  <c r="AL148"/>
  <c r="AL146"/>
  <c r="W187" i="12"/>
  <c r="AA17" i="2"/>
  <c r="AC17" s="1"/>
  <c r="AD17" s="1"/>
  <c r="Y21"/>
  <c r="Y21" i="12" s="1"/>
  <c r="Z148" i="2"/>
  <c r="AA148"/>
  <c r="AC148"/>
  <c r="AI148" i="12"/>
  <c r="AB148" i="2"/>
  <c r="AJ148" i="12"/>
  <c r="AH148"/>
  <c r="AG148"/>
  <c r="AD148" i="2"/>
  <c r="D126"/>
  <c r="AA126"/>
  <c r="C129"/>
  <c r="D129" s="1"/>
  <c r="AC126"/>
  <c r="AB126"/>
  <c r="AA129"/>
  <c r="AC129" s="1"/>
  <c r="AD129" s="1"/>
  <c r="AD126"/>
  <c r="G12" i="12"/>
  <c r="H118"/>
  <c r="AB9" i="26"/>
  <c r="H148"/>
  <c r="AB6"/>
  <c r="AB10"/>
  <c r="AB7"/>
  <c r="AB11"/>
  <c r="AB8"/>
  <c r="AA12"/>
  <c r="AB142"/>
  <c r="AB118"/>
  <c r="H75" i="12"/>
  <c r="H111"/>
  <c r="H100"/>
  <c r="H112"/>
  <c r="H108"/>
  <c r="H113"/>
  <c r="H109"/>
  <c r="H114"/>
  <c r="H110"/>
  <c r="H103"/>
  <c r="H102"/>
  <c r="H107"/>
  <c r="H104"/>
  <c r="H101"/>
  <c r="H106"/>
  <c r="H105"/>
  <c r="AB105" i="26"/>
  <c r="AB100"/>
  <c r="AB107"/>
  <c r="AB98"/>
  <c r="AB114"/>
  <c r="AB94"/>
  <c r="AB101"/>
  <c r="AB96"/>
  <c r="AB112"/>
  <c r="AB103"/>
  <c r="AB97"/>
  <c r="AB110"/>
  <c r="AB113"/>
  <c r="AB108"/>
  <c r="AB99"/>
  <c r="AB95"/>
  <c r="AB106"/>
  <c r="AB115"/>
  <c r="AB109"/>
  <c r="AB104"/>
  <c r="AB111"/>
  <c r="AB102"/>
  <c r="AB75"/>
  <c r="AB68"/>
  <c r="AB119"/>
  <c r="AB55"/>
  <c r="AB27"/>
  <c r="AC12"/>
  <c r="AB74"/>
  <c r="AB73"/>
  <c r="AB72"/>
  <c r="AB71"/>
  <c r="AB70"/>
  <c r="AB51"/>
  <c r="AB47"/>
  <c r="AB62"/>
  <c r="AB56"/>
  <c r="AB53"/>
  <c r="H74" i="12"/>
  <c r="H73"/>
  <c r="H72"/>
  <c r="H71"/>
  <c r="H70"/>
  <c r="G27"/>
  <c r="H27" s="1"/>
  <c r="G17"/>
  <c r="H17" s="1"/>
  <c r="H139"/>
  <c r="H88"/>
  <c r="H61"/>
  <c r="H45"/>
  <c r="H25"/>
  <c r="H125"/>
  <c r="H98"/>
  <c r="H77"/>
  <c r="H54"/>
  <c r="H34"/>
  <c r="G16"/>
  <c r="H16"/>
  <c r="H115"/>
  <c r="H90"/>
  <c r="H63"/>
  <c r="H47"/>
  <c r="H12"/>
  <c r="H127"/>
  <c r="H82"/>
  <c r="H56"/>
  <c r="H39"/>
  <c r="H143"/>
  <c r="H117"/>
  <c r="H93"/>
  <c r="H65"/>
  <c r="H49"/>
  <c r="H29"/>
  <c r="H140"/>
  <c r="H85"/>
  <c r="H58"/>
  <c r="H22"/>
  <c r="H120"/>
  <c r="H95"/>
  <c r="H68"/>
  <c r="H51"/>
  <c r="H23"/>
  <c r="H138"/>
  <c r="H87"/>
  <c r="H60"/>
  <c r="H44"/>
  <c r="H24"/>
  <c r="H122"/>
  <c r="H97"/>
  <c r="H53"/>
  <c r="H33"/>
  <c r="H89"/>
  <c r="H62"/>
  <c r="H46"/>
  <c r="H26"/>
  <c r="H137"/>
  <c r="H99"/>
  <c r="H78"/>
  <c r="H55"/>
  <c r="H31"/>
  <c r="H142"/>
  <c r="H116"/>
  <c r="H91"/>
  <c r="H64"/>
  <c r="H48"/>
  <c r="H28"/>
  <c r="H128"/>
  <c r="H83"/>
  <c r="H57"/>
  <c r="H41"/>
  <c r="H19"/>
  <c r="H119"/>
  <c r="H94"/>
  <c r="H66"/>
  <c r="H50"/>
  <c r="H30"/>
  <c r="H141"/>
  <c r="H86"/>
  <c r="H59"/>
  <c r="H43"/>
  <c r="H148"/>
  <c r="H121"/>
  <c r="H96"/>
  <c r="H69"/>
  <c r="H52"/>
  <c r="H32"/>
  <c r="G126"/>
  <c r="G42"/>
  <c r="AB41" i="26"/>
  <c r="AB80"/>
  <c r="AB127"/>
  <c r="AB65"/>
  <c r="AB31"/>
  <c r="AB44"/>
  <c r="AB121"/>
  <c r="AB46"/>
  <c r="AB64"/>
  <c r="AB85"/>
  <c r="AB125"/>
  <c r="AB19"/>
  <c r="AB45"/>
  <c r="AB90"/>
  <c r="AB66"/>
  <c r="AB116"/>
  <c r="AB33"/>
  <c r="AB120"/>
  <c r="AB148"/>
  <c r="AB136"/>
  <c r="AB117"/>
  <c r="AB57"/>
  <c r="AB60"/>
  <c r="AB87"/>
  <c r="AB122"/>
  <c r="AB38"/>
  <c r="AB93"/>
  <c r="AB91"/>
  <c r="AB77"/>
  <c r="AB28"/>
  <c r="AB137"/>
  <c r="AB138"/>
  <c r="AB92"/>
  <c r="AB59"/>
  <c r="AB25"/>
  <c r="AB22"/>
  <c r="AA16"/>
  <c r="AC16"/>
  <c r="AB89"/>
  <c r="AB39"/>
  <c r="AB49"/>
  <c r="AB58"/>
  <c r="AB86"/>
  <c r="AB79"/>
  <c r="AB30"/>
  <c r="AB139"/>
  <c r="AB140"/>
  <c r="AB88"/>
  <c r="AB61"/>
  <c r="AB23"/>
  <c r="AB26"/>
  <c r="AB52"/>
  <c r="AB40"/>
  <c r="AB54"/>
  <c r="AB82"/>
  <c r="AB81"/>
  <c r="AB32"/>
  <c r="AB141"/>
  <c r="AB24"/>
  <c r="AB84"/>
  <c r="AB63"/>
  <c r="AB29"/>
  <c r="AB48"/>
  <c r="AB128"/>
  <c r="AB50"/>
  <c r="AB78"/>
  <c r="AB83"/>
  <c r="AB34"/>
  <c r="AB143"/>
  <c r="AB43"/>
  <c r="AD11"/>
  <c r="AD8"/>
  <c r="AD9"/>
  <c r="AD7"/>
  <c r="AD10"/>
  <c r="AD6"/>
  <c r="AA17"/>
  <c r="AC17" s="1"/>
  <c r="AD17" s="1"/>
  <c r="AD118"/>
  <c r="AD119"/>
  <c r="AD116"/>
  <c r="AD95"/>
  <c r="AD96"/>
  <c r="AD94"/>
  <c r="AD97"/>
  <c r="AD114"/>
  <c r="AD111"/>
  <c r="AD113"/>
  <c r="AD100"/>
  <c r="AD101"/>
  <c r="AD75"/>
  <c r="AD110"/>
  <c r="AD107"/>
  <c r="AD104"/>
  <c r="AD105"/>
  <c r="AD98"/>
  <c r="AD108"/>
  <c r="AD109"/>
  <c r="AD102"/>
  <c r="AD99"/>
  <c r="AD112"/>
  <c r="AD115"/>
  <c r="AD106"/>
  <c r="AD103"/>
  <c r="AD68"/>
  <c r="AD55"/>
  <c r="AD70"/>
  <c r="AD72"/>
  <c r="AD74"/>
  <c r="AD51"/>
  <c r="AD47"/>
  <c r="AD71"/>
  <c r="AD73"/>
  <c r="AD56"/>
  <c r="AD53"/>
  <c r="AD62"/>
  <c r="H126" i="12"/>
  <c r="H42"/>
  <c r="G129"/>
  <c r="AA126" i="26"/>
  <c r="AC126"/>
  <c r="G76" i="12"/>
  <c r="AA42" i="26"/>
  <c r="AB16"/>
  <c r="AD16"/>
  <c r="G35" i="12"/>
  <c r="AD46" i="26"/>
  <c r="AD141"/>
  <c r="AD43"/>
  <c r="AD122"/>
  <c r="AD40"/>
  <c r="AD66"/>
  <c r="AD120"/>
  <c r="AD128"/>
  <c r="AD31"/>
  <c r="AD54"/>
  <c r="AD30"/>
  <c r="AD127"/>
  <c r="AD81"/>
  <c r="AD25"/>
  <c r="AD139"/>
  <c r="AD84"/>
  <c r="AD148"/>
  <c r="AD137"/>
  <c r="AD45"/>
  <c r="AD82"/>
  <c r="AD28"/>
  <c r="AD89"/>
  <c r="AD59"/>
  <c r="AD60"/>
  <c r="AD121"/>
  <c r="AD138"/>
  <c r="AD92"/>
  <c r="AD80"/>
  <c r="AD77"/>
  <c r="AD57"/>
  <c r="AD78"/>
  <c r="AD39"/>
  <c r="AD143"/>
  <c r="AD50"/>
  <c r="AD90"/>
  <c r="AD91"/>
  <c r="AD65"/>
  <c r="AD41"/>
  <c r="AD61"/>
  <c r="AD86"/>
  <c r="AD32"/>
  <c r="AD49"/>
  <c r="AD85"/>
  <c r="AD136"/>
  <c r="AD125"/>
  <c r="AD38"/>
  <c r="AD44"/>
  <c r="AD87"/>
  <c r="AD34"/>
  <c r="AD64"/>
  <c r="AD83"/>
  <c r="AD140"/>
  <c r="AD22"/>
  <c r="AD52"/>
  <c r="AD88"/>
  <c r="AD23"/>
  <c r="AD33"/>
  <c r="AD48"/>
  <c r="AD79"/>
  <c r="AD19"/>
  <c r="AD29"/>
  <c r="AD26"/>
  <c r="AD58"/>
  <c r="AD63"/>
  <c r="AD24"/>
  <c r="AC42"/>
  <c r="AD42"/>
  <c r="AA76"/>
  <c r="AC76"/>
  <c r="H35" i="12"/>
  <c r="H76"/>
  <c r="H129"/>
  <c r="AB42" i="26"/>
  <c r="AD126"/>
  <c r="AA129"/>
  <c r="AC129"/>
  <c r="AD129" s="1"/>
  <c r="AB126"/>
  <c r="AA35"/>
  <c r="AC35" s="1"/>
  <c r="AD35" s="1"/>
  <c r="AB129"/>
  <c r="AD76"/>
  <c r="AB76"/>
  <c r="AB35"/>
  <c r="O5" i="12"/>
  <c r="O126"/>
  <c r="O12"/>
  <c r="P118"/>
  <c r="AA126"/>
  <c r="AA126" i="24"/>
  <c r="P13" i="12"/>
  <c r="P14"/>
  <c r="P15"/>
  <c r="P9"/>
  <c r="P10"/>
  <c r="AB11" i="24"/>
  <c r="AI5" i="12"/>
  <c r="AB9" i="24"/>
  <c r="AB10"/>
  <c r="P11" i="12"/>
  <c r="AA5"/>
  <c r="P6"/>
  <c r="P8"/>
  <c r="P7"/>
  <c r="AB8" i="24"/>
  <c r="O129" i="12"/>
  <c r="P129" s="1"/>
  <c r="AA12" i="24"/>
  <c r="AB118"/>
  <c r="AE5" i="12"/>
  <c r="AB142" i="24"/>
  <c r="AB97"/>
  <c r="AB101"/>
  <c r="AB105"/>
  <c r="AB109"/>
  <c r="AB113"/>
  <c r="AB96"/>
  <c r="AB100"/>
  <c r="AB104"/>
  <c r="AB108"/>
  <c r="AB112"/>
  <c r="AB95"/>
  <c r="AB99"/>
  <c r="AB103"/>
  <c r="AB107"/>
  <c r="AB111"/>
  <c r="AB98"/>
  <c r="AB102"/>
  <c r="AB106"/>
  <c r="AB110"/>
  <c r="AB114"/>
  <c r="AB115"/>
  <c r="AB94"/>
  <c r="AB75"/>
  <c r="P75" i="12"/>
  <c r="P100"/>
  <c r="P104"/>
  <c r="P113"/>
  <c r="P109"/>
  <c r="P105"/>
  <c r="P101"/>
  <c r="P112"/>
  <c r="P108"/>
  <c r="P106"/>
  <c r="P102"/>
  <c r="P111"/>
  <c r="P107"/>
  <c r="P103"/>
  <c r="P114"/>
  <c r="P110"/>
  <c r="AB55" i="24"/>
  <c r="AB68"/>
  <c r="AB119"/>
  <c r="AC12"/>
  <c r="AD118"/>
  <c r="AB47"/>
  <c r="AB62"/>
  <c r="AB71"/>
  <c r="AB73"/>
  <c r="AB51"/>
  <c r="AB56"/>
  <c r="AB53"/>
  <c r="AB70"/>
  <c r="AB72"/>
  <c r="AB74"/>
  <c r="AA129"/>
  <c r="AB129"/>
  <c r="AC126"/>
  <c r="P12" i="12"/>
  <c r="P74"/>
  <c r="P73"/>
  <c r="P72"/>
  <c r="P71"/>
  <c r="P70"/>
  <c r="AI126"/>
  <c r="O17"/>
  <c r="P17" s="1"/>
  <c r="P23"/>
  <c r="P86"/>
  <c r="P32"/>
  <c r="P48"/>
  <c r="P117"/>
  <c r="P19"/>
  <c r="P115"/>
  <c r="P125"/>
  <c r="P68"/>
  <c r="P85"/>
  <c r="P31"/>
  <c r="P46"/>
  <c r="P69"/>
  <c r="P59"/>
  <c r="P39"/>
  <c r="P28"/>
  <c r="P122"/>
  <c r="P94"/>
  <c r="P45"/>
  <c r="P120"/>
  <c r="P140"/>
  <c r="P78"/>
  <c r="P89"/>
  <c r="P121"/>
  <c r="O16"/>
  <c r="P16"/>
  <c r="P82"/>
  <c r="P43"/>
  <c r="P44"/>
  <c r="P128"/>
  <c r="P88"/>
  <c r="P119"/>
  <c r="P49"/>
  <c r="P137"/>
  <c r="P144"/>
  <c r="P47"/>
  <c r="P54"/>
  <c r="P127"/>
  <c r="P22"/>
  <c r="P87"/>
  <c r="P142"/>
  <c r="P139"/>
  <c r="P93"/>
  <c r="P66"/>
  <c r="P53"/>
  <c r="P90"/>
  <c r="P98"/>
  <c r="P51"/>
  <c r="P58"/>
  <c r="P138"/>
  <c r="P26"/>
  <c r="P52"/>
  <c r="P116"/>
  <c r="P143"/>
  <c r="P83"/>
  <c r="P97"/>
  <c r="P30"/>
  <c r="P25"/>
  <c r="P95"/>
  <c r="P55"/>
  <c r="P62"/>
  <c r="P96"/>
  <c r="P141"/>
  <c r="P56"/>
  <c r="P91"/>
  <c r="P24"/>
  <c r="P57"/>
  <c r="P61"/>
  <c r="P50"/>
  <c r="P29"/>
  <c r="P99"/>
  <c r="P148"/>
  <c r="P34"/>
  <c r="P60"/>
  <c r="P64"/>
  <c r="P41"/>
  <c r="P65"/>
  <c r="P33"/>
  <c r="P63"/>
  <c r="P77"/>
  <c r="AA12"/>
  <c r="P126"/>
  <c r="AC126"/>
  <c r="AB13"/>
  <c r="AB14"/>
  <c r="AB15"/>
  <c r="AB126" i="24"/>
  <c r="AA17"/>
  <c r="AC17" s="1"/>
  <c r="AD17" s="1"/>
  <c r="O21" i="12"/>
  <c r="P21" s="1"/>
  <c r="AB32" i="24"/>
  <c r="AB78"/>
  <c r="AB83"/>
  <c r="AB39"/>
  <c r="AB57"/>
  <c r="AB82"/>
  <c r="AB87"/>
  <c r="AB25"/>
  <c r="AB65"/>
  <c r="AB59"/>
  <c r="AB23"/>
  <c r="AB33"/>
  <c r="AB88"/>
  <c r="AB31"/>
  <c r="AB140"/>
  <c r="AB54"/>
  <c r="AB139"/>
  <c r="AB80"/>
  <c r="AB64"/>
  <c r="AB89"/>
  <c r="AB121"/>
  <c r="AB81"/>
  <c r="AB143"/>
  <c r="AB136"/>
  <c r="AB92"/>
  <c r="AB90"/>
  <c r="AB58"/>
  <c r="AB120"/>
  <c r="AB28"/>
  <c r="AB38"/>
  <c r="AB128"/>
  <c r="AB91"/>
  <c r="AB40"/>
  <c r="AB41"/>
  <c r="AB127"/>
  <c r="AB137"/>
  <c r="AB66"/>
  <c r="AB93"/>
  <c r="AB138"/>
  <c r="AB84"/>
  <c r="AB52"/>
  <c r="AB46"/>
  <c r="AB125"/>
  <c r="AB85"/>
  <c r="AB29"/>
  <c r="AB48"/>
  <c r="AB50"/>
  <c r="AB116"/>
  <c r="AB148"/>
  <c r="AI12" i="12"/>
  <c r="AB19" i="24"/>
  <c r="AB63"/>
  <c r="AB26"/>
  <c r="AB86"/>
  <c r="AB60"/>
  <c r="AB77"/>
  <c r="AB24"/>
  <c r="AB44"/>
  <c r="AB141"/>
  <c r="AB122"/>
  <c r="AB43"/>
  <c r="AB34"/>
  <c r="AA16"/>
  <c r="AB49"/>
  <c r="AB30"/>
  <c r="AB22"/>
  <c r="AB45"/>
  <c r="AB61"/>
  <c r="AB117"/>
  <c r="AB79"/>
  <c r="AD7"/>
  <c r="AD9"/>
  <c r="AD10"/>
  <c r="AD11"/>
  <c r="AD8"/>
  <c r="AD6"/>
  <c r="AE126" i="12"/>
  <c r="O27"/>
  <c r="AE27" s="1"/>
  <c r="O42"/>
  <c r="AB11"/>
  <c r="AC5"/>
  <c r="AH5"/>
  <c r="AB7"/>
  <c r="AB9"/>
  <c r="AB8"/>
  <c r="AJ5"/>
  <c r="AG5"/>
  <c r="AB6"/>
  <c r="AB10"/>
  <c r="AE12"/>
  <c r="AK9"/>
  <c r="AB118"/>
  <c r="AC16" i="24"/>
  <c r="AC27"/>
  <c r="AD27" s="1"/>
  <c r="AA27"/>
  <c r="AB27" s="1"/>
  <c r="AD113"/>
  <c r="AD109"/>
  <c r="AD105"/>
  <c r="AD101"/>
  <c r="AD95"/>
  <c r="AD114"/>
  <c r="AD110"/>
  <c r="AD106"/>
  <c r="AD102"/>
  <c r="AD98"/>
  <c r="AD97"/>
  <c r="AD111"/>
  <c r="AD107"/>
  <c r="AD103"/>
  <c r="AD99"/>
  <c r="AD94"/>
  <c r="AD112"/>
  <c r="AD108"/>
  <c r="AD104"/>
  <c r="AD100"/>
  <c r="AD115"/>
  <c r="AD96"/>
  <c r="AD75"/>
  <c r="AB75" i="12"/>
  <c r="AB100"/>
  <c r="AB109"/>
  <c r="AB108"/>
  <c r="AB112"/>
  <c r="AB114"/>
  <c r="AB110"/>
  <c r="AB113"/>
  <c r="AB111"/>
  <c r="AB103"/>
  <c r="AB101"/>
  <c r="AB105"/>
  <c r="AB102"/>
  <c r="AB107"/>
  <c r="AB106"/>
  <c r="AB104"/>
  <c r="AD68" i="24"/>
  <c r="AD55"/>
  <c r="AI129" i="12"/>
  <c r="AC129" i="24"/>
  <c r="AD129" s="1"/>
  <c r="AD73"/>
  <c r="AD53"/>
  <c r="AD70"/>
  <c r="AD74"/>
  <c r="AD47"/>
  <c r="AD71"/>
  <c r="AD56"/>
  <c r="AD72"/>
  <c r="AD62"/>
  <c r="AD51"/>
  <c r="AB12" i="12"/>
  <c r="AB70"/>
  <c r="AB72"/>
  <c r="AB74"/>
  <c r="AB71"/>
  <c r="AB73"/>
  <c r="AB126"/>
  <c r="AB138"/>
  <c r="AB23"/>
  <c r="AB62"/>
  <c r="AB53"/>
  <c r="AB59"/>
  <c r="AB31"/>
  <c r="AB30"/>
  <c r="AB77"/>
  <c r="AB87"/>
  <c r="AB32"/>
  <c r="AB55"/>
  <c r="AB143"/>
  <c r="AB57"/>
  <c r="AB64"/>
  <c r="AB94"/>
  <c r="AB139"/>
  <c r="AB86"/>
  <c r="AB43"/>
  <c r="AB34"/>
  <c r="AB95"/>
  <c r="AB119"/>
  <c r="AB29"/>
  <c r="AB148"/>
  <c r="AB60"/>
  <c r="AB89"/>
  <c r="AB61"/>
  <c r="AB99"/>
  <c r="AB125"/>
  <c r="AB117"/>
  <c r="AB41"/>
  <c r="AB48"/>
  <c r="AB137"/>
  <c r="AB26"/>
  <c r="AB96"/>
  <c r="AB24"/>
  <c r="AB47"/>
  <c r="AB58"/>
  <c r="AB91"/>
  <c r="AB66"/>
  <c r="AB122"/>
  <c r="AB83"/>
  <c r="AB116"/>
  <c r="AB140"/>
  <c r="AB54"/>
  <c r="AB28"/>
  <c r="AB51"/>
  <c r="AB39"/>
  <c r="AB127"/>
  <c r="AC12"/>
  <c r="AD118"/>
  <c r="AB68"/>
  <c r="AB56"/>
  <c r="AB25"/>
  <c r="AB52"/>
  <c r="AB78"/>
  <c r="AB33"/>
  <c r="AB82"/>
  <c r="AB45"/>
  <c r="AB69"/>
  <c r="AB98"/>
  <c r="AB19"/>
  <c r="AB120"/>
  <c r="AB22"/>
  <c r="AB49"/>
  <c r="AB141"/>
  <c r="AB128"/>
  <c r="AB65"/>
  <c r="AA16"/>
  <c r="AB50"/>
  <c r="AB97"/>
  <c r="AB85"/>
  <c r="AB46"/>
  <c r="AB121"/>
  <c r="AB44"/>
  <c r="AB63"/>
  <c r="P42"/>
  <c r="AA42"/>
  <c r="AD15"/>
  <c r="AD14"/>
  <c r="AD13"/>
  <c r="AD9"/>
  <c r="AD7"/>
  <c r="AD6"/>
  <c r="AD8"/>
  <c r="AD11"/>
  <c r="AD10"/>
  <c r="O35"/>
  <c r="AD28" i="24"/>
  <c r="AD59"/>
  <c r="AD80"/>
  <c r="AD31"/>
  <c r="AD81"/>
  <c r="AD141"/>
  <c r="AD65"/>
  <c r="AD64"/>
  <c r="AD91"/>
  <c r="AD122"/>
  <c r="AD46"/>
  <c r="AD83"/>
  <c r="AD77"/>
  <c r="AD92"/>
  <c r="AD87"/>
  <c r="AD32"/>
  <c r="AD40"/>
  <c r="AD139"/>
  <c r="AD121"/>
  <c r="AD61"/>
  <c r="AD143"/>
  <c r="AD22"/>
  <c r="AD138"/>
  <c r="AD43"/>
  <c r="AD116"/>
  <c r="AD148"/>
  <c r="AD33"/>
  <c r="AD63"/>
  <c r="AD140"/>
  <c r="AD44"/>
  <c r="AD60"/>
  <c r="AD82"/>
  <c r="AD86"/>
  <c r="AD38"/>
  <c r="AD136"/>
  <c r="AD49"/>
  <c r="AD57"/>
  <c r="AD89"/>
  <c r="AD137"/>
  <c r="AD26"/>
  <c r="AD50"/>
  <c r="AD125"/>
  <c r="AD58"/>
  <c r="AD85"/>
  <c r="AD39"/>
  <c r="AD34"/>
  <c r="AD120"/>
  <c r="AD127"/>
  <c r="AD48"/>
  <c r="AD128"/>
  <c r="AD41"/>
  <c r="AD29"/>
  <c r="AD23"/>
  <c r="AD52"/>
  <c r="AD24"/>
  <c r="AD88"/>
  <c r="AD79"/>
  <c r="AD78"/>
  <c r="AD84"/>
  <c r="AD19"/>
  <c r="AD45"/>
  <c r="AD25"/>
  <c r="AD54"/>
  <c r="AD30"/>
  <c r="AD66"/>
  <c r="AJ126" i="12"/>
  <c r="AH126"/>
  <c r="AG126"/>
  <c r="AH12"/>
  <c r="AJ12"/>
  <c r="AG12"/>
  <c r="O76"/>
  <c r="AA42" i="24"/>
  <c r="AI16" i="12"/>
  <c r="AB16" i="24"/>
  <c r="AD16"/>
  <c r="AE16" i="12"/>
  <c r="AB17" i="24"/>
  <c r="AA21"/>
  <c r="AC21" s="1"/>
  <c r="AD21" s="1"/>
  <c r="AD126"/>
  <c r="AC42"/>
  <c r="AD42"/>
  <c r="AA76"/>
  <c r="AD75" i="12"/>
  <c r="AD100"/>
  <c r="AD112"/>
  <c r="AD109"/>
  <c r="AD113"/>
  <c r="AD110"/>
  <c r="AD108"/>
  <c r="AD114"/>
  <c r="AD111"/>
  <c r="AD103"/>
  <c r="AD101"/>
  <c r="AD106"/>
  <c r="AD105"/>
  <c r="AD102"/>
  <c r="AD107"/>
  <c r="AD104"/>
  <c r="AD126"/>
  <c r="AD72"/>
  <c r="AD71"/>
  <c r="AD70"/>
  <c r="AD74"/>
  <c r="AD73"/>
  <c r="AD12"/>
  <c r="P35"/>
  <c r="P76"/>
  <c r="AB16"/>
  <c r="AC16"/>
  <c r="AD16"/>
  <c r="AD64"/>
  <c r="AD140"/>
  <c r="AD139"/>
  <c r="AD39"/>
  <c r="AD60"/>
  <c r="AD95"/>
  <c r="AD54"/>
  <c r="AD29"/>
  <c r="AD56"/>
  <c r="AD68"/>
  <c r="AD77"/>
  <c r="AD98"/>
  <c r="AD63"/>
  <c r="AD66"/>
  <c r="AD125"/>
  <c r="AD128"/>
  <c r="AD65"/>
  <c r="AD119"/>
  <c r="AD26"/>
  <c r="AD55"/>
  <c r="AD58"/>
  <c r="AD91"/>
  <c r="AD141"/>
  <c r="AD51"/>
  <c r="AD78"/>
  <c r="AD83"/>
  <c r="AD116"/>
  <c r="AD47"/>
  <c r="AD50"/>
  <c r="AD41"/>
  <c r="AD122"/>
  <c r="AD61"/>
  <c r="AD99"/>
  <c r="AD34"/>
  <c r="AD33"/>
  <c r="AD57"/>
  <c r="AD32"/>
  <c r="AD89"/>
  <c r="AD82"/>
  <c r="AD44"/>
  <c r="AD25"/>
  <c r="AD52"/>
  <c r="AD30"/>
  <c r="AD19"/>
  <c r="AD45"/>
  <c r="AD69"/>
  <c r="AD143"/>
  <c r="AD127"/>
  <c r="AD97"/>
  <c r="AD28"/>
  <c r="AD85"/>
  <c r="AD121"/>
  <c r="AD48"/>
  <c r="AD137"/>
  <c r="AD53"/>
  <c r="AD43"/>
  <c r="AD46"/>
  <c r="AD138"/>
  <c r="AD59"/>
  <c r="AD62"/>
  <c r="AD96"/>
  <c r="AD24"/>
  <c r="AD120"/>
  <c r="AD22"/>
  <c r="AD49"/>
  <c r="AD86"/>
  <c r="AD94"/>
  <c r="AD31"/>
  <c r="AD148"/>
  <c r="AD23"/>
  <c r="AB42"/>
  <c r="AC42"/>
  <c r="AD42"/>
  <c r="AB42" i="24"/>
  <c r="AI42" i="12"/>
  <c r="AJ16"/>
  <c r="AH16"/>
  <c r="AG16"/>
  <c r="O145"/>
  <c r="P145" s="1"/>
  <c r="AE42"/>
  <c r="AI27"/>
  <c r="AA35" i="24"/>
  <c r="AB35" s="1"/>
  <c r="AC35"/>
  <c r="AD35" s="1"/>
  <c r="AG42" i="12"/>
  <c r="AJ42"/>
  <c r="AH42"/>
  <c r="W17"/>
  <c r="X17" s="1"/>
  <c r="W21" i="4"/>
  <c r="X21"/>
  <c r="AC17"/>
  <c r="AD17" s="1"/>
  <c r="AB17"/>
  <c r="W21" i="12"/>
  <c r="X21" s="1"/>
  <c r="AA21" i="4"/>
  <c r="AB21" s="1"/>
  <c r="C115" i="12"/>
  <c r="AA115"/>
  <c r="D115"/>
  <c r="AG115"/>
  <c r="AC115"/>
  <c r="AD115"/>
  <c r="AJ115"/>
  <c r="AB115"/>
  <c r="AE115"/>
  <c r="AH115"/>
  <c r="D76" i="11"/>
  <c r="C76" i="12"/>
  <c r="D76"/>
  <c r="C145" i="11"/>
  <c r="D145" s="1"/>
  <c r="AE76" i="12"/>
  <c r="AA76"/>
  <c r="AH76"/>
  <c r="AB76"/>
  <c r="AC76"/>
  <c r="AD76"/>
  <c r="AG76"/>
  <c r="AD76" i="21"/>
  <c r="AB76" i="24"/>
  <c r="AI76" i="12"/>
  <c r="AJ76"/>
  <c r="AC76" i="24"/>
  <c r="AD76"/>
  <c r="AA145"/>
  <c r="AC145" s="1"/>
  <c r="AD145" s="1"/>
  <c r="Q172" i="8"/>
  <c r="S172"/>
  <c r="U172"/>
  <c r="W172"/>
  <c r="Y172"/>
  <c r="K162"/>
  <c r="K152"/>
  <c r="I156"/>
  <c r="I158"/>
  <c r="I154"/>
  <c r="AA112" i="18"/>
  <c r="E172" i="8"/>
  <c r="G172"/>
  <c r="I172"/>
  <c r="AA152"/>
  <c r="AC150"/>
  <c r="AA111" i="18"/>
  <c r="Q37" i="6"/>
  <c r="Q29" i="18"/>
  <c r="R36" i="6"/>
  <c r="U36"/>
  <c r="M131"/>
  <c r="M156"/>
  <c r="R35"/>
  <c r="T35"/>
  <c r="X35"/>
  <c r="H131"/>
  <c r="Y131"/>
  <c r="I131"/>
  <c r="I156"/>
  <c r="J36"/>
  <c r="V35" i="3"/>
  <c r="AA36"/>
  <c r="T35"/>
  <c r="Q37"/>
  <c r="Q11" i="18"/>
  <c r="R36" i="3"/>
  <c r="AA27" i="12"/>
  <c r="N35" i="3"/>
  <c r="I156"/>
  <c r="I37"/>
  <c r="J36"/>
  <c r="I11" i="18"/>
  <c r="G11"/>
  <c r="H36" i="3"/>
  <c r="G37"/>
  <c r="C37"/>
  <c r="C11" i="18"/>
  <c r="D36" i="3"/>
  <c r="S104" i="18"/>
  <c r="T144" i="26"/>
  <c r="P145"/>
  <c r="G104" i="18"/>
  <c r="G166" i="26"/>
  <c r="Y95" i="18"/>
  <c r="AA164" i="24"/>
  <c r="AB144"/>
  <c r="Q95" i="18"/>
  <c r="I95"/>
  <c r="Y86"/>
  <c r="W86"/>
  <c r="U86"/>
  <c r="S86"/>
  <c r="AA144" i="25"/>
  <c r="AC144" s="1"/>
  <c r="AD144" s="1"/>
  <c r="Q86" i="18"/>
  <c r="Q144" i="12"/>
  <c r="R144" s="1"/>
  <c r="Q166" i="25"/>
  <c r="Q145"/>
  <c r="O86" i="18"/>
  <c r="C86"/>
  <c r="U145" i="23"/>
  <c r="U166"/>
  <c r="U77" i="18"/>
  <c r="K77"/>
  <c r="K144" i="12"/>
  <c r="L144" s="1"/>
  <c r="AG144" i="23"/>
  <c r="K145"/>
  <c r="K145" i="12" s="1"/>
  <c r="L145" s="1"/>
  <c r="K166" i="23"/>
  <c r="G77" i="18"/>
  <c r="E77"/>
  <c r="C77"/>
  <c r="C68"/>
  <c r="U59"/>
  <c r="N145" i="20"/>
  <c r="I157"/>
  <c r="G59" i="18"/>
  <c r="E59"/>
  <c r="AA144" i="11"/>
  <c r="AB144" s="1"/>
  <c r="Y50" i="18"/>
  <c r="S50"/>
  <c r="S166" i="11"/>
  <c r="Q50" i="18"/>
  <c r="O50"/>
  <c r="E50"/>
  <c r="C50"/>
  <c r="C166" i="11"/>
  <c r="AA36"/>
  <c r="Y41" i="18"/>
  <c r="W166" i="7"/>
  <c r="Q41" i="18"/>
  <c r="AB144" i="7"/>
  <c r="K166"/>
  <c r="I41" i="18"/>
  <c r="G145" i="12"/>
  <c r="H145" s="1"/>
  <c r="H145" i="7"/>
  <c r="G41" i="18"/>
  <c r="H144" i="12"/>
  <c r="E41" i="18"/>
  <c r="E166" i="7"/>
  <c r="AC144"/>
  <c r="AC166" s="1"/>
  <c r="AC164"/>
  <c r="AD142"/>
  <c r="K166" i="6"/>
  <c r="Y23" i="18"/>
  <c r="W23"/>
  <c r="U23"/>
  <c r="S23"/>
  <c r="M23"/>
  <c r="G23"/>
  <c r="AD142" i="4"/>
  <c r="AC164"/>
  <c r="AC144"/>
  <c r="AC166" s="1"/>
  <c r="C23" i="18"/>
  <c r="D144" i="4"/>
  <c r="Q14" i="18"/>
  <c r="K166" i="3"/>
  <c r="G14" i="18"/>
  <c r="C14"/>
  <c r="Y6"/>
  <c r="S6"/>
  <c r="S166" i="2"/>
  <c r="Q6" i="18"/>
  <c r="O6"/>
  <c r="K6"/>
  <c r="K166" i="2"/>
  <c r="I6" i="18"/>
  <c r="I166" i="2"/>
  <c r="G166"/>
  <c r="G6" i="18"/>
  <c r="E144" i="12"/>
  <c r="E166" s="1"/>
  <c r="C6" i="18"/>
  <c r="K187" i="12"/>
  <c r="AL152" i="8"/>
  <c r="K160"/>
  <c r="K169"/>
  <c r="K172"/>
  <c r="K154"/>
  <c r="M154"/>
  <c r="O154"/>
  <c r="Q154"/>
  <c r="S154"/>
  <c r="U154"/>
  <c r="W154"/>
  <c r="Y154"/>
  <c r="AL154"/>
  <c r="AA160"/>
  <c r="AA169"/>
  <c r="AC169"/>
  <c r="AA187" i="12"/>
  <c r="AC187"/>
  <c r="AC162" i="8"/>
  <c r="AC152"/>
  <c r="AC160"/>
  <c r="J131" i="6"/>
  <c r="I135"/>
  <c r="Y135"/>
  <c r="Z131"/>
  <c r="N131"/>
  <c r="M135"/>
  <c r="V36"/>
  <c r="U37"/>
  <c r="U29" i="18"/>
  <c r="R37" i="6"/>
  <c r="Q131"/>
  <c r="AB36" i="3"/>
  <c r="AA37"/>
  <c r="R37"/>
  <c r="Q131"/>
  <c r="AC27" i="12"/>
  <c r="AD27" s="1"/>
  <c r="AG27"/>
  <c r="AB27"/>
  <c r="I131" i="3"/>
  <c r="J37"/>
  <c r="G131"/>
  <c r="H37"/>
  <c r="C131"/>
  <c r="D131" s="1"/>
  <c r="D37"/>
  <c r="R145" i="25"/>
  <c r="R84" i="18" s="1"/>
  <c r="V145" i="23"/>
  <c r="AG145"/>
  <c r="AB36" i="11"/>
  <c r="AA37"/>
  <c r="AD144" i="4"/>
  <c r="U131" i="6"/>
  <c r="V37"/>
  <c r="J135"/>
  <c r="I146"/>
  <c r="J146" s="1"/>
  <c r="N135"/>
  <c r="M146"/>
  <c r="M150" s="1"/>
  <c r="Q135"/>
  <c r="Q146" s="1"/>
  <c r="R131"/>
  <c r="Z135"/>
  <c r="Y146"/>
  <c r="Z146" s="1"/>
  <c r="AA131" i="3"/>
  <c r="AA135" s="1"/>
  <c r="AB37"/>
  <c r="R131"/>
  <c r="Q135"/>
  <c r="J131"/>
  <c r="I135"/>
  <c r="J135" s="1"/>
  <c r="H131"/>
  <c r="G135"/>
  <c r="C135"/>
  <c r="AB37" i="11"/>
  <c r="U135" i="6"/>
  <c r="V131"/>
  <c r="N146"/>
  <c r="R135" i="3"/>
  <c r="Q146"/>
  <c r="R146" s="1"/>
  <c r="H135"/>
  <c r="G146"/>
  <c r="H146" s="1"/>
  <c r="V135" i="6"/>
  <c r="U146"/>
  <c r="V146" s="1"/>
  <c r="Q150" i="3"/>
  <c r="Q152" s="1"/>
  <c r="AA144" i="26" l="1"/>
  <c r="AC144" s="1"/>
  <c r="X144" i="12"/>
  <c r="AA164" i="26"/>
  <c r="AB144"/>
  <c r="AA166"/>
  <c r="AA145" i="25"/>
  <c r="AC145" s="1"/>
  <c r="AD145" s="1"/>
  <c r="AB144"/>
  <c r="S144" i="12"/>
  <c r="S77" i="18"/>
  <c r="T144" i="23"/>
  <c r="AC144"/>
  <c r="L145"/>
  <c r="AH144"/>
  <c r="AB144"/>
  <c r="AD142" i="20"/>
  <c r="AC144"/>
  <c r="AD144" s="1"/>
  <c r="AA144"/>
  <c r="AB144" s="1"/>
  <c r="AB142"/>
  <c r="K50" i="18"/>
  <c r="I144" i="12"/>
  <c r="C166" i="7"/>
  <c r="Q166" i="12"/>
  <c r="AA104" i="18"/>
  <c r="AC166" i="26"/>
  <c r="AD144"/>
  <c r="AD142"/>
  <c r="AC164"/>
  <c r="AA95" i="18"/>
  <c r="AD144" i="24"/>
  <c r="AC166"/>
  <c r="AD142"/>
  <c r="AC164"/>
  <c r="AI142" i="12"/>
  <c r="AB142" i="25"/>
  <c r="AA86" i="18"/>
  <c r="AA77"/>
  <c r="AC164" i="23"/>
  <c r="AD142"/>
  <c r="Y121" i="18"/>
  <c r="G121"/>
  <c r="AA68"/>
  <c r="AE142" i="12"/>
  <c r="G164"/>
  <c r="AA142"/>
  <c r="AG142" s="1"/>
  <c r="AA59" i="18"/>
  <c r="AA166" i="11"/>
  <c r="W166"/>
  <c r="U166"/>
  <c r="AA50" i="18"/>
  <c r="AC164" i="11"/>
  <c r="AD142"/>
  <c r="AC144"/>
  <c r="U166" i="7"/>
  <c r="S121" i="18"/>
  <c r="S166" i="7"/>
  <c r="AA41" i="18"/>
  <c r="AD144" i="7"/>
  <c r="Q121" i="18"/>
  <c r="AA32"/>
  <c r="I150" i="6"/>
  <c r="AC164"/>
  <c r="AD142"/>
  <c r="AC144"/>
  <c r="W121" i="18"/>
  <c r="O121"/>
  <c r="AA23"/>
  <c r="C121"/>
  <c r="Q12"/>
  <c r="Q13" s="1"/>
  <c r="M121"/>
  <c r="K121"/>
  <c r="I121"/>
  <c r="AA166" i="3"/>
  <c r="AC144"/>
  <c r="AC164"/>
  <c r="AD142"/>
  <c r="AA14" i="18"/>
  <c r="C146" i="3"/>
  <c r="C145"/>
  <c r="D145" s="1"/>
  <c r="C144" i="12"/>
  <c r="D144" s="1"/>
  <c r="W166" i="2"/>
  <c r="U6" i="18"/>
  <c r="U121" s="1"/>
  <c r="E6"/>
  <c r="F144" i="12"/>
  <c r="AD144" i="2"/>
  <c r="AC166"/>
  <c r="G150" i="3"/>
  <c r="D135"/>
  <c r="M162" i="26"/>
  <c r="M152"/>
  <c r="M102" i="18"/>
  <c r="M103" s="1"/>
  <c r="R131" i="26"/>
  <c r="AA145"/>
  <c r="AB145" s="1"/>
  <c r="R145" i="24"/>
  <c r="Q145" i="12"/>
  <c r="R145" s="1"/>
  <c r="U145" i="25"/>
  <c r="Z129" i="23"/>
  <c r="AC129" i="20"/>
  <c r="AD129" s="1"/>
  <c r="AD117"/>
  <c r="AD117" i="11"/>
  <c r="AC129"/>
  <c r="AD129" s="1"/>
  <c r="I145" i="12"/>
  <c r="J145" s="1"/>
  <c r="J145" i="11"/>
  <c r="M145"/>
  <c r="M152" i="6"/>
  <c r="M158" s="1"/>
  <c r="M162"/>
  <c r="M30" i="18"/>
  <c r="M157" i="6"/>
  <c r="AB129"/>
  <c r="Y150"/>
  <c r="AD117" i="4"/>
  <c r="AC129"/>
  <c r="Q162" i="3"/>
  <c r="F145" i="2"/>
  <c r="E145" i="12"/>
  <c r="F145" s="1"/>
  <c r="AB129" i="2"/>
  <c r="AA145"/>
  <c r="C145"/>
  <c r="D145" s="1"/>
  <c r="C129" i="12"/>
  <c r="G152" i="3"/>
  <c r="AA15" i="18"/>
  <c r="C150" i="3"/>
  <c r="D146"/>
  <c r="AB135"/>
  <c r="AA146"/>
  <c r="AB146" s="1"/>
  <c r="AB131"/>
  <c r="U150" i="6"/>
  <c r="Q150"/>
  <c r="Q30" i="18" s="1"/>
  <c r="Q31" s="1"/>
  <c r="R146" i="6"/>
  <c r="R135"/>
  <c r="O135"/>
  <c r="L93" i="7"/>
  <c r="AA93"/>
  <c r="AC93"/>
  <c r="AD87"/>
  <c r="C145"/>
  <c r="D145" s="1"/>
  <c r="Z131" i="11"/>
  <c r="AA131"/>
  <c r="AA145"/>
  <c r="AB145" s="1"/>
  <c r="M135"/>
  <c r="AA51" i="18"/>
  <c r="AC93" i="20"/>
  <c r="AD92"/>
  <c r="AB92"/>
  <c r="AA93"/>
  <c r="Z93"/>
  <c r="Y135"/>
  <c r="Y145"/>
  <c r="Z145" s="1"/>
  <c r="M135"/>
  <c r="P146"/>
  <c r="C57" i="18"/>
  <c r="C58" s="1"/>
  <c r="C152" i="20"/>
  <c r="C157"/>
  <c r="AE90" i="12"/>
  <c r="W145" i="21"/>
  <c r="Z90" i="12"/>
  <c r="Y145" i="21"/>
  <c r="AI90" i="12"/>
  <c r="Y93"/>
  <c r="Z93" s="1"/>
  <c r="Z93" i="21"/>
  <c r="AA90" i="12"/>
  <c r="V93"/>
  <c r="AB90" i="21"/>
  <c r="AA93"/>
  <c r="K131"/>
  <c r="I131"/>
  <c r="I135" s="1"/>
  <c r="AA69" i="18"/>
  <c r="AA145" i="23"/>
  <c r="AH145" s="1"/>
  <c r="AB93"/>
  <c r="AH93"/>
  <c r="AA96" i="18"/>
  <c r="AB145" i="24"/>
  <c r="AA87" i="18"/>
  <c r="AA78"/>
  <c r="AA88" i="12"/>
  <c r="AC88" s="1"/>
  <c r="AD88" s="1"/>
  <c r="AA60" i="18"/>
  <c r="G146" i="11"/>
  <c r="AE88" i="12"/>
  <c r="AA42" i="18"/>
  <c r="AA33"/>
  <c r="AA24"/>
  <c r="Q174" i="12"/>
  <c r="Q160" i="3"/>
  <c r="R152"/>
  <c r="I146"/>
  <c r="Z131"/>
  <c r="AA7" i="18"/>
  <c r="C122"/>
  <c r="I122"/>
  <c r="Q122"/>
  <c r="Y122"/>
  <c r="G122"/>
  <c r="O122"/>
  <c r="W122"/>
  <c r="E122"/>
  <c r="M122"/>
  <c r="U122"/>
  <c r="K122"/>
  <c r="S122"/>
  <c r="AC145" i="26"/>
  <c r="AD145" s="1"/>
  <c r="T135"/>
  <c r="Q146"/>
  <c r="R146" s="1"/>
  <c r="AA105" i="18"/>
  <c r="S150" i="26"/>
  <c r="S152" s="1"/>
  <c r="T146"/>
  <c r="W37"/>
  <c r="E36"/>
  <c r="F36" s="1"/>
  <c r="W135" i="24"/>
  <c r="X131"/>
  <c r="K92" i="18"/>
  <c r="K157" i="24"/>
  <c r="K37"/>
  <c r="L36"/>
  <c r="C36"/>
  <c r="C37" s="1"/>
  <c r="T37"/>
  <c r="Q36"/>
  <c r="Q37" i="25"/>
  <c r="R36"/>
  <c r="Q83" i="18"/>
  <c r="O83"/>
  <c r="P36" i="25"/>
  <c r="O37"/>
  <c r="O156"/>
  <c r="W83" i="18"/>
  <c r="X36" i="25"/>
  <c r="W37"/>
  <c r="C83" i="18"/>
  <c r="C37" i="25"/>
  <c r="D36"/>
  <c r="S83" i="18"/>
  <c r="T36" i="25"/>
  <c r="S37"/>
  <c r="AB35"/>
  <c r="Z37"/>
  <c r="AE36" s="1"/>
  <c r="E36"/>
  <c r="F36" s="1"/>
  <c r="X35"/>
  <c r="T35"/>
  <c r="U36"/>
  <c r="U36" i="12" s="1"/>
  <c r="V36" s="1"/>
  <c r="D37" i="23"/>
  <c r="AG37"/>
  <c r="C131"/>
  <c r="E37"/>
  <c r="F36"/>
  <c r="AG36"/>
  <c r="AH36" s="1"/>
  <c r="E74" i="18"/>
  <c r="K37" i="23"/>
  <c r="K74" i="18"/>
  <c r="L36" i="23"/>
  <c r="O37"/>
  <c r="O74" i="18"/>
  <c r="O156" i="23"/>
  <c r="P36"/>
  <c r="T37"/>
  <c r="S131"/>
  <c r="AC36"/>
  <c r="AD36" s="1"/>
  <c r="AA37"/>
  <c r="AB36"/>
  <c r="G74" i="18"/>
  <c r="H36" i="23"/>
  <c r="G37"/>
  <c r="W37"/>
  <c r="W74" i="18"/>
  <c r="X36" i="23"/>
  <c r="I156"/>
  <c r="I37"/>
  <c r="I74" i="18"/>
  <c r="J36" i="23"/>
  <c r="N36"/>
  <c r="M74" i="18"/>
  <c r="M37" i="23"/>
  <c r="M156"/>
  <c r="Q74" i="18"/>
  <c r="Q37" i="23"/>
  <c r="R36"/>
  <c r="U74" i="18"/>
  <c r="U37" i="23"/>
  <c r="V36"/>
  <c r="Y37"/>
  <c r="Y74" i="18"/>
  <c r="Z36" i="23"/>
  <c r="E131" i="21"/>
  <c r="F37"/>
  <c r="J131"/>
  <c r="L131"/>
  <c r="K135"/>
  <c r="Z37"/>
  <c r="Y131"/>
  <c r="Q131"/>
  <c r="Q135" s="1"/>
  <c r="R37"/>
  <c r="X36"/>
  <c r="W37"/>
  <c r="W65" i="18"/>
  <c r="C36" i="21"/>
  <c r="C37" s="1"/>
  <c r="O36"/>
  <c r="S36"/>
  <c r="T36" s="1"/>
  <c r="E37" i="20"/>
  <c r="E56" i="18"/>
  <c r="F36" i="20"/>
  <c r="AD27"/>
  <c r="AC35"/>
  <c r="AD35" s="1"/>
  <c r="I37"/>
  <c r="J36"/>
  <c r="I56" i="18"/>
  <c r="I156" i="20"/>
  <c r="G56" i="18"/>
  <c r="H36" i="20"/>
  <c r="G37"/>
  <c r="X131"/>
  <c r="W135"/>
  <c r="K37"/>
  <c r="K56" i="18"/>
  <c r="L36" i="20"/>
  <c r="S36"/>
  <c r="U36"/>
  <c r="Y146" i="11"/>
  <c r="Z135"/>
  <c r="AD27"/>
  <c r="AC35"/>
  <c r="AD35" s="1"/>
  <c r="O37"/>
  <c r="O47" i="18"/>
  <c r="P36" i="11"/>
  <c r="O156"/>
  <c r="K135"/>
  <c r="L131"/>
  <c r="U37"/>
  <c r="V36"/>
  <c r="U47" i="18"/>
  <c r="C37" i="11"/>
  <c r="D36"/>
  <c r="C47" i="18"/>
  <c r="I37" i="11"/>
  <c r="I47" i="18"/>
  <c r="I156" i="11"/>
  <c r="J36"/>
  <c r="S37"/>
  <c r="T37" s="1"/>
  <c r="S47" i="18"/>
  <c r="T36" i="11"/>
  <c r="W47" i="18"/>
  <c r="W37" i="11"/>
  <c r="X36"/>
  <c r="E37"/>
  <c r="E131" s="1"/>
  <c r="E47" i="18"/>
  <c r="F36" i="11"/>
  <c r="Q36"/>
  <c r="N36" i="7"/>
  <c r="M37"/>
  <c r="M38" i="18"/>
  <c r="M156" i="7"/>
  <c r="O131"/>
  <c r="P37"/>
  <c r="G36"/>
  <c r="G38" i="18" s="1"/>
  <c r="Q36" i="7"/>
  <c r="Q38" i="18" s="1"/>
  <c r="S29"/>
  <c r="T36" i="6"/>
  <c r="S37"/>
  <c r="F36"/>
  <c r="E29" i="18"/>
  <c r="E37" i="6"/>
  <c r="K29" i="18"/>
  <c r="L36" i="6"/>
  <c r="K37"/>
  <c r="C37"/>
  <c r="D36"/>
  <c r="C29" i="18"/>
  <c r="W36" i="6"/>
  <c r="W29" i="18" s="1"/>
  <c r="E37" i="4"/>
  <c r="F36"/>
  <c r="E20" i="18"/>
  <c r="L36" i="4"/>
  <c r="K20" i="18"/>
  <c r="K37" i="4"/>
  <c r="K156"/>
  <c r="O20" i="18"/>
  <c r="O156" i="4"/>
  <c r="P36"/>
  <c r="O37"/>
  <c r="G37"/>
  <c r="G20" i="18"/>
  <c r="H36" i="4"/>
  <c r="Q131"/>
  <c r="R37"/>
  <c r="Z36"/>
  <c r="Y20" i="18"/>
  <c r="Y37" i="4"/>
  <c r="AC35"/>
  <c r="AD35" s="1"/>
  <c r="AD27"/>
  <c r="C20" i="18"/>
  <c r="D36" i="4"/>
  <c r="C37"/>
  <c r="X36"/>
  <c r="W20" i="18"/>
  <c r="W37" i="4"/>
  <c r="S36"/>
  <c r="U36"/>
  <c r="AC35" i="3"/>
  <c r="AD27"/>
  <c r="Y146"/>
  <c r="Z135"/>
  <c r="U11" i="18"/>
  <c r="V36" i="3"/>
  <c r="U37"/>
  <c r="M11" i="18"/>
  <c r="M156" i="3"/>
  <c r="M37"/>
  <c r="N36"/>
  <c r="L131"/>
  <c r="K135"/>
  <c r="F36"/>
  <c r="E11" i="18"/>
  <c r="E37" i="3"/>
  <c r="T36"/>
  <c r="S11" i="18"/>
  <c r="S37" i="3"/>
  <c r="P36"/>
  <c r="O156"/>
  <c r="O11" i="18"/>
  <c r="O37" i="3"/>
  <c r="W131"/>
  <c r="R35" i="2"/>
  <c r="P27" i="12"/>
  <c r="W37" i="2"/>
  <c r="X36"/>
  <c r="S36"/>
  <c r="Q37"/>
  <c r="R36"/>
  <c r="Q3" i="18"/>
  <c r="AH27" i="12"/>
  <c r="AJ27"/>
  <c r="O36" i="2"/>
  <c r="O36" i="12" s="1"/>
  <c r="P36" s="1"/>
  <c r="N36" i="2"/>
  <c r="M37"/>
  <c r="M3" i="18"/>
  <c r="AA35" i="12"/>
  <c r="L35"/>
  <c r="AE35"/>
  <c r="K36" i="2"/>
  <c r="K37" s="1"/>
  <c r="H36"/>
  <c r="G3" i="18"/>
  <c r="G37" i="2"/>
  <c r="AB27"/>
  <c r="AA35"/>
  <c r="E36"/>
  <c r="C36"/>
  <c r="D36" s="1"/>
  <c r="I150" i="26"/>
  <c r="I162" s="1"/>
  <c r="J146"/>
  <c r="J135"/>
  <c r="U135"/>
  <c r="V135" s="1"/>
  <c r="U101" i="18"/>
  <c r="O131" i="26"/>
  <c r="P37"/>
  <c r="P36"/>
  <c r="O101" i="18"/>
  <c r="K102"/>
  <c r="K103" s="1"/>
  <c r="K162" i="26"/>
  <c r="K157"/>
  <c r="K152"/>
  <c r="G135"/>
  <c r="H131"/>
  <c r="E101" i="18"/>
  <c r="AA101" s="1"/>
  <c r="C131" i="26"/>
  <c r="D37"/>
  <c r="Z131"/>
  <c r="Y135"/>
  <c r="AB17"/>
  <c r="Z36"/>
  <c r="AA21"/>
  <c r="U37" i="24"/>
  <c r="U92" i="18"/>
  <c r="S135" i="24"/>
  <c r="T131"/>
  <c r="R36"/>
  <c r="Q37"/>
  <c r="Q92" i="18"/>
  <c r="R21" i="24"/>
  <c r="P131"/>
  <c r="O135"/>
  <c r="N131"/>
  <c r="M135"/>
  <c r="J131"/>
  <c r="I135"/>
  <c r="G135"/>
  <c r="H131"/>
  <c r="F36"/>
  <c r="E37"/>
  <c r="AA36"/>
  <c r="AA37" s="1"/>
  <c r="AA131" s="1"/>
  <c r="D36"/>
  <c r="C92" i="18"/>
  <c r="Y131" i="24"/>
  <c r="Z37"/>
  <c r="AH36" s="1"/>
  <c r="Z36"/>
  <c r="AB21"/>
  <c r="Z131" i="25"/>
  <c r="Y135"/>
  <c r="M135"/>
  <c r="N131"/>
  <c r="K135"/>
  <c r="L131"/>
  <c r="I135"/>
  <c r="J131"/>
  <c r="E37"/>
  <c r="AA21"/>
  <c r="AI17" i="12"/>
  <c r="AC17" i="25"/>
  <c r="AD17" s="1"/>
  <c r="AB17"/>
  <c r="G21"/>
  <c r="O37" i="21"/>
  <c r="O131" s="1"/>
  <c r="P36"/>
  <c r="O65" i="18"/>
  <c r="M131" i="21"/>
  <c r="N37"/>
  <c r="C65" i="18"/>
  <c r="D36" i="21"/>
  <c r="U37"/>
  <c r="U65" i="18"/>
  <c r="V36" i="21"/>
  <c r="S65" i="18"/>
  <c r="S37" i="21"/>
  <c r="R131"/>
  <c r="H37"/>
  <c r="G131"/>
  <c r="E135"/>
  <c r="F131"/>
  <c r="U56" i="18"/>
  <c r="U37" i="20"/>
  <c r="V36"/>
  <c r="AB37"/>
  <c r="AA131"/>
  <c r="R146"/>
  <c r="Q150"/>
  <c r="Q57" i="18" s="1"/>
  <c r="Q58" s="1"/>
  <c r="AC21" i="20"/>
  <c r="AD17"/>
  <c r="O57" i="18"/>
  <c r="O58" s="1"/>
  <c r="O152" i="20"/>
  <c r="O157"/>
  <c r="S131" i="11"/>
  <c r="Q47" i="18"/>
  <c r="R36" i="11"/>
  <c r="Q37"/>
  <c r="AD17"/>
  <c r="AC21"/>
  <c r="AA17" i="12"/>
  <c r="AG17" s="1"/>
  <c r="W36" i="7"/>
  <c r="U37"/>
  <c r="V36"/>
  <c r="U38" i="18"/>
  <c r="S37" i="7"/>
  <c r="S38" i="18"/>
  <c r="T36" i="7"/>
  <c r="Q36" i="12"/>
  <c r="R36" s="1"/>
  <c r="Q37" i="7"/>
  <c r="R36"/>
  <c r="AC17"/>
  <c r="K36"/>
  <c r="I36"/>
  <c r="H36"/>
  <c r="F36"/>
  <c r="E37"/>
  <c r="E38" i="18"/>
  <c r="AA36" i="7"/>
  <c r="C38" i="18"/>
  <c r="D36" i="7"/>
  <c r="C37"/>
  <c r="Y38" i="18"/>
  <c r="Y37" i="7"/>
  <c r="Z36"/>
  <c r="W37" i="6"/>
  <c r="AE17" i="12"/>
  <c r="G146" i="6"/>
  <c r="H135"/>
  <c r="AA21"/>
  <c r="AC21"/>
  <c r="AD21" s="1"/>
  <c r="M160"/>
  <c r="M169" s="1"/>
  <c r="M176" i="12"/>
  <c r="N152" i="6"/>
  <c r="M31" i="18"/>
  <c r="U37" i="4"/>
  <c r="V36"/>
  <c r="U20" i="18"/>
  <c r="S37" i="4"/>
  <c r="T36"/>
  <c r="S20" i="18"/>
  <c r="I36" i="4"/>
  <c r="AC21"/>
  <c r="AA36"/>
  <c r="M37"/>
  <c r="N36"/>
  <c r="M156"/>
  <c r="M20" i="18"/>
  <c r="M36" i="12"/>
  <c r="N36" s="1"/>
  <c r="N21" i="4"/>
  <c r="Y36" i="2"/>
  <c r="U37"/>
  <c r="V36"/>
  <c r="U3" i="18"/>
  <c r="I36" i="2"/>
  <c r="J21"/>
  <c r="I21" i="12"/>
  <c r="J21" s="1"/>
  <c r="E3" i="18"/>
  <c r="E37" i="2"/>
  <c r="F36"/>
  <c r="Z21" i="12"/>
  <c r="Y37" i="2"/>
  <c r="Z21"/>
  <c r="AB17"/>
  <c r="C37"/>
  <c r="AA21"/>
  <c r="AB145" i="25" l="1"/>
  <c r="S166" i="12"/>
  <c r="T144"/>
  <c r="AC166" i="23"/>
  <c r="AD144"/>
  <c r="AI144" i="12"/>
  <c r="I166"/>
  <c r="J144"/>
  <c r="I152" i="26"/>
  <c r="AB142" i="12"/>
  <c r="AJ142"/>
  <c r="AH142"/>
  <c r="AC142"/>
  <c r="AC164" s="1"/>
  <c r="AA164"/>
  <c r="AC166" i="11"/>
  <c r="AD144"/>
  <c r="AC145"/>
  <c r="AD145" s="1"/>
  <c r="I157" i="6"/>
  <c r="I162"/>
  <c r="I30" i="18"/>
  <c r="I31" s="1"/>
  <c r="I152" i="6"/>
  <c r="AC145"/>
  <c r="AD145" s="1"/>
  <c r="AC166"/>
  <c r="AD144"/>
  <c r="AE144" i="12"/>
  <c r="AC166" i="3"/>
  <c r="AC145"/>
  <c r="AD145" s="1"/>
  <c r="AD144"/>
  <c r="C166" i="12"/>
  <c r="AA144"/>
  <c r="E121" i="18"/>
  <c r="AA6"/>
  <c r="AA121" s="1"/>
  <c r="Q169" i="3"/>
  <c r="G162"/>
  <c r="G12" i="18"/>
  <c r="G13" s="1"/>
  <c r="I102"/>
  <c r="I103" s="1"/>
  <c r="Q150" i="26"/>
  <c r="M184" i="12"/>
  <c r="M160" i="26"/>
  <c r="M169" s="1"/>
  <c r="N152"/>
  <c r="M158"/>
  <c r="V145" i="25"/>
  <c r="V84" i="18" s="1"/>
  <c r="U145" i="12"/>
  <c r="V145" s="1"/>
  <c r="N145" i="11"/>
  <c r="M145" i="12"/>
  <c r="N145" s="1"/>
  <c r="Y152" i="6"/>
  <c r="Y162"/>
  <c r="Y30" i="18"/>
  <c r="Y31" s="1"/>
  <c r="AD129" i="4"/>
  <c r="AC145"/>
  <c r="AD145" s="1"/>
  <c r="AC145" i="2"/>
  <c r="AD145" s="1"/>
  <c r="AB145"/>
  <c r="D129" i="12"/>
  <c r="AA129"/>
  <c r="AE129"/>
  <c r="C145"/>
  <c r="D145" s="1"/>
  <c r="G160" i="3"/>
  <c r="G174" i="12"/>
  <c r="H152" i="3"/>
  <c r="C162"/>
  <c r="C175"/>
  <c r="C12" i="18"/>
  <c r="C13" s="1"/>
  <c r="C152" i="3"/>
  <c r="U152" i="6"/>
  <c r="U162"/>
  <c r="U30" i="18"/>
  <c r="U31" s="1"/>
  <c r="Q152" i="6"/>
  <c r="Q162"/>
  <c r="O146"/>
  <c r="P135"/>
  <c r="AA145" i="7"/>
  <c r="AB145" s="1"/>
  <c r="AB93"/>
  <c r="AD93"/>
  <c r="AC145"/>
  <c r="AD145" s="1"/>
  <c r="AA135" i="11"/>
  <c r="AB131"/>
  <c r="M146"/>
  <c r="N135"/>
  <c r="AD93" i="20"/>
  <c r="AC145"/>
  <c r="AD145" s="1"/>
  <c r="AA145"/>
  <c r="AB145" s="1"/>
  <c r="AB93"/>
  <c r="Z135"/>
  <c r="Y146"/>
  <c r="N135"/>
  <c r="M146"/>
  <c r="C154"/>
  <c r="C179" i="12"/>
  <c r="D152" i="20"/>
  <c r="C156"/>
  <c r="C158" s="1"/>
  <c r="AH90" i="12"/>
  <c r="AJ90"/>
  <c r="W145"/>
  <c r="X145" s="1"/>
  <c r="X145" i="21"/>
  <c r="AB90" i="12"/>
  <c r="AA93"/>
  <c r="AG93" s="1"/>
  <c r="Z145" i="21"/>
  <c r="Y145" i="12"/>
  <c r="AG90"/>
  <c r="AC90"/>
  <c r="AD90" s="1"/>
  <c r="AE93"/>
  <c r="AC93" i="21"/>
  <c r="AD93" s="1"/>
  <c r="AA145"/>
  <c r="AB93"/>
  <c r="AA131"/>
  <c r="AI93" i="12"/>
  <c r="AC145" i="23"/>
  <c r="AD145" s="1"/>
  <c r="AB145"/>
  <c r="AA122" i="18"/>
  <c r="AB88" i="12"/>
  <c r="AJ88"/>
  <c r="AG88"/>
  <c r="AH88"/>
  <c r="G150" i="11"/>
  <c r="H146"/>
  <c r="J146" i="3"/>
  <c r="I150"/>
  <c r="I152" s="1"/>
  <c r="U146" i="26"/>
  <c r="V146" s="1"/>
  <c r="X37"/>
  <c r="W131"/>
  <c r="E37"/>
  <c r="S184" i="12"/>
  <c r="T152" i="26"/>
  <c r="S160"/>
  <c r="S156"/>
  <c r="S158" s="1"/>
  <c r="S102" i="18"/>
  <c r="S103" s="1"/>
  <c r="S162" i="26"/>
  <c r="S169" s="1"/>
  <c r="S172" s="1"/>
  <c r="K131" i="24"/>
  <c r="L37"/>
  <c r="X135"/>
  <c r="W146"/>
  <c r="S131" i="25"/>
  <c r="T37"/>
  <c r="C131"/>
  <c r="D37"/>
  <c r="Q131"/>
  <c r="R37"/>
  <c r="E83" i="18"/>
  <c r="E36" i="12"/>
  <c r="F36" s="1"/>
  <c r="U83" i="18"/>
  <c r="U37" i="25"/>
  <c r="V36"/>
  <c r="X37"/>
  <c r="W131"/>
  <c r="P37"/>
  <c r="O131"/>
  <c r="V37" i="23"/>
  <c r="U131"/>
  <c r="G131"/>
  <c r="H37"/>
  <c r="P37"/>
  <c r="O131"/>
  <c r="AA74" i="18"/>
  <c r="C135" i="23"/>
  <c r="D131"/>
  <c r="Q131"/>
  <c r="R37"/>
  <c r="I131"/>
  <c r="J37"/>
  <c r="W131"/>
  <c r="X37"/>
  <c r="S135"/>
  <c r="T131"/>
  <c r="L37"/>
  <c r="K131"/>
  <c r="E131"/>
  <c r="F37"/>
  <c r="Z37"/>
  <c r="Y131"/>
  <c r="M131"/>
  <c r="N37"/>
  <c r="AA131"/>
  <c r="AH37"/>
  <c r="AC37"/>
  <c r="AD37" s="1"/>
  <c r="AB37"/>
  <c r="I146" i="21"/>
  <c r="J135"/>
  <c r="W131"/>
  <c r="X37"/>
  <c r="Y135"/>
  <c r="Z131"/>
  <c r="P37"/>
  <c r="K146"/>
  <c r="L135"/>
  <c r="S56" i="18"/>
  <c r="T36" i="20"/>
  <c r="S37"/>
  <c r="S37" i="12" s="1"/>
  <c r="T37" s="1"/>
  <c r="W146" i="20"/>
  <c r="X135"/>
  <c r="K131"/>
  <c r="L37"/>
  <c r="AA56" i="18"/>
  <c r="S36" i="12"/>
  <c r="T36" s="1"/>
  <c r="E131" i="20"/>
  <c r="F37"/>
  <c r="J37"/>
  <c r="I131"/>
  <c r="H37"/>
  <c r="G131"/>
  <c r="U131" i="11"/>
  <c r="V37"/>
  <c r="X37"/>
  <c r="W131"/>
  <c r="I131"/>
  <c r="J37"/>
  <c r="K146"/>
  <c r="L135"/>
  <c r="O131"/>
  <c r="P37"/>
  <c r="Y150"/>
  <c r="Y152" s="1"/>
  <c r="Z146"/>
  <c r="F37"/>
  <c r="D37"/>
  <c r="C131"/>
  <c r="O135" i="7"/>
  <c r="P131"/>
  <c r="G37"/>
  <c r="M131"/>
  <c r="N37"/>
  <c r="AA29" i="18"/>
  <c r="X36" i="6"/>
  <c r="F37"/>
  <c r="E131"/>
  <c r="T37"/>
  <c r="S131"/>
  <c r="W36" i="12"/>
  <c r="X36" s="1"/>
  <c r="D37" i="6"/>
  <c r="C131"/>
  <c r="K131"/>
  <c r="L37"/>
  <c r="L37" i="4"/>
  <c r="K131"/>
  <c r="X37"/>
  <c r="W131"/>
  <c r="Y131"/>
  <c r="Z37"/>
  <c r="R131"/>
  <c r="Q135"/>
  <c r="O131"/>
  <c r="P37"/>
  <c r="D37"/>
  <c r="C131"/>
  <c r="H37"/>
  <c r="G131"/>
  <c r="F37"/>
  <c r="E131"/>
  <c r="W135" i="3"/>
  <c r="X131"/>
  <c r="L135"/>
  <c r="K146"/>
  <c r="N37"/>
  <c r="M131"/>
  <c r="U131"/>
  <c r="V37"/>
  <c r="Z146"/>
  <c r="Y150"/>
  <c r="Y152" s="1"/>
  <c r="O131"/>
  <c r="P37"/>
  <c r="S131"/>
  <c r="T37"/>
  <c r="AA11" i="18"/>
  <c r="F37" i="3"/>
  <c r="E131"/>
  <c r="AD35"/>
  <c r="AC36"/>
  <c r="O3" i="18"/>
  <c r="K3"/>
  <c r="W131" i="2"/>
  <c r="X37"/>
  <c r="T36"/>
  <c r="S37"/>
  <c r="S3" i="18"/>
  <c r="Q131" i="2"/>
  <c r="R37"/>
  <c r="P36"/>
  <c r="O37"/>
  <c r="P37" s="1"/>
  <c r="L36"/>
  <c r="K36" i="12"/>
  <c r="L36" s="1"/>
  <c r="M131" i="2"/>
  <c r="N37"/>
  <c r="AH35" i="12"/>
  <c r="AG35"/>
  <c r="AB35"/>
  <c r="AC35"/>
  <c r="AD35" s="1"/>
  <c r="G131" i="2"/>
  <c r="H37"/>
  <c r="AB35"/>
  <c r="AI35" i="12"/>
  <c r="AJ35" s="1"/>
  <c r="AC35" i="2"/>
  <c r="AD35" s="1"/>
  <c r="C36" i="12"/>
  <c r="D36" s="1"/>
  <c r="C3" i="18"/>
  <c r="C118" s="1"/>
  <c r="O135" i="26"/>
  <c r="P131"/>
  <c r="K160"/>
  <c r="K169" s="1"/>
  <c r="L152"/>
  <c r="K156"/>
  <c r="K158" s="1"/>
  <c r="K184" i="12"/>
  <c r="I156" i="26"/>
  <c r="I158" s="1"/>
  <c r="J152"/>
  <c r="I160"/>
  <c r="I169" s="1"/>
  <c r="I184" i="12"/>
  <c r="H135" i="26"/>
  <c r="G146"/>
  <c r="F37"/>
  <c r="E131"/>
  <c r="C135"/>
  <c r="D131"/>
  <c r="AC21"/>
  <c r="AD21" s="1"/>
  <c r="AA36"/>
  <c r="AB21"/>
  <c r="Z135"/>
  <c r="Y146"/>
  <c r="U131" i="24"/>
  <c r="V37"/>
  <c r="T135"/>
  <c r="S146"/>
  <c r="Q131"/>
  <c r="R37"/>
  <c r="O146"/>
  <c r="P135"/>
  <c r="N135"/>
  <c r="M146"/>
  <c r="I146"/>
  <c r="J135"/>
  <c r="H135"/>
  <c r="G146"/>
  <c r="E131"/>
  <c r="F37"/>
  <c r="AB36"/>
  <c r="AC37"/>
  <c r="AD37" s="1"/>
  <c r="AC36"/>
  <c r="AD36" s="1"/>
  <c r="AB37"/>
  <c r="D37"/>
  <c r="C131"/>
  <c r="AA92" i="18"/>
  <c r="AA135" i="24"/>
  <c r="AC131"/>
  <c r="AD131" s="1"/>
  <c r="AB131"/>
  <c r="Y135"/>
  <c r="Z131"/>
  <c r="Y146" i="25"/>
  <c r="Z135"/>
  <c r="N135"/>
  <c r="M146"/>
  <c r="L135"/>
  <c r="K146"/>
  <c r="I146"/>
  <c r="J135"/>
  <c r="F37"/>
  <c r="E131"/>
  <c r="G36"/>
  <c r="G21" i="12"/>
  <c r="H21" s="1"/>
  <c r="H21" i="25"/>
  <c r="AB21"/>
  <c r="AC21"/>
  <c r="AD21" s="1"/>
  <c r="AA36"/>
  <c r="M135" i="21"/>
  <c r="N131"/>
  <c r="D37"/>
  <c r="C131"/>
  <c r="U131"/>
  <c r="V37"/>
  <c r="T37"/>
  <c r="S131"/>
  <c r="AA65" i="18"/>
  <c r="Q146" i="21"/>
  <c r="R135"/>
  <c r="O135"/>
  <c r="P131"/>
  <c r="G135"/>
  <c r="H131"/>
  <c r="E146"/>
  <c r="F135"/>
  <c r="U131" i="20"/>
  <c r="V37"/>
  <c r="Q152"/>
  <c r="AB131"/>
  <c r="AA135"/>
  <c r="P152"/>
  <c r="O179" i="12"/>
  <c r="O158" i="20"/>
  <c r="AD21"/>
  <c r="AC36"/>
  <c r="T131" i="11"/>
  <c r="S135"/>
  <c r="AB17" i="12"/>
  <c r="AJ17"/>
  <c r="AC17"/>
  <c r="AD17" s="1"/>
  <c r="R37" i="11"/>
  <c r="Q131"/>
  <c r="AA47" i="18"/>
  <c r="AH17" i="12"/>
  <c r="AC36" i="11"/>
  <c r="AD21"/>
  <c r="E135"/>
  <c r="F131"/>
  <c r="W38" i="18"/>
  <c r="W118" s="1"/>
  <c r="W37" i="7"/>
  <c r="X36"/>
  <c r="U131"/>
  <c r="V37"/>
  <c r="T37"/>
  <c r="S131"/>
  <c r="R37"/>
  <c r="Q37" i="12"/>
  <c r="R37" s="1"/>
  <c r="Q131" i="7"/>
  <c r="Q118" i="18"/>
  <c r="K37" i="7"/>
  <c r="L36"/>
  <c r="K38" i="18"/>
  <c r="AC21" i="7"/>
  <c r="AD17"/>
  <c r="I37"/>
  <c r="J36"/>
  <c r="I38" i="18"/>
  <c r="I156" i="7"/>
  <c r="H37"/>
  <c r="G131"/>
  <c r="E131"/>
  <c r="F37"/>
  <c r="AA37"/>
  <c r="AB36"/>
  <c r="C131"/>
  <c r="D37"/>
  <c r="Z37"/>
  <c r="Y131"/>
  <c r="W131" i="6"/>
  <c r="X37"/>
  <c r="H146"/>
  <c r="G150"/>
  <c r="AB21"/>
  <c r="AA36"/>
  <c r="AC36"/>
  <c r="AC37" s="1"/>
  <c r="V37" i="4"/>
  <c r="U131"/>
  <c r="T37"/>
  <c r="S131"/>
  <c r="AD21"/>
  <c r="AC36"/>
  <c r="AB36"/>
  <c r="AA37"/>
  <c r="I20" i="18"/>
  <c r="I156" i="4"/>
  <c r="I37"/>
  <c r="J36"/>
  <c r="AA20" i="18"/>
  <c r="M118"/>
  <c r="N37" i="4"/>
  <c r="M131"/>
  <c r="M37" i="12"/>
  <c r="N37" s="1"/>
  <c r="Y3" i="18"/>
  <c r="Y118" s="1"/>
  <c r="Z36" i="2"/>
  <c r="Y36" i="12"/>
  <c r="Z36" s="1"/>
  <c r="U118" i="18"/>
  <c r="V37" i="2"/>
  <c r="U37" i="12"/>
  <c r="V37" s="1"/>
  <c r="U131" i="2"/>
  <c r="O118" i="18"/>
  <c r="K131" i="2"/>
  <c r="K37" i="12"/>
  <c r="L37" i="2"/>
  <c r="I37"/>
  <c r="J36"/>
  <c r="I36" i="12"/>
  <c r="J36" s="1"/>
  <c r="I3" i="18"/>
  <c r="E131" i="2"/>
  <c r="F37"/>
  <c r="E37" i="12"/>
  <c r="F37" s="1"/>
  <c r="E118" i="18"/>
  <c r="Y131" i="2"/>
  <c r="Z37"/>
  <c r="Y37" i="12"/>
  <c r="Z37" s="1"/>
  <c r="AI21"/>
  <c r="AA36" i="2"/>
  <c r="AB21"/>
  <c r="AC21"/>
  <c r="AD21" s="1"/>
  <c r="D37"/>
  <c r="C37" i="12"/>
  <c r="C131" i="2"/>
  <c r="G169" i="3" l="1"/>
  <c r="U150" i="26"/>
  <c r="U102" i="18" s="1"/>
  <c r="U103" s="1"/>
  <c r="AD142" i="12"/>
  <c r="J152" i="6"/>
  <c r="I158"/>
  <c r="I176" i="12"/>
  <c r="I160" i="6"/>
  <c r="I169" s="1"/>
  <c r="AH144" i="12"/>
  <c r="AG144"/>
  <c r="AJ144"/>
  <c r="AB144"/>
  <c r="AC144"/>
  <c r="AD144" s="1"/>
  <c r="AA166"/>
  <c r="Q102" i="18"/>
  <c r="Q103" s="1"/>
  <c r="Q152" i="26"/>
  <c r="Y176" i="12"/>
  <c r="Y160" i="6"/>
  <c r="Y169" s="1"/>
  <c r="Z152"/>
  <c r="AC129" i="12"/>
  <c r="AD129" s="1"/>
  <c r="AB129"/>
  <c r="AH129"/>
  <c r="AJ129"/>
  <c r="AG129"/>
  <c r="C160" i="3"/>
  <c r="C169" s="1"/>
  <c r="C172" s="1"/>
  <c r="C154"/>
  <c r="D152"/>
  <c r="C174"/>
  <c r="C176" s="1"/>
  <c r="C174" i="12"/>
  <c r="V152" i="6"/>
  <c r="U160"/>
  <c r="U169" s="1"/>
  <c r="U176" i="12"/>
  <c r="Q160" i="6"/>
  <c r="Q169" s="1"/>
  <c r="Q176" i="12"/>
  <c r="R152" i="6"/>
  <c r="P146"/>
  <c r="O150"/>
  <c r="AB135" i="11"/>
  <c r="AA146"/>
  <c r="AB146" s="1"/>
  <c r="M150"/>
  <c r="M152" s="1"/>
  <c r="N146"/>
  <c r="Y150" i="20"/>
  <c r="Y57" i="18" s="1"/>
  <c r="Y58" s="1"/>
  <c r="Z146" i="20"/>
  <c r="N146"/>
  <c r="M150"/>
  <c r="AE145" i="12"/>
  <c r="AB93"/>
  <c r="Z145"/>
  <c r="AA145"/>
  <c r="AH93"/>
  <c r="AJ93"/>
  <c r="AC93"/>
  <c r="AD93" s="1"/>
  <c r="AB145" i="21"/>
  <c r="AC145"/>
  <c r="AD145" s="1"/>
  <c r="AI145" i="12"/>
  <c r="AC131" i="21"/>
  <c r="AD131" s="1"/>
  <c r="AA135"/>
  <c r="AB131"/>
  <c r="G48" i="18"/>
  <c r="G49" s="1"/>
  <c r="G162" i="11"/>
  <c r="G152"/>
  <c r="I158" i="3"/>
  <c r="J152"/>
  <c r="I174" i="12"/>
  <c r="I160" i="3"/>
  <c r="I162"/>
  <c r="I12" i="18"/>
  <c r="I13" s="1"/>
  <c r="W135" i="26"/>
  <c r="X131"/>
  <c r="X146" i="24"/>
  <c r="W150"/>
  <c r="W152" s="1"/>
  <c r="L131"/>
  <c r="K135"/>
  <c r="U131" i="25"/>
  <c r="V37"/>
  <c r="R131"/>
  <c r="Q135"/>
  <c r="T131"/>
  <c r="S135"/>
  <c r="O135"/>
  <c r="P131"/>
  <c r="C135"/>
  <c r="D131"/>
  <c r="X131"/>
  <c r="W135"/>
  <c r="Y135" i="23"/>
  <c r="Z131"/>
  <c r="K135"/>
  <c r="L131"/>
  <c r="C146"/>
  <c r="D135"/>
  <c r="AC131"/>
  <c r="AD131" s="1"/>
  <c r="AB131"/>
  <c r="AA135"/>
  <c r="N131"/>
  <c r="M135"/>
  <c r="E135"/>
  <c r="F131"/>
  <c r="T135"/>
  <c r="S146"/>
  <c r="J131"/>
  <c r="I135"/>
  <c r="O135"/>
  <c r="P131"/>
  <c r="U135"/>
  <c r="V131"/>
  <c r="AG131"/>
  <c r="AH131" s="1"/>
  <c r="G135"/>
  <c r="H131"/>
  <c r="X131"/>
  <c r="W135"/>
  <c r="Q135"/>
  <c r="R131"/>
  <c r="K150" i="21"/>
  <c r="K152" s="1"/>
  <c r="L146"/>
  <c r="Y146"/>
  <c r="Z135"/>
  <c r="I150"/>
  <c r="I152" s="1"/>
  <c r="J146"/>
  <c r="W135"/>
  <c r="X131"/>
  <c r="G135" i="20"/>
  <c r="H131"/>
  <c r="E135"/>
  <c r="F131"/>
  <c r="X146"/>
  <c r="W150"/>
  <c r="W57" i="18" s="1"/>
  <c r="W58" s="1"/>
  <c r="K135" i="20"/>
  <c r="L131"/>
  <c r="J131"/>
  <c r="I135"/>
  <c r="S131"/>
  <c r="T37"/>
  <c r="O135" i="11"/>
  <c r="P131"/>
  <c r="I135"/>
  <c r="J131"/>
  <c r="V131"/>
  <c r="U135"/>
  <c r="Y160"/>
  <c r="Y178" i="12"/>
  <c r="Z152" i="11"/>
  <c r="K150"/>
  <c r="K152" s="1"/>
  <c r="L146"/>
  <c r="C135"/>
  <c r="D131"/>
  <c r="Y162"/>
  <c r="Y48" i="18"/>
  <c r="Y49" s="1"/>
  <c r="X131" i="11"/>
  <c r="W135"/>
  <c r="N131" i="7"/>
  <c r="M135"/>
  <c r="O146"/>
  <c r="P135"/>
  <c r="T131" i="6"/>
  <c r="S135"/>
  <c r="E135"/>
  <c r="F131"/>
  <c r="C135"/>
  <c r="D131"/>
  <c r="K135"/>
  <c r="L131"/>
  <c r="C135" i="4"/>
  <c r="D131"/>
  <c r="W135"/>
  <c r="X131"/>
  <c r="P131"/>
  <c r="O135"/>
  <c r="Z131"/>
  <c r="Y135"/>
  <c r="H131"/>
  <c r="G135"/>
  <c r="L131"/>
  <c r="K135"/>
  <c r="E135"/>
  <c r="F131"/>
  <c r="Q146"/>
  <c r="R135"/>
  <c r="Y174" i="12"/>
  <c r="Y160" i="3"/>
  <c r="Z152"/>
  <c r="V131"/>
  <c r="U135"/>
  <c r="AD36"/>
  <c r="AC37"/>
  <c r="X135"/>
  <c r="W146"/>
  <c r="T131"/>
  <c r="S135"/>
  <c r="M135"/>
  <c r="N131"/>
  <c r="E135"/>
  <c r="F131"/>
  <c r="Y12" i="18"/>
  <c r="Y13" s="1"/>
  <c r="Y162" i="3"/>
  <c r="O135"/>
  <c r="P131"/>
  <c r="K150"/>
  <c r="K152" s="1"/>
  <c r="L146"/>
  <c r="O131" i="2"/>
  <c r="X131"/>
  <c r="W135"/>
  <c r="S118" i="18"/>
  <c r="S131" i="2"/>
  <c r="T37"/>
  <c r="Q135"/>
  <c r="R131"/>
  <c r="O37" i="12"/>
  <c r="P37" s="1"/>
  <c r="M135" i="2"/>
  <c r="N131"/>
  <c r="G135"/>
  <c r="H131"/>
  <c r="AA3" i="18"/>
  <c r="U162" i="26"/>
  <c r="O146"/>
  <c r="P135"/>
  <c r="G150"/>
  <c r="G152" s="1"/>
  <c r="H146"/>
  <c r="F131"/>
  <c r="E135"/>
  <c r="C146"/>
  <c r="D135"/>
  <c r="AA37"/>
  <c r="AB36"/>
  <c r="AC36"/>
  <c r="AD36" s="1"/>
  <c r="Y150"/>
  <c r="Y152" s="1"/>
  <c r="Z146"/>
  <c r="V131" i="24"/>
  <c r="U135"/>
  <c r="T146"/>
  <c r="S150"/>
  <c r="R131"/>
  <c r="Q135"/>
  <c r="O150"/>
  <c r="O152" s="1"/>
  <c r="P146"/>
  <c r="M150"/>
  <c r="M152" s="1"/>
  <c r="N146"/>
  <c r="J146"/>
  <c r="I150"/>
  <c r="I152" s="1"/>
  <c r="H146"/>
  <c r="G150"/>
  <c r="G152" s="1"/>
  <c r="F131"/>
  <c r="E135"/>
  <c r="D131"/>
  <c r="C135"/>
  <c r="Y146"/>
  <c r="Z135"/>
  <c r="AB135"/>
  <c r="AA146"/>
  <c r="AC135"/>
  <c r="AD135" s="1"/>
  <c r="Y150" i="25"/>
  <c r="Y152" s="1"/>
  <c r="Z146"/>
  <c r="M150"/>
  <c r="N146"/>
  <c r="L146"/>
  <c r="K150"/>
  <c r="K152" s="1"/>
  <c r="J146"/>
  <c r="I150"/>
  <c r="AA21" i="12"/>
  <c r="AE21"/>
  <c r="E135" i="25"/>
  <c r="F131"/>
  <c r="AC36"/>
  <c r="AD36" s="1"/>
  <c r="AA37"/>
  <c r="AB36"/>
  <c r="H36"/>
  <c r="G37"/>
  <c r="G83" i="18"/>
  <c r="G36" i="12"/>
  <c r="H36" s="1"/>
  <c r="N135" i="21"/>
  <c r="M146"/>
  <c r="C135"/>
  <c r="D131"/>
  <c r="V131"/>
  <c r="U135"/>
  <c r="T131"/>
  <c r="S135"/>
  <c r="R146"/>
  <c r="Q150"/>
  <c r="Q66" i="18" s="1"/>
  <c r="Q67" s="1"/>
  <c r="P135" i="21"/>
  <c r="O146"/>
  <c r="G146"/>
  <c r="H135"/>
  <c r="E150"/>
  <c r="E152" s="1"/>
  <c r="F146"/>
  <c r="V131" i="20"/>
  <c r="U135"/>
  <c r="Q179" i="12"/>
  <c r="R152" i="20"/>
  <c r="AA146"/>
  <c r="AB135"/>
  <c r="AC37"/>
  <c r="AD36"/>
  <c r="T135" i="11"/>
  <c r="S146"/>
  <c r="Q135"/>
  <c r="R131"/>
  <c r="F135"/>
  <c r="E146"/>
  <c r="AD36"/>
  <c r="AC37"/>
  <c r="W131" i="7"/>
  <c r="W131" i="12" s="1"/>
  <c r="X131" s="1"/>
  <c r="X37" i="7"/>
  <c r="W37" i="12"/>
  <c r="X37" s="1"/>
  <c r="U135" i="7"/>
  <c r="V131"/>
  <c r="T131"/>
  <c r="S135"/>
  <c r="Q135"/>
  <c r="Q131" i="12"/>
  <c r="R131" s="1"/>
  <c r="R131" i="7"/>
  <c r="AC36"/>
  <c r="AD21"/>
  <c r="K131"/>
  <c r="K131" i="12" s="1"/>
  <c r="L131" s="1"/>
  <c r="L37" i="7"/>
  <c r="K118" i="18"/>
  <c r="AA38"/>
  <c r="I131" i="7"/>
  <c r="J37"/>
  <c r="G135"/>
  <c r="H131"/>
  <c r="AB37"/>
  <c r="AA131"/>
  <c r="E135"/>
  <c r="F131"/>
  <c r="D131"/>
  <c r="C135"/>
  <c r="Y135"/>
  <c r="Z131"/>
  <c r="X131" i="6"/>
  <c r="W135"/>
  <c r="G162"/>
  <c r="G30" i="18"/>
  <c r="G152" i="6"/>
  <c r="AA37"/>
  <c r="AB36"/>
  <c r="AD36"/>
  <c r="AC131"/>
  <c r="AD37"/>
  <c r="V131" i="4"/>
  <c r="U135"/>
  <c r="T131"/>
  <c r="S135"/>
  <c r="S131" i="12"/>
  <c r="T131" s="1"/>
  <c r="J37" i="4"/>
  <c r="I131"/>
  <c r="AA131"/>
  <c r="AB37"/>
  <c r="AD36"/>
  <c r="AC37"/>
  <c r="N131"/>
  <c r="M135"/>
  <c r="M131" i="12"/>
  <c r="N131" s="1"/>
  <c r="U131"/>
  <c r="V131" s="1"/>
  <c r="V131" i="2"/>
  <c r="U135"/>
  <c r="O131" i="12"/>
  <c r="P131" s="1"/>
  <c r="O135" i="2"/>
  <c r="P131"/>
  <c r="K135"/>
  <c r="L131"/>
  <c r="L37" i="12"/>
  <c r="I118" i="18"/>
  <c r="I37" i="12"/>
  <c r="J37" s="1"/>
  <c r="I131" i="2"/>
  <c r="J37"/>
  <c r="E135"/>
  <c r="E131" i="12"/>
  <c r="F131" s="1"/>
  <c r="F131" i="2"/>
  <c r="Y135"/>
  <c r="Y131" i="12"/>
  <c r="Z131" s="1"/>
  <c r="Z131" i="2"/>
  <c r="AC36"/>
  <c r="AD36" s="1"/>
  <c r="AI36" i="12"/>
  <c r="AA37" i="2"/>
  <c r="AB36"/>
  <c r="D37" i="12"/>
  <c r="D131" i="2"/>
  <c r="C131" i="12"/>
  <c r="C135" i="2"/>
  <c r="U152" i="26" l="1"/>
  <c r="AC166" i="12"/>
  <c r="Q156" i="26"/>
  <c r="Q158" s="1"/>
  <c r="Q184" i="12"/>
  <c r="R152" i="26"/>
  <c r="Y152" i="20"/>
  <c r="O152" i="6"/>
  <c r="O30" i="18"/>
  <c r="O31" s="1"/>
  <c r="O157" i="6"/>
  <c r="O162"/>
  <c r="M157" i="11"/>
  <c r="M162"/>
  <c r="M169" s="1"/>
  <c r="M48" i="18"/>
  <c r="M49" s="1"/>
  <c r="M160" i="11"/>
  <c r="M178" i="12"/>
  <c r="N152" i="11"/>
  <c r="M158"/>
  <c r="Z152" i="20"/>
  <c r="Y179" i="12"/>
  <c r="M57" i="18"/>
  <c r="M58" s="1"/>
  <c r="M157" i="20"/>
  <c r="M152"/>
  <c r="AH145" i="12"/>
  <c r="AJ145"/>
  <c r="AB145"/>
  <c r="AC145"/>
  <c r="AD145" s="1"/>
  <c r="AG145"/>
  <c r="AC135" i="21"/>
  <c r="AD135" s="1"/>
  <c r="AA146"/>
  <c r="AB135"/>
  <c r="AG135" i="23"/>
  <c r="AH135" s="1"/>
  <c r="W152" i="20"/>
  <c r="X152" s="1"/>
  <c r="G178" i="12"/>
  <c r="H152" i="11"/>
  <c r="G160"/>
  <c r="G169" s="1"/>
  <c r="I169" i="3"/>
  <c r="W146" i="26"/>
  <c r="X135"/>
  <c r="L135" i="24"/>
  <c r="K146"/>
  <c r="W93" i="18"/>
  <c r="W94" s="1"/>
  <c r="W162" i="24"/>
  <c r="W183" i="12"/>
  <c r="W160" i="24"/>
  <c r="X152"/>
  <c r="C146" i="25"/>
  <c r="D135"/>
  <c r="V131"/>
  <c r="U135"/>
  <c r="S146"/>
  <c r="T135"/>
  <c r="O146"/>
  <c r="P135"/>
  <c r="W146"/>
  <c r="X135"/>
  <c r="Q146"/>
  <c r="R135"/>
  <c r="R135" i="23"/>
  <c r="Q146"/>
  <c r="H135"/>
  <c r="G146"/>
  <c r="T146"/>
  <c r="S150"/>
  <c r="S152" s="1"/>
  <c r="N135"/>
  <c r="M146"/>
  <c r="C150"/>
  <c r="C152" s="1"/>
  <c r="D146"/>
  <c r="Y146"/>
  <c r="Z135"/>
  <c r="AA146"/>
  <c r="AB135"/>
  <c r="AC135"/>
  <c r="AD135" s="1"/>
  <c r="U146"/>
  <c r="V135"/>
  <c r="E146"/>
  <c r="F135"/>
  <c r="J135"/>
  <c r="I146"/>
  <c r="L135"/>
  <c r="K146"/>
  <c r="W146"/>
  <c r="X135"/>
  <c r="P135"/>
  <c r="O146"/>
  <c r="I158" i="21"/>
  <c r="J152"/>
  <c r="I180" i="12"/>
  <c r="Z146" i="21"/>
  <c r="Y150"/>
  <c r="Y66" i="18" s="1"/>
  <c r="Y67" s="1"/>
  <c r="X135" i="21"/>
  <c r="W146"/>
  <c r="K157"/>
  <c r="K66" i="18"/>
  <c r="K67" s="1"/>
  <c r="Q152" i="21"/>
  <c r="I157"/>
  <c r="I66" i="18"/>
  <c r="I67" s="1"/>
  <c r="L152" i="21"/>
  <c r="K156"/>
  <c r="K180" i="12"/>
  <c r="S135" i="20"/>
  <c r="T131"/>
  <c r="K146"/>
  <c r="L135"/>
  <c r="G146"/>
  <c r="H135"/>
  <c r="I146"/>
  <c r="J135"/>
  <c r="E146"/>
  <c r="F135"/>
  <c r="C146" i="11"/>
  <c r="D135"/>
  <c r="P135"/>
  <c r="O146"/>
  <c r="X135"/>
  <c r="W146"/>
  <c r="K157"/>
  <c r="K162"/>
  <c r="K48" i="18"/>
  <c r="K49" s="1"/>
  <c r="V135" i="11"/>
  <c r="U146"/>
  <c r="I146"/>
  <c r="J135"/>
  <c r="Y169"/>
  <c r="K160"/>
  <c r="K178" i="12"/>
  <c r="K158" i="11"/>
  <c r="L152"/>
  <c r="N135" i="7"/>
  <c r="M146"/>
  <c r="O150"/>
  <c r="O152" s="1"/>
  <c r="P146"/>
  <c r="F135" i="6"/>
  <c r="E146"/>
  <c r="T135"/>
  <c r="S146"/>
  <c r="K146"/>
  <c r="L135"/>
  <c r="D135"/>
  <c r="C146"/>
  <c r="Q150" i="4"/>
  <c r="Q152" s="1"/>
  <c r="R146"/>
  <c r="W146"/>
  <c r="X135"/>
  <c r="K146"/>
  <c r="L135"/>
  <c r="Y146"/>
  <c r="Z135"/>
  <c r="F135"/>
  <c r="E146"/>
  <c r="D135"/>
  <c r="C146"/>
  <c r="H135"/>
  <c r="G146"/>
  <c r="P135"/>
  <c r="O146"/>
  <c r="F135" i="3"/>
  <c r="E146"/>
  <c r="S146"/>
  <c r="T135"/>
  <c r="AC131"/>
  <c r="AD37"/>
  <c r="K174" i="12"/>
  <c r="L152" i="3"/>
  <c r="K158"/>
  <c r="K160"/>
  <c r="M146"/>
  <c r="N135"/>
  <c r="K12" i="18"/>
  <c r="K13" s="1"/>
  <c r="K157" i="3"/>
  <c r="K162"/>
  <c r="K169" s="1"/>
  <c r="X146"/>
  <c r="W150"/>
  <c r="W152" s="1"/>
  <c r="V135"/>
  <c r="U146"/>
  <c r="Y169"/>
  <c r="P135"/>
  <c r="O146"/>
  <c r="W146" i="2"/>
  <c r="X135"/>
  <c r="S135"/>
  <c r="S135" i="12" s="1"/>
  <c r="T135" s="1"/>
  <c r="T131" i="2"/>
  <c r="R135"/>
  <c r="Q146"/>
  <c r="M146"/>
  <c r="N135"/>
  <c r="G146"/>
  <c r="H135"/>
  <c r="V152" i="26"/>
  <c r="U160"/>
  <c r="U169" s="1"/>
  <c r="U172" s="1"/>
  <c r="U184" i="12"/>
  <c r="O150" i="26"/>
  <c r="O152" s="1"/>
  <c r="P146"/>
  <c r="G160"/>
  <c r="H152"/>
  <c r="G184" i="12"/>
  <c r="G162" i="26"/>
  <c r="G102" i="18"/>
  <c r="G103" s="1"/>
  <c r="E146" i="26"/>
  <c r="F135"/>
  <c r="C150"/>
  <c r="C152" s="1"/>
  <c r="D146"/>
  <c r="Y102" i="18"/>
  <c r="Y162" i="26"/>
  <c r="AA131"/>
  <c r="AC37"/>
  <c r="AD37" s="1"/>
  <c r="AB37"/>
  <c r="Z152"/>
  <c r="Y184" i="12"/>
  <c r="Y160" i="26"/>
  <c r="U146" i="24"/>
  <c r="V135"/>
  <c r="S162"/>
  <c r="S93" i="18"/>
  <c r="S94" s="1"/>
  <c r="S152" i="24"/>
  <c r="Q146"/>
  <c r="R135"/>
  <c r="P152"/>
  <c r="O158"/>
  <c r="O183" i="12"/>
  <c r="O160" i="24"/>
  <c r="O157"/>
  <c r="O93" i="18"/>
  <c r="O94" s="1"/>
  <c r="O162" i="24"/>
  <c r="O169" s="1"/>
  <c r="M162"/>
  <c r="M93" i="18"/>
  <c r="M94" s="1"/>
  <c r="M183" i="12"/>
  <c r="M159" i="24"/>
  <c r="M174" s="1"/>
  <c r="N152"/>
  <c r="M160"/>
  <c r="J152"/>
  <c r="I158"/>
  <c r="I160"/>
  <c r="I183" i="12"/>
  <c r="I93" i="18"/>
  <c r="I94" s="1"/>
  <c r="I162" i="24"/>
  <c r="H152"/>
  <c r="G183" i="12"/>
  <c r="G160" i="24"/>
  <c r="G93" i="18"/>
  <c r="G94" s="1"/>
  <c r="G162" i="24"/>
  <c r="E146"/>
  <c r="F135"/>
  <c r="AH21" i="12"/>
  <c r="D135" i="24"/>
  <c r="C146"/>
  <c r="AB146"/>
  <c r="AC146"/>
  <c r="AD146" s="1"/>
  <c r="Z146"/>
  <c r="Y150"/>
  <c r="Y152" s="1"/>
  <c r="Z152" i="25"/>
  <c r="Y160"/>
  <c r="Y182" i="12"/>
  <c r="Y84" i="18"/>
  <c r="Y85" s="1"/>
  <c r="Y162" i="25"/>
  <c r="M84" i="18"/>
  <c r="M85" s="1"/>
  <c r="M162" i="25"/>
  <c r="M157"/>
  <c r="M152"/>
  <c r="K156"/>
  <c r="L152"/>
  <c r="K182" i="12"/>
  <c r="K160" i="25"/>
  <c r="AG21" i="12"/>
  <c r="K84" i="18"/>
  <c r="K85" s="1"/>
  <c r="K157" i="25"/>
  <c r="K162"/>
  <c r="K169" s="1"/>
  <c r="AJ21" i="12"/>
  <c r="AB21"/>
  <c r="I84" i="18"/>
  <c r="I85" s="1"/>
  <c r="I162" i="25"/>
  <c r="I157"/>
  <c r="AC21" i="12"/>
  <c r="AD21" s="1"/>
  <c r="I152" i="25"/>
  <c r="AE36" i="12"/>
  <c r="F135" i="25"/>
  <c r="E146"/>
  <c r="H37"/>
  <c r="G131"/>
  <c r="G37" i="12"/>
  <c r="H37" s="1"/>
  <c r="AA36"/>
  <c r="AB36" s="1"/>
  <c r="AA83" i="18"/>
  <c r="AA118" s="1"/>
  <c r="G118"/>
  <c r="AC37" i="25"/>
  <c r="AD37" s="1"/>
  <c r="AB37"/>
  <c r="AA131"/>
  <c r="N146" i="21"/>
  <c r="M150"/>
  <c r="M152" s="1"/>
  <c r="C146"/>
  <c r="D135"/>
  <c r="V135"/>
  <c r="U146"/>
  <c r="S146"/>
  <c r="T135"/>
  <c r="Q180" i="12"/>
  <c r="R152" i="21"/>
  <c r="P146"/>
  <c r="O150"/>
  <c r="O66" i="18" s="1"/>
  <c r="O67" s="1"/>
  <c r="G150" i="21"/>
  <c r="G66" i="18" s="1"/>
  <c r="G67" s="1"/>
  <c r="H146" i="21"/>
  <c r="E66" i="18"/>
  <c r="E157" i="21"/>
  <c r="E180" i="12"/>
  <c r="F152" i="21"/>
  <c r="E156"/>
  <c r="V135" i="20"/>
  <c r="U146"/>
  <c r="AB146"/>
  <c r="AC131"/>
  <c r="AD37"/>
  <c r="AE36" s="1"/>
  <c r="S150" i="11"/>
  <c r="S152" s="1"/>
  <c r="T146"/>
  <c r="Q146"/>
  <c r="R135"/>
  <c r="AC131"/>
  <c r="AD37"/>
  <c r="F146"/>
  <c r="E150"/>
  <c r="E152" s="1"/>
  <c r="W135" i="7"/>
  <c r="W135" i="12" s="1"/>
  <c r="X135" s="1"/>
  <c r="X131" i="7"/>
  <c r="U146"/>
  <c r="V135"/>
  <c r="T135"/>
  <c r="S146"/>
  <c r="Q146"/>
  <c r="Q135" i="12"/>
  <c r="R135" s="1"/>
  <c r="R135" i="7"/>
  <c r="AC37"/>
  <c r="AD36"/>
  <c r="L131"/>
  <c r="K135"/>
  <c r="K135" i="12" s="1"/>
  <c r="L135" s="1"/>
  <c r="J131" i="7"/>
  <c r="I135"/>
  <c r="G146"/>
  <c r="H135"/>
  <c r="AB131"/>
  <c r="AA135"/>
  <c r="F135"/>
  <c r="E146"/>
  <c r="C146"/>
  <c r="D135"/>
  <c r="Y146"/>
  <c r="Z135"/>
  <c r="W146" i="6"/>
  <c r="X135"/>
  <c r="G176" i="12"/>
  <c r="H152" i="6"/>
  <c r="G160"/>
  <c r="G169" s="1"/>
  <c r="G31" i="18"/>
  <c r="AB37" i="6"/>
  <c r="AA131"/>
  <c r="AC135"/>
  <c r="AD131"/>
  <c r="U146" i="4"/>
  <c r="V135"/>
  <c r="S146"/>
  <c r="T135"/>
  <c r="J131"/>
  <c r="I135"/>
  <c r="AD37"/>
  <c r="AC131"/>
  <c r="AB131"/>
  <c r="AA135"/>
  <c r="M146"/>
  <c r="M135" i="12"/>
  <c r="N135" s="1"/>
  <c r="N135" i="4"/>
  <c r="U146" i="2"/>
  <c r="V135"/>
  <c r="U135" i="12"/>
  <c r="V135" s="1"/>
  <c r="O146" i="2"/>
  <c r="P135"/>
  <c r="O135" i="12"/>
  <c r="P135" s="1"/>
  <c r="L135" i="2"/>
  <c r="K146"/>
  <c r="J131"/>
  <c r="I135"/>
  <c r="I131" i="12"/>
  <c r="J131" s="1"/>
  <c r="E135"/>
  <c r="F135" s="1"/>
  <c r="F135" i="2"/>
  <c r="E146"/>
  <c r="Y135" i="12"/>
  <c r="Z135" s="1"/>
  <c r="Y146" i="2"/>
  <c r="Z135"/>
  <c r="D131" i="12"/>
  <c r="C135"/>
  <c r="C146" i="2"/>
  <c r="D135"/>
  <c r="AB37"/>
  <c r="AA131"/>
  <c r="AC37"/>
  <c r="AD37" s="1"/>
  <c r="AI37" i="12"/>
  <c r="W179" l="1"/>
  <c r="W169" i="24"/>
  <c r="E158" i="21"/>
  <c r="O176" i="12"/>
  <c r="O160" i="6"/>
  <c r="O169" s="1"/>
  <c r="O158"/>
  <c r="P152"/>
  <c r="M179" i="12"/>
  <c r="M156" i="20"/>
  <c r="M158" s="1"/>
  <c r="N152"/>
  <c r="AC146" i="21"/>
  <c r="AD146" s="1"/>
  <c r="AB146"/>
  <c r="O152"/>
  <c r="P152" s="1"/>
  <c r="G152"/>
  <c r="K158"/>
  <c r="Y152"/>
  <c r="Z152" s="1"/>
  <c r="W150" i="26"/>
  <c r="W152" s="1"/>
  <c r="X146"/>
  <c r="I169" i="24"/>
  <c r="K150"/>
  <c r="L146"/>
  <c r="X146" i="25"/>
  <c r="W150"/>
  <c r="W152" s="1"/>
  <c r="S150"/>
  <c r="S152" s="1"/>
  <c r="T146"/>
  <c r="D146"/>
  <c r="C150"/>
  <c r="C152" s="1"/>
  <c r="Q150"/>
  <c r="R146"/>
  <c r="O150"/>
  <c r="O152" s="1"/>
  <c r="P146"/>
  <c r="V135"/>
  <c r="U146"/>
  <c r="C154" i="23"/>
  <c r="D152"/>
  <c r="C160"/>
  <c r="C181" i="12"/>
  <c r="C156" i="23"/>
  <c r="K150"/>
  <c r="K152" s="1"/>
  <c r="L146"/>
  <c r="J146"/>
  <c r="I150"/>
  <c r="I152" s="1"/>
  <c r="M150"/>
  <c r="M152" s="1"/>
  <c r="N146"/>
  <c r="F146"/>
  <c r="E150"/>
  <c r="E152" s="1"/>
  <c r="Z146"/>
  <c r="Y150"/>
  <c r="S75" i="18"/>
  <c r="S76" s="1"/>
  <c r="S162" i="23"/>
  <c r="Q150"/>
  <c r="Q152" s="1"/>
  <c r="R146"/>
  <c r="P146"/>
  <c r="O150"/>
  <c r="O152" s="1"/>
  <c r="C162"/>
  <c r="C75" i="18"/>
  <c r="C157" i="23"/>
  <c r="S160"/>
  <c r="S181" i="12"/>
  <c r="S156" i="23"/>
  <c r="S158" s="1"/>
  <c r="T152"/>
  <c r="X146"/>
  <c r="W150"/>
  <c r="W152" s="1"/>
  <c r="V146"/>
  <c r="U150"/>
  <c r="AB146"/>
  <c r="AC146"/>
  <c r="AD146" s="1"/>
  <c r="H146"/>
  <c r="G150"/>
  <c r="AG146"/>
  <c r="AH146" s="1"/>
  <c r="X146" i="21"/>
  <c r="W150"/>
  <c r="W66" i="18" s="1"/>
  <c r="W67" s="1"/>
  <c r="E150" i="20"/>
  <c r="E57" i="18" s="1"/>
  <c r="E58" s="1"/>
  <c r="F146" i="20"/>
  <c r="I150"/>
  <c r="I57" i="18" s="1"/>
  <c r="I58" s="1"/>
  <c r="J146" i="20"/>
  <c r="G150"/>
  <c r="G57" i="18" s="1"/>
  <c r="G58" s="1"/>
  <c r="H146" i="20"/>
  <c r="S146"/>
  <c r="T135"/>
  <c r="K150"/>
  <c r="K152" s="1"/>
  <c r="L146"/>
  <c r="U150" i="11"/>
  <c r="U152" s="1"/>
  <c r="V146"/>
  <c r="J146"/>
  <c r="I150"/>
  <c r="I152" s="1"/>
  <c r="O150"/>
  <c r="O152" s="1"/>
  <c r="P146"/>
  <c r="D146"/>
  <c r="C150"/>
  <c r="K169"/>
  <c r="W150"/>
  <c r="W152" s="1"/>
  <c r="X146"/>
  <c r="M150" i="7"/>
  <c r="M152" s="1"/>
  <c r="N146"/>
  <c r="O177" i="12"/>
  <c r="P152" i="7"/>
  <c r="O160"/>
  <c r="O158"/>
  <c r="O162"/>
  <c r="O157"/>
  <c r="O39" i="18"/>
  <c r="O40" s="1"/>
  <c r="E150" i="6"/>
  <c r="E152" s="1"/>
  <c r="F146"/>
  <c r="T146"/>
  <c r="S150"/>
  <c r="S152" s="1"/>
  <c r="D146"/>
  <c r="C150"/>
  <c r="C152" s="1"/>
  <c r="K150"/>
  <c r="L146"/>
  <c r="G150" i="4"/>
  <c r="G152" s="1"/>
  <c r="H146"/>
  <c r="F146"/>
  <c r="E150"/>
  <c r="R152"/>
  <c r="Q175" i="12"/>
  <c r="Q160" i="4"/>
  <c r="Z146"/>
  <c r="Y150"/>
  <c r="Y152" s="1"/>
  <c r="X146"/>
  <c r="W150"/>
  <c r="O150"/>
  <c r="O152" s="1"/>
  <c r="P146"/>
  <c r="D146"/>
  <c r="C150"/>
  <c r="C152" s="1"/>
  <c r="Q21" i="18"/>
  <c r="Q22" s="1"/>
  <c r="Q162" i="4"/>
  <c r="K150"/>
  <c r="K152" s="1"/>
  <c r="L146"/>
  <c r="O150" i="3"/>
  <c r="O152" s="1"/>
  <c r="P146"/>
  <c r="N146"/>
  <c r="M150"/>
  <c r="M152" s="1"/>
  <c r="V146"/>
  <c r="U150"/>
  <c r="U152" s="1"/>
  <c r="W160"/>
  <c r="W174" i="12"/>
  <c r="X152" i="3"/>
  <c r="AD131"/>
  <c r="AC135"/>
  <c r="S150"/>
  <c r="T146"/>
  <c r="W162"/>
  <c r="W12" i="18"/>
  <c r="W13" s="1"/>
  <c r="F146" i="3"/>
  <c r="E150"/>
  <c r="E152" s="1"/>
  <c r="X146" i="2"/>
  <c r="W150"/>
  <c r="S146"/>
  <c r="S146" i="12" s="1"/>
  <c r="T146" s="1"/>
  <c r="T135" i="2"/>
  <c r="R146"/>
  <c r="Q150"/>
  <c r="Q152" s="1"/>
  <c r="M150"/>
  <c r="M152" s="1"/>
  <c r="N146"/>
  <c r="H146"/>
  <c r="G150"/>
  <c r="G152" s="1"/>
  <c r="G169" i="26"/>
  <c r="O102" i="18"/>
  <c r="O103" s="1"/>
  <c r="O162" i="26"/>
  <c r="P152"/>
  <c r="O184" i="12"/>
  <c r="O160" i="26"/>
  <c r="F146"/>
  <c r="E150"/>
  <c r="E152" s="1"/>
  <c r="C102" i="18"/>
  <c r="C103" s="1"/>
  <c r="C162" i="26"/>
  <c r="C157"/>
  <c r="C160"/>
  <c r="D152"/>
  <c r="C184" i="12"/>
  <c r="C156" i="26"/>
  <c r="C158" s="1"/>
  <c r="C154"/>
  <c r="Y103" i="18"/>
  <c r="Y169" i="26"/>
  <c r="AC131"/>
  <c r="AD131" s="1"/>
  <c r="AA135"/>
  <c r="AB131"/>
  <c r="U150" i="24"/>
  <c r="V146"/>
  <c r="S160"/>
  <c r="S169" s="1"/>
  <c r="S183" i="12"/>
  <c r="S156" i="24"/>
  <c r="S158" s="1"/>
  <c r="T152"/>
  <c r="Q150"/>
  <c r="Q152" s="1"/>
  <c r="R146"/>
  <c r="M169"/>
  <c r="G169"/>
  <c r="E150"/>
  <c r="E152" s="1"/>
  <c r="F146"/>
  <c r="D146"/>
  <c r="C150"/>
  <c r="C152" s="1"/>
  <c r="Y93" i="18"/>
  <c r="Y162" i="24"/>
  <c r="Y183" i="12"/>
  <c r="Z152" i="24"/>
  <c r="Y160"/>
  <c r="Y169" i="25"/>
  <c r="M160"/>
  <c r="M169" s="1"/>
  <c r="N152"/>
  <c r="M158"/>
  <c r="M182" i="12"/>
  <c r="K158" i="25"/>
  <c r="J152"/>
  <c r="I182" i="12"/>
  <c r="I158" i="25"/>
  <c r="I160"/>
  <c r="I169" s="1"/>
  <c r="AJ36" i="12"/>
  <c r="AH36"/>
  <c r="AC36"/>
  <c r="AD36" s="1"/>
  <c r="F146" i="25"/>
  <c r="E150"/>
  <c r="E152" s="1"/>
  <c r="AC131"/>
  <c r="AD131" s="1"/>
  <c r="AA135"/>
  <c r="AB131"/>
  <c r="AE37" i="12"/>
  <c r="AA37"/>
  <c r="AB37" s="1"/>
  <c r="AG36"/>
  <c r="G135" i="25"/>
  <c r="H131"/>
  <c r="G131" i="12"/>
  <c r="H131" s="1"/>
  <c r="M66" i="18"/>
  <c r="M67" s="1"/>
  <c r="M157" i="21"/>
  <c r="M156"/>
  <c r="N152"/>
  <c r="M180" i="12"/>
  <c r="C150" i="21"/>
  <c r="C152" s="1"/>
  <c r="D146"/>
  <c r="U150"/>
  <c r="U66" i="18" s="1"/>
  <c r="U67" s="1"/>
  <c r="V146" i="21"/>
  <c r="S150"/>
  <c r="S152" s="1"/>
  <c r="T146"/>
  <c r="O156"/>
  <c r="O158" s="1"/>
  <c r="G180" i="12"/>
  <c r="H152" i="21"/>
  <c r="E67" i="18"/>
  <c r="V146" i="20"/>
  <c r="U150"/>
  <c r="U152" s="1"/>
  <c r="AD131"/>
  <c r="AC135"/>
  <c r="S156" i="11"/>
  <c r="S158" s="1"/>
  <c r="T152"/>
  <c r="S178" i="12"/>
  <c r="S160" i="11"/>
  <c r="S162"/>
  <c r="S48" i="18"/>
  <c r="S49" s="1"/>
  <c r="Q150" i="11"/>
  <c r="Q152" s="1"/>
  <c r="R146"/>
  <c r="E162"/>
  <c r="E48" i="18"/>
  <c r="E157" i="11"/>
  <c r="AD131"/>
  <c r="AC135"/>
  <c r="F152"/>
  <c r="E160"/>
  <c r="E156"/>
  <c r="E178" i="12"/>
  <c r="W146" i="7"/>
  <c r="W146" i="12" s="1"/>
  <c r="X146" s="1"/>
  <c r="X135" i="7"/>
  <c r="U150"/>
  <c r="V146"/>
  <c r="T146"/>
  <c r="S150"/>
  <c r="S152" s="1"/>
  <c r="R146"/>
  <c r="Q146" i="12"/>
  <c r="R146" s="1"/>
  <c r="Q150" i="7"/>
  <c r="AC131"/>
  <c r="AD37"/>
  <c r="AE35" s="1"/>
  <c r="L135"/>
  <c r="K146"/>
  <c r="J135"/>
  <c r="I146"/>
  <c r="G150"/>
  <c r="H146"/>
  <c r="F146"/>
  <c r="E150"/>
  <c r="AB135"/>
  <c r="AA146"/>
  <c r="AB146" s="1"/>
  <c r="C150"/>
  <c r="C152" s="1"/>
  <c r="D146"/>
  <c r="Z146"/>
  <c r="Y150"/>
  <c r="Y152" s="1"/>
  <c r="W150" i="6"/>
  <c r="W152" s="1"/>
  <c r="X146"/>
  <c r="AB131"/>
  <c r="AA135"/>
  <c r="AC146"/>
  <c r="AD135"/>
  <c r="U150" i="4"/>
  <c r="U152" s="1"/>
  <c r="V146"/>
  <c r="S150"/>
  <c r="S152" s="1"/>
  <c r="T146"/>
  <c r="AC135"/>
  <c r="AD131"/>
  <c r="AB135"/>
  <c r="AA146"/>
  <c r="AB146" s="1"/>
  <c r="I146"/>
  <c r="J135"/>
  <c r="N146"/>
  <c r="M146" i="12"/>
  <c r="N146" s="1"/>
  <c r="M150" i="4"/>
  <c r="M152" s="1"/>
  <c r="U146" i="12"/>
  <c r="V146" s="1"/>
  <c r="U150" i="2"/>
  <c r="V146"/>
  <c r="O146" i="12"/>
  <c r="P146" s="1"/>
  <c r="P146" i="2"/>
  <c r="O150"/>
  <c r="L146"/>
  <c r="K150"/>
  <c r="I135" i="12"/>
  <c r="J135" s="1"/>
  <c r="J135" i="2"/>
  <c r="I146"/>
  <c r="E150"/>
  <c r="E152" s="1"/>
  <c r="F146"/>
  <c r="E146" i="12"/>
  <c r="F146" s="1"/>
  <c r="Y150" i="2"/>
  <c r="Y152" s="1"/>
  <c r="Y146" i="12"/>
  <c r="Z146" s="1"/>
  <c r="Z146" i="2"/>
  <c r="C150"/>
  <c r="C152" s="1"/>
  <c r="D146"/>
  <c r="C146" i="12"/>
  <c r="AI131"/>
  <c r="AA135" i="2"/>
  <c r="AC131"/>
  <c r="AD131" s="1"/>
  <c r="AB131"/>
  <c r="D135" i="12"/>
  <c r="C169" i="23" l="1"/>
  <c r="C172" s="1"/>
  <c r="Y180" i="12"/>
  <c r="O180"/>
  <c r="Q169" i="4"/>
  <c r="W169" i="3"/>
  <c r="AA150" i="11"/>
  <c r="AC150" s="1"/>
  <c r="AC162" s="1"/>
  <c r="I152" i="20"/>
  <c r="I179" i="12" s="1"/>
  <c r="C158" i="23"/>
  <c r="S169"/>
  <c r="G152" i="20"/>
  <c r="G179" i="12" s="1"/>
  <c r="C152" i="11"/>
  <c r="C160" s="1"/>
  <c r="W102" i="18"/>
  <c r="W103" s="1"/>
  <c r="W162" i="26"/>
  <c r="O169"/>
  <c r="W184" i="12"/>
  <c r="X152" i="26"/>
  <c r="W160"/>
  <c r="K152" i="24"/>
  <c r="K162"/>
  <c r="K93" i="18"/>
  <c r="K94" s="1"/>
  <c r="U150" i="25"/>
  <c r="U152" s="1"/>
  <c r="V146"/>
  <c r="O157"/>
  <c r="O84" i="18"/>
  <c r="O85" s="1"/>
  <c r="O162" i="25"/>
  <c r="C157"/>
  <c r="C84" i="18"/>
  <c r="C85" s="1"/>
  <c r="C162" i="25"/>
  <c r="P152"/>
  <c r="O182" i="12"/>
  <c r="O158" i="25"/>
  <c r="O160"/>
  <c r="Q84" i="18"/>
  <c r="Q85" s="1"/>
  <c r="Q162" i="25"/>
  <c r="S156"/>
  <c r="S158" s="1"/>
  <c r="T152"/>
  <c r="S160"/>
  <c r="S182" i="12"/>
  <c r="W162" i="25"/>
  <c r="W84" i="18"/>
  <c r="W85" s="1"/>
  <c r="W160" i="25"/>
  <c r="X152"/>
  <c r="W182" i="12"/>
  <c r="C160" i="25"/>
  <c r="C182" i="12"/>
  <c r="C156" i="25"/>
  <c r="C158" s="1"/>
  <c r="C154"/>
  <c r="D152"/>
  <c r="S162"/>
  <c r="S169" s="1"/>
  <c r="S84" i="18"/>
  <c r="S85" s="1"/>
  <c r="Q152" i="25"/>
  <c r="K181" i="12"/>
  <c r="K160" i="23"/>
  <c r="L152"/>
  <c r="E181" i="12"/>
  <c r="F152" i="23"/>
  <c r="E156"/>
  <c r="E160"/>
  <c r="E154"/>
  <c r="G75" i="18"/>
  <c r="G76" s="1"/>
  <c r="G162" i="23"/>
  <c r="U162"/>
  <c r="U75" i="18"/>
  <c r="U76" s="1"/>
  <c r="W160" i="23"/>
  <c r="W181" i="12"/>
  <c r="X152" i="23"/>
  <c r="C76" i="18"/>
  <c r="O160" i="23"/>
  <c r="P152"/>
  <c r="O181" i="12"/>
  <c r="O158" i="23"/>
  <c r="O173"/>
  <c r="O175" s="1"/>
  <c r="Q181" i="12"/>
  <c r="Q156" i="23"/>
  <c r="Q158" s="1"/>
  <c r="Q160"/>
  <c r="R152"/>
  <c r="Y75" i="18"/>
  <c r="Y76" s="1"/>
  <c r="Y162" i="23"/>
  <c r="I162"/>
  <c r="I157"/>
  <c r="I75" i="18"/>
  <c r="I76" s="1"/>
  <c r="W75"/>
  <c r="W76" s="1"/>
  <c r="W162" i="23"/>
  <c r="O75" i="18"/>
  <c r="O76" s="1"/>
  <c r="O157" i="23"/>
  <c r="O162"/>
  <c r="O169" s="1"/>
  <c r="Q162"/>
  <c r="Q169" s="1"/>
  <c r="Q75" i="18"/>
  <c r="Q76" s="1"/>
  <c r="M75"/>
  <c r="M76" s="1"/>
  <c r="M157" i="23"/>
  <c r="M162"/>
  <c r="U152"/>
  <c r="Y152"/>
  <c r="E75" i="18"/>
  <c r="E76" s="1"/>
  <c r="E157" i="23"/>
  <c r="E162"/>
  <c r="I158"/>
  <c r="I160"/>
  <c r="J152"/>
  <c r="I181" i="12"/>
  <c r="G152" i="23"/>
  <c r="N152"/>
  <c r="M160"/>
  <c r="M158"/>
  <c r="M181" i="12"/>
  <c r="K162" i="23"/>
  <c r="K169" s="1"/>
  <c r="K75" i="18"/>
  <c r="K76" s="1"/>
  <c r="AA150" i="23"/>
  <c r="W152" i="21"/>
  <c r="K179" i="12"/>
  <c r="L152" i="20"/>
  <c r="K156"/>
  <c r="H152"/>
  <c r="S150"/>
  <c r="S57" i="18" s="1"/>
  <c r="S58" s="1"/>
  <c r="T146" i="20"/>
  <c r="E152"/>
  <c r="K57" i="18"/>
  <c r="K58" s="1"/>
  <c r="K157" i="20"/>
  <c r="J152"/>
  <c r="I48" i="18"/>
  <c r="I49" s="1"/>
  <c r="I162" i="11"/>
  <c r="I157"/>
  <c r="U162"/>
  <c r="U48" i="18"/>
  <c r="U49" s="1"/>
  <c r="E158" i="11"/>
  <c r="W162"/>
  <c r="W48" i="18"/>
  <c r="W49" s="1"/>
  <c r="I158" i="11"/>
  <c r="I178" i="12"/>
  <c r="J152" i="11"/>
  <c r="I160"/>
  <c r="U178" i="12"/>
  <c r="V152" i="11"/>
  <c r="U160"/>
  <c r="C48" i="18"/>
  <c r="C49" s="1"/>
  <c r="C162" i="11"/>
  <c r="C157"/>
  <c r="O157"/>
  <c r="O48" i="18"/>
  <c r="O49" s="1"/>
  <c r="O162" i="11"/>
  <c r="W160"/>
  <c r="W178" i="12"/>
  <c r="X152" i="11"/>
  <c r="C154"/>
  <c r="E154" s="1"/>
  <c r="G154" s="1"/>
  <c r="I154" s="1"/>
  <c r="K154" s="1"/>
  <c r="M154" s="1"/>
  <c r="O154" s="1"/>
  <c r="Q154" s="1"/>
  <c r="S154" s="1"/>
  <c r="U154" s="1"/>
  <c r="W154" s="1"/>
  <c r="Y154" s="1"/>
  <c r="C178" i="12"/>
  <c r="O160" i="11"/>
  <c r="O178" i="12"/>
  <c r="O158" i="11"/>
  <c r="P152"/>
  <c r="M39" i="18"/>
  <c r="M40" s="1"/>
  <c r="M162" i="7"/>
  <c r="M157"/>
  <c r="M158"/>
  <c r="N152"/>
  <c r="M177" i="12"/>
  <c r="M160" i="7"/>
  <c r="O169"/>
  <c r="S160" i="6"/>
  <c r="S176" i="12"/>
  <c r="T152" i="6"/>
  <c r="S156"/>
  <c r="S158" s="1"/>
  <c r="E157"/>
  <c r="E30" i="18"/>
  <c r="E31" s="1"/>
  <c r="E162" i="6"/>
  <c r="E169" s="1"/>
  <c r="E160"/>
  <c r="F152"/>
  <c r="E176" i="12"/>
  <c r="E156" i="6"/>
  <c r="S30" i="18"/>
  <c r="S31" s="1"/>
  <c r="S162" i="6"/>
  <c r="S169" s="1"/>
  <c r="C154"/>
  <c r="E154" s="1"/>
  <c r="G154" s="1"/>
  <c r="I154" s="1"/>
  <c r="C156"/>
  <c r="D152"/>
  <c r="C176" i="12"/>
  <c r="C160" i="6"/>
  <c r="K30" i="18"/>
  <c r="K31" s="1"/>
  <c r="K162" i="6"/>
  <c r="K152"/>
  <c r="C30" i="18"/>
  <c r="C31" s="1"/>
  <c r="C157" i="6"/>
  <c r="C162"/>
  <c r="Y160" i="4"/>
  <c r="Z152"/>
  <c r="Y175" i="12"/>
  <c r="P152" i="4"/>
  <c r="O160"/>
  <c r="O175" i="12"/>
  <c r="W162" i="4"/>
  <c r="W21" i="18"/>
  <c r="W22" s="1"/>
  <c r="H152" i="4"/>
  <c r="G175" i="12"/>
  <c r="G160" i="4"/>
  <c r="K157"/>
  <c r="K162"/>
  <c r="K21" i="18"/>
  <c r="K22" s="1"/>
  <c r="C21"/>
  <c r="C22" s="1"/>
  <c r="C157" i="4"/>
  <c r="C162"/>
  <c r="G21" i="18"/>
  <c r="G22" s="1"/>
  <c r="G162" i="4"/>
  <c r="G169" s="1"/>
  <c r="K175" i="12"/>
  <c r="L152" i="4"/>
  <c r="K160"/>
  <c r="E162"/>
  <c r="E21" i="18"/>
  <c r="E22" s="1"/>
  <c r="E157" i="4"/>
  <c r="W152"/>
  <c r="D152"/>
  <c r="C154"/>
  <c r="C175" i="12"/>
  <c r="C156" i="4"/>
  <c r="C160"/>
  <c r="O157"/>
  <c r="O21" i="18"/>
  <c r="O22" s="1"/>
  <c r="O162" i="4"/>
  <c r="Y162"/>
  <c r="Y21" i="18"/>
  <c r="Y22" s="1"/>
  <c r="E152" i="4"/>
  <c r="E174" i="12"/>
  <c r="E154" i="3"/>
  <c r="G154" s="1"/>
  <c r="I154" s="1"/>
  <c r="K154" s="1"/>
  <c r="M154" s="1"/>
  <c r="O154" s="1"/>
  <c r="Q154" s="1"/>
  <c r="F152"/>
  <c r="E160"/>
  <c r="M174" i="12"/>
  <c r="M160" i="3"/>
  <c r="N152"/>
  <c r="M158"/>
  <c r="AC146"/>
  <c r="AD146" s="1"/>
  <c r="AD135"/>
  <c r="O160"/>
  <c r="O158"/>
  <c r="P152"/>
  <c r="O174" i="12"/>
  <c r="S12" i="18"/>
  <c r="S13" s="1"/>
  <c r="S162" i="3"/>
  <c r="V152"/>
  <c r="U160"/>
  <c r="U174" i="12"/>
  <c r="U12" i="18"/>
  <c r="U13" s="1"/>
  <c r="U162" i="3"/>
  <c r="O12" i="18"/>
  <c r="O13" s="1"/>
  <c r="O157" i="3"/>
  <c r="O162"/>
  <c r="S152"/>
  <c r="AA150"/>
  <c r="E12" i="18"/>
  <c r="E162" i="3"/>
  <c r="E169" s="1"/>
  <c r="E172" s="1"/>
  <c r="G172" s="1"/>
  <c r="I172" s="1"/>
  <c r="K172" s="1"/>
  <c r="M12" i="18"/>
  <c r="M13" s="1"/>
  <c r="M157" i="3"/>
  <c r="M162"/>
  <c r="W162" i="2"/>
  <c r="W4" i="18"/>
  <c r="W5" s="1"/>
  <c r="W152" i="2"/>
  <c r="T146"/>
  <c r="S150"/>
  <c r="Q4" i="18"/>
  <c r="Q5" s="1"/>
  <c r="Q162" i="2"/>
  <c r="Q169" s="1"/>
  <c r="Q160"/>
  <c r="R152"/>
  <c r="Q173" i="12"/>
  <c r="M4" i="18"/>
  <c r="M5" s="1"/>
  <c r="M162" i="2"/>
  <c r="M160"/>
  <c r="M173" i="12"/>
  <c r="N152" i="2"/>
  <c r="H152"/>
  <c r="G160"/>
  <c r="G173" i="12"/>
  <c r="G162" i="2"/>
  <c r="G4" i="18"/>
  <c r="G5" s="1"/>
  <c r="AE131" i="12"/>
  <c r="AA131"/>
  <c r="AB131" s="1"/>
  <c r="E184"/>
  <c r="F152" i="26"/>
  <c r="E156"/>
  <c r="E160"/>
  <c r="E162"/>
  <c r="E157"/>
  <c r="E102" i="18"/>
  <c r="AA150" i="26"/>
  <c r="E154"/>
  <c r="G154" s="1"/>
  <c r="I154" s="1"/>
  <c r="K154" s="1"/>
  <c r="M154" s="1"/>
  <c r="O154" s="1"/>
  <c r="Q154" s="1"/>
  <c r="S154" s="1"/>
  <c r="U154" s="1"/>
  <c r="W154" s="1"/>
  <c r="Y154" s="1"/>
  <c r="C169"/>
  <c r="C172" s="1"/>
  <c r="AA146"/>
  <c r="AB135"/>
  <c r="AC135"/>
  <c r="AD135" s="1"/>
  <c r="U162" i="24"/>
  <c r="U93" i="18"/>
  <c r="U94" s="1"/>
  <c r="U152" i="24"/>
  <c r="Q183" i="12"/>
  <c r="R152" i="24"/>
  <c r="Q160"/>
  <c r="Q162"/>
  <c r="Q93" i="18"/>
  <c r="Q94" s="1"/>
  <c r="E93"/>
  <c r="E94" s="1"/>
  <c r="E157" i="24"/>
  <c r="E162"/>
  <c r="E169" s="1"/>
  <c r="E160"/>
  <c r="F152"/>
  <c r="E183" i="12"/>
  <c r="E156" i="24"/>
  <c r="E158" s="1"/>
  <c r="C183" i="12"/>
  <c r="C156" i="24"/>
  <c r="C154"/>
  <c r="E154" s="1"/>
  <c r="G154" s="1"/>
  <c r="I154" s="1"/>
  <c r="D152"/>
  <c r="C160"/>
  <c r="AA150"/>
  <c r="AC150" s="1"/>
  <c r="AC162" s="1"/>
  <c r="C93" i="18"/>
  <c r="C94" s="1"/>
  <c r="C162" i="24"/>
  <c r="C157"/>
  <c r="Y94" i="18"/>
  <c r="Y169" i="24"/>
  <c r="AG37" i="12"/>
  <c r="AJ37"/>
  <c r="E156" i="25"/>
  <c r="E154"/>
  <c r="F152"/>
  <c r="E160"/>
  <c r="E182" i="12"/>
  <c r="E84" i="18"/>
  <c r="E85" s="1"/>
  <c r="E162" i="25"/>
  <c r="E169" s="1"/>
  <c r="E157"/>
  <c r="AH37" i="12"/>
  <c r="AC37"/>
  <c r="AD37" s="1"/>
  <c r="AA146" i="25"/>
  <c r="AC135"/>
  <c r="AD135" s="1"/>
  <c r="AB135"/>
  <c r="H135"/>
  <c r="G146"/>
  <c r="G135" i="12"/>
  <c r="M158" i="21"/>
  <c r="C66" i="18"/>
  <c r="C67" s="1"/>
  <c r="C157" i="21"/>
  <c r="C156"/>
  <c r="D152"/>
  <c r="C154"/>
  <c r="E154" s="1"/>
  <c r="G154" s="1"/>
  <c r="I154" s="1"/>
  <c r="K154" s="1"/>
  <c r="M154" s="1"/>
  <c r="O154" s="1"/>
  <c r="Q154" s="1"/>
  <c r="S154" s="1"/>
  <c r="C180" i="12"/>
  <c r="U152" i="21"/>
  <c r="S66" i="18"/>
  <c r="AA150" i="21"/>
  <c r="S180" i="12"/>
  <c r="S156" i="21"/>
  <c r="S158" s="1"/>
  <c r="T152"/>
  <c r="U57" i="18"/>
  <c r="U179" i="12"/>
  <c r="V152" i="20"/>
  <c r="AD135"/>
  <c r="AC146"/>
  <c r="S169" i="11"/>
  <c r="Q160"/>
  <c r="R152"/>
  <c r="Q178" i="12"/>
  <c r="Q48" i="18"/>
  <c r="Q49" s="1"/>
  <c r="Q162" i="11"/>
  <c r="Q169" s="1"/>
  <c r="E169"/>
  <c r="AD135"/>
  <c r="AC146"/>
  <c r="E49" i="18"/>
  <c r="X146" i="7"/>
  <c r="W150"/>
  <c r="W152" s="1"/>
  <c r="U39" i="18"/>
  <c r="U40" s="1"/>
  <c r="U162" i="7"/>
  <c r="U152"/>
  <c r="S39" i="18"/>
  <c r="S40" s="1"/>
  <c r="S162" i="7"/>
  <c r="T152"/>
  <c r="S156"/>
  <c r="S158" s="1"/>
  <c r="S177" i="12"/>
  <c r="S160" i="7"/>
  <c r="Q150" i="12"/>
  <c r="Q162" s="1"/>
  <c r="Q162" i="7"/>
  <c r="Q39" i="18"/>
  <c r="Q152" i="7"/>
  <c r="K150"/>
  <c r="K152" s="1"/>
  <c r="L146"/>
  <c r="AC135"/>
  <c r="AD131"/>
  <c r="K146" i="12"/>
  <c r="L146" s="1"/>
  <c r="J146" i="7"/>
  <c r="I150"/>
  <c r="G162"/>
  <c r="G39" i="18"/>
  <c r="G152" i="7"/>
  <c r="E39" i="18"/>
  <c r="E40" s="1"/>
  <c r="E157" i="7"/>
  <c r="E162"/>
  <c r="E152"/>
  <c r="C162"/>
  <c r="C39" i="18"/>
  <c r="C40" s="1"/>
  <c r="C157" i="7"/>
  <c r="C160"/>
  <c r="C154"/>
  <c r="C177" i="12"/>
  <c r="D152" i="7"/>
  <c r="C156"/>
  <c r="Y177" i="12"/>
  <c r="Z152" i="7"/>
  <c r="Y160"/>
  <c r="Y39" i="18"/>
  <c r="Y162" i="7"/>
  <c r="W176" i="12"/>
  <c r="X152" i="6"/>
  <c r="W160"/>
  <c r="W30" i="18"/>
  <c r="W162" i="6"/>
  <c r="AA150"/>
  <c r="AA146"/>
  <c r="AB135"/>
  <c r="AD146"/>
  <c r="U21" i="18"/>
  <c r="U22" s="1"/>
  <c r="U162" i="4"/>
  <c r="V152"/>
  <c r="U175" i="12"/>
  <c r="U160" i="4"/>
  <c r="S21" i="18"/>
  <c r="S162" i="4"/>
  <c r="S175" i="12"/>
  <c r="S160" i="4"/>
  <c r="S156"/>
  <c r="S158" s="1"/>
  <c r="T152"/>
  <c r="I150"/>
  <c r="I152" s="1"/>
  <c r="J146"/>
  <c r="AD135"/>
  <c r="AC146"/>
  <c r="AD146" s="1"/>
  <c r="M160"/>
  <c r="M175" i="12"/>
  <c r="N152" i="4"/>
  <c r="M152" i="12"/>
  <c r="M158" i="4"/>
  <c r="M21" i="18"/>
  <c r="M150" i="12"/>
  <c r="M162" i="4"/>
  <c r="M157"/>
  <c r="U162" i="2"/>
  <c r="U4" i="18"/>
  <c r="U152" i="2"/>
  <c r="O162"/>
  <c r="O4" i="18"/>
  <c r="O150" i="12"/>
  <c r="O152" i="2"/>
  <c r="K4" i="18"/>
  <c r="K162" i="2"/>
  <c r="K152"/>
  <c r="J146"/>
  <c r="I150"/>
  <c r="I146" i="12"/>
  <c r="J146" s="1"/>
  <c r="F152" i="2"/>
  <c r="E173" i="12"/>
  <c r="E160" i="2"/>
  <c r="E4" i="18"/>
  <c r="E150" i="12"/>
  <c r="E162" s="1"/>
  <c r="E162" i="2"/>
  <c r="Y173" i="12"/>
  <c r="Z152" i="2"/>
  <c r="Y160"/>
  <c r="Y152" i="12"/>
  <c r="Y150"/>
  <c r="Y162" s="1"/>
  <c r="Y4" i="18"/>
  <c r="Y162" i="2"/>
  <c r="Y169" s="1"/>
  <c r="C173" i="12"/>
  <c r="C152"/>
  <c r="C160" i="2"/>
  <c r="D152"/>
  <c r="C154"/>
  <c r="E154" s="1"/>
  <c r="G154" s="1"/>
  <c r="AC135"/>
  <c r="AD135" s="1"/>
  <c r="AA146"/>
  <c r="AI135" i="12"/>
  <c r="AB135" i="2"/>
  <c r="D146" i="12"/>
  <c r="C150"/>
  <c r="C162" i="2"/>
  <c r="C4" i="18"/>
  <c r="I158" i="20" l="1"/>
  <c r="C156" i="11"/>
  <c r="D152"/>
  <c r="W150" i="12"/>
  <c r="W162" s="1"/>
  <c r="E158" i="6"/>
  <c r="Y169" i="4"/>
  <c r="G169" i="2"/>
  <c r="Q169" i="24"/>
  <c r="O169" i="25"/>
  <c r="AA162" i="11"/>
  <c r="AA152"/>
  <c r="AA178" i="12" s="1"/>
  <c r="AC178" s="1"/>
  <c r="M186"/>
  <c r="M189" s="1"/>
  <c r="K150"/>
  <c r="K191" s="1"/>
  <c r="K192" s="1"/>
  <c r="O169" i="4"/>
  <c r="C158"/>
  <c r="I169" i="11"/>
  <c r="C158" i="7"/>
  <c r="Y169"/>
  <c r="K158" i="20"/>
  <c r="C158" i="21"/>
  <c r="K154" i="24"/>
  <c r="M154" s="1"/>
  <c r="O154" s="1"/>
  <c r="Q154" s="1"/>
  <c r="S154" s="1"/>
  <c r="U154" s="1"/>
  <c r="W154" s="1"/>
  <c r="Y154" s="1"/>
  <c r="AA93" i="18"/>
  <c r="U150" i="12"/>
  <c r="U162" s="1"/>
  <c r="E169" i="23"/>
  <c r="E172" s="1"/>
  <c r="E158"/>
  <c r="W169" i="11"/>
  <c r="E152" i="12"/>
  <c r="F152" s="1"/>
  <c r="C169" i="6"/>
  <c r="C172" s="1"/>
  <c r="E172" s="1"/>
  <c r="G172" s="1"/>
  <c r="I172" s="1"/>
  <c r="S154" i="3"/>
  <c r="U154" s="1"/>
  <c r="W154" s="1"/>
  <c r="Y154" s="1"/>
  <c r="W169" i="26"/>
  <c r="W172" s="1"/>
  <c r="Y172" s="1"/>
  <c r="E169"/>
  <c r="E172" s="1"/>
  <c r="G172" s="1"/>
  <c r="I172" s="1"/>
  <c r="K172" s="1"/>
  <c r="M172" s="1"/>
  <c r="O172" s="1"/>
  <c r="L152" i="24"/>
  <c r="K183" i="12"/>
  <c r="K160" i="24"/>
  <c r="K169" s="1"/>
  <c r="K173"/>
  <c r="K175" s="1"/>
  <c r="U182" i="12"/>
  <c r="U160" i="25"/>
  <c r="V152"/>
  <c r="C169"/>
  <c r="C172" s="1"/>
  <c r="E172" s="1"/>
  <c r="U84" i="18"/>
  <c r="U85" s="1"/>
  <c r="U162" i="25"/>
  <c r="U169" s="1"/>
  <c r="Q182" i="12"/>
  <c r="Q160" i="25"/>
  <c r="Q169" s="1"/>
  <c r="R152"/>
  <c r="W169"/>
  <c r="G160" i="23"/>
  <c r="G169" s="1"/>
  <c r="H152"/>
  <c r="G154"/>
  <c r="I154" s="1"/>
  <c r="K154" s="1"/>
  <c r="M154" s="1"/>
  <c r="O154" s="1"/>
  <c r="Q154" s="1"/>
  <c r="S154" s="1"/>
  <c r="U154" s="1"/>
  <c r="W154" s="1"/>
  <c r="Y154" s="1"/>
  <c r="G181" i="12"/>
  <c r="Z152" i="23"/>
  <c r="Y160"/>
  <c r="Y169" s="1"/>
  <c r="Y181" i="12"/>
  <c r="Y186" s="1"/>
  <c r="Y189" s="1"/>
  <c r="AC150" i="23"/>
  <c r="AC162" s="1"/>
  <c r="AA162"/>
  <c r="AA152"/>
  <c r="M169"/>
  <c r="W169"/>
  <c r="I169"/>
  <c r="AG152"/>
  <c r="U181" i="12"/>
  <c r="U160" i="23"/>
  <c r="U169" s="1"/>
  <c r="V152"/>
  <c r="AA75" i="18"/>
  <c r="AA76"/>
  <c r="X152" i="21"/>
  <c r="W180" i="12"/>
  <c r="U154" i="21"/>
  <c r="W154" s="1"/>
  <c r="Y154" s="1"/>
  <c r="AA150" i="20"/>
  <c r="AC150" s="1"/>
  <c r="AC152" s="1"/>
  <c r="AD152" s="1"/>
  <c r="S152"/>
  <c r="E154"/>
  <c r="G154" s="1"/>
  <c r="I154" s="1"/>
  <c r="K154" s="1"/>
  <c r="M154" s="1"/>
  <c r="O154" s="1"/>
  <c r="Q154" s="1"/>
  <c r="F152"/>
  <c r="E179" i="12"/>
  <c r="O169" i="11"/>
  <c r="C169"/>
  <c r="C172" s="1"/>
  <c r="E172" s="1"/>
  <c r="G172" s="1"/>
  <c r="AA48" i="18"/>
  <c r="C158" i="11"/>
  <c r="U169"/>
  <c r="M169" i="7"/>
  <c r="K160" i="6"/>
  <c r="K169" s="1"/>
  <c r="L152"/>
  <c r="K176" i="12"/>
  <c r="K154" i="6"/>
  <c r="M154" s="1"/>
  <c r="O154" s="1"/>
  <c r="Q154" s="1"/>
  <c r="S154" s="1"/>
  <c r="U154" s="1"/>
  <c r="W154" s="1"/>
  <c r="Y154" s="1"/>
  <c r="C158"/>
  <c r="U169" i="4"/>
  <c r="M169"/>
  <c r="S169"/>
  <c r="E175" i="12"/>
  <c r="E156" i="4"/>
  <c r="E158" s="1"/>
  <c r="F152"/>
  <c r="E154"/>
  <c r="G154" s="1"/>
  <c r="I154" s="1"/>
  <c r="K154" s="1"/>
  <c r="M154" s="1"/>
  <c r="O154" s="1"/>
  <c r="Q154" s="1"/>
  <c r="S154" s="1"/>
  <c r="U154" s="1"/>
  <c r="W154" s="1"/>
  <c r="Y154" s="1"/>
  <c r="E160"/>
  <c r="E169" s="1"/>
  <c r="C169"/>
  <c r="C172" s="1"/>
  <c r="K169"/>
  <c r="X152"/>
  <c r="W175" i="12"/>
  <c r="W160" i="4"/>
  <c r="W169" s="1"/>
  <c r="AA12" i="18"/>
  <c r="E13"/>
  <c r="AA13" s="1"/>
  <c r="S174" i="3"/>
  <c r="S176" s="1"/>
  <c r="S160"/>
  <c r="S169" s="1"/>
  <c r="S174" i="12"/>
  <c r="T152" i="3"/>
  <c r="M169"/>
  <c r="M172" s="1"/>
  <c r="O169"/>
  <c r="U169"/>
  <c r="AC150"/>
  <c r="AA152"/>
  <c r="AA162"/>
  <c r="W160" i="2"/>
  <c r="W173" i="12"/>
  <c r="X152" i="2"/>
  <c r="W169"/>
  <c r="S162"/>
  <c r="S4" i="18"/>
  <c r="S5" s="1"/>
  <c r="AA150" i="2"/>
  <c r="AA162" s="1"/>
  <c r="S150" i="12"/>
  <c r="S162" s="1"/>
  <c r="S152" i="2"/>
  <c r="M169"/>
  <c r="C169"/>
  <c r="C172" s="1"/>
  <c r="E158" i="26"/>
  <c r="AC131" i="12"/>
  <c r="AD131" s="1"/>
  <c r="AH131"/>
  <c r="AG131"/>
  <c r="AJ131"/>
  <c r="E103" i="18"/>
  <c r="AA103" s="1"/>
  <c r="AA102"/>
  <c r="AA162" i="26"/>
  <c r="AC150"/>
  <c r="AC162" s="1"/>
  <c r="AC146"/>
  <c r="AD146" s="1"/>
  <c r="AB146"/>
  <c r="AA152"/>
  <c r="U160" i="24"/>
  <c r="U169" s="1"/>
  <c r="U183" i="12"/>
  <c r="V152" i="24"/>
  <c r="AA162"/>
  <c r="C186" i="12"/>
  <c r="C189" s="1"/>
  <c r="AA152" i="24"/>
  <c r="AC152" s="1"/>
  <c r="C169"/>
  <c r="C172" s="1"/>
  <c r="E172" s="1"/>
  <c r="G172" s="1"/>
  <c r="I172" s="1"/>
  <c r="AA94" i="18"/>
  <c r="C158" i="24"/>
  <c r="E158" i="25"/>
  <c r="H135" i="12"/>
  <c r="AA135"/>
  <c r="AJ135" s="1"/>
  <c r="G150" i="25"/>
  <c r="G152" s="1"/>
  <c r="G152" i="12" s="1"/>
  <c r="H146" i="25"/>
  <c r="G146" i="12"/>
  <c r="H146" s="1"/>
  <c r="AC146" i="25"/>
  <c r="AD146" s="1"/>
  <c r="AB146"/>
  <c r="AE135" i="12"/>
  <c r="V152" i="21"/>
  <c r="U180" i="12"/>
  <c r="S67" i="18"/>
  <c r="AA67" s="1"/>
  <c r="AA66"/>
  <c r="AC150" i="21"/>
  <c r="AA152"/>
  <c r="U58" i="18"/>
  <c r="AA58" s="1"/>
  <c r="AA57"/>
  <c r="AD146" i="20"/>
  <c r="AA49" i="18"/>
  <c r="AD146" i="11"/>
  <c r="AC152"/>
  <c r="X152" i="7"/>
  <c r="W160"/>
  <c r="W177" i="12"/>
  <c r="W39" i="18"/>
  <c r="W40" s="1"/>
  <c r="W162" i="7"/>
  <c r="W152" i="12"/>
  <c r="W160" s="1"/>
  <c r="W169" s="1"/>
  <c r="U177"/>
  <c r="V152" i="7"/>
  <c r="U160"/>
  <c r="U169" s="1"/>
  <c r="S169"/>
  <c r="Q119" i="18"/>
  <c r="Q40"/>
  <c r="Q120" s="1"/>
  <c r="Q177" i="12"/>
  <c r="Q160" i="7"/>
  <c r="Q169" s="1"/>
  <c r="R152"/>
  <c r="Q152" i="12"/>
  <c r="K160" i="7"/>
  <c r="K156"/>
  <c r="L152"/>
  <c r="K177" i="12"/>
  <c r="AC146" i="7"/>
  <c r="AD146" s="1"/>
  <c r="AD135"/>
  <c r="K162"/>
  <c r="K39" i="18"/>
  <c r="K40" s="1"/>
  <c r="K157" i="7"/>
  <c r="I39" i="18"/>
  <c r="I40" s="1"/>
  <c r="I162" i="7"/>
  <c r="I157"/>
  <c r="I152"/>
  <c r="AA150"/>
  <c r="AA162" s="1"/>
  <c r="G160"/>
  <c r="G169" s="1"/>
  <c r="G177" i="12"/>
  <c r="G173" i="7"/>
  <c r="G175" s="1"/>
  <c r="H152"/>
  <c r="G40" i="18"/>
  <c r="E160" i="7"/>
  <c r="E169" s="1"/>
  <c r="E156"/>
  <c r="E158" s="1"/>
  <c r="E177" i="12"/>
  <c r="F152" i="7"/>
  <c r="E154"/>
  <c r="G154" s="1"/>
  <c r="C169"/>
  <c r="C172" s="1"/>
  <c r="Y40" i="18"/>
  <c r="AA162" i="6"/>
  <c r="AC150"/>
  <c r="W31" i="18"/>
  <c r="AA30"/>
  <c r="W169" i="6"/>
  <c r="AB146"/>
  <c r="AA152"/>
  <c r="S22" i="18"/>
  <c r="J152" i="4"/>
  <c r="I160"/>
  <c r="I158"/>
  <c r="I175" i="12"/>
  <c r="AA150" i="4"/>
  <c r="AA152" s="1"/>
  <c r="I162"/>
  <c r="I21" i="18"/>
  <c r="I22" s="1"/>
  <c r="M119"/>
  <c r="M22"/>
  <c r="N152" i="12"/>
  <c r="M153"/>
  <c r="E169" i="2"/>
  <c r="U5" i="18"/>
  <c r="U160" i="2"/>
  <c r="V152"/>
  <c r="U152" i="12"/>
  <c r="U173"/>
  <c r="U169" i="2"/>
  <c r="O173" i="12"/>
  <c r="O186" s="1"/>
  <c r="O189" s="1"/>
  <c r="O152"/>
  <c r="O160" i="2"/>
  <c r="O169" s="1"/>
  <c r="P152"/>
  <c r="O119" i="18"/>
  <c r="O5"/>
  <c r="O120" s="1"/>
  <c r="K160" i="2"/>
  <c r="K169" s="1"/>
  <c r="K173" i="12"/>
  <c r="K152"/>
  <c r="L152" i="2"/>
  <c r="K5" i="18"/>
  <c r="I150" i="12"/>
  <c r="I162" s="1"/>
  <c r="I4" i="18"/>
  <c r="I162" i="2"/>
  <c r="I152"/>
  <c r="E119" i="18"/>
  <c r="E5"/>
  <c r="Y119"/>
  <c r="Y5"/>
  <c r="Y153" i="12"/>
  <c r="Y160"/>
  <c r="Y169" s="1"/>
  <c r="Z152"/>
  <c r="C162"/>
  <c r="C119" i="18"/>
  <c r="C5"/>
  <c r="AB146" i="2"/>
  <c r="AI146" i="12"/>
  <c r="AC146" i="2"/>
  <c r="AD146" s="1"/>
  <c r="D152" i="12"/>
  <c r="C158"/>
  <c r="C153"/>
  <c r="C155" s="1"/>
  <c r="C156"/>
  <c r="C154"/>
  <c r="C160"/>
  <c r="U119" i="18" l="1"/>
  <c r="AA160" i="11"/>
  <c r="AA169" s="1"/>
  <c r="AC169" s="1"/>
  <c r="K120" i="18"/>
  <c r="Q186" i="12"/>
  <c r="Q189" s="1"/>
  <c r="G172" i="23"/>
  <c r="K193" i="12"/>
  <c r="AA152" i="20"/>
  <c r="AA179" i="12" s="1"/>
  <c r="AC179" s="1"/>
  <c r="I172" i="11"/>
  <c r="K172" s="1"/>
  <c r="M172" s="1"/>
  <c r="AB152"/>
  <c r="Y120" i="18"/>
  <c r="K186" i="12"/>
  <c r="K189" s="1"/>
  <c r="E160"/>
  <c r="E169" s="1"/>
  <c r="K169" i="7"/>
  <c r="E172" i="2"/>
  <c r="G172" s="1"/>
  <c r="W186" i="12"/>
  <c r="W189" s="1"/>
  <c r="I172" i="23"/>
  <c r="K172" s="1"/>
  <c r="M172" s="1"/>
  <c r="O172" s="1"/>
  <c r="Q172" s="1"/>
  <c r="S172" s="1"/>
  <c r="U172" s="1"/>
  <c r="W172" s="1"/>
  <c r="Y172" s="1"/>
  <c r="E154" i="12"/>
  <c r="E158"/>
  <c r="G158" s="1"/>
  <c r="E153"/>
  <c r="E155" s="1"/>
  <c r="S154" i="20"/>
  <c r="U154" s="1"/>
  <c r="W154" s="1"/>
  <c r="Y154" s="1"/>
  <c r="E156" i="12"/>
  <c r="G156" s="1"/>
  <c r="E186"/>
  <c r="E189" s="1"/>
  <c r="O172" i="11"/>
  <c r="Q172" s="1"/>
  <c r="S172" s="1"/>
  <c r="U172" s="1"/>
  <c r="W172" s="1"/>
  <c r="Y172" s="1"/>
  <c r="I154" i="7"/>
  <c r="K154" s="1"/>
  <c r="M154" s="1"/>
  <c r="O154" s="1"/>
  <c r="Q154" s="1"/>
  <c r="S154" s="1"/>
  <c r="U154" s="1"/>
  <c r="W154" s="1"/>
  <c r="Y154" s="1"/>
  <c r="K158"/>
  <c r="K172" i="6"/>
  <c r="M172" s="1"/>
  <c r="O172" s="1"/>
  <c r="Q172" s="1"/>
  <c r="S172" s="1"/>
  <c r="U172" s="1"/>
  <c r="W172" s="1"/>
  <c r="Y172" s="1"/>
  <c r="AA21" i="18"/>
  <c r="O172" i="3"/>
  <c r="Q172" s="1"/>
  <c r="S172" s="1"/>
  <c r="U172" s="1"/>
  <c r="W172" s="1"/>
  <c r="Y172" s="1"/>
  <c r="K172" i="24"/>
  <c r="M172" s="1"/>
  <c r="O172" s="1"/>
  <c r="Q172" s="1"/>
  <c r="S172" s="1"/>
  <c r="U172" s="1"/>
  <c r="W172" s="1"/>
  <c r="Y172" s="1"/>
  <c r="AA160" i="23"/>
  <c r="AA169" s="1"/>
  <c r="AC169" s="1"/>
  <c r="AC152"/>
  <c r="AH152"/>
  <c r="AB152"/>
  <c r="AA181" i="12"/>
  <c r="AC181" s="1"/>
  <c r="AA154" i="23"/>
  <c r="S156" i="20"/>
  <c r="S158" s="1"/>
  <c r="S179" i="12"/>
  <c r="T152" i="20"/>
  <c r="U120" i="18"/>
  <c r="E172" i="7"/>
  <c r="W119" i="18"/>
  <c r="AA39"/>
  <c r="AA162" i="4"/>
  <c r="AC150"/>
  <c r="AC152" s="1"/>
  <c r="E172"/>
  <c r="G172" s="1"/>
  <c r="I169"/>
  <c r="W153" i="12"/>
  <c r="AB152" i="3"/>
  <c r="AA160"/>
  <c r="AA169" s="1"/>
  <c r="AC169" s="1"/>
  <c r="AA174" i="12"/>
  <c r="AC174" s="1"/>
  <c r="AA155" i="3"/>
  <c r="AC152"/>
  <c r="AC162"/>
  <c r="E120" i="18"/>
  <c r="AA154" i="3"/>
  <c r="AC150" i="2"/>
  <c r="AC162" s="1"/>
  <c r="AA152"/>
  <c r="AB152" s="1"/>
  <c r="S119" i="18"/>
  <c r="S173" i="12"/>
  <c r="S160" i="2"/>
  <c r="S156"/>
  <c r="S158" s="1"/>
  <c r="T152"/>
  <c r="S152" i="12"/>
  <c r="S169" i="2"/>
  <c r="AC152" i="26"/>
  <c r="AA160"/>
  <c r="AA169" s="1"/>
  <c r="AC169" s="1"/>
  <c r="AA184" i="12"/>
  <c r="AC184" s="1"/>
  <c r="AB152" i="26"/>
  <c r="AB152" i="24"/>
  <c r="AA160"/>
  <c r="AA169" s="1"/>
  <c r="AC169" s="1"/>
  <c r="AA154"/>
  <c r="AA183" i="12"/>
  <c r="AC183" s="1"/>
  <c r="AC160" i="24"/>
  <c r="AD152"/>
  <c r="AH135" i="12"/>
  <c r="AA146"/>
  <c r="AG146" s="1"/>
  <c r="AE146"/>
  <c r="H152" i="25"/>
  <c r="G160"/>
  <c r="G154"/>
  <c r="I154" s="1"/>
  <c r="K154" s="1"/>
  <c r="M154" s="1"/>
  <c r="O154" s="1"/>
  <c r="Q154" s="1"/>
  <c r="S154" s="1"/>
  <c r="U154" s="1"/>
  <c r="W154" s="1"/>
  <c r="Y154" s="1"/>
  <c r="G182" i="12"/>
  <c r="AG135"/>
  <c r="AC135"/>
  <c r="AD135" s="1"/>
  <c r="AB135"/>
  <c r="G162" i="25"/>
  <c r="AA150"/>
  <c r="AI150" i="12" s="1"/>
  <c r="G84" i="18"/>
  <c r="G150" i="12"/>
  <c r="G162" s="1"/>
  <c r="G186"/>
  <c r="G189" s="1"/>
  <c r="S120" i="18"/>
  <c r="U186" i="12"/>
  <c r="U189" s="1"/>
  <c r="AA180"/>
  <c r="AC180" s="1"/>
  <c r="AB152" i="21"/>
  <c r="AC152"/>
  <c r="AD152" s="1"/>
  <c r="AC160" i="11"/>
  <c r="AD152"/>
  <c r="X152" i="12"/>
  <c r="W169" i="7"/>
  <c r="Q160" i="12"/>
  <c r="Q169" s="1"/>
  <c r="Q172" s="1"/>
  <c r="R152"/>
  <c r="Q153"/>
  <c r="AA40" i="18"/>
  <c r="AA152" i="7"/>
  <c r="AA160" s="1"/>
  <c r="AA169" s="1"/>
  <c r="AC169" s="1"/>
  <c r="AC150"/>
  <c r="AC152" s="1"/>
  <c r="K119" i="18"/>
  <c r="J152" i="7"/>
  <c r="I173"/>
  <c r="I175" s="1"/>
  <c r="I177" i="12"/>
  <c r="I160" i="7"/>
  <c r="I169" s="1"/>
  <c r="I158"/>
  <c r="H152" i="12"/>
  <c r="G160"/>
  <c r="G153"/>
  <c r="G154"/>
  <c r="G172" i="7"/>
  <c r="W120" i="18"/>
  <c r="AA31"/>
  <c r="AC162" i="6"/>
  <c r="AC152"/>
  <c r="AA160"/>
  <c r="AA169" s="1"/>
  <c r="AC169" s="1"/>
  <c r="AA176" i="12"/>
  <c r="AC176" s="1"/>
  <c r="AB152" i="6"/>
  <c r="M120" i="18"/>
  <c r="AA22"/>
  <c r="AA175" i="12"/>
  <c r="AC175" s="1"/>
  <c r="AA160" i="4"/>
  <c r="AB152"/>
  <c r="U160" i="12"/>
  <c r="U169" s="1"/>
  <c r="V152"/>
  <c r="U153"/>
  <c r="O153"/>
  <c r="P152"/>
  <c r="L152"/>
  <c r="K153"/>
  <c r="I173"/>
  <c r="J152" i="2"/>
  <c r="I152" i="12"/>
  <c r="I160" i="2"/>
  <c r="I169" s="1"/>
  <c r="I119" i="18"/>
  <c r="I5"/>
  <c r="I120" s="1"/>
  <c r="AA4"/>
  <c r="I154" i="2"/>
  <c r="K154" s="1"/>
  <c r="M154" s="1"/>
  <c r="O154" s="1"/>
  <c r="Q154" s="1"/>
  <c r="S154" s="1"/>
  <c r="U154" s="1"/>
  <c r="W154" s="1"/>
  <c r="Y154" s="1"/>
  <c r="C120" i="18"/>
  <c r="C169" i="12"/>
  <c r="C172" s="1"/>
  <c r="AB152" i="20" l="1"/>
  <c r="AA155"/>
  <c r="S186" i="12"/>
  <c r="S189" s="1"/>
  <c r="E172"/>
  <c r="AA169" i="4"/>
  <c r="AC169" s="1"/>
  <c r="I172" i="2"/>
  <c r="K172" s="1"/>
  <c r="M172" s="1"/>
  <c r="O172" s="1"/>
  <c r="Q172" s="1"/>
  <c r="S172" s="1"/>
  <c r="U172" s="1"/>
  <c r="W172" s="1"/>
  <c r="Y172" s="1"/>
  <c r="G155" i="12"/>
  <c r="AA155" i="7"/>
  <c r="I186" i="12"/>
  <c r="I189" s="1"/>
  <c r="AB152" i="7"/>
  <c r="AC162" i="4"/>
  <c r="G169" i="25"/>
  <c r="G172" s="1"/>
  <c r="I172" s="1"/>
  <c r="K172" s="1"/>
  <c r="M172" s="1"/>
  <c r="O172" s="1"/>
  <c r="Q172" s="1"/>
  <c r="S172" s="1"/>
  <c r="U172" s="1"/>
  <c r="W172" s="1"/>
  <c r="Y172" s="1"/>
  <c r="AD152" i="23"/>
  <c r="AC160"/>
  <c r="I172" i="4"/>
  <c r="K172" s="1"/>
  <c r="M172" s="1"/>
  <c r="O172" s="1"/>
  <c r="Q172" s="1"/>
  <c r="S172" s="1"/>
  <c r="U172" s="1"/>
  <c r="W172" s="1"/>
  <c r="Y172" s="1"/>
  <c r="AD152" i="3"/>
  <c r="AC160"/>
  <c r="AA154" i="2"/>
  <c r="AA160"/>
  <c r="AA169" s="1"/>
  <c r="AC169" s="1"/>
  <c r="AC152"/>
  <c r="AD152" s="1"/>
  <c r="AA173" i="12"/>
  <c r="AC173" s="1"/>
  <c r="AA155" i="2"/>
  <c r="T152" i="12"/>
  <c r="S153"/>
  <c r="S160"/>
  <c r="S169" s="1"/>
  <c r="S172" s="1"/>
  <c r="U172" s="1"/>
  <c r="W172" s="1"/>
  <c r="Y172" s="1"/>
  <c r="AD152" i="26"/>
  <c r="AC160"/>
  <c r="AC146" i="12"/>
  <c r="AD146" s="1"/>
  <c r="AH146"/>
  <c r="AJ146"/>
  <c r="AB146"/>
  <c r="G169"/>
  <c r="AE150"/>
  <c r="AA150"/>
  <c r="AA162" s="1"/>
  <c r="AC150" i="25"/>
  <c r="AA152"/>
  <c r="AA84" i="18"/>
  <c r="AA119" s="1"/>
  <c r="G85"/>
  <c r="G119"/>
  <c r="AA177" i="12"/>
  <c r="AC177" s="1"/>
  <c r="AC162" i="7"/>
  <c r="I172"/>
  <c r="K172" s="1"/>
  <c r="M172" s="1"/>
  <c r="O172" s="1"/>
  <c r="Q172" s="1"/>
  <c r="S172" s="1"/>
  <c r="U172" s="1"/>
  <c r="W172" s="1"/>
  <c r="Y172" s="1"/>
  <c r="AD152"/>
  <c r="AC160"/>
  <c r="AD152" i="6"/>
  <c r="AC160"/>
  <c r="AD152" i="4"/>
  <c r="AC160"/>
  <c r="AA5" i="18"/>
  <c r="J152" i="12"/>
  <c r="I160"/>
  <c r="I169" s="1"/>
  <c r="I153"/>
  <c r="AA152"/>
  <c r="AE152"/>
  <c r="I156"/>
  <c r="K156" s="1"/>
  <c r="M156" s="1"/>
  <c r="O156" s="1"/>
  <c r="Q156" s="1"/>
  <c r="S156" s="1"/>
  <c r="U156" s="1"/>
  <c r="W156" s="1"/>
  <c r="Y156" s="1"/>
  <c r="I158"/>
  <c r="K158" s="1"/>
  <c r="M158" s="1"/>
  <c r="G172" l="1"/>
  <c r="I172" s="1"/>
  <c r="I155"/>
  <c r="K155" s="1"/>
  <c r="M155" s="1"/>
  <c r="O155" s="1"/>
  <c r="Q155" s="1"/>
  <c r="S155" s="1"/>
  <c r="U155" s="1"/>
  <c r="W155" s="1"/>
  <c r="Y155" s="1"/>
  <c r="AC160" i="2"/>
  <c r="AJ150" i="12"/>
  <c r="AG150"/>
  <c r="AC150"/>
  <c r="AC162" s="1"/>
  <c r="AH150"/>
  <c r="AA85" i="18"/>
  <c r="AA120" s="1"/>
  <c r="G120"/>
  <c r="AB152" i="25"/>
  <c r="AA182" i="12"/>
  <c r="AC152" i="25"/>
  <c r="AD152" s="1"/>
  <c r="AI152" i="12"/>
  <c r="AJ152" s="1"/>
  <c r="AE173"/>
  <c r="AA156"/>
  <c r="M159"/>
  <c r="M170" s="1"/>
  <c r="O158"/>
  <c r="AB152"/>
  <c r="AG152"/>
  <c r="AA153"/>
  <c r="AA160"/>
  <c r="AA169" s="1"/>
  <c r="AC169" s="1"/>
  <c r="AH152"/>
  <c r="AC152"/>
  <c r="AC182" l="1"/>
  <c r="AA186"/>
  <c r="O159"/>
  <c r="O170" s="1"/>
  <c r="Q158"/>
  <c r="S158" s="1"/>
  <c r="U158" s="1"/>
  <c r="W158" s="1"/>
  <c r="Y158" s="1"/>
  <c r="Y170" s="1"/>
  <c r="AC160"/>
  <c r="AD152"/>
  <c r="AC186" l="1"/>
  <c r="AA189"/>
  <c r="AA190" l="1"/>
  <c r="AC190" s="1"/>
  <c r="AC189"/>
</calcChain>
</file>

<file path=xl/comments1.xml><?xml version="1.0" encoding="utf-8"?>
<comments xmlns="http://schemas.openxmlformats.org/spreadsheetml/2006/main">
  <authors>
    <author>Aswath</author>
  </authors>
  <commentList>
    <comment ref="M129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- 500</t>
        </r>
      </text>
    </comment>
  </commentList>
</comments>
</file>

<file path=xl/comments10.xml><?xml version="1.0" encoding="utf-8"?>
<comments xmlns="http://schemas.openxmlformats.org/spreadsheetml/2006/main">
  <authors>
    <author>Rajesh</author>
    <author>Nirav</author>
  </authors>
  <commentList>
    <comment ref="S42" authorId="0">
      <text>
        <r>
          <rPr>
            <b/>
            <sz val="9"/>
            <color indexed="81"/>
            <rFont val="Tahoma"/>
            <family val="2"/>
          </rPr>
          <t>Rajesh:</t>
        </r>
        <r>
          <rPr>
            <sz val="9"/>
            <color indexed="81"/>
            <rFont val="Tahoma"/>
            <family val="2"/>
          </rPr>
          <t xml:space="preserve">
less 86633.57
</t>
        </r>
      </text>
    </comment>
    <comment ref="B45" authorId="1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</commentList>
</comments>
</file>

<file path=xl/comments2.xml><?xml version="1.0" encoding="utf-8"?>
<comments xmlns="http://schemas.openxmlformats.org/spreadsheetml/2006/main">
  <authors>
    <author>Nirav</author>
    <author>Aswath</author>
  </authors>
  <commentList>
    <comment ref="B45" authorId="0">
      <text>
        <r>
          <rPr>
            <b/>
            <sz val="9"/>
            <color indexed="81"/>
            <rFont val="Tahoma"/>
            <family val="2"/>
          </rPr>
          <t>Nirav:</t>
        </r>
        <r>
          <rPr>
            <sz val="9"/>
            <color indexed="81"/>
            <rFont val="Tahoma"/>
            <family val="2"/>
          </rPr>
          <t xml:space="preserve">
1) Total 6 Numbers.
</t>
        </r>
      </text>
    </comment>
    <comment ref="M93" authorId="1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- 4500</t>
        </r>
      </text>
    </comment>
  </commentList>
</comments>
</file>

<file path=xl/comments3.xml><?xml version="1.0" encoding="utf-8"?>
<comments xmlns="http://schemas.openxmlformats.org/spreadsheetml/2006/main">
  <authors>
    <author>Aswath</author>
  </authors>
  <commentList>
    <comment ref="M129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500</t>
        </r>
      </text>
    </comment>
  </commentList>
</comments>
</file>

<file path=xl/comments4.xml><?xml version="1.0" encoding="utf-8"?>
<comments xmlns="http://schemas.openxmlformats.org/spreadsheetml/2006/main">
  <authors>
    <author>Aswath</author>
  </authors>
  <commentList>
    <comment ref="M129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- 500</t>
        </r>
      </text>
    </comment>
  </commentList>
</comments>
</file>

<file path=xl/comments5.xml><?xml version="1.0" encoding="utf-8"?>
<comments xmlns="http://schemas.openxmlformats.org/spreadsheetml/2006/main">
  <authors>
    <author>Aswath</author>
  </authors>
  <commentList>
    <comment ref="M129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- 500</t>
        </r>
      </text>
    </comment>
  </commentList>
</comments>
</file>

<file path=xl/comments6.xml><?xml version="1.0" encoding="utf-8"?>
<comments xmlns="http://schemas.openxmlformats.org/spreadsheetml/2006/main">
  <authors>
    <author>Aswath</author>
  </authors>
  <commentList>
    <comment ref="AE52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Aswath</author>
  </authors>
  <commentList>
    <comment ref="M129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- 500</t>
        </r>
      </text>
    </comment>
  </commentList>
</comments>
</file>

<file path=xl/comments8.xml><?xml version="1.0" encoding="utf-8"?>
<comments xmlns="http://schemas.openxmlformats.org/spreadsheetml/2006/main">
  <authors>
    <author>Aswath</author>
  </authors>
  <commentList>
    <comment ref="M129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- 500</t>
        </r>
      </text>
    </comment>
  </commentList>
</comments>
</file>

<file path=xl/comments9.xml><?xml version="1.0" encoding="utf-8"?>
<comments xmlns="http://schemas.openxmlformats.org/spreadsheetml/2006/main">
  <authors>
    <author>Aswath</author>
  </authors>
  <commentList>
    <comment ref="M129" authorId="0">
      <text>
        <r>
          <rPr>
            <b/>
            <sz val="9"/>
            <color indexed="81"/>
            <rFont val="Tahoma"/>
            <family val="2"/>
          </rPr>
          <t>Aswath:</t>
        </r>
        <r>
          <rPr>
            <sz val="9"/>
            <color indexed="81"/>
            <rFont val="Tahoma"/>
            <family val="2"/>
          </rPr>
          <t xml:space="preserve">
diff - 500</t>
        </r>
      </text>
    </comment>
  </commentList>
</comments>
</file>

<file path=xl/sharedStrings.xml><?xml version="1.0" encoding="utf-8"?>
<sst xmlns="http://schemas.openxmlformats.org/spreadsheetml/2006/main" count="3347" uniqueCount="375">
  <si>
    <t>Consultation charges</t>
  </si>
  <si>
    <t>Other expenses</t>
  </si>
  <si>
    <t>Rent</t>
  </si>
  <si>
    <t>Electricity</t>
  </si>
  <si>
    <t>Water</t>
  </si>
  <si>
    <t>Telephone</t>
  </si>
  <si>
    <t>Travel</t>
  </si>
  <si>
    <t>Lodging</t>
  </si>
  <si>
    <t>Ticket</t>
  </si>
  <si>
    <t>postage and couirer</t>
  </si>
  <si>
    <t>Service charges</t>
  </si>
  <si>
    <t>Cleaning expenese</t>
  </si>
  <si>
    <t>Security Charges</t>
  </si>
  <si>
    <t>Stationery and supplies</t>
  </si>
  <si>
    <t>Insurance</t>
  </si>
  <si>
    <t>Staff Accomodation Charges</t>
  </si>
  <si>
    <t>Chilled water charges</t>
  </si>
  <si>
    <t>Printing</t>
  </si>
  <si>
    <t>Back Office Expenses</t>
  </si>
  <si>
    <t>Pantry Expenses</t>
  </si>
  <si>
    <t>Warehouse Rent</t>
  </si>
  <si>
    <t>Recuritment Expenses</t>
  </si>
  <si>
    <t>Legal Charges</t>
  </si>
  <si>
    <t>Administrative Expenses, Total</t>
  </si>
  <si>
    <t>Basic.</t>
  </si>
  <si>
    <t>HRA</t>
  </si>
  <si>
    <t>TRA</t>
  </si>
  <si>
    <t>Mobile</t>
  </si>
  <si>
    <t>School fees</t>
  </si>
  <si>
    <t>Leave Salary</t>
  </si>
  <si>
    <t>Indemnity</t>
  </si>
  <si>
    <t>Air ticket</t>
  </si>
  <si>
    <t>Staff Uniform</t>
  </si>
  <si>
    <t>Over time</t>
  </si>
  <si>
    <t>Bonus</t>
  </si>
  <si>
    <t>Social Security 11%</t>
  </si>
  <si>
    <t>Incentive</t>
  </si>
  <si>
    <t>Advertisement</t>
  </si>
  <si>
    <t>Sales Promotion</t>
  </si>
  <si>
    <t>Shopping Bags</t>
  </si>
  <si>
    <t>Barcode Labels</t>
  </si>
  <si>
    <t>Credit Card Charges</t>
  </si>
  <si>
    <t>Round off</t>
  </si>
  <si>
    <t>Bank related Charges</t>
  </si>
  <si>
    <t>Transfer Charges</t>
  </si>
  <si>
    <t>Royalty</t>
  </si>
  <si>
    <t>sales discount</t>
  </si>
  <si>
    <t>DISCOUNT RECIVED</t>
  </si>
  <si>
    <t>OTHER INCOME</t>
  </si>
  <si>
    <t>COGS</t>
  </si>
  <si>
    <t>Purchase Price Variance</t>
  </si>
  <si>
    <t>Purchase Direct Cost</t>
  </si>
  <si>
    <t>Purchase Landed Cost</t>
  </si>
  <si>
    <t>Disney Royalties</t>
  </si>
  <si>
    <t>Handling Charges</t>
  </si>
  <si>
    <t>Packing Charges</t>
  </si>
  <si>
    <t>Customs &amp; freight charg Others</t>
  </si>
  <si>
    <t>War risk</t>
  </si>
  <si>
    <t>Custom Duty 30%</t>
  </si>
  <si>
    <t>Clearing Charges</t>
  </si>
  <si>
    <t>Truck Charges</t>
  </si>
  <si>
    <t>Labor Charges</t>
  </si>
  <si>
    <t>Direct Cost Applied Account</t>
  </si>
  <si>
    <t>Sales round off</t>
  </si>
  <si>
    <t>JAN</t>
  </si>
  <si>
    <t>FEB</t>
  </si>
  <si>
    <t>Direct Income Total</t>
  </si>
  <si>
    <t>Voucher sales</t>
  </si>
  <si>
    <t xml:space="preserve">Gross Profit </t>
  </si>
  <si>
    <t>PARTICULARS</t>
  </si>
  <si>
    <t>Total income</t>
  </si>
  <si>
    <t>Sales</t>
  </si>
  <si>
    <t>Cash Excess/Shortage</t>
  </si>
  <si>
    <t>Card Excess/Shortage</t>
  </si>
  <si>
    <t>sales return ( 1 %)</t>
  </si>
  <si>
    <t>Realised exchange gain/loss</t>
  </si>
  <si>
    <t>Audit Fees</t>
  </si>
  <si>
    <t>Inventory Adjustment A/c</t>
  </si>
  <si>
    <t>Hardware/Software Maintenance</t>
  </si>
  <si>
    <t>Visa and Medical Charges</t>
  </si>
  <si>
    <t>(%)</t>
  </si>
  <si>
    <t>MAR</t>
  </si>
  <si>
    <t>APR</t>
  </si>
  <si>
    <t>MAY</t>
  </si>
  <si>
    <t>JUN</t>
  </si>
  <si>
    <t>JUL</t>
  </si>
  <si>
    <t>AUG</t>
  </si>
  <si>
    <t>SEP</t>
  </si>
  <si>
    <t>Office &amp; store maintenance</t>
  </si>
  <si>
    <t xml:space="preserve">Interest on bank balance </t>
  </si>
  <si>
    <t>voucher redemption</t>
  </si>
  <si>
    <t>Staff Benefits</t>
  </si>
  <si>
    <t>Cash collection service charges</t>
  </si>
  <si>
    <t>Interest on loan</t>
  </si>
  <si>
    <t>Other Income+Total</t>
  </si>
  <si>
    <t>COGS+Total</t>
  </si>
  <si>
    <t>Warehouse+Charges</t>
  </si>
  <si>
    <t>Other Direct Expenses +total</t>
  </si>
  <si>
    <t>Direct Expense+total</t>
  </si>
  <si>
    <t>Franchise Expense+Total</t>
  </si>
  <si>
    <t>Salaries &amp; Allowances + Total</t>
  </si>
  <si>
    <t>Selling &amp; Distribution + Total</t>
  </si>
  <si>
    <t>Finance Expenses + Total</t>
  </si>
  <si>
    <t>QAR</t>
  </si>
  <si>
    <t>Vehicle mainteanace</t>
  </si>
  <si>
    <t>Loan management fess</t>
  </si>
  <si>
    <t>Other Income-Total</t>
  </si>
  <si>
    <t>COGS-Total</t>
  </si>
  <si>
    <t>Warehouse-Charges</t>
  </si>
  <si>
    <t>Other Direct Expenses -total</t>
  </si>
  <si>
    <t>Direct Expense-total</t>
  </si>
  <si>
    <t>Franchise Expense-Total</t>
  </si>
  <si>
    <t>Salaries &amp; Allowances - Total</t>
  </si>
  <si>
    <t>Selling &amp; Distribution - Total</t>
  </si>
  <si>
    <t>Finance Expenses - Total</t>
  </si>
  <si>
    <t>AED</t>
  </si>
  <si>
    <t>Vehicle maintenance</t>
  </si>
  <si>
    <t>Loan management fees</t>
  </si>
  <si>
    <t>Sales return ( 1 %)</t>
  </si>
  <si>
    <t>LC comm</t>
  </si>
  <si>
    <t>TOTAL</t>
  </si>
  <si>
    <t>AVERAGE</t>
  </si>
  <si>
    <t>ARABIAN</t>
  </si>
  <si>
    <t>OCT</t>
  </si>
  <si>
    <t>NOV</t>
  </si>
  <si>
    <t>DEC</t>
  </si>
  <si>
    <t>Staff Benefits - Medical insurance</t>
  </si>
  <si>
    <t>CASH</t>
  </si>
  <si>
    <t>CAPITAL</t>
  </si>
  <si>
    <t>LOAN INST.</t>
  </si>
  <si>
    <t>HO COST</t>
  </si>
  <si>
    <t>interest</t>
  </si>
  <si>
    <t>Sales Promotion - Gift Vouchers</t>
  </si>
  <si>
    <t>EBDIT</t>
  </si>
  <si>
    <t>EBITD</t>
  </si>
  <si>
    <t>TOTAL INDIRECT EXPENSES</t>
  </si>
  <si>
    <t>Depreciation - Furniture &amp; Fix</t>
  </si>
  <si>
    <t>Depreciation -Hardware &amp; Softw</t>
  </si>
  <si>
    <t>Depreciation -trolleys and car</t>
  </si>
  <si>
    <t>Stores Accessory Depreciation</t>
  </si>
  <si>
    <t>NET PROFIT BEFORE DEP &amp; TAX</t>
  </si>
  <si>
    <t>TOTAL DEPRECIATION</t>
  </si>
  <si>
    <t>NET PROFIT BEFORE TAX</t>
  </si>
  <si>
    <t>TOTAL EXPENSES</t>
  </si>
  <si>
    <t>NET PROFIT BEFORE TAXATION</t>
  </si>
  <si>
    <t>Head Office Apportionment</t>
  </si>
  <si>
    <t>CODE</t>
  </si>
  <si>
    <t>YTD AFTER TAXATION (NET PROFIT)</t>
  </si>
  <si>
    <t>Preleminary Expenses</t>
  </si>
  <si>
    <t>Interst on Loan</t>
  </si>
  <si>
    <t>Lc comm &amp; Commitment Charges</t>
  </si>
  <si>
    <t>Mailer printing &amp; distribution</t>
  </si>
  <si>
    <t>SMS charges</t>
  </si>
  <si>
    <t>Sales permission</t>
  </si>
  <si>
    <t>POS Theatre Supply &amp; Printing</t>
  </si>
  <si>
    <t>News Paper &amp; Magazine Advt.</t>
  </si>
  <si>
    <t>Social Marketing</t>
  </si>
  <si>
    <t>Actual</t>
  </si>
  <si>
    <t>Yearly</t>
  </si>
  <si>
    <t>Monthly</t>
  </si>
  <si>
    <t>Loan Balance as on 31/12/2011</t>
  </si>
  <si>
    <t>Average taken as monthly</t>
  </si>
  <si>
    <t>Existing Stores</t>
  </si>
  <si>
    <t>New Stores</t>
  </si>
  <si>
    <t>Months</t>
  </si>
  <si>
    <t>Fujarah</t>
  </si>
  <si>
    <t>Mirdif</t>
  </si>
  <si>
    <t>Jan.12</t>
  </si>
  <si>
    <t>Muscat</t>
  </si>
  <si>
    <t>Al Guraih</t>
  </si>
  <si>
    <t>Total months</t>
  </si>
  <si>
    <t>HO Cost for 2012</t>
  </si>
  <si>
    <t>Store Operating months</t>
  </si>
  <si>
    <t>Monthly Distirbution</t>
  </si>
  <si>
    <t>per month</t>
  </si>
  <si>
    <t>Jan to March</t>
  </si>
  <si>
    <t>April to June</t>
  </si>
  <si>
    <t>July to December</t>
  </si>
  <si>
    <t>Stores</t>
  </si>
  <si>
    <t>3 month</t>
  </si>
  <si>
    <t>6 month</t>
  </si>
  <si>
    <t>Remarks</t>
  </si>
  <si>
    <t>9.00 % as given by hasit.</t>
  </si>
  <si>
    <t>Base</t>
  </si>
  <si>
    <t>Oct.2010</t>
  </si>
  <si>
    <t>Avg Upto Oct 2010</t>
  </si>
  <si>
    <t>Avg.Upto Dec 2010</t>
  </si>
  <si>
    <t>Estimated at 1000 AED as loss.</t>
  </si>
  <si>
    <t>As per Agreement</t>
  </si>
  <si>
    <t>Estimated at 750 AED as per policy.</t>
  </si>
  <si>
    <t>Zero</t>
  </si>
  <si>
    <t>Avg % on sales</t>
  </si>
  <si>
    <t>Included in Row no.110</t>
  </si>
  <si>
    <t>Same as Last Year</t>
  </si>
  <si>
    <t>Upto August</t>
  </si>
  <si>
    <t>as per last year as instructed by hasit.</t>
  </si>
  <si>
    <t>As given by hasit.</t>
  </si>
  <si>
    <t>As per agreement</t>
  </si>
  <si>
    <t>Avg Upto Dec 2010</t>
  </si>
  <si>
    <t>Warehouse &amp; Signage Rent</t>
  </si>
  <si>
    <t>5 times bonus estimated</t>
  </si>
  <si>
    <t>0.75 % on sales</t>
  </si>
  <si>
    <t>Estimated at 450 AED considering dalma average</t>
  </si>
  <si>
    <t>Dec.2010</t>
  </si>
  <si>
    <t>as per agreement</t>
  </si>
  <si>
    <t>DEPRECIATION &amp; PROVISOINS</t>
  </si>
  <si>
    <t>NET PROFIT AFTER TAXATION.</t>
  </si>
  <si>
    <t>NET PROFIT AFTER MANGT. FEE/TAXATION</t>
  </si>
  <si>
    <t>April</t>
  </si>
  <si>
    <t>Sept</t>
  </si>
  <si>
    <t>March</t>
  </si>
  <si>
    <t>april</t>
  </si>
  <si>
    <t>may</t>
  </si>
  <si>
    <t>sept</t>
  </si>
  <si>
    <t>Net Profit YTD</t>
  </si>
  <si>
    <t>Total</t>
  </si>
  <si>
    <t>DC</t>
  </si>
  <si>
    <t>Employees Insurance</t>
  </si>
  <si>
    <t>Staff Visa &amp; Medical charges</t>
  </si>
  <si>
    <t>Staff Accomodation</t>
  </si>
  <si>
    <t>Voucher Sales - Promotion</t>
  </si>
  <si>
    <t>Matalan G.Voucher Redemption</t>
  </si>
  <si>
    <t>Last year</t>
  </si>
  <si>
    <t>Done</t>
  </si>
  <si>
    <t>Average</t>
  </si>
  <si>
    <t>Status</t>
  </si>
  <si>
    <t>Last  year</t>
  </si>
  <si>
    <t>Add 5% on last year estimation</t>
  </si>
  <si>
    <t>Agreement</t>
  </si>
  <si>
    <t xml:space="preserve">Depreciation-Trafic counters </t>
  </si>
  <si>
    <t>standard</t>
  </si>
  <si>
    <t>Standard</t>
  </si>
  <si>
    <t>Management Fee</t>
  </si>
  <si>
    <t>Withholding tax</t>
  </si>
  <si>
    <t xml:space="preserve"> </t>
  </si>
  <si>
    <t>June</t>
  </si>
  <si>
    <t>July</t>
  </si>
  <si>
    <t>ADD: MANAGEMENT FEES</t>
  </si>
  <si>
    <t>ADD : DEPRECIATION</t>
  </si>
  <si>
    <t>OPERATING CASH PROFIT:</t>
  </si>
  <si>
    <t>YTD</t>
  </si>
  <si>
    <t>ADD : HEAD OFFICE APPORTINMENT</t>
  </si>
  <si>
    <t>Last year %</t>
  </si>
  <si>
    <t>last year 155 average</t>
  </si>
  <si>
    <t>last year avg. 4,400</t>
  </si>
  <si>
    <t>10% on N/P</t>
  </si>
  <si>
    <t>% as per last year</t>
  </si>
  <si>
    <t>250 Average</t>
  </si>
  <si>
    <t>Last year 139</t>
  </si>
  <si>
    <t>Avg. 250</t>
  </si>
  <si>
    <t>Actual 2500</t>
  </si>
  <si>
    <t>Last year 345</t>
  </si>
  <si>
    <t>avg. 350</t>
  </si>
  <si>
    <t>DCS+LS - AED 791.37</t>
  </si>
  <si>
    <t>Added 300</t>
  </si>
  <si>
    <t>Avg 3073</t>
  </si>
  <si>
    <t>Avg. 3100</t>
  </si>
  <si>
    <t>Avg. 200</t>
  </si>
  <si>
    <t>Al Foah</t>
  </si>
  <si>
    <t>Rak</t>
  </si>
  <si>
    <t>Storewise Net Profit</t>
  </si>
  <si>
    <t>Actual 1600</t>
  </si>
  <si>
    <t>Estimated</t>
  </si>
  <si>
    <t>Avg. upto Oct. 2013 - 18K</t>
  </si>
  <si>
    <t>Est. 250</t>
  </si>
  <si>
    <t>8% on Rent + Other</t>
  </si>
  <si>
    <t>last year 900</t>
  </si>
  <si>
    <t>Sq.Ft.</t>
  </si>
  <si>
    <t>External Billboards</t>
  </si>
  <si>
    <t>MI 600/P &amp; 0.17% WC</t>
  </si>
  <si>
    <t>Management Fees</t>
  </si>
  <si>
    <t>2014-Average</t>
  </si>
  <si>
    <t xml:space="preserve">2014 -Actual </t>
  </si>
  <si>
    <t xml:space="preserve">offer/season time vary </t>
  </si>
  <si>
    <t>Estimation</t>
  </si>
  <si>
    <t xml:space="preserve">DCS  Maintene,L.S RetailAnnual </t>
  </si>
  <si>
    <t>Actual &amp; Estimation</t>
  </si>
  <si>
    <t>Year 05/06</t>
  </si>
  <si>
    <t>+300.00</t>
  </si>
  <si>
    <t>2014-Average+2500</t>
  </si>
  <si>
    <t>31000 per month -UAE</t>
  </si>
  <si>
    <t>2014-Avrg+400</t>
  </si>
  <si>
    <t>ACM-814+ others</t>
  </si>
  <si>
    <t>2014-Average+50</t>
  </si>
  <si>
    <t>2014-Avrg+50</t>
  </si>
  <si>
    <t>Actual &amp; estimation with 100</t>
  </si>
  <si>
    <t>Actual &amp; estimation with 125</t>
  </si>
  <si>
    <t>Mall TPGL &amp; Gargash</t>
  </si>
  <si>
    <t>As agreed with G4S+100</t>
  </si>
  <si>
    <t>0.93% on Sales</t>
  </si>
  <si>
    <t xml:space="preserve">0.93 % on Sales </t>
  </si>
  <si>
    <t>2014-Avrg</t>
  </si>
  <si>
    <t>2014-Avrg +2000</t>
  </si>
  <si>
    <t>TL, Pobox, chamber of commerce,other</t>
  </si>
  <si>
    <t>TL, Pobox, PRO card, other</t>
  </si>
  <si>
    <t>2014-Autual +500</t>
  </si>
  <si>
    <t>DCS maint,LS Retails,Sonicwall,other</t>
  </si>
  <si>
    <t>+500.00</t>
  </si>
  <si>
    <t>up to June2015</t>
  </si>
  <si>
    <t>Year 04/05</t>
  </si>
  <si>
    <t xml:space="preserve">As per agreement </t>
  </si>
  <si>
    <t>Year 03/05</t>
  </si>
  <si>
    <t>Year 02/03</t>
  </si>
  <si>
    <t>MI 600/P &amp; 0.16% WC</t>
  </si>
  <si>
    <t>5% on Sales</t>
  </si>
  <si>
    <t>TPGL 12611 per annum + others</t>
  </si>
  <si>
    <t>Wafi</t>
  </si>
  <si>
    <t>MC - AED 371,879 + Fusion 160900 = 532779</t>
  </si>
  <si>
    <t>UAE UAE STORES:</t>
  </si>
  <si>
    <t xml:space="preserve">2015 -Actual </t>
  </si>
  <si>
    <t>2015-actual</t>
  </si>
  <si>
    <t xml:space="preserve">Expectation </t>
  </si>
  <si>
    <t>+500</t>
  </si>
  <si>
    <t>2015 Sep-2018 Aug</t>
  </si>
  <si>
    <t>Sonicwall Renewals</t>
  </si>
  <si>
    <t>DynDNS Renewals</t>
  </si>
  <si>
    <t>Printer Cartridge</t>
  </si>
  <si>
    <t>Nedap EAS Renewal</t>
  </si>
  <si>
    <t>Email &amp; Internet VPN-BTC</t>
  </si>
  <si>
    <t>Add 5%</t>
  </si>
  <si>
    <t>Avrg</t>
  </si>
  <si>
    <t>Avg</t>
  </si>
  <si>
    <t>Promo Shirts</t>
  </si>
  <si>
    <t>Promo POS Print</t>
  </si>
  <si>
    <t>POS Print_Window</t>
  </si>
  <si>
    <t>POS Print_Phases</t>
  </si>
  <si>
    <t>Magazine Advert</t>
  </si>
  <si>
    <t>Radio Advert</t>
  </si>
  <si>
    <t>TV Advert</t>
  </si>
  <si>
    <t>Sponsorship</t>
  </si>
  <si>
    <t>RMS Connect</t>
  </si>
  <si>
    <t>July 15 to June 16 7% rent on sales</t>
  </si>
  <si>
    <t>5% added</t>
  </si>
  <si>
    <t>Refreshment estimated</t>
  </si>
  <si>
    <t>Refreshment added</t>
  </si>
  <si>
    <t>NET PROFIT AFTER TAXATION</t>
  </si>
  <si>
    <t>YTD UAE STORES</t>
  </si>
  <si>
    <t>Unrealised exchange gain/loss</t>
  </si>
  <si>
    <t xml:space="preserve">2016 -Actual </t>
  </si>
  <si>
    <t xml:space="preserve">Agreement </t>
  </si>
  <si>
    <t>Actual + 10%</t>
  </si>
  <si>
    <t>Signage Rent</t>
  </si>
  <si>
    <t>Actual per month 11880.92 + other</t>
  </si>
  <si>
    <t>Actual + Add 10%</t>
  </si>
  <si>
    <t>Add 10%</t>
  </si>
  <si>
    <t>2016-actual</t>
  </si>
  <si>
    <t>TL 21320 + signboard muncipalicity fee</t>
  </si>
  <si>
    <t>Avg Upto Oct 2016</t>
  </si>
  <si>
    <t>Round up to 14,000</t>
  </si>
  <si>
    <t>Actual + other</t>
  </si>
  <si>
    <t>DALMA MALL</t>
  </si>
  <si>
    <t>LAMCY PLAZA</t>
  </si>
  <si>
    <t>MUSHRIF MALL</t>
  </si>
  <si>
    <t>CENTURY MALL</t>
  </si>
  <si>
    <t>MIRDIFF CENTRE</t>
  </si>
  <si>
    <t>SAHARA CENTRE</t>
  </si>
  <si>
    <t>AL GHURAIR</t>
  </si>
  <si>
    <t>KHALIDIYAH</t>
  </si>
  <si>
    <t>RAK MALL</t>
  </si>
  <si>
    <t>AL FOAH</t>
  </si>
  <si>
    <t>WAFI MALL</t>
  </si>
  <si>
    <t>MATALAN MIDDLE EAST - BUDGETED CASH PROFIT &amp; LOSS ACCOUNT FOR ARABIAN CENTRE MALL FOR 2017</t>
  </si>
  <si>
    <t>MATALAN MIDDLE EAST - BUDGETED CASH PROFIT &amp; LOSS ACCOUNT FOR DALMA MALL FOR 2017</t>
  </si>
  <si>
    <t>MATALAN MIDDLE EAST - BUDGETED CASH PROFIT &amp; LOSS ACCOUNT FOR LAMCY PLAZA MALL FOR 2017</t>
  </si>
  <si>
    <t>MATALAN MIDDLE EAST - BUDGETED CASH PROFIT &amp; LOSS ACCOUNT FOR MUSHRIF MALL FOR 2017</t>
  </si>
  <si>
    <t>MATALAN MIDDLE EAST - BUDGETED CASH PROFIT &amp; LOSS ACCOUNT FOR CENTURY MALL FOR 2017</t>
  </si>
  <si>
    <t>MATALAN MIDDLE EAST - BUDGETED CASH PROFIT &amp; LOSS ACCOUNT FOR MIRDIF CITY CENTRE FOR 2017</t>
  </si>
  <si>
    <t>MATALAN MIDDLE EAST - BUDGETED CASH PROFIT &amp; LOSS ACCOUNT FOR SAHARA CENTER FOR 2017</t>
  </si>
  <si>
    <t>MATALAN MIDDLE EAST - BUDGETED CASH PROFIT &amp; LOSS ACCOUNT FOR AL GHURAIR CENTER FOR 2017</t>
  </si>
  <si>
    <t>MATALAN MIDDLE EAST - BUDGETED CASH PROFIT &amp; LOSS ACCOUNT FOR khalidiya Mall MALL FOR 2017</t>
  </si>
  <si>
    <t>MATALAN MIDDLE EAST - BUDGETED CASH PROFIT &amp; LOSS ACCOUNT FOR RAK MALL FOR 2017</t>
  </si>
  <si>
    <t>MATALAN MIDDLE EAST - BUDGETED CASH PROFIT &amp; LOSS ACCOUNT FOR AL FOAHA FOR 2017</t>
  </si>
  <si>
    <t>MATALAN MIDDLE EAST - BUDGETED CASH PROFIT &amp; LOSS ACCOUNT FOR WAFI MALL FOR 2017</t>
  </si>
  <si>
    <t>MATALAN MIDDLE EAST - BUDGETED CASH PROFIT &amp; LOSS ACCOUNT FOR DISTRIBUTION CENTRE FOR 2017</t>
  </si>
  <si>
    <t>MATALAN- BTC FASHION GENERAL TRADING LLC, UAE - CONSOLIDATED BUDGETED  PROFIT &amp; LOSS FOR THE YEAR 2017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</si>
</sst>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&quot; &quot;* #,##0.00_);_(&quot; &quot;* \(#,##0.00\);_(&quot; &quot;* &quot;-&quot;??_);_(@_)"/>
    <numFmt numFmtId="165" formatCode="_(* #,##0_);_(* \(#,##0\);_(* &quot;-&quot;??_);_(@_)"/>
    <numFmt numFmtId="166" formatCode="0.000%"/>
    <numFmt numFmtId="167" formatCode="0.0000%"/>
    <numFmt numFmtId="168" formatCode="0.0%"/>
    <numFmt numFmtId="169" formatCode="_(* #,##0.000_);_(* \(#,##0.000\);_(* &quot;-&quot;??_);_(@_)"/>
    <numFmt numFmtId="170" formatCode="_(* #,##0.0_);_(* \(#,##0.0\);_(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0"/>
      <color rgb="FFFF0000"/>
      <name val="Verdana"/>
      <family val="2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rgb="FF0000FF"/>
      <name val="Calibri"/>
      <family val="2"/>
      <scheme val="minor"/>
    </font>
    <font>
      <sz val="10"/>
      <name val="Arial"/>
      <family val="2"/>
    </font>
    <font>
      <sz val="11"/>
      <color rgb="FF9900CC"/>
      <name val="Calibri"/>
      <family val="2"/>
      <scheme val="minor"/>
    </font>
    <font>
      <b/>
      <sz val="11"/>
      <color rgb="FF9900CC"/>
      <name val="Calibri"/>
      <family val="2"/>
      <scheme val="minor"/>
    </font>
    <font>
      <sz val="10"/>
      <name val="Arial"/>
      <family val="2"/>
    </font>
    <font>
      <b/>
      <u/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F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3" fillId="0" borderId="0"/>
    <xf numFmtId="0" fontId="34" fillId="0" borderId="0"/>
    <xf numFmtId="0" fontId="36" fillId="0" borderId="0"/>
    <xf numFmtId="0" fontId="39" fillId="0" borderId="0"/>
  </cellStyleXfs>
  <cellXfs count="1013">
    <xf numFmtId="0" fontId="0" fillId="0" borderId="0" xfId="0"/>
    <xf numFmtId="0" fontId="0" fillId="0" borderId="0" xfId="0"/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20" fillId="33" borderId="10" xfId="42" applyFont="1" applyFill="1" applyBorder="1" applyAlignment="1">
      <alignment horizontal="left"/>
    </xf>
    <xf numFmtId="0" fontId="0" fillId="0" borderId="0" xfId="0" applyFill="1"/>
    <xf numFmtId="0" fontId="14" fillId="0" borderId="0" xfId="0" applyFont="1" applyFill="1"/>
    <xf numFmtId="0" fontId="21" fillId="33" borderId="10" xfId="0" applyFont="1" applyFill="1" applyBorder="1"/>
    <xf numFmtId="0" fontId="20" fillId="33" borderId="10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0" xfId="42" applyFont="1" applyFill="1" applyBorder="1" applyAlignment="1">
      <alignment horizontal="left"/>
    </xf>
    <xf numFmtId="0" fontId="21" fillId="34" borderId="13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14" fillId="0" borderId="0" xfId="0" applyFont="1"/>
    <xf numFmtId="0" fontId="22" fillId="0" borderId="0" xfId="0" applyFont="1"/>
    <xf numFmtId="0" fontId="22" fillId="0" borderId="0" xfId="0" applyFont="1" applyFill="1"/>
    <xf numFmtId="0" fontId="0" fillId="0" borderId="14" xfId="0" applyFill="1" applyBorder="1"/>
    <xf numFmtId="165" fontId="0" fillId="0" borderId="14" xfId="43" applyNumberFormat="1" applyFont="1" applyFill="1" applyBorder="1"/>
    <xf numFmtId="165" fontId="0" fillId="0" borderId="14" xfId="43" applyNumberFormat="1" applyFont="1" applyBorder="1"/>
    <xf numFmtId="0" fontId="0" fillId="0" borderId="14" xfId="0" applyBorder="1"/>
    <xf numFmtId="0" fontId="19" fillId="0" borderId="0" xfId="42" applyFont="1" applyFill="1" applyBorder="1" applyAlignment="1">
      <alignment horizontal="left"/>
    </xf>
    <xf numFmtId="9" fontId="14" fillId="0" borderId="14" xfId="44" applyFont="1" applyFill="1" applyBorder="1"/>
    <xf numFmtId="9" fontId="0" fillId="33" borderId="16" xfId="44" applyFont="1" applyFill="1" applyBorder="1"/>
    <xf numFmtId="9" fontId="14" fillId="0" borderId="14" xfId="44" applyNumberFormat="1" applyFont="1" applyFill="1" applyBorder="1"/>
    <xf numFmtId="9" fontId="0" fillId="36" borderId="16" xfId="44" applyFont="1" applyFill="1" applyBorder="1"/>
    <xf numFmtId="43" fontId="0" fillId="0" borderId="0" xfId="43" applyFont="1" applyFill="1"/>
    <xf numFmtId="43" fontId="14" fillId="0" borderId="0" xfId="43" applyFont="1" applyFill="1"/>
    <xf numFmtId="43" fontId="0" fillId="33" borderId="10" xfId="43" applyFont="1" applyFill="1" applyBorder="1"/>
    <xf numFmtId="43" fontId="0" fillId="33" borderId="12" xfId="43" applyFont="1" applyFill="1" applyBorder="1"/>
    <xf numFmtId="43" fontId="0" fillId="36" borderId="10" xfId="43" applyFont="1" applyFill="1" applyBorder="1"/>
    <xf numFmtId="43" fontId="22" fillId="0" borderId="0" xfId="43" applyFont="1" applyFill="1"/>
    <xf numFmtId="43" fontId="0" fillId="0" borderId="0" xfId="43" applyFont="1" applyFill="1" applyBorder="1"/>
    <xf numFmtId="43" fontId="0" fillId="0" borderId="0" xfId="43" applyFont="1"/>
    <xf numFmtId="0" fontId="20" fillId="38" borderId="12" xfId="42" applyFont="1" applyFill="1" applyBorder="1" applyAlignment="1">
      <alignment horizontal="left"/>
    </xf>
    <xf numFmtId="0" fontId="21" fillId="37" borderId="12" xfId="0" applyFont="1" applyFill="1" applyBorder="1"/>
    <xf numFmtId="43" fontId="0" fillId="37" borderId="12" xfId="43" applyFont="1" applyFill="1" applyBorder="1"/>
    <xf numFmtId="0" fontId="21" fillId="36" borderId="10" xfId="0" applyFont="1" applyFill="1" applyBorder="1"/>
    <xf numFmtId="9" fontId="14" fillId="36" borderId="16" xfId="44" applyFont="1" applyFill="1" applyBorder="1"/>
    <xf numFmtId="9" fontId="14" fillId="33" borderId="16" xfId="44" applyFont="1" applyFill="1" applyBorder="1"/>
    <xf numFmtId="43" fontId="21" fillId="34" borderId="13" xfId="43" applyFont="1" applyFill="1" applyBorder="1" applyAlignment="1">
      <alignment horizontal="center"/>
    </xf>
    <xf numFmtId="0" fontId="14" fillId="34" borderId="13" xfId="0" applyFont="1" applyFill="1" applyBorder="1"/>
    <xf numFmtId="0" fontId="21" fillId="34" borderId="15" xfId="0" applyFont="1" applyFill="1" applyBorder="1" applyAlignment="1">
      <alignment horizontal="center"/>
    </xf>
    <xf numFmtId="0" fontId="17" fillId="35" borderId="0" xfId="0" applyFont="1" applyFill="1"/>
    <xf numFmtId="0" fontId="17" fillId="0" borderId="0" xfId="0" applyFont="1"/>
    <xf numFmtId="43" fontId="0" fillId="33" borderId="21" xfId="43" applyFont="1" applyFill="1" applyBorder="1"/>
    <xf numFmtId="43" fontId="0" fillId="36" borderId="21" xfId="43" applyFont="1" applyFill="1" applyBorder="1"/>
    <xf numFmtId="43" fontId="0" fillId="33" borderId="22" xfId="43" applyFont="1" applyFill="1" applyBorder="1"/>
    <xf numFmtId="43" fontId="0" fillId="0" borderId="19" xfId="43" applyFont="1" applyBorder="1"/>
    <xf numFmtId="0" fontId="0" fillId="0" borderId="11" xfId="0" applyBorder="1"/>
    <xf numFmtId="165" fontId="22" fillId="0" borderId="0" xfId="43" applyNumberFormat="1" applyFont="1" applyFill="1"/>
    <xf numFmtId="165" fontId="0" fillId="0" borderId="0" xfId="43" applyNumberFormat="1" applyFont="1" applyFill="1"/>
    <xf numFmtId="165" fontId="0" fillId="33" borderId="10" xfId="43" applyNumberFormat="1" applyFont="1" applyFill="1" applyBorder="1"/>
    <xf numFmtId="0" fontId="21" fillId="39" borderId="10" xfId="0" applyFont="1" applyFill="1" applyBorder="1"/>
    <xf numFmtId="165" fontId="0" fillId="39" borderId="10" xfId="43" applyNumberFormat="1" applyFont="1" applyFill="1" applyBorder="1"/>
    <xf numFmtId="0" fontId="21" fillId="36" borderId="26" xfId="0" applyFont="1" applyFill="1" applyBorder="1"/>
    <xf numFmtId="165" fontId="0" fillId="36" borderId="26" xfId="43" applyNumberFormat="1" applyFont="1" applyFill="1" applyBorder="1"/>
    <xf numFmtId="9" fontId="0" fillId="36" borderId="27" xfId="44" applyFont="1" applyFill="1" applyBorder="1"/>
    <xf numFmtId="165" fontId="0" fillId="33" borderId="12" xfId="43" applyNumberFormat="1" applyFont="1" applyFill="1" applyBorder="1"/>
    <xf numFmtId="165" fontId="0" fillId="36" borderId="10" xfId="43" applyNumberFormat="1" applyFont="1" applyFill="1" applyBorder="1"/>
    <xf numFmtId="165" fontId="0" fillId="0" borderId="0" xfId="43" applyNumberFormat="1" applyFont="1" applyFill="1" applyBorder="1"/>
    <xf numFmtId="43" fontId="0" fillId="0" borderId="0" xfId="43" applyNumberFormat="1" applyFont="1" applyFill="1"/>
    <xf numFmtId="165" fontId="0" fillId="0" borderId="0" xfId="43" applyNumberFormat="1" applyFont="1"/>
    <xf numFmtId="0" fontId="20" fillId="33" borderId="12" xfId="42" applyFont="1" applyFill="1" applyBorder="1" applyAlignment="1">
      <alignment horizontal="left"/>
    </xf>
    <xf numFmtId="43" fontId="22" fillId="36" borderId="10" xfId="43" applyFont="1" applyFill="1" applyBorder="1"/>
    <xf numFmtId="0" fontId="0" fillId="34" borderId="13" xfId="0" applyFill="1" applyBorder="1"/>
    <xf numFmtId="0" fontId="25" fillId="34" borderId="13" xfId="0" applyFont="1" applyFill="1" applyBorder="1" applyAlignment="1">
      <alignment horizontal="center"/>
    </xf>
    <xf numFmtId="0" fontId="25" fillId="34" borderId="15" xfId="0" applyFont="1" applyFill="1" applyBorder="1" applyAlignment="1">
      <alignment horizontal="center"/>
    </xf>
    <xf numFmtId="10" fontId="14" fillId="0" borderId="14" xfId="44" applyNumberFormat="1" applyFont="1" applyFill="1" applyBorder="1"/>
    <xf numFmtId="165" fontId="22" fillId="36" borderId="10" xfId="43" applyNumberFormat="1" applyFont="1" applyFill="1" applyBorder="1"/>
    <xf numFmtId="43" fontId="25" fillId="34" borderId="13" xfId="43" applyFont="1" applyFill="1" applyBorder="1" applyAlignment="1">
      <alignment horizontal="center"/>
    </xf>
    <xf numFmtId="43" fontId="0" fillId="42" borderId="10" xfId="43" applyFont="1" applyFill="1" applyBorder="1"/>
    <xf numFmtId="0" fontId="20" fillId="41" borderId="10" xfId="42" applyFont="1" applyFill="1" applyBorder="1" applyAlignment="1">
      <alignment horizontal="left"/>
    </xf>
    <xf numFmtId="43" fontId="25" fillId="34" borderId="13" xfId="0" applyNumberFormat="1" applyFont="1" applyFill="1" applyBorder="1" applyAlignment="1">
      <alignment horizontal="center"/>
    </xf>
    <xf numFmtId="43" fontId="0" fillId="0" borderId="0" xfId="0" applyNumberFormat="1" applyFill="1"/>
    <xf numFmtId="43" fontId="22" fillId="0" borderId="0" xfId="43" applyNumberFormat="1" applyFont="1" applyFill="1"/>
    <xf numFmtId="43" fontId="0" fillId="33" borderId="10" xfId="43" applyNumberFormat="1" applyFont="1" applyFill="1" applyBorder="1"/>
    <xf numFmtId="43" fontId="0" fillId="39" borderId="10" xfId="43" applyNumberFormat="1" applyFont="1" applyFill="1" applyBorder="1"/>
    <xf numFmtId="43" fontId="0" fillId="36" borderId="26" xfId="43" applyNumberFormat="1" applyFont="1" applyFill="1" applyBorder="1"/>
    <xf numFmtId="43" fontId="0" fillId="33" borderId="12" xfId="43" applyNumberFormat="1" applyFont="1" applyFill="1" applyBorder="1"/>
    <xf numFmtId="43" fontId="0" fillId="36" borderId="10" xfId="43" applyNumberFormat="1" applyFont="1" applyFill="1" applyBorder="1"/>
    <xf numFmtId="43" fontId="14" fillId="0" borderId="0" xfId="43" applyNumberFormat="1" applyFont="1" applyFill="1"/>
    <xf numFmtId="43" fontId="0" fillId="0" borderId="0" xfId="43" applyNumberFormat="1" applyFont="1" applyFill="1" applyBorder="1"/>
    <xf numFmtId="43" fontId="0" fillId="0" borderId="0" xfId="43" applyNumberFormat="1" applyFont="1"/>
    <xf numFmtId="43" fontId="0" fillId="0" borderId="0" xfId="0" applyNumberFormat="1"/>
    <xf numFmtId="43" fontId="16" fillId="0" borderId="0" xfId="0" applyNumberFormat="1" applyFont="1"/>
    <xf numFmtId="165" fontId="16" fillId="0" borderId="0" xfId="0" applyNumberFormat="1" applyFont="1"/>
    <xf numFmtId="10" fontId="0" fillId="33" borderId="17" xfId="44" applyNumberFormat="1" applyFont="1" applyFill="1" applyBorder="1"/>
    <xf numFmtId="10" fontId="0" fillId="36" borderId="16" xfId="44" applyNumberFormat="1" applyFont="1" applyFill="1" applyBorder="1"/>
    <xf numFmtId="10" fontId="0" fillId="33" borderId="16" xfId="44" applyNumberFormat="1" applyFont="1" applyFill="1" applyBorder="1"/>
    <xf numFmtId="10" fontId="21" fillId="34" borderId="15" xfId="0" applyNumberFormat="1" applyFont="1" applyFill="1" applyBorder="1" applyAlignment="1">
      <alignment horizontal="center"/>
    </xf>
    <xf numFmtId="10" fontId="0" fillId="0" borderId="14" xfId="0" applyNumberFormat="1" applyFill="1" applyBorder="1"/>
    <xf numFmtId="10" fontId="0" fillId="33" borderId="16" xfId="43" applyNumberFormat="1" applyFont="1" applyFill="1" applyBorder="1"/>
    <xf numFmtId="10" fontId="0" fillId="0" borderId="14" xfId="0" applyNumberFormat="1" applyBorder="1"/>
    <xf numFmtId="10" fontId="14" fillId="37" borderId="17" xfId="44" applyNumberFormat="1" applyFont="1" applyFill="1" applyBorder="1"/>
    <xf numFmtId="10" fontId="14" fillId="36" borderId="16" xfId="44" applyNumberFormat="1" applyFont="1" applyFill="1" applyBorder="1"/>
    <xf numFmtId="10" fontId="14" fillId="33" borderId="16" xfId="44" applyNumberFormat="1" applyFont="1" applyFill="1" applyBorder="1"/>
    <xf numFmtId="10" fontId="14" fillId="33" borderId="17" xfId="44" applyNumberFormat="1" applyFont="1" applyFill="1" applyBorder="1"/>
    <xf numFmtId="10" fontId="14" fillId="38" borderId="17" xfId="44" applyNumberFormat="1" applyFont="1" applyFill="1" applyBorder="1"/>
    <xf numFmtId="10" fontId="25" fillId="34" borderId="15" xfId="0" applyNumberFormat="1" applyFont="1" applyFill="1" applyBorder="1" applyAlignment="1">
      <alignment horizontal="center"/>
    </xf>
    <xf numFmtId="10" fontId="22" fillId="36" borderId="16" xfId="44" applyNumberFormat="1" applyFont="1" applyFill="1" applyBorder="1"/>
    <xf numFmtId="10" fontId="25" fillId="34" borderId="15" xfId="44" applyNumberFormat="1" applyFont="1" applyFill="1" applyBorder="1" applyAlignment="1">
      <alignment horizontal="center"/>
    </xf>
    <xf numFmtId="10" fontId="0" fillId="0" borderId="14" xfId="44" applyNumberFormat="1" applyFont="1" applyFill="1" applyBorder="1"/>
    <xf numFmtId="10" fontId="0" fillId="39" borderId="16" xfId="44" applyNumberFormat="1" applyFont="1" applyFill="1" applyBorder="1"/>
    <xf numFmtId="10" fontId="0" fillId="0" borderId="14" xfId="44" applyNumberFormat="1" applyFont="1" applyBorder="1"/>
    <xf numFmtId="10" fontId="21" fillId="34" borderId="15" xfId="44" applyNumberFormat="1" applyFont="1" applyFill="1" applyBorder="1" applyAlignment="1">
      <alignment horizontal="center"/>
    </xf>
    <xf numFmtId="10" fontId="14" fillId="0" borderId="14" xfId="44" applyNumberFormat="1" applyFont="1" applyBorder="1"/>
    <xf numFmtId="10" fontId="14" fillId="41" borderId="16" xfId="44" applyNumberFormat="1" applyFont="1" applyFill="1" applyBorder="1"/>
    <xf numFmtId="10" fontId="17" fillId="35" borderId="0" xfId="44" applyNumberFormat="1" applyFont="1" applyFill="1"/>
    <xf numFmtId="0" fontId="0" fillId="0" borderId="29" xfId="0" applyBorder="1"/>
    <xf numFmtId="43" fontId="0" fillId="0" borderId="29" xfId="43" applyFont="1" applyBorder="1"/>
    <xf numFmtId="43" fontId="25" fillId="34" borderId="20" xfId="0" applyNumberFormat="1" applyFont="1" applyFill="1" applyBorder="1" applyAlignment="1">
      <alignment horizontal="center"/>
    </xf>
    <xf numFmtId="43" fontId="0" fillId="0" borderId="19" xfId="0" applyNumberFormat="1" applyFill="1" applyBorder="1"/>
    <xf numFmtId="43" fontId="22" fillId="0" borderId="19" xfId="43" applyNumberFormat="1" applyFont="1" applyFill="1" applyBorder="1"/>
    <xf numFmtId="43" fontId="0" fillId="0" borderId="19" xfId="43" applyNumberFormat="1" applyFont="1" applyFill="1" applyBorder="1"/>
    <xf numFmtId="43" fontId="14" fillId="0" borderId="19" xfId="43" applyNumberFormat="1" applyFont="1" applyFill="1" applyBorder="1"/>
    <xf numFmtId="43" fontId="0" fillId="33" borderId="21" xfId="43" applyNumberFormat="1" applyFont="1" applyFill="1" applyBorder="1"/>
    <xf numFmtId="43" fontId="0" fillId="39" borderId="21" xfId="43" applyNumberFormat="1" applyFont="1" applyFill="1" applyBorder="1"/>
    <xf numFmtId="43" fontId="0" fillId="36" borderId="30" xfId="43" applyNumberFormat="1" applyFont="1" applyFill="1" applyBorder="1"/>
    <xf numFmtId="43" fontId="0" fillId="33" borderId="22" xfId="43" applyNumberFormat="1" applyFont="1" applyFill="1" applyBorder="1"/>
    <xf numFmtId="43" fontId="0" fillId="36" borderId="21" xfId="43" applyNumberFormat="1" applyFont="1" applyFill="1" applyBorder="1"/>
    <xf numFmtId="43" fontId="0" fillId="0" borderId="19" xfId="43" applyNumberFormat="1" applyFont="1" applyBorder="1"/>
    <xf numFmtId="43" fontId="0" fillId="0" borderId="19" xfId="0" applyNumberFormat="1" applyBorder="1"/>
    <xf numFmtId="165" fontId="0" fillId="0" borderId="29" xfId="43" applyNumberFormat="1" applyFont="1" applyBorder="1"/>
    <xf numFmtId="0" fontId="21" fillId="43" borderId="13" xfId="0" applyFont="1" applyFill="1" applyBorder="1" applyAlignment="1">
      <alignment horizontal="center"/>
    </xf>
    <xf numFmtId="10" fontId="21" fillId="43" borderId="15" xfId="0" applyNumberFormat="1" applyFont="1" applyFill="1" applyBorder="1" applyAlignment="1">
      <alignment horizontal="center"/>
    </xf>
    <xf numFmtId="0" fontId="0" fillId="43" borderId="0" xfId="0" applyFill="1"/>
    <xf numFmtId="10" fontId="0" fillId="43" borderId="14" xfId="0" applyNumberFormat="1" applyFill="1" applyBorder="1"/>
    <xf numFmtId="165" fontId="22" fillId="43" borderId="0" xfId="43" applyNumberFormat="1" applyFont="1" applyFill="1"/>
    <xf numFmtId="165" fontId="0" fillId="43" borderId="0" xfId="43" applyNumberFormat="1" applyFont="1" applyFill="1"/>
    <xf numFmtId="10" fontId="0" fillId="43" borderId="14" xfId="43" applyNumberFormat="1" applyFont="1" applyFill="1" applyBorder="1"/>
    <xf numFmtId="10" fontId="14" fillId="43" borderId="14" xfId="44" applyNumberFormat="1" applyFont="1" applyFill="1" applyBorder="1"/>
    <xf numFmtId="165" fontId="0" fillId="43" borderId="10" xfId="43" applyNumberFormat="1" applyFont="1" applyFill="1" applyBorder="1"/>
    <xf numFmtId="10" fontId="0" fillId="43" borderId="16" xfId="44" applyNumberFormat="1" applyFont="1" applyFill="1" applyBorder="1"/>
    <xf numFmtId="10" fontId="0" fillId="43" borderId="16" xfId="43" applyNumberFormat="1" applyFont="1" applyFill="1" applyBorder="1"/>
    <xf numFmtId="165" fontId="0" fillId="43" borderId="26" xfId="43" applyNumberFormat="1" applyFont="1" applyFill="1" applyBorder="1"/>
    <xf numFmtId="10" fontId="0" fillId="43" borderId="27" xfId="44" applyNumberFormat="1" applyFont="1" applyFill="1" applyBorder="1"/>
    <xf numFmtId="165" fontId="0" fillId="43" borderId="12" xfId="43" applyNumberFormat="1" applyFont="1" applyFill="1" applyBorder="1"/>
    <xf numFmtId="10" fontId="0" fillId="43" borderId="17" xfId="44" applyNumberFormat="1" applyFont="1" applyFill="1" applyBorder="1"/>
    <xf numFmtId="165" fontId="0" fillId="43" borderId="0" xfId="43" applyNumberFormat="1" applyFont="1" applyFill="1" applyBorder="1"/>
    <xf numFmtId="0" fontId="21" fillId="44" borderId="13" xfId="0" applyFont="1" applyFill="1" applyBorder="1" applyAlignment="1">
      <alignment horizontal="center"/>
    </xf>
    <xf numFmtId="10" fontId="21" fillId="44" borderId="15" xfId="0" applyNumberFormat="1" applyFont="1" applyFill="1" applyBorder="1" applyAlignment="1">
      <alignment horizontal="center"/>
    </xf>
    <xf numFmtId="0" fontId="0" fillId="44" borderId="0" xfId="0" applyFill="1"/>
    <xf numFmtId="10" fontId="0" fillId="44" borderId="14" xfId="0" applyNumberFormat="1" applyFill="1" applyBorder="1"/>
    <xf numFmtId="165" fontId="22" fillId="44" borderId="0" xfId="43" applyNumberFormat="1" applyFont="1" applyFill="1"/>
    <xf numFmtId="165" fontId="0" fillId="44" borderId="0" xfId="43" applyNumberFormat="1" applyFont="1" applyFill="1"/>
    <xf numFmtId="10" fontId="0" fillId="44" borderId="14" xfId="43" applyNumberFormat="1" applyFont="1" applyFill="1" applyBorder="1"/>
    <xf numFmtId="10" fontId="14" fillId="44" borderId="14" xfId="44" applyNumberFormat="1" applyFont="1" applyFill="1" applyBorder="1"/>
    <xf numFmtId="165" fontId="0" fillId="44" borderId="10" xfId="43" applyNumberFormat="1" applyFont="1" applyFill="1" applyBorder="1"/>
    <xf numFmtId="10" fontId="0" fillId="44" borderId="16" xfId="44" applyNumberFormat="1" applyFont="1" applyFill="1" applyBorder="1"/>
    <xf numFmtId="165" fontId="0" fillId="44" borderId="26" xfId="43" applyNumberFormat="1" applyFont="1" applyFill="1" applyBorder="1"/>
    <xf numFmtId="10" fontId="0" fillId="44" borderId="27" xfId="44" applyNumberFormat="1" applyFont="1" applyFill="1" applyBorder="1"/>
    <xf numFmtId="165" fontId="0" fillId="44" borderId="12" xfId="43" applyNumberFormat="1" applyFont="1" applyFill="1" applyBorder="1"/>
    <xf numFmtId="10" fontId="0" fillId="44" borderId="17" xfId="44" applyNumberFormat="1" applyFont="1" applyFill="1" applyBorder="1"/>
    <xf numFmtId="165" fontId="0" fillId="44" borderId="0" xfId="43" applyNumberFormat="1" applyFont="1" applyFill="1" applyBorder="1"/>
    <xf numFmtId="9" fontId="0" fillId="44" borderId="27" xfId="44" applyFont="1" applyFill="1" applyBorder="1"/>
    <xf numFmtId="9" fontId="0" fillId="43" borderId="16" xfId="44" applyFont="1" applyFill="1" applyBorder="1"/>
    <xf numFmtId="9" fontId="0" fillId="43" borderId="27" xfId="44" applyFont="1" applyFill="1" applyBorder="1"/>
    <xf numFmtId="165" fontId="0" fillId="44" borderId="21" xfId="43" applyNumberFormat="1" applyFont="1" applyFill="1" applyBorder="1"/>
    <xf numFmtId="10" fontId="21" fillId="44" borderId="15" xfId="44" applyNumberFormat="1" applyFont="1" applyFill="1" applyBorder="1" applyAlignment="1">
      <alignment horizontal="center"/>
    </xf>
    <xf numFmtId="10" fontId="0" fillId="44" borderId="14" xfId="44" applyNumberFormat="1" applyFont="1" applyFill="1" applyBorder="1"/>
    <xf numFmtId="10" fontId="14" fillId="44" borderId="17" xfId="44" applyNumberFormat="1" applyFont="1" applyFill="1" applyBorder="1"/>
    <xf numFmtId="10" fontId="21" fillId="43" borderId="15" xfId="44" applyNumberFormat="1" applyFont="1" applyFill="1" applyBorder="1" applyAlignment="1">
      <alignment horizontal="center"/>
    </xf>
    <xf numFmtId="10" fontId="0" fillId="43" borderId="14" xfId="44" applyNumberFormat="1" applyFont="1" applyFill="1" applyBorder="1"/>
    <xf numFmtId="10" fontId="14" fillId="43" borderId="17" xfId="44" applyNumberFormat="1" applyFont="1" applyFill="1" applyBorder="1"/>
    <xf numFmtId="165" fontId="0" fillId="44" borderId="23" xfId="43" applyNumberFormat="1" applyFont="1" applyFill="1" applyBorder="1"/>
    <xf numFmtId="165" fontId="22" fillId="44" borderId="11" xfId="43" applyNumberFormat="1" applyFont="1" applyFill="1" applyBorder="1"/>
    <xf numFmtId="10" fontId="0" fillId="44" borderId="25" xfId="44" applyNumberFormat="1" applyFont="1" applyFill="1" applyBorder="1"/>
    <xf numFmtId="165" fontId="22" fillId="43" borderId="11" xfId="43" applyNumberFormat="1" applyFont="1" applyFill="1" applyBorder="1"/>
    <xf numFmtId="10" fontId="0" fillId="44" borderId="27" xfId="43" applyNumberFormat="1" applyFont="1" applyFill="1" applyBorder="1"/>
    <xf numFmtId="10" fontId="14" fillId="44" borderId="28" xfId="44" applyNumberFormat="1" applyFont="1" applyFill="1" applyBorder="1"/>
    <xf numFmtId="165" fontId="22" fillId="44" borderId="10" xfId="43" applyNumberFormat="1" applyFont="1" applyFill="1" applyBorder="1"/>
    <xf numFmtId="165" fontId="22" fillId="43" borderId="10" xfId="43" applyNumberFormat="1" applyFont="1" applyFill="1" applyBorder="1"/>
    <xf numFmtId="165" fontId="0" fillId="43" borderId="24" xfId="43" applyNumberFormat="1" applyFont="1" applyFill="1" applyBorder="1"/>
    <xf numFmtId="165" fontId="0" fillId="44" borderId="30" xfId="43" applyNumberFormat="1" applyFont="1" applyFill="1" applyBorder="1"/>
    <xf numFmtId="165" fontId="22" fillId="44" borderId="0" xfId="43" applyNumberFormat="1" applyFont="1" applyFill="1" applyBorder="1"/>
    <xf numFmtId="10" fontId="0" fillId="44" borderId="28" xfId="43" applyNumberFormat="1" applyFont="1" applyFill="1" applyBorder="1"/>
    <xf numFmtId="165" fontId="0" fillId="43" borderId="13" xfId="43" applyNumberFormat="1" applyFont="1" applyFill="1" applyBorder="1"/>
    <xf numFmtId="165" fontId="14" fillId="36" borderId="10" xfId="43" applyNumberFormat="1" applyFont="1" applyFill="1" applyBorder="1"/>
    <xf numFmtId="0" fontId="27" fillId="35" borderId="0" xfId="0" applyFont="1" applyFill="1"/>
    <xf numFmtId="0" fontId="27" fillId="35" borderId="0" xfId="0" applyFont="1" applyFill="1" applyAlignment="1">
      <alignment horizontal="center"/>
    </xf>
    <xf numFmtId="0" fontId="27" fillId="0" borderId="0" xfId="0" applyFont="1"/>
    <xf numFmtId="165" fontId="22" fillId="40" borderId="0" xfId="43" applyNumberFormat="1" applyFont="1" applyFill="1"/>
    <xf numFmtId="9" fontId="14" fillId="40" borderId="14" xfId="43" applyNumberFormat="1" applyFont="1" applyFill="1" applyBorder="1"/>
    <xf numFmtId="0" fontId="0" fillId="40" borderId="0" xfId="0" applyFill="1"/>
    <xf numFmtId="9" fontId="14" fillId="40" borderId="14" xfId="44" applyFont="1" applyFill="1" applyBorder="1"/>
    <xf numFmtId="165" fontId="0" fillId="43" borderId="21" xfId="43" applyNumberFormat="1" applyFont="1" applyFill="1" applyBorder="1"/>
    <xf numFmtId="0" fontId="19" fillId="0" borderId="0" xfId="0" applyFont="1" applyFill="1" applyAlignment="1">
      <alignment horizontal="left"/>
    </xf>
    <xf numFmtId="0" fontId="19" fillId="0" borderId="0" xfId="42" applyFont="1" applyFill="1" applyAlignment="1">
      <alignment horizontal="left"/>
    </xf>
    <xf numFmtId="0" fontId="0" fillId="35" borderId="0" xfId="0" applyFill="1" applyBorder="1" applyAlignment="1"/>
    <xf numFmtId="0" fontId="0" fillId="35" borderId="11" xfId="0" applyFill="1" applyBorder="1" applyAlignment="1"/>
    <xf numFmtId="0" fontId="16" fillId="0" borderId="0" xfId="0" applyFont="1"/>
    <xf numFmtId="43" fontId="16" fillId="0" borderId="0" xfId="43" applyFont="1"/>
    <xf numFmtId="9" fontId="0" fillId="0" borderId="0" xfId="0" applyNumberFormat="1"/>
    <xf numFmtId="10" fontId="0" fillId="0" borderId="0" xfId="0" applyNumberFormat="1"/>
    <xf numFmtId="165" fontId="0" fillId="36" borderId="21" xfId="43" applyNumberFormat="1" applyFont="1" applyFill="1" applyBorder="1"/>
    <xf numFmtId="165" fontId="0" fillId="33" borderId="21" xfId="43" applyNumberFormat="1" applyFont="1" applyFill="1" applyBorder="1"/>
    <xf numFmtId="165" fontId="22" fillId="33" borderId="10" xfId="43" applyNumberFormat="1" applyFont="1" applyFill="1" applyBorder="1"/>
    <xf numFmtId="0" fontId="21" fillId="33" borderId="12" xfId="0" applyFont="1" applyFill="1" applyBorder="1"/>
    <xf numFmtId="165" fontId="0" fillId="33" borderId="17" xfId="43" applyNumberFormat="1" applyFont="1" applyFill="1" applyBorder="1"/>
    <xf numFmtId="0" fontId="20" fillId="33" borderId="0" xfId="42" applyFont="1" applyFill="1" applyBorder="1" applyAlignment="1">
      <alignment horizontal="left"/>
    </xf>
    <xf numFmtId="165" fontId="0" fillId="33" borderId="0" xfId="43" applyNumberFormat="1" applyFont="1" applyFill="1" applyBorder="1"/>
    <xf numFmtId="9" fontId="0" fillId="33" borderId="14" xfId="44" applyFont="1" applyFill="1" applyBorder="1"/>
    <xf numFmtId="43" fontId="0" fillId="33" borderId="0" xfId="43" applyNumberFormat="1" applyFont="1" applyFill="1" applyBorder="1"/>
    <xf numFmtId="10" fontId="0" fillId="33" borderId="14" xfId="44" applyNumberFormat="1" applyFont="1" applyFill="1" applyBorder="1"/>
    <xf numFmtId="0" fontId="20" fillId="33" borderId="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10" fontId="0" fillId="33" borderId="28" xfId="44" applyNumberFormat="1" applyFont="1" applyFill="1" applyBorder="1"/>
    <xf numFmtId="43" fontId="0" fillId="33" borderId="11" xfId="43" applyNumberFormat="1" applyFont="1" applyFill="1" applyBorder="1"/>
    <xf numFmtId="165" fontId="0" fillId="44" borderId="18" xfId="43" applyNumberFormat="1" applyFont="1" applyFill="1" applyBorder="1"/>
    <xf numFmtId="165" fontId="0" fillId="43" borderId="11" xfId="43" applyNumberFormat="1" applyFont="1" applyFill="1" applyBorder="1"/>
    <xf numFmtId="0" fontId="19" fillId="0" borderId="11" xfId="0" applyFont="1" applyBorder="1" applyAlignment="1">
      <alignment horizontal="left"/>
    </xf>
    <xf numFmtId="9" fontId="14" fillId="0" borderId="28" xfId="44" applyNumberFormat="1" applyFont="1" applyFill="1" applyBorder="1"/>
    <xf numFmtId="0" fontId="0" fillId="0" borderId="0" xfId="0" applyFill="1" applyBorder="1"/>
    <xf numFmtId="0" fontId="0" fillId="0" borderId="0" xfId="0" applyBorder="1"/>
    <xf numFmtId="43" fontId="0" fillId="0" borderId="0" xfId="43" applyFont="1" applyBorder="1"/>
    <xf numFmtId="10" fontId="14" fillId="0" borderId="0" xfId="44" applyNumberFormat="1" applyFont="1" applyBorder="1"/>
    <xf numFmtId="10" fontId="0" fillId="0" borderId="0" xfId="44" applyNumberFormat="1" applyFont="1" applyBorder="1"/>
    <xf numFmtId="10" fontId="0" fillId="0" borderId="0" xfId="44" applyNumberFormat="1" applyFont="1" applyFill="1" applyBorder="1"/>
    <xf numFmtId="10" fontId="0" fillId="44" borderId="16" xfId="0" applyNumberFormat="1" applyFill="1" applyBorder="1"/>
    <xf numFmtId="0" fontId="0" fillId="43" borderId="10" xfId="0" applyFill="1" applyBorder="1"/>
    <xf numFmtId="10" fontId="0" fillId="43" borderId="16" xfId="0" applyNumberFormat="1" applyFill="1" applyBorder="1"/>
    <xf numFmtId="0" fontId="20" fillId="0" borderId="0" xfId="42" applyFont="1" applyFill="1" applyBorder="1" applyAlignment="1">
      <alignment horizontal="left"/>
    </xf>
    <xf numFmtId="0" fontId="0" fillId="36" borderId="10" xfId="0" applyFill="1" applyBorder="1"/>
    <xf numFmtId="0" fontId="0" fillId="35" borderId="10" xfId="0" applyFill="1" applyBorder="1"/>
    <xf numFmtId="0" fontId="0" fillId="38" borderId="10" xfId="0" applyFill="1" applyBorder="1"/>
    <xf numFmtId="10" fontId="14" fillId="0" borderId="0" xfId="44" applyNumberFormat="1" applyFont="1" applyFill="1" applyBorder="1"/>
    <xf numFmtId="0" fontId="19" fillId="0" borderId="14" xfId="42" applyFont="1" applyFill="1" applyBorder="1" applyAlignment="1">
      <alignment horizontal="left"/>
    </xf>
    <xf numFmtId="0" fontId="19" fillId="0" borderId="14" xfId="42" applyFont="1" applyBorder="1" applyAlignment="1">
      <alignment horizontal="left"/>
    </xf>
    <xf numFmtId="0" fontId="20" fillId="33" borderId="16" xfId="42" applyFont="1" applyFill="1" applyBorder="1" applyAlignment="1">
      <alignment horizontal="left"/>
    </xf>
    <xf numFmtId="0" fontId="20" fillId="0" borderId="14" xfId="42" applyFont="1" applyFill="1" applyBorder="1" applyAlignment="1">
      <alignment horizontal="left"/>
    </xf>
    <xf numFmtId="0" fontId="19" fillId="0" borderId="0" xfId="42" applyFont="1" applyBorder="1" applyAlignment="1">
      <alignment horizontal="left"/>
    </xf>
    <xf numFmtId="0" fontId="16" fillId="36" borderId="10" xfId="0" applyFont="1" applyFill="1" applyBorder="1"/>
    <xf numFmtId="9" fontId="0" fillId="0" borderId="14" xfId="44" applyFont="1" applyFill="1" applyBorder="1"/>
    <xf numFmtId="43" fontId="0" fillId="35" borderId="10" xfId="0" applyNumberFormat="1" applyFill="1" applyBorder="1"/>
    <xf numFmtId="43" fontId="0" fillId="35" borderId="21" xfId="0" applyNumberFormat="1" applyFill="1" applyBorder="1"/>
    <xf numFmtId="10" fontId="0" fillId="35" borderId="16" xfId="44" applyNumberFormat="1" applyFont="1" applyFill="1" applyBorder="1"/>
    <xf numFmtId="43" fontId="0" fillId="35" borderId="10" xfId="43" applyFont="1" applyFill="1" applyBorder="1"/>
    <xf numFmtId="0" fontId="19" fillId="0" borderId="14" xfId="0" applyFont="1" applyBorder="1" applyAlignment="1">
      <alignment horizontal="left"/>
    </xf>
    <xf numFmtId="0" fontId="20" fillId="33" borderId="17" xfId="0" applyFont="1" applyFill="1" applyBorder="1" applyAlignment="1">
      <alignment horizontal="center"/>
    </xf>
    <xf numFmtId="0" fontId="20" fillId="36" borderId="16" xfId="0" applyFont="1" applyFill="1" applyBorder="1" applyAlignment="1">
      <alignment horizontal="center"/>
    </xf>
    <xf numFmtId="0" fontId="22" fillId="0" borderId="14" xfId="0" applyFont="1" applyBorder="1"/>
    <xf numFmtId="0" fontId="21" fillId="33" borderId="16" xfId="0" applyFont="1" applyFill="1" applyBorder="1"/>
    <xf numFmtId="0" fontId="21" fillId="39" borderId="16" xfId="0" applyFont="1" applyFill="1" applyBorder="1"/>
    <xf numFmtId="0" fontId="21" fillId="36" borderId="27" xfId="0" applyFont="1" applyFill="1" applyBorder="1"/>
    <xf numFmtId="0" fontId="20" fillId="33" borderId="16" xfId="0" applyFont="1" applyFill="1" applyBorder="1" applyAlignment="1">
      <alignment horizontal="left"/>
    </xf>
    <xf numFmtId="10" fontId="14" fillId="35" borderId="16" xfId="44" applyNumberFormat="1" applyFont="1" applyFill="1" applyBorder="1"/>
    <xf numFmtId="0" fontId="21" fillId="33" borderId="17" xfId="0" applyFont="1" applyFill="1" applyBorder="1"/>
    <xf numFmtId="0" fontId="21" fillId="36" borderId="16" xfId="0" applyFont="1" applyFill="1" applyBorder="1"/>
    <xf numFmtId="0" fontId="19" fillId="0" borderId="28" xfId="0" applyFont="1" applyBorder="1" applyAlignment="1">
      <alignment horizontal="left"/>
    </xf>
    <xf numFmtId="0" fontId="20" fillId="33" borderId="28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  <xf numFmtId="165" fontId="0" fillId="38" borderId="10" xfId="0" applyNumberFormat="1" applyFill="1" applyBorder="1"/>
    <xf numFmtId="0" fontId="0" fillId="38" borderId="0" xfId="0" applyFill="1"/>
    <xf numFmtId="0" fontId="0" fillId="42" borderId="10" xfId="0" applyFill="1" applyBorder="1"/>
    <xf numFmtId="165" fontId="0" fillId="42" borderId="10" xfId="0" applyNumberFormat="1" applyFill="1" applyBorder="1"/>
    <xf numFmtId="165" fontId="0" fillId="38" borderId="10" xfId="43" applyNumberFormat="1" applyFont="1" applyFill="1" applyBorder="1"/>
    <xf numFmtId="165" fontId="0" fillId="38" borderId="0" xfId="0" applyNumberFormat="1" applyFill="1"/>
    <xf numFmtId="165" fontId="0" fillId="38" borderId="0" xfId="0" applyNumberFormat="1" applyFill="1" applyBorder="1"/>
    <xf numFmtId="10" fontId="0" fillId="38" borderId="10" xfId="44" applyNumberFormat="1" applyFont="1" applyFill="1" applyBorder="1"/>
    <xf numFmtId="165" fontId="0" fillId="42" borderId="10" xfId="43" applyNumberFormat="1" applyFont="1" applyFill="1" applyBorder="1"/>
    <xf numFmtId="165" fontId="26" fillId="36" borderId="10" xfId="43" applyNumberFormat="1" applyFont="1" applyFill="1" applyBorder="1"/>
    <xf numFmtId="10" fontId="14" fillId="44" borderId="0" xfId="44" applyNumberFormat="1" applyFont="1" applyFill="1" applyBorder="1"/>
    <xf numFmtId="10" fontId="14" fillId="0" borderId="16" xfId="44" applyNumberFormat="1" applyFont="1" applyFill="1" applyBorder="1"/>
    <xf numFmtId="165" fontId="0" fillId="41" borderId="10" xfId="43" applyNumberFormat="1" applyFont="1" applyFill="1" applyBorder="1"/>
    <xf numFmtId="165" fontId="22" fillId="43" borderId="21" xfId="43" applyNumberFormat="1" applyFont="1" applyFill="1" applyBorder="1"/>
    <xf numFmtId="43" fontId="22" fillId="35" borderId="21" xfId="43" applyFont="1" applyFill="1" applyBorder="1"/>
    <xf numFmtId="43" fontId="0" fillId="0" borderId="0" xfId="0" applyNumberFormat="1" applyBorder="1"/>
    <xf numFmtId="0" fontId="0" fillId="0" borderId="0" xfId="0" applyNumberFormat="1"/>
    <xf numFmtId="43" fontId="0" fillId="0" borderId="0" xfId="0" applyNumberFormat="1" applyFill="1" applyBorder="1"/>
    <xf numFmtId="165" fontId="0" fillId="45" borderId="10" xfId="0" applyNumberFormat="1" applyFill="1" applyBorder="1"/>
    <xf numFmtId="165" fontId="14" fillId="33" borderId="10" xfId="44" applyNumberFormat="1" applyFont="1" applyFill="1" applyBorder="1"/>
    <xf numFmtId="0" fontId="0" fillId="0" borderId="24" xfId="0" applyBorder="1"/>
    <xf numFmtId="43" fontId="0" fillId="33" borderId="10" xfId="0" applyNumberFormat="1" applyFill="1" applyBorder="1"/>
    <xf numFmtId="43" fontId="0" fillId="42" borderId="10" xfId="0" applyNumberFormat="1" applyFill="1" applyBorder="1"/>
    <xf numFmtId="0" fontId="16" fillId="0" borderId="0" xfId="0" applyFont="1" applyBorder="1"/>
    <xf numFmtId="43" fontId="0" fillId="44" borderId="22" xfId="43" applyFont="1" applyFill="1" applyBorder="1"/>
    <xf numFmtId="43" fontId="0" fillId="43" borderId="22" xfId="43" applyFont="1" applyFill="1" applyBorder="1"/>
    <xf numFmtId="43" fontId="0" fillId="38" borderId="10" xfId="0" applyNumberFormat="1" applyFill="1" applyBorder="1"/>
    <xf numFmtId="43" fontId="0" fillId="0" borderId="10" xfId="0" applyNumberFormat="1" applyBorder="1"/>
    <xf numFmtId="43" fontId="0" fillId="33" borderId="18" xfId="43" applyNumberFormat="1" applyFont="1" applyFill="1" applyBorder="1"/>
    <xf numFmtId="43" fontId="0" fillId="33" borderId="19" xfId="43" applyNumberFormat="1" applyFont="1" applyFill="1" applyBorder="1"/>
    <xf numFmtId="0" fontId="0" fillId="40" borderId="0" xfId="0" applyFill="1" applyBorder="1"/>
    <xf numFmtId="0" fontId="16" fillId="40" borderId="0" xfId="0" applyFont="1" applyFill="1" applyBorder="1"/>
    <xf numFmtId="43" fontId="21" fillId="46" borderId="20" xfId="43" applyFont="1" applyFill="1" applyBorder="1" applyAlignment="1">
      <alignment horizontal="center"/>
    </xf>
    <xf numFmtId="10" fontId="21" fillId="46" borderId="15" xfId="44" applyNumberFormat="1" applyFont="1" applyFill="1" applyBorder="1" applyAlignment="1">
      <alignment horizontal="center"/>
    </xf>
    <xf numFmtId="43" fontId="21" fillId="46" borderId="13" xfId="43" applyFont="1" applyFill="1" applyBorder="1" applyAlignment="1">
      <alignment horizontal="center"/>
    </xf>
    <xf numFmtId="43" fontId="0" fillId="38" borderId="10" xfId="43" applyFont="1" applyFill="1" applyBorder="1"/>
    <xf numFmtId="43" fontId="0" fillId="39" borderId="10" xfId="43" applyFont="1" applyFill="1" applyBorder="1"/>
    <xf numFmtId="43" fontId="0" fillId="36" borderId="26" xfId="43" applyFont="1" applyFill="1" applyBorder="1"/>
    <xf numFmtId="43" fontId="13" fillId="35" borderId="23" xfId="43" applyFont="1" applyFill="1" applyBorder="1" applyAlignment="1">
      <alignment horizontal="center"/>
    </xf>
    <xf numFmtId="43" fontId="25" fillId="34" borderId="20" xfId="43" applyFont="1" applyFill="1" applyBorder="1" applyAlignment="1">
      <alignment horizontal="center"/>
    </xf>
    <xf numFmtId="43" fontId="0" fillId="0" borderId="19" xfId="43" applyFont="1" applyFill="1" applyBorder="1"/>
    <xf numFmtId="43" fontId="0" fillId="39" borderId="21" xfId="43" applyFont="1" applyFill="1" applyBorder="1"/>
    <xf numFmtId="43" fontId="0" fillId="36" borderId="30" xfId="43" applyFont="1" applyFill="1" applyBorder="1"/>
    <xf numFmtId="43" fontId="22" fillId="0" borderId="19" xfId="43" applyFont="1" applyFill="1" applyBorder="1"/>
    <xf numFmtId="43" fontId="0" fillId="0" borderId="11" xfId="43" applyFont="1" applyFill="1" applyBorder="1"/>
    <xf numFmtId="43" fontId="0" fillId="33" borderId="11" xfId="43" applyFont="1" applyFill="1" applyBorder="1"/>
    <xf numFmtId="43" fontId="0" fillId="33" borderId="0" xfId="43" applyFont="1" applyFill="1" applyBorder="1"/>
    <xf numFmtId="165" fontId="14" fillId="40" borderId="14" xfId="43" applyNumberFormat="1" applyFont="1" applyFill="1" applyBorder="1"/>
    <xf numFmtId="43" fontId="26" fillId="36" borderId="10" xfId="43" applyFont="1" applyFill="1" applyBorder="1"/>
    <xf numFmtId="43" fontId="0" fillId="47" borderId="10" xfId="43" applyFont="1" applyFill="1" applyBorder="1"/>
    <xf numFmtId="43" fontId="22" fillId="36" borderId="10" xfId="43" applyNumberFormat="1" applyFont="1" applyFill="1" applyBorder="1"/>
    <xf numFmtId="43" fontId="0" fillId="33" borderId="23" xfId="43" applyNumberFormat="1" applyFont="1" applyFill="1" applyBorder="1"/>
    <xf numFmtId="2" fontId="0" fillId="0" borderId="0" xfId="44" applyNumberFormat="1" applyFont="1" applyFill="1" applyBorder="1"/>
    <xf numFmtId="165" fontId="22" fillId="43" borderId="0" xfId="43" applyNumberFormat="1" applyFont="1" applyFill="1" applyAlignment="1">
      <alignment horizontal="left"/>
    </xf>
    <xf numFmtId="43" fontId="0" fillId="38" borderId="10" xfId="44" applyNumberFormat="1" applyFont="1" applyFill="1" applyBorder="1"/>
    <xf numFmtId="43" fontId="0" fillId="33" borderId="16" xfId="44" applyNumberFormat="1" applyFont="1" applyFill="1" applyBorder="1"/>
    <xf numFmtId="0" fontId="0" fillId="0" borderId="22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43" fontId="0" fillId="0" borderId="11" xfId="43" applyFont="1" applyBorder="1"/>
    <xf numFmtId="0" fontId="0" fillId="0" borderId="28" xfId="0" applyBorder="1"/>
    <xf numFmtId="17" fontId="0" fillId="0" borderId="0" xfId="0" applyNumberFormat="1"/>
    <xf numFmtId="3" fontId="0" fillId="0" borderId="0" xfId="0" applyNumberFormat="1"/>
    <xf numFmtId="43" fontId="0" fillId="0" borderId="18" xfId="43" applyFont="1" applyBorder="1"/>
    <xf numFmtId="43" fontId="0" fillId="0" borderId="22" xfId="43" applyFont="1" applyBorder="1"/>
    <xf numFmtId="10" fontId="0" fillId="0" borderId="0" xfId="0" applyNumberFormat="1" applyFill="1"/>
    <xf numFmtId="43" fontId="0" fillId="0" borderId="21" xfId="0" applyNumberFormat="1" applyBorder="1" applyAlignment="1">
      <alignment horizontal="right"/>
    </xf>
    <xf numFmtId="0" fontId="0" fillId="0" borderId="10" xfId="0" applyBorder="1"/>
    <xf numFmtId="43" fontId="0" fillId="0" borderId="21" xfId="0" applyNumberFormat="1" applyBorder="1"/>
    <xf numFmtId="43" fontId="0" fillId="0" borderId="23" xfId="0" applyNumberFormat="1" applyBorder="1"/>
    <xf numFmtId="43" fontId="0" fillId="0" borderId="18" xfId="0" applyNumberFormat="1" applyBorder="1"/>
    <xf numFmtId="0" fontId="13" fillId="35" borderId="18" xfId="0" applyFont="1" applyFill="1" applyBorder="1" applyAlignment="1">
      <alignment horizontal="center"/>
    </xf>
    <xf numFmtId="0" fontId="13" fillId="35" borderId="28" xfId="0" applyFont="1" applyFill="1" applyBorder="1" applyAlignment="1">
      <alignment horizontal="center"/>
    </xf>
    <xf numFmtId="168" fontId="14" fillId="0" borderId="14" xfId="44" applyNumberFormat="1" applyFont="1" applyFill="1" applyBorder="1"/>
    <xf numFmtId="10" fontId="0" fillId="43" borderId="0" xfId="44" applyNumberFormat="1" applyFont="1" applyFill="1" applyBorder="1"/>
    <xf numFmtId="167" fontId="14" fillId="43" borderId="14" xfId="44" applyNumberFormat="1" applyFont="1" applyFill="1" applyBorder="1"/>
    <xf numFmtId="43" fontId="0" fillId="0" borderId="22" xfId="43" applyFont="1" applyFill="1" applyBorder="1"/>
    <xf numFmtId="10" fontId="14" fillId="0" borderId="17" xfId="44" applyNumberFormat="1" applyFont="1" applyFill="1" applyBorder="1"/>
    <xf numFmtId="0" fontId="14" fillId="46" borderId="13" xfId="0" applyFont="1" applyFill="1" applyBorder="1"/>
    <xf numFmtId="0" fontId="21" fillId="46" borderId="13" xfId="0" applyFont="1" applyFill="1" applyBorder="1" applyAlignment="1">
      <alignment horizontal="center"/>
    </xf>
    <xf numFmtId="0" fontId="20" fillId="48" borderId="10" xfId="42" applyFont="1" applyFill="1" applyBorder="1" applyAlignment="1">
      <alignment horizontal="left"/>
    </xf>
    <xf numFmtId="43" fontId="0" fillId="48" borderId="21" xfId="43" applyFont="1" applyFill="1" applyBorder="1"/>
    <xf numFmtId="10" fontId="14" fillId="48" borderId="16" xfId="44" applyNumberFormat="1" applyFont="1" applyFill="1" applyBorder="1"/>
    <xf numFmtId="165" fontId="0" fillId="48" borderId="10" xfId="43" applyNumberFormat="1" applyFont="1" applyFill="1" applyBorder="1"/>
    <xf numFmtId="0" fontId="20" fillId="37" borderId="10" xfId="42" applyFont="1" applyFill="1" applyBorder="1" applyAlignment="1">
      <alignment horizontal="left"/>
    </xf>
    <xf numFmtId="43" fontId="0" fillId="37" borderId="21" xfId="43" applyFont="1" applyFill="1" applyBorder="1"/>
    <xf numFmtId="10" fontId="14" fillId="37" borderId="16" xfId="44" applyNumberFormat="1" applyFont="1" applyFill="1" applyBorder="1"/>
    <xf numFmtId="165" fontId="0" fillId="37" borderId="10" xfId="43" applyNumberFormat="1" applyFont="1" applyFill="1" applyBorder="1"/>
    <xf numFmtId="0" fontId="20" fillId="37" borderId="12" xfId="42" applyFont="1" applyFill="1" applyBorder="1" applyAlignment="1">
      <alignment horizontal="left"/>
    </xf>
    <xf numFmtId="43" fontId="0" fillId="37" borderId="22" xfId="43" applyFont="1" applyFill="1" applyBorder="1"/>
    <xf numFmtId="43" fontId="14" fillId="36" borderId="21" xfId="43" applyFont="1" applyFill="1" applyBorder="1"/>
    <xf numFmtId="43" fontId="22" fillId="36" borderId="21" xfId="43" applyFont="1" applyFill="1" applyBorder="1"/>
    <xf numFmtId="0" fontId="20" fillId="48" borderId="10" xfId="0" applyFont="1" applyFill="1" applyBorder="1" applyAlignment="1">
      <alignment horizontal="left"/>
    </xf>
    <xf numFmtId="0" fontId="21" fillId="48" borderId="10" xfId="0" applyFont="1" applyFill="1" applyBorder="1"/>
    <xf numFmtId="10" fontId="22" fillId="48" borderId="16" xfId="44" applyNumberFormat="1" applyFont="1" applyFill="1" applyBorder="1"/>
    <xf numFmtId="9" fontId="22" fillId="48" borderId="16" xfId="44" applyFont="1" applyFill="1" applyBorder="1"/>
    <xf numFmtId="0" fontId="21" fillId="48" borderId="12" xfId="0" applyFont="1" applyFill="1" applyBorder="1"/>
    <xf numFmtId="43" fontId="0" fillId="48" borderId="22" xfId="43" applyFont="1" applyFill="1" applyBorder="1"/>
    <xf numFmtId="10" fontId="14" fillId="48" borderId="17" xfId="44" applyNumberFormat="1" applyFont="1" applyFill="1" applyBorder="1"/>
    <xf numFmtId="165" fontId="0" fillId="48" borderId="12" xfId="43" applyNumberFormat="1" applyFont="1" applyFill="1" applyBorder="1"/>
    <xf numFmtId="0" fontId="13" fillId="35" borderId="23" xfId="0" applyFont="1" applyFill="1" applyBorder="1" applyAlignment="1">
      <alignment horizontal="center"/>
    </xf>
    <xf numFmtId="165" fontId="22" fillId="44" borderId="18" xfId="43" applyNumberFormat="1" applyFont="1" applyFill="1" applyBorder="1"/>
    <xf numFmtId="10" fontId="0" fillId="43" borderId="28" xfId="43" applyNumberFormat="1" applyFont="1" applyFill="1" applyBorder="1"/>
    <xf numFmtId="165" fontId="22" fillId="43" borderId="18" xfId="43" applyNumberFormat="1" applyFont="1" applyFill="1" applyBorder="1"/>
    <xf numFmtId="0" fontId="30" fillId="35" borderId="10" xfId="0" applyFont="1" applyFill="1" applyBorder="1"/>
    <xf numFmtId="0" fontId="0" fillId="0" borderId="11" xfId="0" applyFill="1" applyBorder="1" applyAlignment="1"/>
    <xf numFmtId="166" fontId="14" fillId="48" borderId="16" xfId="44" applyNumberFormat="1" applyFont="1" applyFill="1" applyBorder="1"/>
    <xf numFmtId="2" fontId="0" fillId="43" borderId="10" xfId="0" applyNumberFormat="1" applyFill="1" applyBorder="1"/>
    <xf numFmtId="9" fontId="0" fillId="36" borderId="16" xfId="44" applyNumberFormat="1" applyFont="1" applyFill="1" applyBorder="1"/>
    <xf numFmtId="0" fontId="0" fillId="0" borderId="0" xfId="0" applyFill="1" applyBorder="1" applyAlignment="1"/>
    <xf numFmtId="10" fontId="0" fillId="0" borderId="0" xfId="0" applyNumberFormat="1" applyFill="1" applyBorder="1"/>
    <xf numFmtId="2" fontId="0" fillId="42" borderId="10" xfId="0" applyNumberFormat="1" applyFill="1" applyBorder="1"/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43" fontId="17" fillId="0" borderId="0" xfId="43" applyFont="1"/>
    <xf numFmtId="43" fontId="0" fillId="44" borderId="10" xfId="43" applyFont="1" applyFill="1" applyBorder="1"/>
    <xf numFmtId="0" fontId="0" fillId="0" borderId="0" xfId="43" applyNumberFormat="1" applyFont="1" applyBorder="1"/>
    <xf numFmtId="4" fontId="0" fillId="0" borderId="0" xfId="0" applyNumberFormat="1"/>
    <xf numFmtId="43" fontId="0" fillId="0" borderId="29" xfId="0" applyNumberFormat="1" applyBorder="1"/>
    <xf numFmtId="10" fontId="0" fillId="0" borderId="0" xfId="0" applyNumberFormat="1" applyBorder="1"/>
    <xf numFmtId="43" fontId="0" fillId="0" borderId="0" xfId="43" applyFont="1" applyFill="1" applyAlignment="1">
      <alignment horizontal="left"/>
    </xf>
    <xf numFmtId="43" fontId="0" fillId="41" borderId="10" xfId="43" applyNumberFormat="1" applyFont="1" applyFill="1" applyBorder="1"/>
    <xf numFmtId="43" fontId="0" fillId="41" borderId="10" xfId="43" applyFont="1" applyFill="1" applyBorder="1"/>
    <xf numFmtId="0" fontId="13" fillId="35" borderId="23" xfId="0" applyFont="1" applyFill="1" applyBorder="1" applyAlignment="1">
      <alignment horizontal="center"/>
    </xf>
    <xf numFmtId="43" fontId="0" fillId="41" borderId="12" xfId="43" applyFont="1" applyFill="1" applyBorder="1"/>
    <xf numFmtId="43" fontId="0" fillId="39" borderId="12" xfId="43" applyNumberFormat="1" applyFont="1" applyFill="1" applyBorder="1"/>
    <xf numFmtId="10" fontId="0" fillId="39" borderId="17" xfId="44" applyNumberFormat="1" applyFont="1" applyFill="1" applyBorder="1"/>
    <xf numFmtId="43" fontId="0" fillId="0" borderId="10" xfId="43" applyFont="1" applyFill="1" applyBorder="1"/>
    <xf numFmtId="43" fontId="22" fillId="44" borderId="19" xfId="43" applyFont="1" applyFill="1" applyBorder="1"/>
    <xf numFmtId="43" fontId="22" fillId="43" borderId="19" xfId="43" applyFont="1" applyFill="1" applyBorder="1"/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43" fontId="0" fillId="41" borderId="21" xfId="43" applyNumberFormat="1" applyFont="1" applyFill="1" applyBorder="1"/>
    <xf numFmtId="43" fontId="22" fillId="0" borderId="10" xfId="43" applyFont="1" applyFill="1" applyBorder="1"/>
    <xf numFmtId="43" fontId="22" fillId="44" borderId="10" xfId="43" applyFont="1" applyFill="1" applyBorder="1"/>
    <xf numFmtId="43" fontId="14" fillId="36" borderId="10" xfId="43" applyFont="1" applyFill="1" applyBorder="1"/>
    <xf numFmtId="43" fontId="0" fillId="33" borderId="26" xfId="43" applyFont="1" applyFill="1" applyBorder="1"/>
    <xf numFmtId="10" fontId="14" fillId="33" borderId="27" xfId="44" applyNumberFormat="1" applyFont="1" applyFill="1" applyBorder="1"/>
    <xf numFmtId="10" fontId="22" fillId="0" borderId="0" xfId="44" applyNumberFormat="1" applyFont="1" applyFill="1" applyBorder="1"/>
    <xf numFmtId="10" fontId="14" fillId="0" borderId="12" xfId="44" applyNumberFormat="1" applyFont="1" applyFill="1" applyBorder="1"/>
    <xf numFmtId="10" fontId="14" fillId="33" borderId="25" xfId="44" applyNumberFormat="1" applyFont="1" applyFill="1" applyBorder="1"/>
    <xf numFmtId="9" fontId="0" fillId="33" borderId="17" xfId="44" applyFont="1" applyFill="1" applyBorder="1"/>
    <xf numFmtId="43" fontId="0" fillId="33" borderId="26" xfId="43" applyNumberFormat="1" applyFont="1" applyFill="1" applyBorder="1"/>
    <xf numFmtId="43" fontId="0" fillId="33" borderId="30" xfId="43" applyNumberFormat="1" applyFont="1" applyFill="1" applyBorder="1"/>
    <xf numFmtId="9" fontId="14" fillId="0" borderId="17" xfId="44" applyNumberFormat="1" applyFont="1" applyFill="1" applyBorder="1"/>
    <xf numFmtId="43" fontId="0" fillId="33" borderId="30" xfId="43" applyFont="1" applyFill="1" applyBorder="1"/>
    <xf numFmtId="10" fontId="0" fillId="33" borderId="27" xfId="44" applyNumberFormat="1" applyFont="1" applyFill="1" applyBorder="1"/>
    <xf numFmtId="9" fontId="14" fillId="0" borderId="12" xfId="44" applyNumberFormat="1" applyFont="1" applyFill="1" applyBorder="1"/>
    <xf numFmtId="9" fontId="14" fillId="0" borderId="0" xfId="44" applyNumberFormat="1" applyFont="1" applyFill="1" applyBorder="1"/>
    <xf numFmtId="165" fontId="20" fillId="36" borderId="10" xfId="0" applyNumberFormat="1" applyFont="1" applyFill="1" applyBorder="1"/>
    <xf numFmtId="43" fontId="0" fillId="36" borderId="10" xfId="0" applyNumberFormat="1" applyFill="1" applyBorder="1"/>
    <xf numFmtId="0" fontId="0" fillId="36" borderId="16" xfId="0" applyFill="1" applyBorder="1"/>
    <xf numFmtId="10" fontId="0" fillId="36" borderId="16" xfId="0" applyNumberFormat="1" applyFill="1" applyBorder="1"/>
    <xf numFmtId="43" fontId="14" fillId="0" borderId="0" xfId="43" applyFont="1" applyBorder="1"/>
    <xf numFmtId="43" fontId="16" fillId="40" borderId="0" xfId="43" applyFont="1" applyFill="1" applyBorder="1"/>
    <xf numFmtId="10" fontId="21" fillId="40" borderId="0" xfId="44" applyNumberFormat="1" applyFont="1" applyFill="1" applyBorder="1"/>
    <xf numFmtId="10" fontId="16" fillId="40" borderId="0" xfId="44" applyNumberFormat="1" applyFont="1" applyFill="1" applyBorder="1"/>
    <xf numFmtId="165" fontId="16" fillId="0" borderId="0" xfId="0" applyNumberFormat="1" applyFont="1" applyFill="1" applyBorder="1"/>
    <xf numFmtId="43" fontId="31" fillId="0" borderId="0" xfId="43" applyFont="1" applyBorder="1"/>
    <xf numFmtId="10" fontId="31" fillId="0" borderId="0" xfId="44" applyNumberFormat="1" applyFont="1" applyBorder="1"/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43" fontId="1" fillId="0" borderId="0" xfId="43" applyNumberFormat="1" applyFont="1" applyFill="1"/>
    <xf numFmtId="0" fontId="19" fillId="50" borderId="0" xfId="42" applyFont="1" applyFill="1" applyAlignment="1">
      <alignment horizontal="left"/>
    </xf>
    <xf numFmtId="43" fontId="1" fillId="0" borderId="0" xfId="43" applyFont="1" applyFill="1"/>
    <xf numFmtId="43" fontId="1" fillId="0" borderId="19" xfId="43" applyFont="1" applyFill="1" applyBorder="1"/>
    <xf numFmtId="0" fontId="0" fillId="40" borderId="24" xfId="0" applyFill="1" applyBorder="1"/>
    <xf numFmtId="43" fontId="0" fillId="40" borderId="24" xfId="43" applyFont="1" applyFill="1" applyBorder="1"/>
    <xf numFmtId="0" fontId="16" fillId="36" borderId="0" xfId="0" applyFont="1" applyFill="1" applyBorder="1"/>
    <xf numFmtId="43" fontId="16" fillId="36" borderId="0" xfId="43" applyFont="1" applyFill="1" applyBorder="1"/>
    <xf numFmtId="10" fontId="21" fillId="36" borderId="0" xfId="44" applyNumberFormat="1" applyFont="1" applyFill="1" applyBorder="1"/>
    <xf numFmtId="0" fontId="16" fillId="40" borderId="24" xfId="0" applyFont="1" applyFill="1" applyBorder="1"/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43" fontId="21" fillId="0" borderId="0" xfId="43" applyFont="1" applyFill="1" applyBorder="1"/>
    <xf numFmtId="43" fontId="22" fillId="50" borderId="0" xfId="43" applyFont="1" applyFill="1"/>
    <xf numFmtId="43" fontId="0" fillId="50" borderId="0" xfId="43" applyNumberFormat="1" applyFont="1" applyFill="1"/>
    <xf numFmtId="43" fontId="21" fillId="0" borderId="0" xfId="0" applyNumberFormat="1" applyFont="1" applyFill="1" applyBorder="1"/>
    <xf numFmtId="43" fontId="0" fillId="0" borderId="0" xfId="44" applyNumberFormat="1" applyFont="1" applyBorder="1"/>
    <xf numFmtId="4" fontId="0" fillId="50" borderId="19" xfId="0" applyNumberFormat="1" applyFont="1" applyFill="1" applyBorder="1"/>
    <xf numFmtId="43" fontId="22" fillId="50" borderId="0" xfId="43" applyNumberFormat="1" applyFont="1" applyFill="1"/>
    <xf numFmtId="0" fontId="17" fillId="35" borderId="29" xfId="0" applyFont="1" applyFill="1" applyBorder="1"/>
    <xf numFmtId="0" fontId="13" fillId="35" borderId="29" xfId="0" applyFont="1" applyFill="1" applyBorder="1" applyAlignment="1">
      <alignment horizontal="center"/>
    </xf>
    <xf numFmtId="0" fontId="21" fillId="44" borderId="29" xfId="0" applyFont="1" applyFill="1" applyBorder="1" applyAlignment="1">
      <alignment horizontal="center"/>
    </xf>
    <xf numFmtId="0" fontId="21" fillId="43" borderId="29" xfId="0" applyFont="1" applyFill="1" applyBorder="1" applyAlignment="1">
      <alignment horizontal="center"/>
    </xf>
    <xf numFmtId="0" fontId="0" fillId="34" borderId="29" xfId="0" applyFill="1" applyBorder="1"/>
    <xf numFmtId="0" fontId="21" fillId="34" borderId="29" xfId="0" applyFont="1" applyFill="1" applyBorder="1" applyAlignment="1">
      <alignment horizontal="center"/>
    </xf>
    <xf numFmtId="43" fontId="25" fillId="34" borderId="29" xfId="0" applyNumberFormat="1" applyFont="1" applyFill="1" applyBorder="1" applyAlignment="1">
      <alignment horizontal="center"/>
    </xf>
    <xf numFmtId="0" fontId="25" fillId="34" borderId="29" xfId="0" applyFont="1" applyFill="1" applyBorder="1" applyAlignment="1">
      <alignment horizontal="center"/>
    </xf>
    <xf numFmtId="43" fontId="25" fillId="34" borderId="29" xfId="43" applyFont="1" applyFill="1" applyBorder="1" applyAlignment="1">
      <alignment horizontal="center"/>
    </xf>
    <xf numFmtId="10" fontId="25" fillId="34" borderId="29" xfId="0" applyNumberFormat="1" applyFont="1" applyFill="1" applyBorder="1" applyAlignment="1">
      <alignment horizontal="center"/>
    </xf>
    <xf numFmtId="10" fontId="21" fillId="44" borderId="29" xfId="0" applyNumberFormat="1" applyFont="1" applyFill="1" applyBorder="1" applyAlignment="1">
      <alignment horizontal="center"/>
    </xf>
    <xf numFmtId="10" fontId="21" fillId="43" borderId="29" xfId="0" applyNumberFormat="1" applyFont="1" applyFill="1" applyBorder="1" applyAlignment="1">
      <alignment horizontal="center"/>
    </xf>
    <xf numFmtId="43" fontId="0" fillId="0" borderId="29" xfId="0" applyNumberFormat="1" applyFill="1" applyBorder="1"/>
    <xf numFmtId="0" fontId="0" fillId="0" borderId="29" xfId="0" applyFill="1" applyBorder="1"/>
    <xf numFmtId="43" fontId="0" fillId="0" borderId="29" xfId="43" applyFont="1" applyFill="1" applyBorder="1"/>
    <xf numFmtId="10" fontId="0" fillId="0" borderId="29" xfId="0" applyNumberFormat="1" applyFill="1" applyBorder="1"/>
    <xf numFmtId="0" fontId="0" fillId="44" borderId="29" xfId="0" applyFill="1" applyBorder="1"/>
    <xf numFmtId="10" fontId="0" fillId="44" borderId="29" xfId="0" applyNumberFormat="1" applyFill="1" applyBorder="1"/>
    <xf numFmtId="0" fontId="0" fillId="43" borderId="29" xfId="0" applyFill="1" applyBorder="1"/>
    <xf numFmtId="10" fontId="0" fillId="43" borderId="29" xfId="0" applyNumberFormat="1" applyFill="1" applyBorder="1"/>
    <xf numFmtId="165" fontId="14" fillId="40" borderId="29" xfId="43" applyNumberFormat="1" applyFont="1" applyFill="1" applyBorder="1"/>
    <xf numFmtId="43" fontId="22" fillId="0" borderId="29" xfId="43" applyNumberFormat="1" applyFont="1" applyFill="1" applyBorder="1"/>
    <xf numFmtId="165" fontId="0" fillId="0" borderId="29" xfId="43" applyNumberFormat="1" applyFont="1" applyFill="1" applyBorder="1"/>
    <xf numFmtId="43" fontId="0" fillId="0" borderId="29" xfId="43" applyNumberFormat="1" applyFont="1" applyFill="1" applyBorder="1"/>
    <xf numFmtId="9" fontId="14" fillId="0" borderId="29" xfId="44" applyFont="1" applyFill="1" applyBorder="1"/>
    <xf numFmtId="43" fontId="22" fillId="0" borderId="29" xfId="43" applyFont="1" applyFill="1" applyBorder="1"/>
    <xf numFmtId="165" fontId="22" fillId="44" borderId="29" xfId="43" applyNumberFormat="1" applyFont="1" applyFill="1" applyBorder="1"/>
    <xf numFmtId="0" fontId="14" fillId="0" borderId="29" xfId="0" applyFont="1" applyBorder="1"/>
    <xf numFmtId="0" fontId="22" fillId="0" borderId="29" xfId="0" applyFont="1" applyBorder="1"/>
    <xf numFmtId="10" fontId="14" fillId="0" borderId="29" xfId="44" applyNumberFormat="1" applyFont="1" applyFill="1" applyBorder="1"/>
    <xf numFmtId="0" fontId="21" fillId="33" borderId="29" xfId="0" applyFont="1" applyFill="1" applyBorder="1"/>
    <xf numFmtId="43" fontId="0" fillId="33" borderId="29" xfId="43" applyNumberFormat="1" applyFont="1" applyFill="1" applyBorder="1"/>
    <xf numFmtId="9" fontId="0" fillId="33" borderId="29" xfId="44" applyFont="1" applyFill="1" applyBorder="1"/>
    <xf numFmtId="165" fontId="0" fillId="33" borderId="29" xfId="43" applyNumberFormat="1" applyFont="1" applyFill="1" applyBorder="1"/>
    <xf numFmtId="165" fontId="22" fillId="43" borderId="29" xfId="43" applyNumberFormat="1" applyFont="1" applyFill="1" applyBorder="1"/>
    <xf numFmtId="43" fontId="0" fillId="33" borderId="29" xfId="43" applyFont="1" applyFill="1" applyBorder="1"/>
    <xf numFmtId="0" fontId="21" fillId="36" borderId="29" xfId="0" applyFont="1" applyFill="1" applyBorder="1"/>
    <xf numFmtId="43" fontId="0" fillId="36" borderId="29" xfId="43" applyNumberFormat="1" applyFont="1" applyFill="1" applyBorder="1"/>
    <xf numFmtId="9" fontId="0" fillId="36" borderId="29" xfId="44" applyFont="1" applyFill="1" applyBorder="1"/>
    <xf numFmtId="43" fontId="0" fillId="36" borderId="29" xfId="43" applyFont="1" applyFill="1" applyBorder="1"/>
    <xf numFmtId="165" fontId="0" fillId="36" borderId="29" xfId="43" applyNumberFormat="1" applyFont="1" applyFill="1" applyBorder="1"/>
    <xf numFmtId="0" fontId="0" fillId="0" borderId="29" xfId="0" applyFill="1" applyBorder="1" applyAlignment="1">
      <alignment horizontal="left"/>
    </xf>
    <xf numFmtId="0" fontId="19" fillId="0" borderId="29" xfId="0" applyFont="1" applyBorder="1" applyAlignment="1">
      <alignment horizontal="left"/>
    </xf>
    <xf numFmtId="10" fontId="0" fillId="0" borderId="29" xfId="44" applyNumberFormat="1" applyFont="1" applyFill="1" applyBorder="1"/>
    <xf numFmtId="0" fontId="20" fillId="33" borderId="29" xfId="0" applyFont="1" applyFill="1" applyBorder="1" applyAlignment="1">
      <alignment horizontal="left"/>
    </xf>
    <xf numFmtId="43" fontId="0" fillId="41" borderId="29" xfId="43" applyFont="1" applyFill="1" applyBorder="1"/>
    <xf numFmtId="43" fontId="0" fillId="47" borderId="29" xfId="43" applyFont="1" applyFill="1" applyBorder="1"/>
    <xf numFmtId="0" fontId="19" fillId="0" borderId="29" xfId="0" applyFont="1" applyFill="1" applyBorder="1" applyAlignment="1">
      <alignment horizontal="left"/>
    </xf>
    <xf numFmtId="43" fontId="0" fillId="50" borderId="29" xfId="43" applyFont="1" applyFill="1" applyBorder="1"/>
    <xf numFmtId="9" fontId="14" fillId="0" borderId="29" xfId="44" applyNumberFormat="1" applyFont="1" applyFill="1" applyBorder="1"/>
    <xf numFmtId="0" fontId="20" fillId="33" borderId="29" xfId="0" applyFont="1" applyFill="1" applyBorder="1" applyAlignment="1">
      <alignment horizontal="center"/>
    </xf>
    <xf numFmtId="10" fontId="0" fillId="33" borderId="29" xfId="44" applyNumberFormat="1" applyFont="1" applyFill="1" applyBorder="1"/>
    <xf numFmtId="165" fontId="0" fillId="44" borderId="29" xfId="43" applyNumberFormat="1" applyFont="1" applyFill="1" applyBorder="1"/>
    <xf numFmtId="165" fontId="0" fillId="43" borderId="29" xfId="43" applyNumberFormat="1" applyFont="1" applyFill="1" applyBorder="1"/>
    <xf numFmtId="0" fontId="20" fillId="36" borderId="29" xfId="0" applyFont="1" applyFill="1" applyBorder="1" applyAlignment="1">
      <alignment horizontal="center"/>
    </xf>
    <xf numFmtId="10" fontId="0" fillId="36" borderId="29" xfId="44" applyNumberFormat="1" applyFont="1" applyFill="1" applyBorder="1"/>
    <xf numFmtId="0" fontId="19" fillId="0" borderId="29" xfId="42" applyFont="1" applyBorder="1" applyAlignment="1">
      <alignment horizontal="left"/>
    </xf>
    <xf numFmtId="0" fontId="20" fillId="33" borderId="29" xfId="42" applyFont="1" applyFill="1" applyBorder="1" applyAlignment="1">
      <alignment horizontal="left"/>
    </xf>
    <xf numFmtId="10" fontId="0" fillId="33" borderId="29" xfId="43" applyNumberFormat="1" applyFont="1" applyFill="1" applyBorder="1"/>
    <xf numFmtId="0" fontId="19" fillId="0" borderId="29" xfId="42" applyFont="1" applyFill="1" applyBorder="1" applyAlignment="1">
      <alignment horizontal="left"/>
    </xf>
    <xf numFmtId="43" fontId="0" fillId="50" borderId="29" xfId="43" applyNumberFormat="1" applyFont="1" applyFill="1" applyBorder="1"/>
    <xf numFmtId="0" fontId="20" fillId="0" borderId="29" xfId="42" applyFont="1" applyFill="1" applyBorder="1" applyAlignment="1">
      <alignment horizontal="left"/>
    </xf>
    <xf numFmtId="9" fontId="0" fillId="0" borderId="29" xfId="44" applyFont="1" applyFill="1" applyBorder="1"/>
    <xf numFmtId="43" fontId="0" fillId="38" borderId="29" xfId="0" applyNumberFormat="1" applyFill="1" applyBorder="1"/>
    <xf numFmtId="10" fontId="0" fillId="38" borderId="29" xfId="44" applyNumberFormat="1" applyFont="1" applyFill="1" applyBorder="1"/>
    <xf numFmtId="43" fontId="0" fillId="38" borderId="29" xfId="43" applyFont="1" applyFill="1" applyBorder="1"/>
    <xf numFmtId="165" fontId="0" fillId="38" borderId="29" xfId="0" applyNumberFormat="1" applyFill="1" applyBorder="1"/>
    <xf numFmtId="165" fontId="0" fillId="38" borderId="29" xfId="43" applyNumberFormat="1" applyFont="1" applyFill="1" applyBorder="1"/>
    <xf numFmtId="0" fontId="0" fillId="42" borderId="29" xfId="0" applyFill="1" applyBorder="1"/>
    <xf numFmtId="0" fontId="20" fillId="41" borderId="29" xfId="42" applyFont="1" applyFill="1" applyBorder="1" applyAlignment="1">
      <alignment horizontal="left"/>
    </xf>
    <xf numFmtId="10" fontId="14" fillId="41" borderId="29" xfId="44" applyNumberFormat="1" applyFont="1" applyFill="1" applyBorder="1"/>
    <xf numFmtId="43" fontId="0" fillId="42" borderId="29" xfId="0" applyNumberFormat="1" applyFill="1" applyBorder="1"/>
    <xf numFmtId="165" fontId="22" fillId="33" borderId="29" xfId="43" applyNumberFormat="1" applyFont="1" applyFill="1" applyBorder="1"/>
    <xf numFmtId="165" fontId="0" fillId="41" borderId="29" xfId="43" applyNumberFormat="1" applyFont="1" applyFill="1" applyBorder="1"/>
    <xf numFmtId="168" fontId="14" fillId="0" borderId="29" xfId="44" applyNumberFormat="1" applyFont="1" applyFill="1" applyBorder="1"/>
    <xf numFmtId="43" fontId="0" fillId="0" borderId="29" xfId="43" applyNumberFormat="1" applyFont="1" applyBorder="1"/>
    <xf numFmtId="10" fontId="14" fillId="0" borderId="29" xfId="44" applyNumberFormat="1" applyFont="1" applyBorder="1"/>
    <xf numFmtId="10" fontId="0" fillId="44" borderId="29" xfId="44" applyNumberFormat="1" applyFont="1" applyFill="1" applyBorder="1"/>
    <xf numFmtId="10" fontId="0" fillId="43" borderId="29" xfId="44" applyNumberFormat="1" applyFont="1" applyFill="1" applyBorder="1"/>
    <xf numFmtId="0" fontId="20" fillId="36" borderId="29" xfId="42" applyFont="1" applyFill="1" applyBorder="1" applyAlignment="1">
      <alignment horizontal="left"/>
    </xf>
    <xf numFmtId="43" fontId="26" fillId="36" borderId="29" xfId="43" applyFont="1" applyFill="1" applyBorder="1"/>
    <xf numFmtId="165" fontId="26" fillId="36" borderId="29" xfId="43" applyNumberFormat="1" applyFont="1" applyFill="1" applyBorder="1"/>
    <xf numFmtId="0" fontId="0" fillId="35" borderId="29" xfId="0" applyFill="1" applyBorder="1"/>
    <xf numFmtId="43" fontId="0" fillId="35" borderId="29" xfId="43" applyFont="1" applyFill="1" applyBorder="1"/>
    <xf numFmtId="10" fontId="14" fillId="35" borderId="29" xfId="44" applyNumberFormat="1" applyFont="1" applyFill="1" applyBorder="1"/>
    <xf numFmtId="43" fontId="0" fillId="44" borderId="29" xfId="43" applyFont="1" applyFill="1" applyBorder="1"/>
    <xf numFmtId="2" fontId="0" fillId="43" borderId="29" xfId="0" applyNumberFormat="1" applyFill="1" applyBorder="1"/>
    <xf numFmtId="165" fontId="16" fillId="0" borderId="29" xfId="0" applyNumberFormat="1" applyFont="1" applyBorder="1"/>
    <xf numFmtId="0" fontId="16" fillId="36" borderId="29" xfId="0" applyFont="1" applyFill="1" applyBorder="1"/>
    <xf numFmtId="165" fontId="0" fillId="45" borderId="29" xfId="0" applyNumberFormat="1" applyFill="1" applyBorder="1"/>
    <xf numFmtId="165" fontId="14" fillId="33" borderId="29" xfId="44" applyNumberFormat="1" applyFont="1" applyFill="1" applyBorder="1"/>
    <xf numFmtId="10" fontId="0" fillId="0" borderId="29" xfId="0" applyNumberFormat="1" applyBorder="1"/>
    <xf numFmtId="9" fontId="25" fillId="34" borderId="15" xfId="44" applyNumberFormat="1" applyFont="1" applyFill="1" applyBorder="1" applyAlignment="1">
      <alignment horizontal="center"/>
    </xf>
    <xf numFmtId="9" fontId="0" fillId="0" borderId="14" xfId="44" applyNumberFormat="1" applyFont="1" applyFill="1" applyBorder="1"/>
    <xf numFmtId="9" fontId="0" fillId="33" borderId="16" xfId="44" applyNumberFormat="1" applyFont="1" applyFill="1" applyBorder="1"/>
    <xf numFmtId="9" fontId="0" fillId="39" borderId="16" xfId="44" applyNumberFormat="1" applyFont="1" applyFill="1" applyBorder="1"/>
    <xf numFmtId="9" fontId="0" fillId="36" borderId="27" xfId="44" applyNumberFormat="1" applyFont="1" applyFill="1" applyBorder="1"/>
    <xf numFmtId="9" fontId="0" fillId="33" borderId="17" xfId="44" applyNumberFormat="1" applyFont="1" applyFill="1" applyBorder="1"/>
    <xf numFmtId="9" fontId="0" fillId="38" borderId="10" xfId="44" applyNumberFormat="1" applyFont="1" applyFill="1" applyBorder="1"/>
    <xf numFmtId="9" fontId="14" fillId="0" borderId="14" xfId="44" applyNumberFormat="1" applyFont="1" applyBorder="1"/>
    <xf numFmtId="9" fontId="22" fillId="36" borderId="16" xfId="44" applyNumberFormat="1" applyFont="1" applyFill="1" applyBorder="1"/>
    <xf numFmtId="9" fontId="0" fillId="0" borderId="14" xfId="44" applyNumberFormat="1" applyFont="1" applyBorder="1"/>
    <xf numFmtId="9" fontId="0" fillId="35" borderId="16" xfId="44" applyNumberFormat="1" applyFont="1" applyFill="1" applyBorder="1"/>
    <xf numFmtId="9" fontId="14" fillId="35" borderId="16" xfId="44" applyNumberFormat="1" applyFont="1" applyFill="1" applyBorder="1"/>
    <xf numFmtId="9" fontId="0" fillId="0" borderId="0" xfId="44" applyNumberFormat="1" applyFont="1" applyFill="1" applyBorder="1"/>
    <xf numFmtId="9" fontId="0" fillId="0" borderId="14" xfId="0" applyNumberFormat="1" applyBorder="1"/>
    <xf numFmtId="9" fontId="0" fillId="40" borderId="24" xfId="43" applyNumberFormat="1" applyFont="1" applyFill="1" applyBorder="1"/>
    <xf numFmtId="9" fontId="0" fillId="0" borderId="0" xfId="44" applyNumberFormat="1" applyFont="1" applyBorder="1"/>
    <xf numFmtId="9" fontId="0" fillId="0" borderId="0" xfId="43" applyNumberFormat="1" applyFont="1" applyBorder="1"/>
    <xf numFmtId="9" fontId="16" fillId="36" borderId="0" xfId="43" applyNumberFormat="1" applyFont="1" applyFill="1" applyBorder="1"/>
    <xf numFmtId="0" fontId="29" fillId="0" borderId="0" xfId="0" applyFont="1" applyFill="1" applyBorder="1" applyAlignment="1">
      <alignment horizontal="center"/>
    </xf>
    <xf numFmtId="0" fontId="21" fillId="43" borderId="0" xfId="0" applyFont="1" applyFill="1" applyBorder="1" applyAlignment="1">
      <alignment horizontal="center"/>
    </xf>
    <xf numFmtId="10" fontId="29" fillId="43" borderId="12" xfId="0" applyNumberFormat="1" applyFont="1" applyFill="1" applyBorder="1" applyAlignment="1">
      <alignment horizontal="center"/>
    </xf>
    <xf numFmtId="9" fontId="14" fillId="0" borderId="0" xfId="44" applyFont="1" applyFill="1" applyBorder="1"/>
    <xf numFmtId="9" fontId="14" fillId="0" borderId="10" xfId="44" applyFont="1" applyFill="1" applyBorder="1"/>
    <xf numFmtId="10" fontId="14" fillId="0" borderId="10" xfId="44" applyNumberFormat="1" applyFont="1" applyFill="1" applyBorder="1"/>
    <xf numFmtId="10" fontId="0" fillId="0" borderId="10" xfId="44" applyNumberFormat="1" applyFont="1" applyFill="1" applyBorder="1"/>
    <xf numFmtId="0" fontId="14" fillId="0" borderId="0" xfId="44" applyNumberFormat="1" applyFont="1" applyFill="1" applyBorder="1"/>
    <xf numFmtId="0" fontId="29" fillId="43" borderId="0" xfId="0" applyFont="1" applyFill="1" applyBorder="1" applyAlignment="1">
      <alignment horizontal="center"/>
    </xf>
    <xf numFmtId="10" fontId="22" fillId="43" borderId="0" xfId="0" applyNumberFormat="1" applyFont="1" applyFill="1" applyBorder="1"/>
    <xf numFmtId="9" fontId="22" fillId="40" borderId="0" xfId="44" applyFont="1" applyFill="1" applyBorder="1"/>
    <xf numFmtId="9" fontId="22" fillId="43" borderId="10" xfId="44" applyFont="1" applyFill="1" applyBorder="1"/>
    <xf numFmtId="10" fontId="22" fillId="39" borderId="12" xfId="44" applyNumberFormat="1" applyFont="1" applyFill="1" applyBorder="1"/>
    <xf numFmtId="9" fontId="22" fillId="36" borderId="26" xfId="44" applyFont="1" applyFill="1" applyBorder="1"/>
    <xf numFmtId="10" fontId="22" fillId="33" borderId="10" xfId="44" applyNumberFormat="1" applyFont="1" applyFill="1" applyBorder="1"/>
    <xf numFmtId="10" fontId="22" fillId="33" borderId="12" xfId="44" applyNumberFormat="1" applyFont="1" applyFill="1" applyBorder="1"/>
    <xf numFmtId="10" fontId="22" fillId="36" borderId="10" xfId="44" applyNumberFormat="1" applyFont="1" applyFill="1" applyBorder="1"/>
    <xf numFmtId="10" fontId="22" fillId="38" borderId="10" xfId="44" applyNumberFormat="1" applyFont="1" applyFill="1" applyBorder="1"/>
    <xf numFmtId="10" fontId="22" fillId="0" borderId="10" xfId="44" applyNumberFormat="1" applyFont="1" applyFill="1" applyBorder="1"/>
    <xf numFmtId="10" fontId="22" fillId="0" borderId="0" xfId="44" applyNumberFormat="1" applyFont="1" applyBorder="1"/>
    <xf numFmtId="10" fontId="22" fillId="43" borderId="0" xfId="44" applyNumberFormat="1" applyFont="1" applyFill="1" applyBorder="1"/>
    <xf numFmtId="10" fontId="22" fillId="36" borderId="0" xfId="44" applyNumberFormat="1" applyFont="1" applyFill="1" applyBorder="1"/>
    <xf numFmtId="10" fontId="22" fillId="35" borderId="10" xfId="44" applyNumberFormat="1" applyFont="1" applyFill="1" applyBorder="1"/>
    <xf numFmtId="10" fontId="22" fillId="36" borderId="0" xfId="0" applyNumberFormat="1" applyFont="1" applyFill="1" applyBorder="1"/>
    <xf numFmtId="43" fontId="22" fillId="0" borderId="0" xfId="43" applyFont="1" applyBorder="1"/>
    <xf numFmtId="165" fontId="22" fillId="40" borderId="0" xfId="43" applyNumberFormat="1" applyFont="1" applyFill="1" applyBorder="1"/>
    <xf numFmtId="9" fontId="22" fillId="0" borderId="0" xfId="44" applyFont="1" applyFill="1" applyBorder="1"/>
    <xf numFmtId="9" fontId="22" fillId="33" borderId="10" xfId="44" applyFont="1" applyFill="1" applyBorder="1"/>
    <xf numFmtId="165" fontId="22" fillId="0" borderId="0" xfId="43" applyNumberFormat="1" applyFont="1" applyFill="1" applyBorder="1"/>
    <xf numFmtId="165" fontId="22" fillId="33" borderId="12" xfId="43" applyNumberFormat="1" applyFont="1" applyFill="1" applyBorder="1"/>
    <xf numFmtId="9" fontId="22" fillId="36" borderId="10" xfId="44" applyFont="1" applyFill="1" applyBorder="1"/>
    <xf numFmtId="9" fontId="22" fillId="0" borderId="0" xfId="44" applyNumberFormat="1" applyFont="1" applyFill="1" applyBorder="1"/>
    <xf numFmtId="10" fontId="22" fillId="33" borderId="11" xfId="44" applyNumberFormat="1" applyFont="1" applyFill="1" applyBorder="1"/>
    <xf numFmtId="10" fontId="22" fillId="33" borderId="0" xfId="44" applyNumberFormat="1" applyFont="1" applyFill="1" applyBorder="1"/>
    <xf numFmtId="10" fontId="22" fillId="33" borderId="10" xfId="43" applyNumberFormat="1" applyFont="1" applyFill="1" applyBorder="1"/>
    <xf numFmtId="10" fontId="22" fillId="41" borderId="10" xfId="44" applyNumberFormat="1" applyFont="1" applyFill="1" applyBorder="1"/>
    <xf numFmtId="168" fontId="22" fillId="0" borderId="0" xfId="44" applyNumberFormat="1" applyFont="1" applyFill="1" applyBorder="1"/>
    <xf numFmtId="9" fontId="22" fillId="33" borderId="0" xfId="44" applyFont="1" applyFill="1" applyBorder="1"/>
    <xf numFmtId="165" fontId="22" fillId="0" borderId="0" xfId="43" applyNumberFormat="1" applyFont="1" applyBorder="1"/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29" fillId="43" borderId="12" xfId="0" applyNumberFormat="1" applyFont="1" applyFill="1" applyBorder="1" applyAlignment="1">
      <alignment horizontal="center"/>
    </xf>
    <xf numFmtId="0" fontId="29" fillId="0" borderId="0" xfId="0" applyNumberFormat="1" applyFont="1" applyFill="1" applyBorder="1" applyAlignment="1">
      <alignment horizontal="center"/>
    </xf>
    <xf numFmtId="0" fontId="29" fillId="43" borderId="0" xfId="0" applyNumberFormat="1" applyFont="1" applyFill="1" applyBorder="1" applyAlignment="1">
      <alignment horizontal="center"/>
    </xf>
    <xf numFmtId="0" fontId="22" fillId="43" borderId="0" xfId="0" applyNumberFormat="1" applyFont="1" applyFill="1" applyBorder="1"/>
    <xf numFmtId="0" fontId="22" fillId="40" borderId="0" xfId="44" applyNumberFormat="1" applyFont="1" applyFill="1" applyBorder="1"/>
    <xf numFmtId="0" fontId="22" fillId="0" borderId="0" xfId="44" applyNumberFormat="1" applyFont="1" applyFill="1" applyBorder="1"/>
    <xf numFmtId="0" fontId="22" fillId="33" borderId="10" xfId="44" applyNumberFormat="1" applyFont="1" applyFill="1" applyBorder="1"/>
    <xf numFmtId="0" fontId="22" fillId="39" borderId="12" xfId="44" applyNumberFormat="1" applyFont="1" applyFill="1" applyBorder="1"/>
    <xf numFmtId="0" fontId="22" fillId="36" borderId="26" xfId="44" applyNumberFormat="1" applyFont="1" applyFill="1" applyBorder="1"/>
    <xf numFmtId="0" fontId="22" fillId="33" borderId="12" xfId="44" applyNumberFormat="1" applyFont="1" applyFill="1" applyBorder="1"/>
    <xf numFmtId="0" fontId="22" fillId="36" borderId="10" xfId="44" applyNumberFormat="1" applyFont="1" applyFill="1" applyBorder="1"/>
    <xf numFmtId="0" fontId="22" fillId="38" borderId="10" xfId="44" applyNumberFormat="1" applyFont="1" applyFill="1" applyBorder="1"/>
    <xf numFmtId="0" fontId="22" fillId="0" borderId="0" xfId="44" applyNumberFormat="1" applyFont="1" applyBorder="1"/>
    <xf numFmtId="0" fontId="22" fillId="43" borderId="0" xfId="44" applyNumberFormat="1" applyFont="1" applyFill="1" applyBorder="1"/>
    <xf numFmtId="0" fontId="22" fillId="36" borderId="0" xfId="44" applyNumberFormat="1" applyFont="1" applyFill="1" applyBorder="1"/>
    <xf numFmtId="0" fontId="22" fillId="0" borderId="0" xfId="43" applyNumberFormat="1" applyFont="1" applyBorder="1"/>
    <xf numFmtId="0" fontId="22" fillId="35" borderId="10" xfId="44" applyNumberFormat="1" applyFont="1" applyFill="1" applyBorder="1"/>
    <xf numFmtId="0" fontId="22" fillId="0" borderId="0" xfId="0" applyNumberFormat="1" applyFont="1" applyFill="1" applyBorder="1"/>
    <xf numFmtId="0" fontId="22" fillId="40" borderId="0" xfId="43" applyNumberFormat="1" applyFont="1" applyFill="1" applyBorder="1"/>
    <xf numFmtId="0" fontId="22" fillId="0" borderId="0" xfId="43" applyNumberFormat="1" applyFont="1" applyFill="1" applyBorder="1"/>
    <xf numFmtId="0" fontId="22" fillId="33" borderId="12" xfId="43" applyNumberFormat="1" applyFont="1" applyFill="1" applyBorder="1"/>
    <xf numFmtId="0" fontId="22" fillId="33" borderId="11" xfId="44" applyNumberFormat="1" applyFont="1" applyFill="1" applyBorder="1"/>
    <xf numFmtId="0" fontId="22" fillId="33" borderId="0" xfId="44" applyNumberFormat="1" applyFont="1" applyFill="1" applyBorder="1"/>
    <xf numFmtId="0" fontId="22" fillId="33" borderId="10" xfId="43" applyNumberFormat="1" applyFont="1" applyFill="1" applyBorder="1"/>
    <xf numFmtId="0" fontId="22" fillId="41" borderId="10" xfId="44" applyNumberFormat="1" applyFont="1" applyFill="1" applyBorder="1"/>
    <xf numFmtId="0" fontId="21" fillId="43" borderId="0" xfId="0" applyNumberFormat="1" applyFont="1" applyFill="1" applyBorder="1" applyAlignment="1">
      <alignment horizontal="center"/>
    </xf>
    <xf numFmtId="0" fontId="0" fillId="43" borderId="0" xfId="0" applyNumberFormat="1" applyFill="1" applyBorder="1"/>
    <xf numFmtId="0" fontId="14" fillId="40" borderId="0" xfId="44" applyNumberFormat="1" applyFont="1" applyFill="1" applyBorder="1"/>
    <xf numFmtId="0" fontId="0" fillId="0" borderId="0" xfId="44" applyNumberFormat="1" applyFont="1" applyFill="1" applyBorder="1"/>
    <xf numFmtId="0" fontId="0" fillId="43" borderId="10" xfId="44" applyNumberFormat="1" applyFont="1" applyFill="1" applyBorder="1"/>
    <xf numFmtId="0" fontId="0" fillId="39" borderId="12" xfId="44" applyNumberFormat="1" applyFont="1" applyFill="1" applyBorder="1"/>
    <xf numFmtId="0" fontId="0" fillId="36" borderId="26" xfId="44" applyNumberFormat="1" applyFont="1" applyFill="1" applyBorder="1"/>
    <xf numFmtId="0" fontId="0" fillId="33" borderId="10" xfId="44" applyNumberFormat="1" applyFont="1" applyFill="1" applyBorder="1"/>
    <xf numFmtId="0" fontId="0" fillId="33" borderId="12" xfId="44" applyNumberFormat="1" applyFont="1" applyFill="1" applyBorder="1"/>
    <xf numFmtId="0" fontId="0" fillId="36" borderId="10" xfId="44" applyNumberFormat="1" applyFont="1" applyFill="1" applyBorder="1"/>
    <xf numFmtId="0" fontId="14" fillId="43" borderId="0" xfId="44" applyNumberFormat="1" applyFont="1" applyFill="1" applyBorder="1"/>
    <xf numFmtId="0" fontId="0" fillId="38" borderId="10" xfId="44" applyNumberFormat="1" applyFont="1" applyFill="1" applyBorder="1"/>
    <xf numFmtId="0" fontId="14" fillId="0" borderId="10" xfId="44" applyNumberFormat="1" applyFont="1" applyFill="1" applyBorder="1"/>
    <xf numFmtId="0" fontId="14" fillId="0" borderId="0" xfId="44" applyNumberFormat="1" applyFont="1" applyBorder="1"/>
    <xf numFmtId="0" fontId="0" fillId="43" borderId="0" xfId="44" applyNumberFormat="1" applyFont="1" applyFill="1" applyBorder="1"/>
    <xf numFmtId="0" fontId="0" fillId="36" borderId="0" xfId="44" applyNumberFormat="1" applyFont="1" applyFill="1" applyBorder="1"/>
    <xf numFmtId="0" fontId="0" fillId="0" borderId="0" xfId="44" applyNumberFormat="1" applyFont="1" applyBorder="1"/>
    <xf numFmtId="0" fontId="14" fillId="35" borderId="10" xfId="44" applyNumberFormat="1" applyFont="1" applyFill="1" applyBorder="1"/>
    <xf numFmtId="0" fontId="0" fillId="0" borderId="0" xfId="0" applyNumberFormat="1" applyFill="1" applyBorder="1"/>
    <xf numFmtId="0" fontId="0" fillId="40" borderId="0" xfId="43" applyNumberFormat="1" applyFont="1" applyFill="1" applyBorder="1"/>
    <xf numFmtId="0" fontId="22" fillId="43" borderId="10" xfId="44" applyNumberFormat="1" applyFont="1" applyFill="1" applyBorder="1"/>
    <xf numFmtId="0" fontId="22" fillId="0" borderId="10" xfId="44" applyNumberFormat="1" applyFont="1" applyFill="1" applyBorder="1"/>
    <xf numFmtId="4" fontId="22" fillId="0" borderId="0" xfId="44" applyNumberFormat="1" applyFont="1" applyFill="1" applyBorder="1"/>
    <xf numFmtId="0" fontId="14" fillId="40" borderId="0" xfId="43" applyNumberFormat="1" applyFont="1" applyFill="1" applyBorder="1"/>
    <xf numFmtId="0" fontId="0" fillId="0" borderId="0" xfId="43" applyNumberFormat="1" applyFont="1" applyFill="1" applyBorder="1"/>
    <xf numFmtId="0" fontId="0" fillId="33" borderId="12" xfId="43" applyNumberFormat="1" applyFont="1" applyFill="1" applyBorder="1"/>
    <xf numFmtId="0" fontId="0" fillId="33" borderId="11" xfId="44" applyNumberFormat="1" applyFont="1" applyFill="1" applyBorder="1"/>
    <xf numFmtId="0" fontId="0" fillId="33" borderId="0" xfId="44" applyNumberFormat="1" applyFont="1" applyFill="1" applyBorder="1"/>
    <xf numFmtId="0" fontId="0" fillId="33" borderId="10" xfId="43" applyNumberFormat="1" applyFont="1" applyFill="1" applyBorder="1"/>
    <xf numFmtId="0" fontId="14" fillId="41" borderId="10" xfId="44" applyNumberFormat="1" applyFont="1" applyFill="1" applyBorder="1"/>
    <xf numFmtId="2" fontId="14" fillId="0" borderId="0" xfId="44" applyNumberFormat="1" applyFont="1" applyFill="1" applyBorder="1"/>
    <xf numFmtId="2" fontId="29" fillId="0" borderId="0" xfId="0" applyNumberFormat="1" applyFont="1" applyFill="1" applyBorder="1" applyAlignment="1">
      <alignment horizontal="center"/>
    </xf>
    <xf numFmtId="2" fontId="21" fillId="43" borderId="0" xfId="0" applyNumberFormat="1" applyFont="1" applyFill="1" applyBorder="1" applyAlignment="1">
      <alignment horizontal="center"/>
    </xf>
    <xf numFmtId="2" fontId="29" fillId="43" borderId="12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2" fontId="14" fillId="0" borderId="10" xfId="44" applyNumberFormat="1" applyFont="1" applyFill="1" applyBorder="1"/>
    <xf numFmtId="2" fontId="14" fillId="0" borderId="12" xfId="44" applyNumberFormat="1" applyFont="1" applyFill="1" applyBorder="1"/>
    <xf numFmtId="2" fontId="0" fillId="0" borderId="10" xfId="44" applyNumberFormat="1" applyFont="1" applyFill="1" applyBorder="1"/>
    <xf numFmtId="2" fontId="0" fillId="0" borderId="10" xfId="43" applyNumberFormat="1" applyFont="1" applyFill="1" applyBorder="1"/>
    <xf numFmtId="2" fontId="0" fillId="0" borderId="0" xfId="43" applyNumberFormat="1" applyFont="1" applyFill="1" applyBorder="1"/>
    <xf numFmtId="2" fontId="29" fillId="43" borderId="0" xfId="0" applyNumberFormat="1" applyFont="1" applyFill="1" applyBorder="1" applyAlignment="1">
      <alignment horizontal="center"/>
    </xf>
    <xf numFmtId="2" fontId="22" fillId="43" borderId="0" xfId="0" applyNumberFormat="1" applyFont="1" applyFill="1" applyBorder="1"/>
    <xf numFmtId="2" fontId="22" fillId="40" borderId="0" xfId="44" applyNumberFormat="1" applyFont="1" applyFill="1" applyBorder="1"/>
    <xf numFmtId="2" fontId="22" fillId="0" borderId="0" xfId="44" applyNumberFormat="1" applyFont="1" applyFill="1" applyBorder="1"/>
    <xf numFmtId="2" fontId="22" fillId="43" borderId="10" xfId="44" applyNumberFormat="1" applyFont="1" applyFill="1" applyBorder="1"/>
    <xf numFmtId="2" fontId="22" fillId="39" borderId="12" xfId="44" applyNumberFormat="1" applyFont="1" applyFill="1" applyBorder="1"/>
    <xf numFmtId="2" fontId="22" fillId="36" borderId="26" xfId="44" applyNumberFormat="1" applyFont="1" applyFill="1" applyBorder="1"/>
    <xf numFmtId="2" fontId="22" fillId="33" borderId="10" xfId="44" applyNumberFormat="1" applyFont="1" applyFill="1" applyBorder="1"/>
    <xf numFmtId="2" fontId="22" fillId="33" borderId="12" xfId="44" applyNumberFormat="1" applyFont="1" applyFill="1" applyBorder="1"/>
    <xf numFmtId="2" fontId="22" fillId="36" borderId="10" xfId="44" applyNumberFormat="1" applyFont="1" applyFill="1" applyBorder="1"/>
    <xf numFmtId="2" fontId="22" fillId="0" borderId="0" xfId="0" applyNumberFormat="1" applyFont="1" applyFill="1" applyBorder="1"/>
    <xf numFmtId="2" fontId="22" fillId="38" borderId="10" xfId="44" applyNumberFormat="1" applyFont="1" applyFill="1" applyBorder="1"/>
    <xf numFmtId="2" fontId="22" fillId="0" borderId="10" xfId="44" applyNumberFormat="1" applyFont="1" applyFill="1" applyBorder="1"/>
    <xf numFmtId="2" fontId="22" fillId="0" borderId="0" xfId="44" applyNumberFormat="1" applyFont="1" applyBorder="1"/>
    <xf numFmtId="2" fontId="22" fillId="43" borderId="0" xfId="44" applyNumberFormat="1" applyFont="1" applyFill="1" applyBorder="1"/>
    <xf numFmtId="2" fontId="22" fillId="36" borderId="0" xfId="44" applyNumberFormat="1" applyFont="1" applyFill="1" applyBorder="1"/>
    <xf numFmtId="2" fontId="22" fillId="35" borderId="10" xfId="44" applyNumberFormat="1" applyFont="1" applyFill="1" applyBorder="1"/>
    <xf numFmtId="2" fontId="22" fillId="36" borderId="0" xfId="0" applyNumberFormat="1" applyFont="1" applyFill="1" applyBorder="1"/>
    <xf numFmtId="43" fontId="14" fillId="0" borderId="0" xfId="44" applyNumberFormat="1" applyFont="1" applyBorder="1"/>
    <xf numFmtId="4" fontId="0" fillId="0" borderId="29" xfId="0" applyNumberFormat="1" applyFont="1" applyBorder="1"/>
    <xf numFmtId="4" fontId="0" fillId="0" borderId="29" xfId="0" applyNumberFormat="1" applyFill="1" applyBorder="1" applyAlignment="1">
      <alignment horizontal="right"/>
    </xf>
    <xf numFmtId="4" fontId="0" fillId="0" borderId="0" xfId="0" applyNumberFormat="1" applyFont="1" applyBorder="1"/>
    <xf numFmtId="10" fontId="14" fillId="0" borderId="14" xfId="44" applyNumberFormat="1" applyFont="1" applyFill="1" applyBorder="1"/>
    <xf numFmtId="4" fontId="0" fillId="0" borderId="19" xfId="0" applyNumberFormat="1" applyFont="1" applyBorder="1"/>
    <xf numFmtId="43" fontId="0" fillId="44" borderId="0" xfId="0" applyNumberFormat="1" applyFill="1"/>
    <xf numFmtId="0" fontId="16" fillId="40" borderId="12" xfId="0" applyFont="1" applyFill="1" applyBorder="1"/>
    <xf numFmtId="43" fontId="0" fillId="40" borderId="12" xfId="43" applyFont="1" applyFill="1" applyBorder="1"/>
    <xf numFmtId="0" fontId="32" fillId="0" borderId="29" xfId="0" applyFont="1" applyBorder="1"/>
    <xf numFmtId="0" fontId="32" fillId="0" borderId="0" xfId="0" applyFont="1" applyBorder="1"/>
    <xf numFmtId="10" fontId="14" fillId="0" borderId="28" xfId="44" applyNumberFormat="1" applyFont="1" applyFill="1" applyBorder="1"/>
    <xf numFmtId="165" fontId="19" fillId="36" borderId="10" xfId="0" applyNumberFormat="1" applyFont="1" applyFill="1" applyBorder="1"/>
    <xf numFmtId="43" fontId="0" fillId="0" borderId="0" xfId="0" applyNumberFormat="1"/>
    <xf numFmtId="3" fontId="0" fillId="44" borderId="0" xfId="0" applyNumberFormat="1" applyFill="1"/>
    <xf numFmtId="43" fontId="0" fillId="44" borderId="0" xfId="43" applyFont="1" applyFill="1"/>
    <xf numFmtId="166" fontId="14" fillId="35" borderId="16" xfId="44" applyNumberFormat="1" applyFont="1" applyFill="1" applyBorder="1"/>
    <xf numFmtId="166" fontId="0" fillId="33" borderId="14" xfId="44" applyNumberFormat="1" applyFont="1" applyFill="1" applyBorder="1"/>
    <xf numFmtId="43" fontId="0" fillId="51" borderId="0" xfId="43" applyFont="1" applyFill="1"/>
    <xf numFmtId="43" fontId="22" fillId="50" borderId="19" xfId="43" applyNumberFormat="1" applyFont="1" applyFill="1" applyBorder="1"/>
    <xf numFmtId="43" fontId="22" fillId="50" borderId="19" xfId="43" applyFont="1" applyFill="1" applyBorder="1"/>
    <xf numFmtId="49" fontId="14" fillId="0" borderId="0" xfId="44" applyNumberFormat="1" applyFont="1" applyFill="1" applyBorder="1"/>
    <xf numFmtId="0" fontId="19" fillId="40" borderId="0" xfId="42" applyFont="1" applyFill="1" applyAlignment="1">
      <alignment horizontal="left"/>
    </xf>
    <xf numFmtId="0" fontId="19" fillId="40" borderId="0" xfId="42" applyFont="1" applyFill="1" applyBorder="1" applyAlignment="1">
      <alignment horizontal="left"/>
    </xf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32" fillId="40" borderId="0" xfId="0" applyFont="1" applyFill="1" applyBorder="1" applyAlignment="1">
      <alignment horizontal="center"/>
    </xf>
    <xf numFmtId="43" fontId="0" fillId="40" borderId="0" xfId="43" applyFont="1" applyFill="1" applyBorder="1"/>
    <xf numFmtId="10" fontId="14" fillId="0" borderId="14" xfId="44" applyNumberFormat="1" applyFont="1" applyFill="1" applyBorder="1"/>
    <xf numFmtId="43" fontId="0" fillId="0" borderId="19" xfId="43" applyNumberFormat="1" applyFont="1" applyFill="1" applyBorder="1"/>
    <xf numFmtId="43" fontId="0" fillId="0" borderId="19" xfId="43" applyFont="1" applyFill="1" applyBorder="1"/>
    <xf numFmtId="43" fontId="0" fillId="50" borderId="0" xfId="43" applyFont="1" applyFill="1"/>
    <xf numFmtId="43" fontId="0" fillId="50" borderId="19" xfId="43" applyFont="1" applyFill="1" applyBorder="1"/>
    <xf numFmtId="43" fontId="22" fillId="50" borderId="29" xfId="43" applyFont="1" applyFill="1" applyBorder="1"/>
    <xf numFmtId="43" fontId="22" fillId="50" borderId="29" xfId="43" applyNumberFormat="1" applyFont="1" applyFill="1" applyBorder="1"/>
    <xf numFmtId="0" fontId="19" fillId="0" borderId="0" xfId="48" applyFont="1" applyAlignment="1">
      <alignment horizontal="left"/>
    </xf>
    <xf numFmtId="0" fontId="19" fillId="0" borderId="0" xfId="48" applyFont="1" applyAlignment="1">
      <alignment horizontal="left"/>
    </xf>
    <xf numFmtId="4" fontId="19" fillId="0" borderId="0" xfId="48" applyNumberFormat="1" applyFont="1" applyAlignment="1">
      <alignment horizontal="right"/>
    </xf>
    <xf numFmtId="0" fontId="19" fillId="0" borderId="0" xfId="48" applyFont="1" applyAlignment="1">
      <alignment horizontal="left"/>
    </xf>
    <xf numFmtId="0" fontId="19" fillId="0" borderId="0" xfId="48" applyFont="1" applyAlignment="1">
      <alignment horizontal="left"/>
    </xf>
    <xf numFmtId="4" fontId="19" fillId="0" borderId="0" xfId="48" applyNumberFormat="1" applyFont="1" applyAlignment="1">
      <alignment horizontal="right"/>
    </xf>
    <xf numFmtId="0" fontId="0" fillId="40" borderId="11" xfId="0" applyFill="1" applyBorder="1"/>
    <xf numFmtId="43" fontId="0" fillId="40" borderId="11" xfId="43" applyFont="1" applyFill="1" applyBorder="1"/>
    <xf numFmtId="43" fontId="16" fillId="0" borderId="0" xfId="0" applyNumberFormat="1" applyFont="1" applyFill="1" applyBorder="1"/>
    <xf numFmtId="10" fontId="22" fillId="0" borderId="0" xfId="0" applyNumberFormat="1" applyFont="1" applyFill="1" applyBorder="1"/>
    <xf numFmtId="4" fontId="0" fillId="0" borderId="0" xfId="0" applyNumberFormat="1" applyFill="1" applyBorder="1"/>
    <xf numFmtId="2" fontId="22" fillId="0" borderId="0" xfId="43" applyNumberFormat="1" applyFont="1" applyFill="1" applyBorder="1"/>
    <xf numFmtId="43" fontId="22" fillId="0" borderId="0" xfId="43" applyFont="1" applyFill="1" applyBorder="1"/>
    <xf numFmtId="0" fontId="16" fillId="0" borderId="0" xfId="0" applyFont="1" applyFill="1" applyBorder="1"/>
    <xf numFmtId="43" fontId="16" fillId="0" borderId="0" xfId="43" applyFont="1" applyFill="1" applyBorder="1"/>
    <xf numFmtId="10" fontId="21" fillId="0" borderId="0" xfId="44" applyNumberFormat="1" applyFont="1" applyFill="1" applyBorder="1"/>
    <xf numFmtId="43" fontId="22" fillId="0" borderId="0" xfId="0" applyNumberFormat="1" applyFont="1" applyFill="1" applyBorder="1"/>
    <xf numFmtId="0" fontId="20" fillId="0" borderId="10" xfId="42" applyFont="1" applyFill="1" applyBorder="1" applyAlignment="1">
      <alignment horizontal="left"/>
    </xf>
    <xf numFmtId="0" fontId="20" fillId="0" borderId="16" xfId="42" applyFont="1" applyFill="1" applyBorder="1" applyAlignment="1">
      <alignment horizontal="left"/>
    </xf>
    <xf numFmtId="0" fontId="13" fillId="35" borderId="23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43" fontId="1" fillId="50" borderId="0" xfId="43" applyFont="1" applyFill="1" applyBorder="1"/>
    <xf numFmtId="169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169" fontId="0" fillId="0" borderId="0" xfId="0" applyNumberFormat="1" applyFill="1" applyBorder="1"/>
    <xf numFmtId="49" fontId="22" fillId="0" borderId="0" xfId="44" applyNumberFormat="1" applyFont="1" applyFill="1" applyBorder="1"/>
    <xf numFmtId="49" fontId="0" fillId="0" borderId="0" xfId="0" applyNumberFormat="1"/>
    <xf numFmtId="0" fontId="19" fillId="52" borderId="0" xfId="42" applyFont="1" applyFill="1" applyAlignment="1">
      <alignment horizontal="left"/>
    </xf>
    <xf numFmtId="0" fontId="19" fillId="52" borderId="0" xfId="42" applyFont="1" applyFill="1" applyBorder="1" applyAlignment="1">
      <alignment horizontal="left"/>
    </xf>
    <xf numFmtId="0" fontId="0" fillId="40" borderId="10" xfId="0" applyFill="1" applyBorder="1"/>
    <xf numFmtId="0" fontId="20" fillId="40" borderId="10" xfId="42" applyFont="1" applyFill="1" applyBorder="1" applyAlignment="1">
      <alignment horizontal="left"/>
    </xf>
    <xf numFmtId="0" fontId="19" fillId="52" borderId="0" xfId="0" applyFont="1" applyFill="1" applyAlignment="1">
      <alignment horizontal="left"/>
    </xf>
    <xf numFmtId="0" fontId="0" fillId="52" borderId="10" xfId="0" applyFill="1" applyBorder="1"/>
    <xf numFmtId="0" fontId="20" fillId="52" borderId="10" xfId="42" applyFont="1" applyFill="1" applyBorder="1" applyAlignment="1">
      <alignment horizontal="left"/>
    </xf>
    <xf numFmtId="4" fontId="14" fillId="0" borderId="0" xfId="44" applyNumberFormat="1" applyFont="1" applyFill="1" applyBorder="1"/>
    <xf numFmtId="43" fontId="22" fillId="44" borderId="29" xfId="43" applyFont="1" applyFill="1" applyBorder="1"/>
    <xf numFmtId="10" fontId="14" fillId="44" borderId="29" xfId="44" applyNumberFormat="1" applyFont="1" applyFill="1" applyBorder="1"/>
    <xf numFmtId="10" fontId="14" fillId="43" borderId="29" xfId="44" applyNumberFormat="1" applyFont="1" applyFill="1" applyBorder="1"/>
    <xf numFmtId="43" fontId="0" fillId="37" borderId="29" xfId="43" applyFont="1" applyFill="1" applyBorder="1"/>
    <xf numFmtId="10" fontId="14" fillId="37" borderId="29" xfId="44" applyNumberFormat="1" applyFont="1" applyFill="1" applyBorder="1"/>
    <xf numFmtId="166" fontId="14" fillId="37" borderId="29" xfId="44" applyNumberFormat="1" applyFont="1" applyFill="1" applyBorder="1"/>
    <xf numFmtId="165" fontId="0" fillId="44" borderId="22" xfId="43" applyNumberFormat="1" applyFont="1" applyFill="1" applyBorder="1"/>
    <xf numFmtId="10" fontId="14" fillId="33" borderId="29" xfId="44" applyNumberFormat="1" applyFont="1" applyFill="1" applyBorder="1"/>
    <xf numFmtId="4" fontId="0" fillId="0" borderId="19" xfId="0" applyNumberFormat="1" applyFont="1" applyFill="1" applyBorder="1"/>
    <xf numFmtId="4" fontId="0" fillId="0" borderId="18" xfId="0" applyNumberFormat="1" applyFont="1" applyBorder="1"/>
    <xf numFmtId="165" fontId="0" fillId="44" borderId="0" xfId="0" applyNumberFormat="1" applyFill="1"/>
    <xf numFmtId="43" fontId="22" fillId="33" borderId="0" xfId="43" applyFont="1" applyFill="1" applyBorder="1"/>
    <xf numFmtId="0" fontId="28" fillId="0" borderId="0" xfId="42" applyFont="1" applyFill="1" applyAlignment="1">
      <alignment horizontal="left"/>
    </xf>
    <xf numFmtId="0" fontId="19" fillId="0" borderId="14" xfId="0" applyFont="1" applyFill="1" applyBorder="1" applyAlignment="1">
      <alignment horizontal="left"/>
    </xf>
    <xf numFmtId="0" fontId="22" fillId="0" borderId="14" xfId="0" applyFont="1" applyFill="1" applyBorder="1"/>
    <xf numFmtId="165" fontId="14" fillId="0" borderId="14" xfId="43" applyNumberFormat="1" applyFont="1" applyFill="1" applyBorder="1"/>
    <xf numFmtId="4" fontId="19" fillId="0" borderId="0" xfId="48" applyNumberFormat="1" applyFont="1" applyFill="1" applyAlignment="1">
      <alignment horizontal="right"/>
    </xf>
    <xf numFmtId="0" fontId="14" fillId="0" borderId="29" xfId="0" applyFont="1" applyFill="1" applyBorder="1"/>
    <xf numFmtId="0" fontId="22" fillId="0" borderId="29" xfId="0" applyFont="1" applyFill="1" applyBorder="1"/>
    <xf numFmtId="165" fontId="1" fillId="0" borderId="0" xfId="43" applyNumberFormat="1" applyFont="1" applyFill="1"/>
    <xf numFmtId="43" fontId="0" fillId="40" borderId="21" xfId="0" applyNumberFormat="1" applyFill="1" applyBorder="1"/>
    <xf numFmtId="4" fontId="0" fillId="0" borderId="0" xfId="0" applyNumberFormat="1" applyFont="1" applyFill="1" applyBorder="1"/>
    <xf numFmtId="4" fontId="19" fillId="0" borderId="0" xfId="50" applyNumberFormat="1" applyFont="1" applyAlignment="1">
      <alignment horizontal="right"/>
    </xf>
    <xf numFmtId="4" fontId="0" fillId="50" borderId="0" xfId="0" applyNumberFormat="1" applyFont="1" applyFill="1" applyBorder="1"/>
    <xf numFmtId="43" fontId="19" fillId="0" borderId="0" xfId="43" applyFont="1" applyFill="1" applyBorder="1" applyAlignment="1">
      <alignment horizontal="left"/>
    </xf>
    <xf numFmtId="43" fontId="14" fillId="0" borderId="14" xfId="43" applyFont="1" applyFill="1" applyBorder="1"/>
    <xf numFmtId="43" fontId="22" fillId="44" borderId="0" xfId="43" applyFont="1" applyFill="1"/>
    <xf numFmtId="43" fontId="14" fillId="44" borderId="14" xfId="43" applyFont="1" applyFill="1" applyBorder="1"/>
    <xf numFmtId="43" fontId="22" fillId="43" borderId="0" xfId="43" applyFont="1" applyFill="1"/>
    <xf numFmtId="43" fontId="14" fillId="43" borderId="14" xfId="43" applyFont="1" applyFill="1" applyBorder="1"/>
    <xf numFmtId="43" fontId="20" fillId="36" borderId="10" xfId="43" applyFont="1" applyFill="1" applyBorder="1"/>
    <xf numFmtId="43" fontId="0" fillId="36" borderId="16" xfId="43" applyFont="1" applyFill="1" applyBorder="1"/>
    <xf numFmtId="43" fontId="19" fillId="36" borderId="10" xfId="43" applyFont="1" applyFill="1" applyBorder="1"/>
    <xf numFmtId="0" fontId="0" fillId="0" borderId="0" xfId="43" applyNumberFormat="1" applyFont="1" applyFill="1"/>
    <xf numFmtId="4" fontId="37" fillId="0" borderId="0" xfId="0" applyNumberFormat="1" applyFont="1" applyBorder="1"/>
    <xf numFmtId="0" fontId="37" fillId="0" borderId="0" xfId="0" applyFont="1" applyBorder="1"/>
    <xf numFmtId="4" fontId="37" fillId="0" borderId="29" xfId="43" applyNumberFormat="1" applyFont="1" applyBorder="1"/>
    <xf numFmtId="0" fontId="38" fillId="0" borderId="0" xfId="0" applyFont="1" applyBorder="1"/>
    <xf numFmtId="10" fontId="37" fillId="0" borderId="0" xfId="44" applyNumberFormat="1" applyFont="1" applyBorder="1"/>
    <xf numFmtId="43" fontId="37" fillId="0" borderId="0" xfId="43" applyFont="1" applyBorder="1"/>
    <xf numFmtId="43" fontId="37" fillId="0" borderId="0" xfId="0" applyNumberFormat="1" applyFont="1" applyFill="1" applyBorder="1"/>
    <xf numFmtId="0" fontId="38" fillId="40" borderId="29" xfId="0" applyFont="1" applyFill="1" applyBorder="1" applyAlignment="1">
      <alignment horizontal="center"/>
    </xf>
    <xf numFmtId="0" fontId="38" fillId="40" borderId="0" xfId="0" applyFont="1" applyFill="1" applyBorder="1"/>
    <xf numFmtId="4" fontId="37" fillId="0" borderId="29" xfId="44" applyNumberFormat="1" applyFont="1" applyBorder="1"/>
    <xf numFmtId="4" fontId="0" fillId="0" borderId="0" xfId="44" applyNumberFormat="1" applyFont="1" applyFill="1" applyBorder="1"/>
    <xf numFmtId="4" fontId="32" fillId="0" borderId="11" xfId="43" applyNumberFormat="1" applyFont="1" applyBorder="1"/>
    <xf numFmtId="4" fontId="32" fillId="0" borderId="0" xfId="44" applyNumberFormat="1" applyFont="1" applyBorder="1"/>
    <xf numFmtId="4" fontId="38" fillId="0" borderId="11" xfId="43" applyNumberFormat="1" applyFont="1" applyBorder="1"/>
    <xf numFmtId="4" fontId="37" fillId="0" borderId="0" xfId="44" applyNumberFormat="1" applyFont="1" applyBorder="1"/>
    <xf numFmtId="4" fontId="37" fillId="0" borderId="0" xfId="43" applyNumberFormat="1" applyFont="1" applyBorder="1"/>
    <xf numFmtId="4" fontId="38" fillId="0" borderId="10" xfId="43" applyNumberFormat="1" applyFont="1" applyBorder="1"/>
    <xf numFmtId="43" fontId="0" fillId="39" borderId="12" xfId="43" applyFont="1" applyFill="1" applyBorder="1"/>
    <xf numFmtId="43" fontId="0" fillId="49" borderId="12" xfId="43" applyFont="1" applyFill="1" applyBorder="1"/>
    <xf numFmtId="43" fontId="13" fillId="35" borderId="18" xfId="43" applyFont="1" applyFill="1" applyBorder="1" applyAlignment="1">
      <alignment horizontal="center"/>
    </xf>
    <xf numFmtId="43" fontId="13" fillId="35" borderId="29" xfId="43" applyFont="1" applyFill="1" applyBorder="1" applyAlignment="1">
      <alignment horizontal="center"/>
    </xf>
    <xf numFmtId="43" fontId="0" fillId="41" borderId="21" xfId="43" applyFont="1" applyFill="1" applyBorder="1"/>
    <xf numFmtId="0" fontId="20" fillId="33" borderId="12" xfId="0" applyFont="1" applyFill="1" applyBorder="1" applyAlignment="1"/>
    <xf numFmtId="4" fontId="14" fillId="0" borderId="10" xfId="44" applyNumberFormat="1" applyFont="1" applyFill="1" applyBorder="1"/>
    <xf numFmtId="0" fontId="40" fillId="36" borderId="26" xfId="0" applyFont="1" applyFill="1" applyBorder="1"/>
    <xf numFmtId="165" fontId="0" fillId="0" borderId="0" xfId="0" applyNumberFormat="1"/>
    <xf numFmtId="10" fontId="14" fillId="50" borderId="14" xfId="44" applyNumberFormat="1" applyFont="1" applyFill="1" applyBorder="1"/>
    <xf numFmtId="43" fontId="1" fillId="0" borderId="19" xfId="43" applyNumberFormat="1" applyFont="1" applyFill="1" applyBorder="1"/>
    <xf numFmtId="0" fontId="13" fillId="46" borderId="11" xfId="0" applyFont="1" applyFill="1" applyBorder="1" applyAlignment="1">
      <alignment horizontal="center"/>
    </xf>
    <xf numFmtId="0" fontId="13" fillId="46" borderId="11" xfId="0" applyFont="1" applyFill="1" applyBorder="1" applyAlignment="1">
      <alignment horizontal="center"/>
    </xf>
    <xf numFmtId="0" fontId="13" fillId="46" borderId="29" xfId="0" applyFont="1" applyFill="1" applyBorder="1" applyAlignment="1">
      <alignment horizontal="center"/>
    </xf>
    <xf numFmtId="43" fontId="1" fillId="35" borderId="10" xfId="43" applyFont="1" applyFill="1" applyBorder="1"/>
    <xf numFmtId="4" fontId="0" fillId="0" borderId="29" xfId="0" applyNumberFormat="1" applyBorder="1"/>
    <xf numFmtId="0" fontId="29" fillId="0" borderId="29" xfId="0" applyNumberFormat="1" applyFont="1" applyFill="1" applyBorder="1" applyAlignment="1">
      <alignment horizontal="center"/>
    </xf>
    <xf numFmtId="0" fontId="0" fillId="0" borderId="29" xfId="0" applyFill="1" applyBorder="1" applyAlignment="1"/>
    <xf numFmtId="0" fontId="29" fillId="43" borderId="29" xfId="0" applyNumberFormat="1" applyFont="1" applyFill="1" applyBorder="1" applyAlignment="1">
      <alignment horizontal="center"/>
    </xf>
    <xf numFmtId="0" fontId="22" fillId="43" borderId="29" xfId="0" applyNumberFormat="1" applyFont="1" applyFill="1" applyBorder="1"/>
    <xf numFmtId="0" fontId="22" fillId="40" borderId="29" xfId="43" applyNumberFormat="1" applyFont="1" applyFill="1" applyBorder="1"/>
    <xf numFmtId="0" fontId="22" fillId="0" borderId="29" xfId="44" applyNumberFormat="1" applyFont="1" applyFill="1" applyBorder="1"/>
    <xf numFmtId="0" fontId="22" fillId="33" borderId="29" xfId="44" applyNumberFormat="1" applyFont="1" applyFill="1" applyBorder="1"/>
    <xf numFmtId="0" fontId="22" fillId="0" borderId="29" xfId="43" applyNumberFormat="1" applyFont="1" applyFill="1" applyBorder="1"/>
    <xf numFmtId="0" fontId="22" fillId="33" borderId="29" xfId="43" applyNumberFormat="1" applyFont="1" applyFill="1" applyBorder="1"/>
    <xf numFmtId="0" fontId="22" fillId="36" borderId="29" xfId="44" applyNumberFormat="1" applyFont="1" applyFill="1" applyBorder="1"/>
    <xf numFmtId="2" fontId="14" fillId="0" borderId="29" xfId="44" applyNumberFormat="1" applyFont="1" applyFill="1" applyBorder="1"/>
    <xf numFmtId="0" fontId="14" fillId="0" borderId="29" xfId="44" applyNumberFormat="1" applyFont="1" applyFill="1" applyBorder="1"/>
    <xf numFmtId="49" fontId="14" fillId="0" borderId="29" xfId="44" applyNumberFormat="1" applyFont="1" applyFill="1" applyBorder="1"/>
    <xf numFmtId="2" fontId="22" fillId="0" borderId="29" xfId="44" applyNumberFormat="1" applyFont="1" applyFill="1" applyBorder="1"/>
    <xf numFmtId="10" fontId="22" fillId="0" borderId="29" xfId="44" applyNumberFormat="1" applyFont="1" applyFill="1" applyBorder="1"/>
    <xf numFmtId="0" fontId="22" fillId="38" borderId="29" xfId="44" applyNumberFormat="1" applyFont="1" applyFill="1" applyBorder="1"/>
    <xf numFmtId="0" fontId="22" fillId="41" borderId="29" xfId="44" applyNumberFormat="1" applyFont="1" applyFill="1" applyBorder="1"/>
    <xf numFmtId="0" fontId="22" fillId="0" borderId="29" xfId="44" applyNumberFormat="1" applyFont="1" applyBorder="1"/>
    <xf numFmtId="0" fontId="22" fillId="43" borderId="29" xfId="44" applyNumberFormat="1" applyFont="1" applyFill="1" applyBorder="1"/>
    <xf numFmtId="0" fontId="22" fillId="0" borderId="29" xfId="43" applyNumberFormat="1" applyFont="1" applyBorder="1"/>
    <xf numFmtId="0" fontId="22" fillId="35" borderId="29" xfId="44" applyNumberFormat="1" applyFont="1" applyFill="1" applyBorder="1"/>
    <xf numFmtId="0" fontId="0" fillId="36" borderId="29" xfId="0" applyFill="1" applyBorder="1"/>
    <xf numFmtId="165" fontId="20" fillId="36" borderId="29" xfId="0" applyNumberFormat="1" applyFont="1" applyFill="1" applyBorder="1"/>
    <xf numFmtId="10" fontId="0" fillId="36" borderId="29" xfId="0" applyNumberFormat="1" applyFill="1" applyBorder="1"/>
    <xf numFmtId="43" fontId="0" fillId="36" borderId="29" xfId="0" applyNumberFormat="1" applyFill="1" applyBorder="1"/>
    <xf numFmtId="2" fontId="0" fillId="0" borderId="29" xfId="0" applyNumberFormat="1" applyFill="1" applyBorder="1"/>
    <xf numFmtId="43" fontId="16" fillId="0" borderId="29" xfId="0" applyNumberFormat="1" applyFont="1" applyBorder="1"/>
    <xf numFmtId="0" fontId="22" fillId="0" borderId="29" xfId="0" applyNumberFormat="1" applyFont="1" applyFill="1" applyBorder="1"/>
    <xf numFmtId="169" fontId="0" fillId="0" borderId="29" xfId="0" applyNumberFormat="1" applyFill="1" applyBorder="1"/>
    <xf numFmtId="43" fontId="21" fillId="0" borderId="29" xfId="0" applyNumberFormat="1" applyFont="1" applyFill="1" applyBorder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 applyFill="1" applyBorder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43" fontId="0" fillId="0" borderId="0" xfId="0" applyNumberFormat="1"/>
    <xf numFmtId="0" fontId="19" fillId="0" borderId="0" xfId="43" applyNumberFormat="1" applyFont="1" applyFill="1" applyAlignment="1">
      <alignment horizontal="left"/>
    </xf>
    <xf numFmtId="10" fontId="14" fillId="33" borderId="14" xfId="44" applyNumberFormat="1" applyFont="1" applyFill="1" applyBorder="1"/>
    <xf numFmtId="0" fontId="13" fillId="35" borderId="0" xfId="0" applyFont="1" applyFill="1"/>
    <xf numFmtId="0" fontId="13" fillId="35" borderId="29" xfId="0" applyFont="1" applyFill="1" applyBorder="1"/>
    <xf numFmtId="4" fontId="14" fillId="0" borderId="14" xfId="44" applyNumberFormat="1" applyFont="1" applyFill="1" applyBorder="1"/>
    <xf numFmtId="4" fontId="0" fillId="0" borderId="0" xfId="43" applyNumberFormat="1" applyFont="1"/>
    <xf numFmtId="4" fontId="0" fillId="0" borderId="31" xfId="0" applyNumberFormat="1" applyFont="1" applyBorder="1"/>
    <xf numFmtId="4" fontId="0" fillId="0" borderId="19" xfId="0" applyNumberFormat="1" applyFill="1" applyBorder="1"/>
    <xf numFmtId="10" fontId="14" fillId="0" borderId="32" xfId="44" applyNumberFormat="1" applyFont="1" applyFill="1" applyBorder="1"/>
    <xf numFmtId="0" fontId="35" fillId="0" borderId="11" xfId="0" applyFont="1" applyFill="1" applyBorder="1" applyAlignment="1">
      <alignment horizontal="center"/>
    </xf>
    <xf numFmtId="0" fontId="35" fillId="0" borderId="28" xfId="0" applyFont="1" applyFill="1" applyBorder="1" applyAlignment="1">
      <alignment horizontal="center"/>
    </xf>
    <xf numFmtId="0" fontId="21" fillId="44" borderId="11" xfId="0" applyFont="1" applyFill="1" applyBorder="1" applyAlignment="1">
      <alignment horizontal="center"/>
    </xf>
    <xf numFmtId="0" fontId="21" fillId="43" borderId="11" xfId="0" applyFont="1" applyFill="1" applyBorder="1" applyAlignment="1">
      <alignment horizontal="center"/>
    </xf>
    <xf numFmtId="0" fontId="27" fillId="35" borderId="11" xfId="0" applyFont="1" applyFill="1" applyBorder="1" applyAlignment="1">
      <alignment horizontal="center"/>
    </xf>
    <xf numFmtId="0" fontId="27" fillId="46" borderId="11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13" fillId="35" borderId="25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3" fillId="46" borderId="11" xfId="0" applyFont="1" applyFill="1" applyBorder="1" applyAlignment="1">
      <alignment horizontal="center"/>
    </xf>
    <xf numFmtId="0" fontId="35" fillId="0" borderId="29" xfId="0" applyFont="1" applyFill="1" applyBorder="1" applyAlignment="1">
      <alignment horizontal="center"/>
    </xf>
    <xf numFmtId="0" fontId="21" fillId="44" borderId="24" xfId="0" applyFont="1" applyFill="1" applyBorder="1" applyAlignment="1">
      <alignment horizontal="center"/>
    </xf>
    <xf numFmtId="0" fontId="21" fillId="43" borderId="24" xfId="0" applyFont="1" applyFill="1" applyBorder="1" applyAlignment="1">
      <alignment horizontal="center"/>
    </xf>
    <xf numFmtId="0" fontId="13" fillId="46" borderId="24" xfId="0" applyFont="1" applyFill="1" applyBorder="1" applyAlignment="1">
      <alignment horizontal="center"/>
    </xf>
    <xf numFmtId="0" fontId="13" fillId="46" borderId="25" xfId="0" applyFont="1" applyFill="1" applyBorder="1" applyAlignment="1">
      <alignment horizontal="center"/>
    </xf>
    <xf numFmtId="164" fontId="29" fillId="0" borderId="11" xfId="45" applyFont="1" applyFill="1" applyBorder="1" applyAlignment="1">
      <alignment horizontal="center" vertical="center"/>
    </xf>
    <xf numFmtId="164" fontId="29" fillId="0" borderId="28" xfId="45" applyFont="1" applyFill="1" applyBorder="1" applyAlignment="1">
      <alignment horizontal="center" vertical="center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urrency" xfId="45" builtinId="4"/>
    <cellStyle name="Currency 2" xfId="46"/>
    <cellStyle name="Currency 3" xfId="4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8"/>
    <cellStyle name="Normal 4" xfId="49"/>
    <cellStyle name="Normal 5" xfId="50"/>
    <cellStyle name="Normal 6" xfId="51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00CC"/>
      <color rgb="FF0000FF"/>
      <color rgb="FFFF66FF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9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7.bin"/><Relationship Id="rId13" Type="http://schemas.openxmlformats.org/officeDocument/2006/relationships/comments" Target="../comments10.xml"/><Relationship Id="rId3" Type="http://schemas.openxmlformats.org/officeDocument/2006/relationships/printerSettings" Target="../printerSettings/printerSettings72.bin"/><Relationship Id="rId7" Type="http://schemas.openxmlformats.org/officeDocument/2006/relationships/printerSettings" Target="../printerSettings/printerSettings76.bin"/><Relationship Id="rId12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71.bin"/><Relationship Id="rId1" Type="http://schemas.openxmlformats.org/officeDocument/2006/relationships/printerSettings" Target="../printerSettings/printerSettings70.bin"/><Relationship Id="rId6" Type="http://schemas.openxmlformats.org/officeDocument/2006/relationships/printerSettings" Target="../printerSettings/printerSettings75.bin"/><Relationship Id="rId11" Type="http://schemas.openxmlformats.org/officeDocument/2006/relationships/printerSettings" Target="../printerSettings/printerSettings80.bin"/><Relationship Id="rId5" Type="http://schemas.openxmlformats.org/officeDocument/2006/relationships/printerSettings" Target="../printerSettings/printerSettings74.bin"/><Relationship Id="rId10" Type="http://schemas.openxmlformats.org/officeDocument/2006/relationships/printerSettings" Target="../printerSettings/printerSettings79.bin"/><Relationship Id="rId4" Type="http://schemas.openxmlformats.org/officeDocument/2006/relationships/printerSettings" Target="../printerSettings/printerSettings73.bin"/><Relationship Id="rId9" Type="http://schemas.openxmlformats.org/officeDocument/2006/relationships/printerSettings" Target="../printerSettings/printerSettings7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8.bin"/><Relationship Id="rId13" Type="http://schemas.openxmlformats.org/officeDocument/2006/relationships/printerSettings" Target="../printerSettings/printerSettings93.bin"/><Relationship Id="rId3" Type="http://schemas.openxmlformats.org/officeDocument/2006/relationships/printerSettings" Target="../printerSettings/printerSettings83.bin"/><Relationship Id="rId7" Type="http://schemas.openxmlformats.org/officeDocument/2006/relationships/printerSettings" Target="../printerSettings/printerSettings87.bin"/><Relationship Id="rId12" Type="http://schemas.openxmlformats.org/officeDocument/2006/relationships/printerSettings" Target="../printerSettings/printerSettings92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6" Type="http://schemas.openxmlformats.org/officeDocument/2006/relationships/printerSettings" Target="../printerSettings/printerSettings86.bin"/><Relationship Id="rId11" Type="http://schemas.openxmlformats.org/officeDocument/2006/relationships/printerSettings" Target="../printerSettings/printerSettings91.bin"/><Relationship Id="rId5" Type="http://schemas.openxmlformats.org/officeDocument/2006/relationships/printerSettings" Target="../printerSettings/printerSettings85.bin"/><Relationship Id="rId10" Type="http://schemas.openxmlformats.org/officeDocument/2006/relationships/printerSettings" Target="../printerSettings/printerSettings90.bin"/><Relationship Id="rId4" Type="http://schemas.openxmlformats.org/officeDocument/2006/relationships/printerSettings" Target="../printerSettings/printerSettings84.bin"/><Relationship Id="rId9" Type="http://schemas.openxmlformats.org/officeDocument/2006/relationships/printerSettings" Target="../printerSettings/printerSettings89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1.bin"/><Relationship Id="rId3" Type="http://schemas.openxmlformats.org/officeDocument/2006/relationships/printerSettings" Target="../printerSettings/printerSettings96.bin"/><Relationship Id="rId7" Type="http://schemas.openxmlformats.org/officeDocument/2006/relationships/printerSettings" Target="../printerSettings/printerSettings100.bin"/><Relationship Id="rId12" Type="http://schemas.openxmlformats.org/officeDocument/2006/relationships/printerSettings" Target="../printerSettings/printerSettings105.bin"/><Relationship Id="rId2" Type="http://schemas.openxmlformats.org/officeDocument/2006/relationships/printerSettings" Target="../printerSettings/printerSettings95.bin"/><Relationship Id="rId1" Type="http://schemas.openxmlformats.org/officeDocument/2006/relationships/printerSettings" Target="../printerSettings/printerSettings94.bin"/><Relationship Id="rId6" Type="http://schemas.openxmlformats.org/officeDocument/2006/relationships/printerSettings" Target="../printerSettings/printerSettings99.bin"/><Relationship Id="rId11" Type="http://schemas.openxmlformats.org/officeDocument/2006/relationships/printerSettings" Target="../printerSettings/printerSettings104.bin"/><Relationship Id="rId5" Type="http://schemas.openxmlformats.org/officeDocument/2006/relationships/printerSettings" Target="../printerSettings/printerSettings98.bin"/><Relationship Id="rId10" Type="http://schemas.openxmlformats.org/officeDocument/2006/relationships/printerSettings" Target="../printerSettings/printerSettings103.bin"/><Relationship Id="rId4" Type="http://schemas.openxmlformats.org/officeDocument/2006/relationships/printerSettings" Target="../printerSettings/printerSettings97.bin"/><Relationship Id="rId9" Type="http://schemas.openxmlformats.org/officeDocument/2006/relationships/printerSettings" Target="../printerSettings/printerSettings10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8.bin"/><Relationship Id="rId7" Type="http://schemas.openxmlformats.org/officeDocument/2006/relationships/printerSettings" Target="../printerSettings/printerSettings112.bin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Relationship Id="rId6" Type="http://schemas.openxmlformats.org/officeDocument/2006/relationships/printerSettings" Target="../printerSettings/printerSettings111.bin"/><Relationship Id="rId5" Type="http://schemas.openxmlformats.org/officeDocument/2006/relationships/printerSettings" Target="../printerSettings/printerSettings110.bin"/><Relationship Id="rId4" Type="http://schemas.openxmlformats.org/officeDocument/2006/relationships/printerSettings" Target="../printerSettings/printerSettings10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9.bin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26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5.bin"/><Relationship Id="rId9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8.bin"/><Relationship Id="rId3" Type="http://schemas.openxmlformats.org/officeDocument/2006/relationships/printerSettings" Target="../printerSettings/printerSettings33.bin"/><Relationship Id="rId7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6" Type="http://schemas.openxmlformats.org/officeDocument/2006/relationships/printerSettings" Target="../printerSettings/printerSettings36.bin"/><Relationship Id="rId11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35.bin"/><Relationship Id="rId10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4.bin"/><Relationship Id="rId9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9.bin"/><Relationship Id="rId13" Type="http://schemas.openxmlformats.org/officeDocument/2006/relationships/comments" Target="../comments2.xml"/><Relationship Id="rId3" Type="http://schemas.openxmlformats.org/officeDocument/2006/relationships/printerSettings" Target="../printerSettings/printerSettings44.bin"/><Relationship Id="rId7" Type="http://schemas.openxmlformats.org/officeDocument/2006/relationships/printerSettings" Target="../printerSettings/printerSettings48.bin"/><Relationship Id="rId12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3.bin"/><Relationship Id="rId1" Type="http://schemas.openxmlformats.org/officeDocument/2006/relationships/printerSettings" Target="../printerSettings/printerSettings42.bin"/><Relationship Id="rId6" Type="http://schemas.openxmlformats.org/officeDocument/2006/relationships/printerSettings" Target="../printerSettings/printerSettings47.bin"/><Relationship Id="rId11" Type="http://schemas.openxmlformats.org/officeDocument/2006/relationships/printerSettings" Target="../printerSettings/printerSettings52.bin"/><Relationship Id="rId5" Type="http://schemas.openxmlformats.org/officeDocument/2006/relationships/printerSettings" Target="../printerSettings/printerSettings46.bin"/><Relationship Id="rId10" Type="http://schemas.openxmlformats.org/officeDocument/2006/relationships/printerSettings" Target="../printerSettings/printerSettings51.bin"/><Relationship Id="rId4" Type="http://schemas.openxmlformats.org/officeDocument/2006/relationships/printerSettings" Target="../printerSettings/printerSettings45.bin"/><Relationship Id="rId9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comments" Target="../comments3.x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J173"/>
  <sheetViews>
    <sheetView zoomScale="85" zoomScaleNormal="85" workbookViewId="0">
      <pane xSplit="2" ySplit="3" topLeftCell="C135" activePane="bottomRight" state="frozen"/>
      <selection pane="topRight" activeCell="C1" sqref="C1"/>
      <selection pane="bottomLeft" activeCell="A4" sqref="A4"/>
      <selection pane="bottomRight" activeCell="C142" sqref="C142"/>
    </sheetView>
  </sheetViews>
  <sheetFormatPr defaultColWidth="9.140625" defaultRowHeight="15"/>
  <cols>
    <col min="1" max="1" width="6.42578125" style="213" bestFit="1" customWidth="1"/>
    <col min="2" max="2" width="37.7109375" style="213" bestFit="1" customWidth="1"/>
    <col min="3" max="3" width="14.28515625" style="32" customWidth="1"/>
    <col min="4" max="4" width="7.7109375" style="226" customWidth="1"/>
    <col min="5" max="5" width="13.28515625" style="32" bestFit="1" customWidth="1"/>
    <col min="6" max="6" width="8.140625" style="218" customWidth="1"/>
    <col min="7" max="7" width="13.28515625" style="32" bestFit="1" customWidth="1"/>
    <col min="8" max="8" width="8.140625" style="218" customWidth="1"/>
    <col min="9" max="9" width="15.42578125" style="32" customWidth="1"/>
    <col min="10" max="10" width="7.7109375" style="218" customWidth="1"/>
    <col min="11" max="11" width="14" style="32" bestFit="1" customWidth="1"/>
    <col min="12" max="12" width="8.7109375" style="363" customWidth="1"/>
    <col min="13" max="13" width="14.28515625" style="32" bestFit="1" customWidth="1"/>
    <col min="14" max="14" width="7.140625" style="363" bestFit="1" customWidth="1"/>
    <col min="15" max="15" width="14.28515625" style="32" bestFit="1" customWidth="1"/>
    <col min="16" max="16" width="7.140625" style="363" bestFit="1" customWidth="1"/>
    <col min="17" max="17" width="14.28515625" style="32" bestFit="1" customWidth="1"/>
    <col min="18" max="18" width="8.140625" style="363" customWidth="1"/>
    <col min="19" max="19" width="14.28515625" style="32" bestFit="1" customWidth="1"/>
    <col min="20" max="20" width="7.85546875" style="363" bestFit="1" customWidth="1"/>
    <col min="21" max="21" width="13.28515625" style="32" bestFit="1" customWidth="1"/>
    <col min="22" max="22" width="8.85546875" style="363" customWidth="1"/>
    <col min="23" max="23" width="13.28515625" style="32" bestFit="1" customWidth="1"/>
    <col min="24" max="24" width="8.140625" style="363" customWidth="1"/>
    <col min="25" max="25" width="14" style="32" bestFit="1" customWidth="1"/>
    <col min="26" max="26" width="8.140625" style="363" bestFit="1" customWidth="1"/>
    <col min="27" max="27" width="13.28515625" style="213" bestFit="1" customWidth="1"/>
    <col min="28" max="28" width="7.7109375" style="363" bestFit="1" customWidth="1"/>
    <col min="29" max="29" width="11.5703125" style="213" bestFit="1" customWidth="1"/>
    <col min="30" max="30" width="7.140625" style="363" bestFit="1" customWidth="1"/>
    <col min="31" max="31" width="36.7109375" style="649" hidden="1" customWidth="1"/>
    <col min="32" max="32" width="33.7109375" style="363" hidden="1" customWidth="1"/>
    <col min="33" max="33" width="15" style="363" hidden="1" customWidth="1"/>
    <col min="34" max="34" width="9.140625" style="213" customWidth="1"/>
    <col min="35" max="35" width="9.140625" style="213"/>
    <col min="36" max="36" width="11.7109375" style="213" bestFit="1" customWidth="1"/>
    <col min="37" max="16384" width="9.140625" style="213"/>
  </cols>
  <sheetData>
    <row r="1" spans="1:33" s="1" customFormat="1">
      <c r="A1" s="995" t="s">
        <v>361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646"/>
      <c r="AF1" s="548"/>
      <c r="AG1" s="548"/>
    </row>
    <row r="2" spans="1:33" s="181" customFormat="1">
      <c r="A2" s="179"/>
      <c r="B2" s="180" t="s">
        <v>122</v>
      </c>
      <c r="C2" s="999" t="s">
        <v>64</v>
      </c>
      <c r="D2" s="999"/>
      <c r="E2" s="999" t="s">
        <v>65</v>
      </c>
      <c r="F2" s="999"/>
      <c r="G2" s="999" t="s">
        <v>81</v>
      </c>
      <c r="H2" s="999"/>
      <c r="I2" s="999" t="s">
        <v>82</v>
      </c>
      <c r="J2" s="999"/>
      <c r="K2" s="999" t="s">
        <v>83</v>
      </c>
      <c r="L2" s="999"/>
      <c r="M2" s="999" t="s">
        <v>84</v>
      </c>
      <c r="N2" s="999"/>
      <c r="O2" s="999" t="s">
        <v>85</v>
      </c>
      <c r="P2" s="999"/>
      <c r="Q2" s="999" t="s">
        <v>86</v>
      </c>
      <c r="R2" s="999"/>
      <c r="S2" s="1000" t="s">
        <v>87</v>
      </c>
      <c r="T2" s="1000"/>
      <c r="U2" s="999" t="s">
        <v>123</v>
      </c>
      <c r="V2" s="999"/>
      <c r="W2" s="999" t="s">
        <v>124</v>
      </c>
      <c r="X2" s="999"/>
      <c r="Y2" s="999" t="s">
        <v>125</v>
      </c>
      <c r="Z2" s="999"/>
      <c r="AA2" s="997" t="s">
        <v>120</v>
      </c>
      <c r="AB2" s="997"/>
      <c r="AC2" s="998" t="s">
        <v>121</v>
      </c>
      <c r="AD2" s="998"/>
      <c r="AE2" s="647"/>
      <c r="AF2" s="549"/>
      <c r="AG2" s="549"/>
    </row>
    <row r="3" spans="1:33" s="1" customFormat="1" ht="15.75" thickBot="1">
      <c r="A3" s="41"/>
      <c r="B3" s="12" t="s">
        <v>69</v>
      </c>
      <c r="C3" s="40" t="s">
        <v>115</v>
      </c>
      <c r="D3" s="105" t="s">
        <v>80</v>
      </c>
      <c r="E3" s="40" t="s">
        <v>115</v>
      </c>
      <c r="F3" s="105" t="s">
        <v>80</v>
      </c>
      <c r="G3" s="40" t="s">
        <v>115</v>
      </c>
      <c r="H3" s="105" t="s">
        <v>80</v>
      </c>
      <c r="I3" s="40" t="s">
        <v>115</v>
      </c>
      <c r="J3" s="105" t="s">
        <v>80</v>
      </c>
      <c r="K3" s="40" t="s">
        <v>115</v>
      </c>
      <c r="L3" s="90" t="s">
        <v>80</v>
      </c>
      <c r="M3" s="40" t="s">
        <v>115</v>
      </c>
      <c r="N3" s="90" t="s">
        <v>80</v>
      </c>
      <c r="O3" s="40" t="s">
        <v>115</v>
      </c>
      <c r="P3" s="90" t="s">
        <v>80</v>
      </c>
      <c r="Q3" s="40" t="s">
        <v>115</v>
      </c>
      <c r="R3" s="90" t="s">
        <v>80</v>
      </c>
      <c r="S3" s="40" t="s">
        <v>115</v>
      </c>
      <c r="T3" s="90" t="s">
        <v>80</v>
      </c>
      <c r="U3" s="40" t="s">
        <v>115</v>
      </c>
      <c r="V3" s="90" t="s">
        <v>80</v>
      </c>
      <c r="W3" s="40" t="s">
        <v>115</v>
      </c>
      <c r="X3" s="90" t="s">
        <v>80</v>
      </c>
      <c r="Y3" s="40" t="s">
        <v>115</v>
      </c>
      <c r="Z3" s="90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648" t="s">
        <v>183</v>
      </c>
      <c r="AF3" s="550" t="s">
        <v>181</v>
      </c>
      <c r="AG3" s="550" t="s">
        <v>225</v>
      </c>
    </row>
    <row r="4" spans="1:33" s="1" customFormat="1">
      <c r="C4" s="26"/>
      <c r="D4" s="68"/>
      <c r="E4" s="26"/>
      <c r="F4" s="102"/>
      <c r="G4" s="26"/>
      <c r="H4" s="102"/>
      <c r="I4" s="26"/>
      <c r="J4" s="102"/>
      <c r="K4" s="26"/>
      <c r="L4" s="91"/>
      <c r="M4" s="26"/>
      <c r="N4" s="91"/>
      <c r="O4" s="26"/>
      <c r="P4" s="91"/>
      <c r="Q4" s="26"/>
      <c r="R4" s="91"/>
      <c r="S4" s="26"/>
      <c r="T4" s="91"/>
      <c r="U4" s="26"/>
      <c r="V4" s="91"/>
      <c r="W4" s="26"/>
      <c r="X4" s="91"/>
      <c r="Y4" s="26"/>
      <c r="Z4" s="91"/>
      <c r="AA4" s="142"/>
      <c r="AB4" s="143"/>
      <c r="AC4" s="126"/>
      <c r="AD4" s="127"/>
      <c r="AE4" s="649"/>
      <c r="AF4" s="363"/>
      <c r="AG4" s="363"/>
    </row>
    <row r="5" spans="1:33" s="5" customFormat="1">
      <c r="A5" s="6">
        <v>5004</v>
      </c>
      <c r="B5" s="16" t="s">
        <v>71</v>
      </c>
      <c r="C5" s="842">
        <f>999093+C9</f>
        <v>1288830.1676600117</v>
      </c>
      <c r="D5" s="22"/>
      <c r="E5" s="843">
        <f>777296.346747332+E9</f>
        <v>909436.72569437837</v>
      </c>
      <c r="F5" s="702"/>
      <c r="G5" s="844">
        <f>1289361.76445694+G9</f>
        <v>1689063.9114385899</v>
      </c>
      <c r="H5" s="702"/>
      <c r="I5" s="845">
        <f>1138499+I9</f>
        <v>1445893.7421350088</v>
      </c>
      <c r="J5" s="22"/>
      <c r="K5" s="846">
        <f>1041273+K9</f>
        <v>1228702.2041692757</v>
      </c>
      <c r="L5" s="22"/>
      <c r="M5" s="847">
        <f>1476511+M9</f>
        <v>1934229.4728839907</v>
      </c>
      <c r="N5" s="22"/>
      <c r="O5" s="848">
        <f>934795+O9</f>
        <v>1215233.4331117966</v>
      </c>
      <c r="P5" s="22"/>
      <c r="Q5" s="849">
        <f>1160771+Q9</f>
        <v>1485786.9270661189</v>
      </c>
      <c r="R5" s="22"/>
      <c r="S5" s="850">
        <f>1169337+S9</f>
        <v>1438284.4682925183</v>
      </c>
      <c r="T5" s="22"/>
      <c r="U5" s="851">
        <f>927525.599474623+U9</f>
        <v>1215058.5353117562</v>
      </c>
      <c r="V5" s="22"/>
      <c r="W5" s="852">
        <f>943703.064412843+W9</f>
        <v>1104132.5853630262</v>
      </c>
      <c r="X5" s="22"/>
      <c r="Y5" s="853">
        <f>1425617.75749713+Y9</f>
        <v>1824790.7295963259</v>
      </c>
      <c r="Z5" s="22"/>
      <c r="AA5" s="144">
        <f t="shared" ref="AA5:AA11" si="0">C5+E5+G5+I5+K5+M5+O5+Q5+S5+U5+W5+Y5</f>
        <v>16779442.902722795</v>
      </c>
      <c r="AB5" s="185"/>
      <c r="AC5" s="128">
        <f>AA5/12</f>
        <v>1398286.908560233</v>
      </c>
      <c r="AD5" s="185"/>
      <c r="AE5" s="645"/>
      <c r="AF5" s="551"/>
      <c r="AG5" s="551"/>
    </row>
    <row r="6" spans="1:33" s="1" customFormat="1">
      <c r="A6" s="5">
        <v>5005</v>
      </c>
      <c r="B6" s="5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si="0"/>
        <v>0</v>
      </c>
      <c r="AB6" s="68"/>
      <c r="AC6" s="128">
        <f t="shared" ref="AC6:AC69" si="1">AA6/12</f>
        <v>0</v>
      </c>
      <c r="AD6" s="68"/>
      <c r="AE6" s="645"/>
      <c r="AF6" s="226"/>
      <c r="AG6" s="226"/>
    </row>
    <row r="7" spans="1:33" s="1" customFormat="1">
      <c r="A7" s="14">
        <v>5051</v>
      </c>
      <c r="B7" s="15" t="s">
        <v>74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68">
        <f>AA7/AA$5</f>
        <v>0</v>
      </c>
      <c r="AC7" s="128">
        <f t="shared" si="1"/>
        <v>0</v>
      </c>
      <c r="AD7" s="68">
        <f>AC7/AC$5</f>
        <v>0</v>
      </c>
      <c r="AE7" s="645"/>
      <c r="AF7" s="226"/>
      <c r="AG7" s="226"/>
    </row>
    <row r="8" spans="1:33" s="1" customFormat="1">
      <c r="A8" s="1">
        <v>5052</v>
      </c>
      <c r="B8" s="1" t="s">
        <v>221</v>
      </c>
      <c r="C8" s="31"/>
      <c r="D8" s="702">
        <f t="shared" ref="D8:D11" si="2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3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4">Y8/Y$5</f>
        <v>0</v>
      </c>
      <c r="AA8" s="144">
        <f t="shared" si="0"/>
        <v>0</v>
      </c>
      <c r="AB8" s="68">
        <f t="shared" ref="AB8:AB11" si="5">AA8/AA$5</f>
        <v>0</v>
      </c>
      <c r="AC8" s="128">
        <f t="shared" si="1"/>
        <v>0</v>
      </c>
      <c r="AD8" s="68">
        <f t="shared" ref="AD8:AD11" si="6">AC8/AC$5</f>
        <v>0</v>
      </c>
      <c r="AE8" s="645" t="s">
        <v>266</v>
      </c>
      <c r="AF8" s="226"/>
      <c r="AG8" s="226"/>
    </row>
    <row r="9" spans="1:33" s="1" customFormat="1">
      <c r="A9" s="1">
        <v>5101</v>
      </c>
      <c r="B9" s="1" t="s">
        <v>46</v>
      </c>
      <c r="C9" s="1">
        <v>289737.16766001162</v>
      </c>
      <c r="D9" s="702">
        <v>0.28999999999999998</v>
      </c>
      <c r="E9" s="1">
        <v>132140.37894704638</v>
      </c>
      <c r="F9" s="702">
        <v>0.17</v>
      </c>
      <c r="G9" s="1">
        <v>399702.14698164997</v>
      </c>
      <c r="H9" s="702">
        <v>0.31</v>
      </c>
      <c r="I9" s="371">
        <v>307394.7421350088</v>
      </c>
      <c r="J9" s="702">
        <v>0.27</v>
      </c>
      <c r="K9" s="371">
        <v>187429.2041692757</v>
      </c>
      <c r="L9" s="702">
        <v>0.18</v>
      </c>
      <c r="M9" s="33">
        <v>457718.47288399067</v>
      </c>
      <c r="N9" s="702">
        <v>0.31</v>
      </c>
      <c r="O9" s="371">
        <v>280438.43311179656</v>
      </c>
      <c r="P9" s="702">
        <v>0.3</v>
      </c>
      <c r="Q9" s="371">
        <v>325015.92706611904</v>
      </c>
      <c r="R9" s="702">
        <v>0.28000000000000003</v>
      </c>
      <c r="S9" s="371">
        <v>268947.46829251834</v>
      </c>
      <c r="T9" s="22">
        <v>0.23000000000000004</v>
      </c>
      <c r="U9" s="1">
        <v>287532.93583713321</v>
      </c>
      <c r="V9" s="22">
        <v>0.30999999999999994</v>
      </c>
      <c r="W9" s="1">
        <v>160429.52095018324</v>
      </c>
      <c r="X9" s="22">
        <v>0.16999999999999998</v>
      </c>
      <c r="Y9" s="1">
        <v>399172.97209919599</v>
      </c>
      <c r="Z9" s="22">
        <v>0.28000000000000003</v>
      </c>
      <c r="AA9" s="144">
        <f t="shared" si="0"/>
        <v>3495659.3701339304</v>
      </c>
      <c r="AB9" s="68">
        <f t="shared" si="5"/>
        <v>0.20832988260693033</v>
      </c>
      <c r="AC9" s="128">
        <f t="shared" si="1"/>
        <v>291304.94751116086</v>
      </c>
      <c r="AD9" s="68">
        <f t="shared" si="6"/>
        <v>0.20832988260693033</v>
      </c>
      <c r="AE9" s="744">
        <f>AA5*33%</f>
        <v>5537216.1578985229</v>
      </c>
      <c r="AF9" s="226"/>
      <c r="AG9" s="226"/>
    </row>
    <row r="10" spans="1:33" s="1" customFormat="1">
      <c r="A10" s="1">
        <v>5102</v>
      </c>
      <c r="B10" s="1" t="s">
        <v>220</v>
      </c>
      <c r="C10" s="31"/>
      <c r="D10" s="702">
        <f t="shared" si="2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3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4"/>
        <v>0</v>
      </c>
      <c r="AA10" s="144">
        <f t="shared" si="0"/>
        <v>0</v>
      </c>
      <c r="AB10" s="68">
        <f t="shared" si="5"/>
        <v>0</v>
      </c>
      <c r="AC10" s="128">
        <f t="shared" si="1"/>
        <v>0</v>
      </c>
      <c r="AD10" s="68">
        <f t="shared" si="6"/>
        <v>0</v>
      </c>
      <c r="AE10" s="645"/>
      <c r="AF10" s="226"/>
      <c r="AG10" s="226"/>
    </row>
    <row r="11" spans="1:33" s="1" customFormat="1">
      <c r="A11" s="1">
        <v>5103</v>
      </c>
      <c r="B11" s="1" t="s">
        <v>63</v>
      </c>
      <c r="C11" s="26"/>
      <c r="D11" s="702">
        <f t="shared" si="2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3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4"/>
        <v>0</v>
      </c>
      <c r="AA11" s="144">
        <f t="shared" si="0"/>
        <v>0</v>
      </c>
      <c r="AB11" s="68">
        <f t="shared" si="5"/>
        <v>0</v>
      </c>
      <c r="AC11" s="128">
        <f t="shared" si="1"/>
        <v>0</v>
      </c>
      <c r="AD11" s="68">
        <f t="shared" si="6"/>
        <v>0</v>
      </c>
      <c r="AE11" s="645"/>
      <c r="AF11" s="226"/>
      <c r="AG11" s="226"/>
    </row>
    <row r="12" spans="1:33" s="1" customFormat="1" ht="15.75" thickBot="1">
      <c r="A12" s="7">
        <v>5149</v>
      </c>
      <c r="B12" s="7" t="s">
        <v>66</v>
      </c>
      <c r="C12" s="28">
        <f>C5+C6-C7-C8-C9-C10+C11</f>
        <v>999093</v>
      </c>
      <c r="D12" s="39">
        <v>1</v>
      </c>
      <c r="E12" s="28">
        <f>E5+E6-E7-E8-E9-E10+E11</f>
        <v>777296.34674733202</v>
      </c>
      <c r="F12" s="39">
        <v>1</v>
      </c>
      <c r="G12" s="28">
        <f>G5+G6-G7-G8-G9-G10+G11</f>
        <v>1289361.7644569399</v>
      </c>
      <c r="H12" s="39">
        <v>1</v>
      </c>
      <c r="I12" s="28">
        <f>I5+I6-I7-I8-I9-I10+I11</f>
        <v>1138499</v>
      </c>
      <c r="J12" s="39">
        <v>1</v>
      </c>
      <c r="K12" s="28">
        <f>K5+K6-K7-K8-K9-K10+K11</f>
        <v>1041273</v>
      </c>
      <c r="L12" s="39">
        <v>1</v>
      </c>
      <c r="M12" s="28">
        <f>M5+M6-M7-M8-M9-M10+M11</f>
        <v>1476511</v>
      </c>
      <c r="N12" s="39">
        <v>1</v>
      </c>
      <c r="O12" s="28">
        <f>O5+O6-O7-O8-O9-O10+O11</f>
        <v>934795</v>
      </c>
      <c r="P12" s="39">
        <v>1</v>
      </c>
      <c r="Q12" s="28">
        <f>Q5+Q6-Q7-Q8-Q9-Q10+Q11</f>
        <v>1160771</v>
      </c>
      <c r="R12" s="39">
        <v>1</v>
      </c>
      <c r="S12" s="28">
        <f>S5+S6-S7-S8-S9-S10+S11</f>
        <v>1169337</v>
      </c>
      <c r="T12" s="39">
        <v>1</v>
      </c>
      <c r="U12" s="28">
        <f>U5+U6-U7-U8-U9-U10+U11</f>
        <v>927525.59947462298</v>
      </c>
      <c r="V12" s="39">
        <v>1</v>
      </c>
      <c r="W12" s="28">
        <f>W5+W6-W7-W8-W9-W10+W11</f>
        <v>943703.06441284297</v>
      </c>
      <c r="X12" s="39">
        <v>1</v>
      </c>
      <c r="Y12" s="28">
        <f>Y5+Y6-Y7-Y8-Y9-Y10+Y11</f>
        <v>1425617.75749713</v>
      </c>
      <c r="Z12" s="39">
        <v>1</v>
      </c>
      <c r="AA12" s="148">
        <f>AA5+AA6-AA7-AA8-AA9-AA10+AA11</f>
        <v>13283783.532588864</v>
      </c>
      <c r="AB12" s="39">
        <v>1</v>
      </c>
      <c r="AC12" s="132">
        <f t="shared" si="1"/>
        <v>1106981.961049072</v>
      </c>
      <c r="AD12" s="39">
        <v>1</v>
      </c>
      <c r="AE12" s="650"/>
      <c r="AF12" s="552"/>
      <c r="AG12" s="552"/>
    </row>
    <row r="13" spans="1:33" s="1" customFormat="1" ht="15.75" thickTop="1">
      <c r="A13" s="1">
        <v>5151</v>
      </c>
      <c r="B13" s="20" t="s">
        <v>47</v>
      </c>
      <c r="C13" s="26"/>
      <c r="D13" s="68"/>
      <c r="E13" s="26"/>
      <c r="F13" s="68"/>
      <c r="G13" s="26"/>
      <c r="H13" s="68"/>
      <c r="I13" s="26">
        <v>0</v>
      </c>
      <c r="J13" s="68"/>
      <c r="K13" s="26"/>
      <c r="L13" s="68"/>
      <c r="M13" s="26">
        <v>0</v>
      </c>
      <c r="N13" s="702"/>
      <c r="O13" s="26">
        <v>0</v>
      </c>
      <c r="P13" s="702"/>
      <c r="Q13" s="26"/>
      <c r="R13" s="68"/>
      <c r="S13" s="26"/>
      <c r="T13" s="68"/>
      <c r="U13" s="26"/>
      <c r="V13" s="68"/>
      <c r="W13" s="26"/>
      <c r="X13" s="68"/>
      <c r="Y13" s="26"/>
      <c r="Z13" s="68"/>
      <c r="AA13" s="144">
        <f>C13+E13+G13+I13+K13+M13+O13+Q13+S13+U13+W13+Y13</f>
        <v>0</v>
      </c>
      <c r="AB13" s="68"/>
      <c r="AC13" s="128">
        <f t="shared" si="1"/>
        <v>0</v>
      </c>
      <c r="AD13" s="68"/>
      <c r="AE13" s="645"/>
      <c r="AF13" s="226"/>
      <c r="AG13" s="226"/>
    </row>
    <row r="14" spans="1:33" s="1" customFormat="1">
      <c r="A14" s="1">
        <v>5152</v>
      </c>
      <c r="B14" s="1" t="s">
        <v>48</v>
      </c>
      <c r="C14" s="26"/>
      <c r="D14" s="68"/>
      <c r="E14" s="26"/>
      <c r="F14" s="68"/>
      <c r="G14" s="26"/>
      <c r="H14" s="68"/>
      <c r="I14" s="26"/>
      <c r="J14" s="68"/>
      <c r="K14" s="26"/>
      <c r="L14" s="68"/>
      <c r="M14" s="26"/>
      <c r="N14" s="702"/>
      <c r="O14" s="26"/>
      <c r="P14" s="702"/>
      <c r="Q14" s="26"/>
      <c r="R14" s="68"/>
      <c r="S14" s="26"/>
      <c r="T14" s="68"/>
      <c r="U14" s="26"/>
      <c r="V14" s="68"/>
      <c r="W14" s="26"/>
      <c r="X14" s="68"/>
      <c r="Y14" s="26"/>
      <c r="Z14" s="68"/>
      <c r="AA14" s="144">
        <f>C14+E14+G14+I14+K14+M14+O14+Q14+S14+U14+W14+Y14</f>
        <v>0</v>
      </c>
      <c r="AB14" s="68"/>
      <c r="AC14" s="128">
        <f t="shared" si="1"/>
        <v>0</v>
      </c>
      <c r="AD14" s="68"/>
      <c r="AE14" s="645"/>
      <c r="AF14" s="226"/>
      <c r="AG14" s="226"/>
    </row>
    <row r="15" spans="1:33" s="1" customFormat="1" ht="15.75" thickBot="1">
      <c r="A15" s="35">
        <v>5198</v>
      </c>
      <c r="B15" s="35" t="s">
        <v>94</v>
      </c>
      <c r="C15" s="36">
        <f>C13+C14</f>
        <v>0</v>
      </c>
      <c r="D15" s="94"/>
      <c r="E15" s="36">
        <f>E13+E14</f>
        <v>0</v>
      </c>
      <c r="F15" s="94"/>
      <c r="G15" s="36">
        <f>G13+G14</f>
        <v>0</v>
      </c>
      <c r="H15" s="94"/>
      <c r="I15" s="36">
        <f>I13+I14</f>
        <v>0</v>
      </c>
      <c r="J15" s="94"/>
      <c r="K15" s="36">
        <f>K13+K14</f>
        <v>0</v>
      </c>
      <c r="L15" s="94"/>
      <c r="M15" s="36">
        <f>M13+M14</f>
        <v>0</v>
      </c>
      <c r="N15" s="94"/>
      <c r="O15" s="36">
        <f>O13+O14</f>
        <v>0</v>
      </c>
      <c r="P15" s="94"/>
      <c r="Q15" s="36">
        <f>Q13+Q14</f>
        <v>0</v>
      </c>
      <c r="R15" s="94"/>
      <c r="S15" s="36">
        <f>S13+S14</f>
        <v>0</v>
      </c>
      <c r="T15" s="94"/>
      <c r="U15" s="36">
        <f>U13+U14</f>
        <v>0</v>
      </c>
      <c r="V15" s="94"/>
      <c r="W15" s="36">
        <f>W13+W14</f>
        <v>0</v>
      </c>
      <c r="X15" s="94"/>
      <c r="Y15" s="36">
        <f>Y13+Y14</f>
        <v>0</v>
      </c>
      <c r="Z15" s="94"/>
      <c r="AA15" s="148">
        <f>AA13+AA14</f>
        <v>0</v>
      </c>
      <c r="AB15" s="94"/>
      <c r="AC15" s="173">
        <f t="shared" si="1"/>
        <v>0</v>
      </c>
      <c r="AD15" s="94"/>
      <c r="AE15" s="651"/>
      <c r="AF15" s="394"/>
      <c r="AG15" s="394"/>
    </row>
    <row r="16" spans="1:33" s="1" customFormat="1" ht="16.5" thickTop="1" thickBot="1">
      <c r="A16" s="37">
        <v>5199</v>
      </c>
      <c r="B16" s="37" t="s">
        <v>70</v>
      </c>
      <c r="C16" s="30">
        <f>C12+C15</f>
        <v>999093</v>
      </c>
      <c r="D16" s="38">
        <f>C16/C12</f>
        <v>1</v>
      </c>
      <c r="E16" s="30">
        <f>E12-E15</f>
        <v>777296.34674733202</v>
      </c>
      <c r="F16" s="38">
        <f>E16/E12</f>
        <v>1</v>
      </c>
      <c r="G16" s="30">
        <f>G12+G15</f>
        <v>1289361.7644569399</v>
      </c>
      <c r="H16" s="38">
        <f>G16/G12</f>
        <v>1</v>
      </c>
      <c r="I16" s="30">
        <f>I12-I15</f>
        <v>1138499</v>
      </c>
      <c r="J16" s="38">
        <f>I16/I12</f>
        <v>1</v>
      </c>
      <c r="K16" s="30">
        <f>K12-K15</f>
        <v>1041273</v>
      </c>
      <c r="L16" s="38">
        <f>K16/K12</f>
        <v>1</v>
      </c>
      <c r="M16" s="30">
        <f>M12+M15</f>
        <v>1476511</v>
      </c>
      <c r="N16" s="38">
        <f>M16/M12</f>
        <v>1</v>
      </c>
      <c r="O16" s="30">
        <f>O12-O15</f>
        <v>934795</v>
      </c>
      <c r="P16" s="38">
        <f>O16/O12</f>
        <v>1</v>
      </c>
      <c r="Q16" s="30">
        <f>Q12+Q15</f>
        <v>1160771</v>
      </c>
      <c r="R16" s="38">
        <f>Q16/Q12</f>
        <v>1</v>
      </c>
      <c r="S16" s="30">
        <f>S12+S15</f>
        <v>1169337</v>
      </c>
      <c r="T16" s="38">
        <f>S16/S12</f>
        <v>1</v>
      </c>
      <c r="U16" s="30">
        <f>U12-U15</f>
        <v>927525.59947462298</v>
      </c>
      <c r="V16" s="38">
        <f>U16/U12</f>
        <v>1</v>
      </c>
      <c r="W16" s="30">
        <f>W12+W15</f>
        <v>943703.06441284297</v>
      </c>
      <c r="X16" s="38">
        <f>W16/W12</f>
        <v>1</v>
      </c>
      <c r="Y16" s="30">
        <f>Y12+Y15</f>
        <v>1425617.75749713</v>
      </c>
      <c r="Z16" s="38">
        <f>Y16/Y12</f>
        <v>1</v>
      </c>
      <c r="AA16" s="150">
        <f>AA12+AA15</f>
        <v>13283783.532588864</v>
      </c>
      <c r="AB16" s="38">
        <f>AA16/AA12</f>
        <v>1</v>
      </c>
      <c r="AC16" s="177">
        <f t="shared" si="1"/>
        <v>1106981.961049072</v>
      </c>
      <c r="AD16" s="38">
        <f>AC16/AC12</f>
        <v>1</v>
      </c>
      <c r="AE16" s="802">
        <f>AA16*0.985</f>
        <v>13084526.77960003</v>
      </c>
      <c r="AF16" s="552"/>
      <c r="AG16" s="552"/>
    </row>
    <row r="17" spans="1:33" s="1" customFormat="1" ht="15.75" thickTop="1">
      <c r="A17" s="13">
        <v>5502</v>
      </c>
      <c r="B17" s="5" t="s">
        <v>49</v>
      </c>
      <c r="C17" s="704">
        <f>C12*59.1%</f>
        <v>590463.96299999999</v>
      </c>
      <c r="D17" s="677">
        <f>C17/C12</f>
        <v>0.59099999999999997</v>
      </c>
      <c r="E17" s="704">
        <f>E12*54.03%</f>
        <v>419973.2161475835</v>
      </c>
      <c r="F17" s="702">
        <f>E17/E12</f>
        <v>0.5403</v>
      </c>
      <c r="G17" s="704">
        <f>G12*54.94%</f>
        <v>708375.35339264281</v>
      </c>
      <c r="H17" s="702">
        <f>G17/G12</f>
        <v>0.5494</v>
      </c>
      <c r="I17" s="704">
        <f>I12*53.39%</f>
        <v>607844.6161000001</v>
      </c>
      <c r="J17" s="702">
        <f>I17/I12</f>
        <v>0.53390000000000004</v>
      </c>
      <c r="K17" s="704">
        <f>K12*59.44%</f>
        <v>618932.67119999998</v>
      </c>
      <c r="L17" s="702">
        <f>K17/K12</f>
        <v>0.59439999999999993</v>
      </c>
      <c r="M17" s="704">
        <f>M12*61.56%</f>
        <v>908940.1716</v>
      </c>
      <c r="N17" s="702">
        <f>M17/M12</f>
        <v>0.61560000000000004</v>
      </c>
      <c r="O17" s="704">
        <f>O12*61.7%</f>
        <v>576768.51500000001</v>
      </c>
      <c r="P17" s="702">
        <f>O17/O12</f>
        <v>0.61699999999999999</v>
      </c>
      <c r="Q17" s="704">
        <f>Q12*56.57%</f>
        <v>656648.15469999996</v>
      </c>
      <c r="R17" s="702">
        <f>Q17/Q12</f>
        <v>0.56569999999999998</v>
      </c>
      <c r="S17" s="704">
        <f>S12*58.42%</f>
        <v>683126.67540000007</v>
      </c>
      <c r="T17" s="702">
        <f>S17/S12</f>
        <v>0.58420000000000005</v>
      </c>
      <c r="U17" s="704">
        <f>U12*56.45%</f>
        <v>523588.2009034247</v>
      </c>
      <c r="V17" s="702">
        <f>U17/U12</f>
        <v>0.5645</v>
      </c>
      <c r="W17" s="704">
        <f>W12*53.57%</f>
        <v>505541.73160595994</v>
      </c>
      <c r="X17" s="702">
        <f>W17/W12</f>
        <v>0.53569999999999995</v>
      </c>
      <c r="Y17" s="704">
        <f>Y12*59.23%</f>
        <v>844393.39776554995</v>
      </c>
      <c r="Z17" s="702">
        <f>Y17/Y12</f>
        <v>0.59229999999999994</v>
      </c>
      <c r="AA17" s="144">
        <f>C17+E17+G17+I17+K17+M17+O17+Q17+S17+U17+W17+Y17</f>
        <v>7644596.6668151608</v>
      </c>
      <c r="AB17" s="68">
        <f>AA17/AA12</f>
        <v>0.57548338152762057</v>
      </c>
      <c r="AC17" s="128">
        <f t="shared" si="1"/>
        <v>637049.72223459673</v>
      </c>
      <c r="AD17" s="68">
        <f>AC17/AC12</f>
        <v>0.57548338152762057</v>
      </c>
      <c r="AE17" s="645" t="s">
        <v>242</v>
      </c>
      <c r="AF17" s="226"/>
      <c r="AG17" s="226"/>
    </row>
    <row r="18" spans="1:33" s="1" customFormat="1">
      <c r="A18" s="3">
        <v>5503</v>
      </c>
      <c r="B18" s="3" t="s">
        <v>50</v>
      </c>
      <c r="C18" s="26"/>
      <c r="D18" s="68"/>
      <c r="E18" s="26"/>
      <c r="F18" s="68"/>
      <c r="G18" s="26"/>
      <c r="H18" s="68"/>
      <c r="I18" s="26"/>
      <c r="J18" s="68"/>
      <c r="K18" s="26"/>
      <c r="L18" s="68"/>
      <c r="M18" s="26"/>
      <c r="N18" s="702"/>
      <c r="O18" s="26"/>
      <c r="P18" s="702"/>
      <c r="Q18" s="26"/>
      <c r="R18" s="68"/>
      <c r="S18" s="26"/>
      <c r="T18" s="68"/>
      <c r="U18" s="26"/>
      <c r="V18" s="68"/>
      <c r="W18" s="26"/>
      <c r="X18" s="68"/>
      <c r="Y18" s="26"/>
      <c r="Z18" s="68"/>
      <c r="AA18" s="144">
        <f>C18+E18+G18+I18+K18+M18+O18+Q18+S18+U18+W18+Y18</f>
        <v>0</v>
      </c>
      <c r="AB18" s="68"/>
      <c r="AC18" s="128">
        <f t="shared" si="1"/>
        <v>0</v>
      </c>
      <c r="AD18" s="68"/>
      <c r="AE18" s="645"/>
      <c r="AF18" s="226"/>
      <c r="AG18" s="226"/>
    </row>
    <row r="19" spans="1:33" s="1" customFormat="1">
      <c r="A19" s="187">
        <v>5504</v>
      </c>
      <c r="B19" s="187" t="s">
        <v>51</v>
      </c>
      <c r="C19" s="26"/>
      <c r="D19" s="68">
        <f>C19/C12</f>
        <v>0</v>
      </c>
      <c r="E19" s="26"/>
      <c r="F19" s="68">
        <f>E19/E12</f>
        <v>0</v>
      </c>
      <c r="G19" s="26"/>
      <c r="H19" s="68">
        <f>G19/G12</f>
        <v>0</v>
      </c>
      <c r="I19" s="26"/>
      <c r="J19" s="68">
        <f>I19/I12</f>
        <v>0</v>
      </c>
      <c r="L19" s="68">
        <f>K19/K12</f>
        <v>0</v>
      </c>
      <c r="M19" s="26"/>
      <c r="N19" s="702">
        <f>M19/M12</f>
        <v>0</v>
      </c>
      <c r="P19" s="702">
        <f>O19/O12</f>
        <v>0</v>
      </c>
      <c r="Q19" s="26"/>
      <c r="R19" s="68">
        <f>Q19/Q12</f>
        <v>0</v>
      </c>
      <c r="S19" s="26"/>
      <c r="T19" s="68">
        <f>S19/S12</f>
        <v>0</v>
      </c>
      <c r="U19" s="26"/>
      <c r="V19" s="68">
        <f>U19/U12</f>
        <v>0</v>
      </c>
      <c r="W19" s="26"/>
      <c r="X19" s="68">
        <f>W19/W12</f>
        <v>0</v>
      </c>
      <c r="Y19" s="26"/>
      <c r="Z19" s="68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"/>
        <v>0</v>
      </c>
      <c r="AD19" s="68">
        <f>AC19/AC12</f>
        <v>0</v>
      </c>
      <c r="AE19" s="645"/>
      <c r="AF19" s="226"/>
      <c r="AG19" s="226"/>
    </row>
    <row r="20" spans="1:33" s="1" customFormat="1">
      <c r="A20" s="3">
        <v>5505</v>
      </c>
      <c r="B20" s="3" t="s">
        <v>52</v>
      </c>
      <c r="C20" s="26"/>
      <c r="D20" s="68"/>
      <c r="E20" s="26"/>
      <c r="F20" s="68"/>
      <c r="G20" s="26"/>
      <c r="H20" s="68"/>
      <c r="I20" s="26"/>
      <c r="J20" s="68"/>
      <c r="K20" s="26"/>
      <c r="L20" s="68"/>
      <c r="M20" s="26"/>
      <c r="N20" s="702"/>
      <c r="O20" s="26"/>
      <c r="P20" s="702"/>
      <c r="Q20" s="26"/>
      <c r="R20" s="68"/>
      <c r="S20" s="26"/>
      <c r="T20" s="68"/>
      <c r="U20" s="26"/>
      <c r="V20" s="68"/>
      <c r="W20" s="26"/>
      <c r="X20" s="68"/>
      <c r="Y20" s="26"/>
      <c r="Z20" s="68"/>
      <c r="AA20" s="144">
        <f>C20+E20+G20+I20+K20+M20+O20+Q20+S20+U20+W20+Y20</f>
        <v>0</v>
      </c>
      <c r="AB20" s="68"/>
      <c r="AC20" s="128">
        <f t="shared" si="1"/>
        <v>0</v>
      </c>
      <c r="AD20" s="68"/>
      <c r="AE20" s="645"/>
      <c r="AF20" s="226"/>
      <c r="AG20" s="226"/>
    </row>
    <row r="21" spans="1:33" s="1" customFormat="1" ht="15.75" thickBot="1">
      <c r="A21" s="8">
        <v>5599</v>
      </c>
      <c r="B21" s="8" t="s">
        <v>95</v>
      </c>
      <c r="C21" s="28">
        <f>SUM(C17:C20)</f>
        <v>590463.96299999999</v>
      </c>
      <c r="D21" s="96">
        <f>C21/C12</f>
        <v>0.59099999999999997</v>
      </c>
      <c r="E21" s="28">
        <f>SUM(E17:E20)</f>
        <v>419973.2161475835</v>
      </c>
      <c r="F21" s="96">
        <f>E21/E12</f>
        <v>0.5403</v>
      </c>
      <c r="G21" s="28">
        <f>SUM(G17:G20)</f>
        <v>708375.35339264281</v>
      </c>
      <c r="H21" s="96">
        <f>G21/G12</f>
        <v>0.5494</v>
      </c>
      <c r="I21" s="28">
        <f>SUM(I17:I20)</f>
        <v>607844.6161000001</v>
      </c>
      <c r="J21" s="96">
        <f>I21/I12</f>
        <v>0.53390000000000004</v>
      </c>
      <c r="K21" s="28">
        <f>SUM(K17:K20)</f>
        <v>618932.67119999998</v>
      </c>
      <c r="L21" s="96">
        <f>K21/K12</f>
        <v>0.59439999999999993</v>
      </c>
      <c r="M21" s="28">
        <f>SUM(M17:M20)</f>
        <v>908940.1716</v>
      </c>
      <c r="N21" s="96">
        <f>M21/M12</f>
        <v>0.61560000000000004</v>
      </c>
      <c r="O21" s="28">
        <f>SUM(O17:O20)</f>
        <v>576768.51500000001</v>
      </c>
      <c r="P21" s="96">
        <f>O21/O12</f>
        <v>0.61699999999999999</v>
      </c>
      <c r="Q21" s="28">
        <f>SUM(Q17:Q20)</f>
        <v>656648.15469999996</v>
      </c>
      <c r="R21" s="96">
        <f>Q21/Q12</f>
        <v>0.56569999999999998</v>
      </c>
      <c r="S21" s="28">
        <f>SUM(S17:S20)</f>
        <v>683126.67540000007</v>
      </c>
      <c r="T21" s="96">
        <f>S21/S12</f>
        <v>0.58420000000000005</v>
      </c>
      <c r="U21" s="28">
        <f>SUM(U17:U20)</f>
        <v>523588.2009034247</v>
      </c>
      <c r="V21" s="96">
        <f>U21/U12</f>
        <v>0.5645</v>
      </c>
      <c r="W21" s="28">
        <f>SUM(W17:W20)</f>
        <v>505541.73160595994</v>
      </c>
      <c r="X21" s="96">
        <f>W21/W12</f>
        <v>0.53569999999999995</v>
      </c>
      <c r="Y21" s="28">
        <f>SUM(Y17:Y20)</f>
        <v>844393.39776554995</v>
      </c>
      <c r="Z21" s="96">
        <f>Y21/Y12</f>
        <v>0.59229999999999994</v>
      </c>
      <c r="AA21" s="158">
        <f>SUM(AA17:AA20)</f>
        <v>7644596.6668151608</v>
      </c>
      <c r="AB21" s="96">
        <f>AA21/AA12</f>
        <v>0.57548338152762057</v>
      </c>
      <c r="AC21" s="132">
        <f t="shared" si="1"/>
        <v>637049.72223459673</v>
      </c>
      <c r="AD21" s="96">
        <f>AC21/AC12</f>
        <v>0.57548338152762057</v>
      </c>
      <c r="AE21" s="650"/>
      <c r="AF21" s="553"/>
      <c r="AG21" s="553"/>
    </row>
    <row r="22" spans="1:33" s="1" customFormat="1" ht="15.75" thickTop="1">
      <c r="A22" s="187">
        <v>5601</v>
      </c>
      <c r="B22" s="3" t="s">
        <v>53</v>
      </c>
      <c r="C22" s="26"/>
      <c r="D22" s="68">
        <f>C22/C12</f>
        <v>0</v>
      </c>
      <c r="E22" s="26"/>
      <c r="F22" s="68">
        <f>E22/E12</f>
        <v>0</v>
      </c>
      <c r="G22" s="26"/>
      <c r="H22" s="68">
        <f>G22/G12</f>
        <v>0</v>
      </c>
      <c r="I22" s="26"/>
      <c r="J22" s="68">
        <f>I22/I12</f>
        <v>0</v>
      </c>
      <c r="K22" s="26"/>
      <c r="L22" s="68">
        <f>K22/K12</f>
        <v>0</v>
      </c>
      <c r="M22" s="26"/>
      <c r="N22" s="702">
        <f>M22/M12</f>
        <v>0</v>
      </c>
      <c r="O22" s="26"/>
      <c r="P22" s="702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16">C22+E22+G22+I22+K22+M22+O22+Q22+S22+U22+W22+Y22</f>
        <v>0</v>
      </c>
      <c r="AB22" s="68">
        <f>AA22/AA12</f>
        <v>0</v>
      </c>
      <c r="AC22" s="128">
        <f t="shared" si="1"/>
        <v>0</v>
      </c>
      <c r="AD22" s="68">
        <f>AC22/AC12</f>
        <v>0</v>
      </c>
      <c r="AE22" s="645"/>
      <c r="AF22" s="226"/>
      <c r="AG22" s="226"/>
    </row>
    <row r="23" spans="1:33" s="1" customFormat="1">
      <c r="A23" s="3">
        <v>5602</v>
      </c>
      <c r="B23" s="3" t="s">
        <v>54</v>
      </c>
      <c r="C23" s="26"/>
      <c r="D23" s="68">
        <f>C23/C12</f>
        <v>0</v>
      </c>
      <c r="E23" s="26"/>
      <c r="F23" s="68">
        <f>E23/E12</f>
        <v>0</v>
      </c>
      <c r="G23" s="26"/>
      <c r="H23" s="68">
        <f>G23/G12</f>
        <v>0</v>
      </c>
      <c r="I23" s="26"/>
      <c r="J23" s="68">
        <f>I23/I12</f>
        <v>0</v>
      </c>
      <c r="K23" s="26"/>
      <c r="L23" s="68">
        <f>K23/K12</f>
        <v>0</v>
      </c>
      <c r="M23" s="26"/>
      <c r="N23" s="702">
        <f>M23/M12</f>
        <v>0</v>
      </c>
      <c r="O23" s="26"/>
      <c r="P23" s="702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16"/>
        <v>0</v>
      </c>
      <c r="AB23" s="68">
        <f>AA23/AA12</f>
        <v>0</v>
      </c>
      <c r="AC23" s="128">
        <f t="shared" si="1"/>
        <v>0</v>
      </c>
      <c r="AD23" s="68">
        <f>AC23/AC12</f>
        <v>0</v>
      </c>
      <c r="AE23" s="645"/>
      <c r="AF23" s="226"/>
      <c r="AG23" s="226"/>
    </row>
    <row r="24" spans="1:33" s="1" customFormat="1">
      <c r="A24" s="3">
        <v>5603</v>
      </c>
      <c r="B24" s="3" t="s">
        <v>55</v>
      </c>
      <c r="C24" s="26"/>
      <c r="D24" s="68">
        <f>C24/C12</f>
        <v>0</v>
      </c>
      <c r="E24" s="26"/>
      <c r="F24" s="68">
        <f>E24/E12</f>
        <v>0</v>
      </c>
      <c r="G24" s="26"/>
      <c r="H24" s="68">
        <f>G24/G12</f>
        <v>0</v>
      </c>
      <c r="I24" s="26"/>
      <c r="J24" s="68">
        <f>I24/I12</f>
        <v>0</v>
      </c>
      <c r="K24" s="26"/>
      <c r="L24" s="68">
        <f>K24/K12</f>
        <v>0</v>
      </c>
      <c r="M24" s="26"/>
      <c r="N24" s="702">
        <f>M24/M12</f>
        <v>0</v>
      </c>
      <c r="O24" s="26"/>
      <c r="P24" s="702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16"/>
        <v>0</v>
      </c>
      <c r="AB24" s="68">
        <f>AA24/AA12</f>
        <v>0</v>
      </c>
      <c r="AC24" s="128">
        <f t="shared" si="1"/>
        <v>0</v>
      </c>
      <c r="AD24" s="68">
        <f>AC24/AC12</f>
        <v>0</v>
      </c>
      <c r="AE24" s="645"/>
      <c r="AF24" s="226"/>
      <c r="AG24" s="226"/>
    </row>
    <row r="25" spans="1:33" s="1" customFormat="1">
      <c r="A25" s="187">
        <v>5604</v>
      </c>
      <c r="B25" s="187" t="s">
        <v>56</v>
      </c>
      <c r="C25" s="26">
        <v>250</v>
      </c>
      <c r="D25" s="68">
        <f>C25/C12</f>
        <v>2.5022695584895499E-4</v>
      </c>
      <c r="E25" s="26">
        <v>250</v>
      </c>
      <c r="F25" s="68">
        <f>E25/E12</f>
        <v>3.2162765339905166E-4</v>
      </c>
      <c r="G25" s="26">
        <v>250</v>
      </c>
      <c r="H25" s="68">
        <f>G25/G12</f>
        <v>1.9389438006585862E-4</v>
      </c>
      <c r="I25" s="26">
        <v>250</v>
      </c>
      <c r="J25" s="68">
        <f>I25/I12</f>
        <v>2.195873689831963E-4</v>
      </c>
      <c r="K25" s="26">
        <v>250</v>
      </c>
      <c r="L25" s="68">
        <f>K25/K12</f>
        <v>2.4009073509060545E-4</v>
      </c>
      <c r="M25" s="26">
        <v>250</v>
      </c>
      <c r="N25" s="702">
        <f>M25/M12</f>
        <v>1.6931807483994363E-4</v>
      </c>
      <c r="O25" s="26">
        <v>250</v>
      </c>
      <c r="P25" s="702">
        <f>O25/O12</f>
        <v>2.6743831535256394E-4</v>
      </c>
      <c r="Q25" s="26">
        <v>250</v>
      </c>
      <c r="R25" s="68">
        <f>Q25/Q12</f>
        <v>2.1537409187514161E-4</v>
      </c>
      <c r="S25" s="26">
        <v>250</v>
      </c>
      <c r="T25" s="68">
        <f>S25/S12</f>
        <v>2.1379636494868459E-4</v>
      </c>
      <c r="U25" s="26">
        <v>250</v>
      </c>
      <c r="V25" s="68">
        <f>U25/U12</f>
        <v>2.6953433969003889E-4</v>
      </c>
      <c r="W25" s="26">
        <v>250</v>
      </c>
      <c r="X25" s="68">
        <f>W25/W12</f>
        <v>2.6491383723072472E-4</v>
      </c>
      <c r="Y25" s="26">
        <v>250</v>
      </c>
      <c r="Z25" s="68">
        <f>Y25/Y12</f>
        <v>1.7536257435436952E-4</v>
      </c>
      <c r="AA25" s="144">
        <f t="shared" si="16"/>
        <v>3000</v>
      </c>
      <c r="AB25" s="68">
        <f>AA25/AA12</f>
        <v>2.2583927181891777E-4</v>
      </c>
      <c r="AC25" s="128">
        <f t="shared" si="1"/>
        <v>250</v>
      </c>
      <c r="AD25" s="68">
        <f>AC25/AC12</f>
        <v>2.2583927181891777E-4</v>
      </c>
      <c r="AE25" s="645"/>
      <c r="AF25" s="555" t="s">
        <v>243</v>
      </c>
      <c r="AG25" s="226"/>
    </row>
    <row r="26" spans="1:33" s="1" customFormat="1">
      <c r="A26" s="187">
        <v>5605</v>
      </c>
      <c r="B26" s="187" t="s">
        <v>14</v>
      </c>
      <c r="C26" s="26"/>
      <c r="D26" s="68">
        <f>C26/C12</f>
        <v>0</v>
      </c>
      <c r="E26" s="26"/>
      <c r="F26" s="68">
        <f>E26/E12</f>
        <v>0</v>
      </c>
      <c r="G26" s="26"/>
      <c r="H26" s="68">
        <f>G26/G12</f>
        <v>0</v>
      </c>
      <c r="I26" s="26"/>
      <c r="J26" s="68">
        <f>I26/I12</f>
        <v>0</v>
      </c>
      <c r="K26" s="26"/>
      <c r="L26" s="68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68">
        <f>Q26/Q12</f>
        <v>0</v>
      </c>
      <c r="S26" s="26"/>
      <c r="T26" s="68">
        <f>S26/S12</f>
        <v>0</v>
      </c>
      <c r="U26" s="26"/>
      <c r="V26" s="68">
        <f>U26/U12</f>
        <v>0</v>
      </c>
      <c r="W26" s="26"/>
      <c r="X26" s="68">
        <f>W26/W12</f>
        <v>0</v>
      </c>
      <c r="Y26" s="26"/>
      <c r="Z26" s="68">
        <f>Y26/Y12</f>
        <v>0</v>
      </c>
      <c r="AA26" s="144">
        <f t="shared" si="16"/>
        <v>0</v>
      </c>
      <c r="AB26" s="68">
        <f>AA26/AA12</f>
        <v>0</v>
      </c>
      <c r="AC26" s="128">
        <f t="shared" si="1"/>
        <v>0</v>
      </c>
      <c r="AD26" s="68">
        <f>AC26/AC12</f>
        <v>0</v>
      </c>
      <c r="AE26" s="645"/>
      <c r="AF26" s="226"/>
      <c r="AG26" s="226"/>
    </row>
    <row r="27" spans="1:33" s="1" customFormat="1">
      <c r="A27" s="187">
        <v>5606</v>
      </c>
      <c r="B27" s="187" t="s">
        <v>77</v>
      </c>
      <c r="C27" s="26">
        <f>C16*0.3%</f>
        <v>2997.279</v>
      </c>
      <c r="D27" s="68">
        <f>C27/C12</f>
        <v>3.0000000000000001E-3</v>
      </c>
      <c r="E27" s="26">
        <f>E16*0.3%</f>
        <v>2331.8890402419961</v>
      </c>
      <c r="F27" s="68">
        <f>E27/E12</f>
        <v>3.0000000000000001E-3</v>
      </c>
      <c r="G27" s="26">
        <f>G16*0.3%</f>
        <v>3868.0852933708197</v>
      </c>
      <c r="H27" s="68">
        <f>G27/G12</f>
        <v>3.0000000000000001E-3</v>
      </c>
      <c r="I27" s="26">
        <f>I16*0.3%</f>
        <v>3415.4970000000003</v>
      </c>
      <c r="J27" s="68">
        <f>I27/I12</f>
        <v>3.0000000000000001E-3</v>
      </c>
      <c r="K27" s="26">
        <f>K16*0.3%</f>
        <v>3123.819</v>
      </c>
      <c r="L27" s="68">
        <f>K27/K12</f>
        <v>3.0000000000000001E-3</v>
      </c>
      <c r="M27" s="26">
        <f>M16*0.3%</f>
        <v>4429.5330000000004</v>
      </c>
      <c r="N27" s="702">
        <f>M27/M12</f>
        <v>3.0000000000000001E-3</v>
      </c>
      <c r="O27" s="26">
        <f>O16*0.3%</f>
        <v>2804.3850000000002</v>
      </c>
      <c r="P27" s="702">
        <f>O27/O12</f>
        <v>3.0000000000000001E-3</v>
      </c>
      <c r="Q27" s="26">
        <f>Q16*0.3%</f>
        <v>3482.3130000000001</v>
      </c>
      <c r="R27" s="68">
        <f>Q27/Q12</f>
        <v>3.0000000000000001E-3</v>
      </c>
      <c r="S27" s="26">
        <f>S16*0.3%</f>
        <v>3508.011</v>
      </c>
      <c r="T27" s="68">
        <f>S27/S12</f>
        <v>3.0000000000000001E-3</v>
      </c>
      <c r="U27" s="26">
        <f>U16*0.3%</f>
        <v>2782.5767984238691</v>
      </c>
      <c r="V27" s="68">
        <f>U27/U12</f>
        <v>3.0000000000000001E-3</v>
      </c>
      <c r="W27" s="26">
        <f>W16*0.3%</f>
        <v>2831.1091932385289</v>
      </c>
      <c r="X27" s="68">
        <f>W27/W12</f>
        <v>3.0000000000000001E-3</v>
      </c>
      <c r="Y27" s="26">
        <f>Y16*0.3%</f>
        <v>4276.8532724913903</v>
      </c>
      <c r="Z27" s="68">
        <f>Y27/Y12</f>
        <v>3.0000000000000001E-3</v>
      </c>
      <c r="AA27" s="144">
        <f t="shared" si="16"/>
        <v>39851.350597766606</v>
      </c>
      <c r="AB27" s="68">
        <f>AA27/AA12</f>
        <v>3.0000000000000009E-3</v>
      </c>
      <c r="AC27" s="128">
        <f t="shared" si="1"/>
        <v>3320.945883147217</v>
      </c>
      <c r="AD27" s="68">
        <f>AC27/AC12</f>
        <v>3.0000000000000009E-3</v>
      </c>
      <c r="AE27" s="645"/>
      <c r="AF27" s="226"/>
      <c r="AG27" s="226"/>
    </row>
    <row r="28" spans="1:33" s="1" customFormat="1">
      <c r="A28" s="3">
        <v>5607</v>
      </c>
      <c r="B28" s="3" t="s">
        <v>57</v>
      </c>
      <c r="C28" s="26"/>
      <c r="D28" s="68">
        <f>C28/C12</f>
        <v>0</v>
      </c>
      <c r="E28" s="26"/>
      <c r="F28" s="68">
        <f>E28/E12</f>
        <v>0</v>
      </c>
      <c r="G28" s="26"/>
      <c r="H28" s="68">
        <f>G28/G12</f>
        <v>0</v>
      </c>
      <c r="I28" s="26"/>
      <c r="J28" s="68">
        <f>I28/I12</f>
        <v>0</v>
      </c>
      <c r="K28" s="26"/>
      <c r="L28" s="68">
        <f>K28/K12</f>
        <v>0</v>
      </c>
      <c r="M28" s="26"/>
      <c r="N28" s="702">
        <f>M28/M12</f>
        <v>0</v>
      </c>
      <c r="O28" s="26"/>
      <c r="P28" s="702">
        <f>O28/O12</f>
        <v>0</v>
      </c>
      <c r="Q28" s="26"/>
      <c r="R28" s="68">
        <f>Q28/Q12</f>
        <v>0</v>
      </c>
      <c r="S28" s="26"/>
      <c r="T28" s="68">
        <f>S28/S12</f>
        <v>0</v>
      </c>
      <c r="U28" s="26"/>
      <c r="V28" s="68">
        <f>U28/U12</f>
        <v>0</v>
      </c>
      <c r="W28" s="26"/>
      <c r="X28" s="68">
        <f>W28/W12</f>
        <v>0</v>
      </c>
      <c r="Y28" s="26"/>
      <c r="Z28" s="68">
        <f>Y28/Y12</f>
        <v>0</v>
      </c>
      <c r="AA28" s="144">
        <f t="shared" si="16"/>
        <v>0</v>
      </c>
      <c r="AB28" s="68">
        <f>AA28/AA12</f>
        <v>0</v>
      </c>
      <c r="AC28" s="128">
        <f t="shared" si="1"/>
        <v>0</v>
      </c>
      <c r="AD28" s="68">
        <f>AC28/AC12</f>
        <v>0</v>
      </c>
      <c r="AE28" s="645"/>
      <c r="AF28" s="226"/>
      <c r="AG28" s="226"/>
    </row>
    <row r="29" spans="1:33" s="1" customFormat="1">
      <c r="A29" s="3">
        <v>5608</v>
      </c>
      <c r="B29" s="3" t="s">
        <v>58</v>
      </c>
      <c r="C29" s="26"/>
      <c r="D29" s="68">
        <f>C29/C12</f>
        <v>0</v>
      </c>
      <c r="E29" s="26"/>
      <c r="F29" s="68">
        <f>E29/E12</f>
        <v>0</v>
      </c>
      <c r="G29" s="26"/>
      <c r="H29" s="68">
        <f>G29/G12</f>
        <v>0</v>
      </c>
      <c r="I29" s="26"/>
      <c r="J29" s="68">
        <f>I29/I12</f>
        <v>0</v>
      </c>
      <c r="K29" s="26"/>
      <c r="L29" s="68">
        <f>K29/K12</f>
        <v>0</v>
      </c>
      <c r="M29" s="26"/>
      <c r="N29" s="702">
        <f>M29/M12</f>
        <v>0</v>
      </c>
      <c r="O29" s="26"/>
      <c r="P29" s="702">
        <f>O29/O12</f>
        <v>0</v>
      </c>
      <c r="Q29" s="26"/>
      <c r="R29" s="68">
        <f>Q29/Q12</f>
        <v>0</v>
      </c>
      <c r="S29" s="26"/>
      <c r="T29" s="68">
        <f>S29/S12</f>
        <v>0</v>
      </c>
      <c r="U29" s="26"/>
      <c r="V29" s="68">
        <f>U29/U12</f>
        <v>0</v>
      </c>
      <c r="W29" s="26"/>
      <c r="X29" s="68">
        <f>W29/W12</f>
        <v>0</v>
      </c>
      <c r="Y29" s="26"/>
      <c r="Z29" s="68">
        <f>Y29/Y12</f>
        <v>0</v>
      </c>
      <c r="AA29" s="144">
        <f t="shared" si="16"/>
        <v>0</v>
      </c>
      <c r="AB29" s="68">
        <f>AA29/AA12</f>
        <v>0</v>
      </c>
      <c r="AC29" s="128">
        <f t="shared" si="1"/>
        <v>0</v>
      </c>
      <c r="AD29" s="68">
        <f>AC29/AC12</f>
        <v>0</v>
      </c>
      <c r="AE29" s="645"/>
      <c r="AF29" s="226"/>
      <c r="AG29" s="226"/>
    </row>
    <row r="30" spans="1:33" s="1" customFormat="1">
      <c r="A30" s="3">
        <v>5609</v>
      </c>
      <c r="B30" s="3" t="s">
        <v>59</v>
      </c>
      <c r="C30" s="26"/>
      <c r="D30" s="68">
        <f t="shared" ref="D30" si="17">C30/C12</f>
        <v>0</v>
      </c>
      <c r="E30" s="26"/>
      <c r="F30" s="68">
        <f t="shared" ref="F30" si="18">E30/E12</f>
        <v>0</v>
      </c>
      <c r="G30" s="26"/>
      <c r="H30" s="68">
        <f t="shared" ref="H30" si="19">G30/G12</f>
        <v>0</v>
      </c>
      <c r="I30" s="26"/>
      <c r="J30" s="68">
        <f t="shared" ref="J30" si="20">I30/I12</f>
        <v>0</v>
      </c>
      <c r="K30" s="26"/>
      <c r="L30" s="68">
        <f t="shared" ref="L30" si="21">K30/K12</f>
        <v>0</v>
      </c>
      <c r="M30" s="26"/>
      <c r="N30" s="702">
        <f t="shared" ref="N30" si="22">M30/M12</f>
        <v>0</v>
      </c>
      <c r="O30" s="26"/>
      <c r="P30" s="702">
        <f t="shared" ref="P30" si="23">O30/O12</f>
        <v>0</v>
      </c>
      <c r="Q30" s="26"/>
      <c r="R30" s="68">
        <f t="shared" ref="R30" si="24">Q30/Q12</f>
        <v>0</v>
      </c>
      <c r="S30" s="26"/>
      <c r="T30" s="68">
        <f t="shared" ref="T30" si="25">S30/S12</f>
        <v>0</v>
      </c>
      <c r="U30" s="26"/>
      <c r="V30" s="68">
        <f t="shared" ref="V30" si="26">U30/U12</f>
        <v>0</v>
      </c>
      <c r="W30" s="26"/>
      <c r="X30" s="68">
        <f t="shared" ref="X30" si="27">W30/W12</f>
        <v>0</v>
      </c>
      <c r="Y30" s="26"/>
      <c r="Z30" s="68">
        <f t="shared" ref="Z30" si="28">Y30/Y12</f>
        <v>0</v>
      </c>
      <c r="AA30" s="144">
        <f t="shared" si="16"/>
        <v>0</v>
      </c>
      <c r="AB30" s="68">
        <f t="shared" ref="AB30" si="29">AA30/AA12</f>
        <v>0</v>
      </c>
      <c r="AC30" s="128">
        <f t="shared" si="1"/>
        <v>0</v>
      </c>
      <c r="AD30" s="68">
        <f t="shared" ref="AD30" si="30">AC30/AC12</f>
        <v>0</v>
      </c>
      <c r="AE30" s="645"/>
      <c r="AF30" s="226"/>
      <c r="AG30" s="226"/>
    </row>
    <row r="31" spans="1:33" s="1" customFormat="1">
      <c r="A31" s="3">
        <v>5610</v>
      </c>
      <c r="B31" s="3" t="s">
        <v>60</v>
      </c>
      <c r="C31" s="26"/>
      <c r="D31" s="68">
        <f>C31/C12</f>
        <v>0</v>
      </c>
      <c r="E31" s="26"/>
      <c r="F31" s="68">
        <f>E31/E12</f>
        <v>0</v>
      </c>
      <c r="G31" s="26"/>
      <c r="H31" s="68">
        <f>G31/G12</f>
        <v>0</v>
      </c>
      <c r="I31" s="26"/>
      <c r="J31" s="68">
        <f>I31/I12</f>
        <v>0</v>
      </c>
      <c r="K31" s="26"/>
      <c r="L31" s="68">
        <f>K31/K12</f>
        <v>0</v>
      </c>
      <c r="M31" s="26"/>
      <c r="N31" s="702">
        <f>M31/M12</f>
        <v>0</v>
      </c>
      <c r="O31" s="26"/>
      <c r="P31" s="702">
        <f>O31/O12</f>
        <v>0</v>
      </c>
      <c r="Q31" s="26"/>
      <c r="R31" s="68">
        <f>Q31/Q12</f>
        <v>0</v>
      </c>
      <c r="S31" s="26"/>
      <c r="T31" s="68">
        <f>S31/S12</f>
        <v>0</v>
      </c>
      <c r="U31" s="26"/>
      <c r="V31" s="68">
        <f>U31/U12</f>
        <v>0</v>
      </c>
      <c r="W31" s="26"/>
      <c r="X31" s="68">
        <f>W31/W12</f>
        <v>0</v>
      </c>
      <c r="Y31" s="26"/>
      <c r="Z31" s="68">
        <f>Y31/Y12</f>
        <v>0</v>
      </c>
      <c r="AA31" s="144">
        <f t="shared" si="16"/>
        <v>0</v>
      </c>
      <c r="AB31" s="68">
        <f>AA31/AA12</f>
        <v>0</v>
      </c>
      <c r="AC31" s="128">
        <f t="shared" si="1"/>
        <v>0</v>
      </c>
      <c r="AD31" s="68">
        <f>AC31/AC12</f>
        <v>0</v>
      </c>
      <c r="AE31" s="645"/>
      <c r="AF31" s="226"/>
      <c r="AG31" s="226"/>
    </row>
    <row r="32" spans="1:33" s="1" customFormat="1">
      <c r="A32" s="3">
        <v>5611</v>
      </c>
      <c r="B32" s="3" t="s">
        <v>96</v>
      </c>
      <c r="C32" s="26"/>
      <c r="D32" s="68">
        <f>C32/C12</f>
        <v>0</v>
      </c>
      <c r="E32" s="26"/>
      <c r="F32" s="68">
        <f>E32/E12</f>
        <v>0</v>
      </c>
      <c r="G32" s="26"/>
      <c r="H32" s="68">
        <f>G32/G12</f>
        <v>0</v>
      </c>
      <c r="I32" s="26"/>
      <c r="J32" s="68">
        <f>I32/I12</f>
        <v>0</v>
      </c>
      <c r="K32" s="26"/>
      <c r="L32" s="68">
        <f>K32/K12</f>
        <v>0</v>
      </c>
      <c r="M32" s="26"/>
      <c r="N32" s="702">
        <f>M32/M12</f>
        <v>0</v>
      </c>
      <c r="O32" s="26"/>
      <c r="P32" s="702">
        <f>O32/O12</f>
        <v>0</v>
      </c>
      <c r="Q32" s="26"/>
      <c r="R32" s="68">
        <f>Q32/Q12</f>
        <v>0</v>
      </c>
      <c r="S32" s="26"/>
      <c r="T32" s="68">
        <f>S32/S12</f>
        <v>0</v>
      </c>
      <c r="U32" s="26"/>
      <c r="V32" s="68">
        <f>U32/U12</f>
        <v>0</v>
      </c>
      <c r="W32" s="26"/>
      <c r="X32" s="68">
        <f>W32/W12</f>
        <v>0</v>
      </c>
      <c r="Y32" s="26"/>
      <c r="Z32" s="68">
        <f>Y32/Y12</f>
        <v>0</v>
      </c>
      <c r="AA32" s="144">
        <f t="shared" si="16"/>
        <v>0</v>
      </c>
      <c r="AB32" s="68">
        <f>AA32/AA12</f>
        <v>0</v>
      </c>
      <c r="AC32" s="128">
        <f t="shared" si="1"/>
        <v>0</v>
      </c>
      <c r="AD32" s="68">
        <f>AC32/AC12</f>
        <v>0</v>
      </c>
      <c r="AE32" s="645"/>
      <c r="AF32" s="226"/>
      <c r="AG32" s="226"/>
    </row>
    <row r="33" spans="1:33" s="1" customFormat="1">
      <c r="A33" s="3">
        <v>5612</v>
      </c>
      <c r="B33" s="3" t="s">
        <v>61</v>
      </c>
      <c r="C33" s="26"/>
      <c r="D33" s="68">
        <f>C33/C12</f>
        <v>0</v>
      </c>
      <c r="E33" s="26"/>
      <c r="F33" s="68">
        <f>E33/E12</f>
        <v>0</v>
      </c>
      <c r="G33" s="26"/>
      <c r="H33" s="68">
        <f>G33/G12</f>
        <v>0</v>
      </c>
      <c r="I33" s="26"/>
      <c r="J33" s="68">
        <f>I33/I12</f>
        <v>0</v>
      </c>
      <c r="K33" s="26"/>
      <c r="L33" s="68">
        <f>K33/K12</f>
        <v>0</v>
      </c>
      <c r="M33" s="26"/>
      <c r="N33" s="702">
        <f>M33/M12</f>
        <v>0</v>
      </c>
      <c r="O33" s="26"/>
      <c r="P33" s="702">
        <f>O33/O12</f>
        <v>0</v>
      </c>
      <c r="Q33" s="26"/>
      <c r="R33" s="68">
        <f>Q33/Q12</f>
        <v>0</v>
      </c>
      <c r="S33" s="26"/>
      <c r="T33" s="68">
        <f>S33/S12</f>
        <v>0</v>
      </c>
      <c r="U33" s="26"/>
      <c r="V33" s="68">
        <f>U33/U12</f>
        <v>0</v>
      </c>
      <c r="W33" s="26"/>
      <c r="X33" s="68">
        <f>W33/W12</f>
        <v>0</v>
      </c>
      <c r="Y33" s="26"/>
      <c r="Z33" s="68">
        <f>Y33/Y12</f>
        <v>0</v>
      </c>
      <c r="AA33" s="144">
        <f t="shared" si="16"/>
        <v>0</v>
      </c>
      <c r="AB33" s="68">
        <f>AA33/AA12</f>
        <v>0</v>
      </c>
      <c r="AC33" s="128">
        <f t="shared" si="1"/>
        <v>0</v>
      </c>
      <c r="AD33" s="68">
        <f>AC33/AC12</f>
        <v>0</v>
      </c>
      <c r="AE33" s="645"/>
      <c r="AF33" s="226"/>
      <c r="AG33" s="226"/>
    </row>
    <row r="34" spans="1:33" s="1" customFormat="1">
      <c r="A34" s="3">
        <v>5613</v>
      </c>
      <c r="B34" s="3" t="s">
        <v>62</v>
      </c>
      <c r="C34" s="26"/>
      <c r="D34" s="68">
        <f>C34/C12</f>
        <v>0</v>
      </c>
      <c r="E34" s="26"/>
      <c r="F34" s="68">
        <f>E34/E12</f>
        <v>0</v>
      </c>
      <c r="G34" s="26"/>
      <c r="H34" s="68">
        <f>G34/G12</f>
        <v>0</v>
      </c>
      <c r="I34" s="26"/>
      <c r="J34" s="68">
        <f>I34/I12</f>
        <v>0</v>
      </c>
      <c r="K34" s="26"/>
      <c r="L34" s="68">
        <f>K34/K12</f>
        <v>0</v>
      </c>
      <c r="M34" s="26"/>
      <c r="N34" s="702">
        <f>M34/M12</f>
        <v>0</v>
      </c>
      <c r="O34" s="26"/>
      <c r="P34" s="702">
        <f>O34/O12</f>
        <v>0</v>
      </c>
      <c r="Q34" s="26"/>
      <c r="R34" s="68">
        <f>Q34/Q12</f>
        <v>0</v>
      </c>
      <c r="S34" s="26"/>
      <c r="T34" s="68">
        <f>S34/S12</f>
        <v>0</v>
      </c>
      <c r="U34" s="26"/>
      <c r="V34" s="68">
        <f>U34/U12</f>
        <v>0</v>
      </c>
      <c r="W34" s="26"/>
      <c r="X34" s="68">
        <f>W34/W12</f>
        <v>0</v>
      </c>
      <c r="Y34" s="26"/>
      <c r="Z34" s="68">
        <f>Y34/Y12</f>
        <v>0</v>
      </c>
      <c r="AA34" s="144">
        <f t="shared" si="16"/>
        <v>0</v>
      </c>
      <c r="AB34" s="68">
        <f>AA34/AA12</f>
        <v>0</v>
      </c>
      <c r="AC34" s="128">
        <f t="shared" si="1"/>
        <v>0</v>
      </c>
      <c r="AD34" s="68">
        <f>AC34/AC12</f>
        <v>0</v>
      </c>
      <c r="AE34" s="645"/>
      <c r="AF34" s="226"/>
      <c r="AG34" s="226"/>
    </row>
    <row r="35" spans="1:33" s="1" customFormat="1">
      <c r="A35" s="9">
        <v>5699</v>
      </c>
      <c r="B35" s="9" t="s">
        <v>97</v>
      </c>
      <c r="C35" s="29">
        <f>SUM(C22:C34)</f>
        <v>3247.279</v>
      </c>
      <c r="D35" s="97">
        <f>C35/C12</f>
        <v>3.2502269558489548E-3</v>
      </c>
      <c r="E35" s="29">
        <f>SUM(E22:E34)</f>
        <v>2581.8890402419961</v>
      </c>
      <c r="F35" s="97">
        <f>E35/E12</f>
        <v>3.3216276533990516E-3</v>
      </c>
      <c r="G35" s="29">
        <f>SUM(G22:G34)</f>
        <v>4118.0852933708193</v>
      </c>
      <c r="H35" s="97">
        <f>G35/G12</f>
        <v>3.1938943800658582E-3</v>
      </c>
      <c r="I35" s="29">
        <f>SUM(I22:I34)</f>
        <v>3665.4970000000003</v>
      </c>
      <c r="J35" s="97">
        <f>I35/I12</f>
        <v>3.2195873689831967E-3</v>
      </c>
      <c r="K35" s="29">
        <f>SUM(K22:K34)</f>
        <v>3373.819</v>
      </c>
      <c r="L35" s="97">
        <f>K35/K12</f>
        <v>3.2400907350906053E-3</v>
      </c>
      <c r="M35" s="29">
        <f>SUM(M22:M34)</f>
        <v>4679.5330000000004</v>
      </c>
      <c r="N35" s="97">
        <f>M35/M12</f>
        <v>3.1693180748399437E-3</v>
      </c>
      <c r="O35" s="29">
        <f>SUM(O22:O34)</f>
        <v>3054.3850000000002</v>
      </c>
      <c r="P35" s="97">
        <f>O35/O12</f>
        <v>3.2674383153525641E-3</v>
      </c>
      <c r="Q35" s="29">
        <f>SUM(Q22:Q34)</f>
        <v>3732.3130000000001</v>
      </c>
      <c r="R35" s="97">
        <f>Q35/Q12</f>
        <v>3.2153740918751416E-3</v>
      </c>
      <c r="S35" s="29">
        <f>SUM(S22:S34)</f>
        <v>3758.011</v>
      </c>
      <c r="T35" s="97">
        <f>S35/S12</f>
        <v>3.2137963649486847E-3</v>
      </c>
      <c r="U35" s="29">
        <f>SUM(U22:U34)</f>
        <v>3032.5767984238691</v>
      </c>
      <c r="V35" s="97">
        <f>U35/U12</f>
        <v>3.2695343396900393E-3</v>
      </c>
      <c r="W35" s="29">
        <f>SUM(W22:W34)</f>
        <v>3081.1091932385289</v>
      </c>
      <c r="X35" s="97">
        <f>W35/W12</f>
        <v>3.2649138372307248E-3</v>
      </c>
      <c r="Y35" s="29">
        <f>SUM(Y22:Y34)</f>
        <v>4526.8532724913903</v>
      </c>
      <c r="Z35" s="97">
        <f>Y35/Y12</f>
        <v>3.1753625743543698E-3</v>
      </c>
      <c r="AA35" s="165">
        <f>SUM(AA22:AA34)</f>
        <v>42851.350597766606</v>
      </c>
      <c r="AB35" s="97">
        <f>AA35/AA12</f>
        <v>3.2258392718189188E-3</v>
      </c>
      <c r="AC35" s="173">
        <f t="shared" si="1"/>
        <v>3570.945883147217</v>
      </c>
      <c r="AD35" s="97">
        <f>AC35/AC12</f>
        <v>3.2258392718189188E-3</v>
      </c>
      <c r="AE35" s="651"/>
      <c r="AF35" s="394"/>
      <c r="AG35" s="394"/>
    </row>
    <row r="36" spans="1:33" s="1" customFormat="1">
      <c r="A36" s="9">
        <v>5999</v>
      </c>
      <c r="B36" s="9" t="s">
        <v>98</v>
      </c>
      <c r="C36" s="29">
        <f>C21+C35</f>
        <v>593711.24199999997</v>
      </c>
      <c r="D36" s="97">
        <f>C36/C12</f>
        <v>0.59425022695584895</v>
      </c>
      <c r="E36" s="29">
        <f>E21+E35</f>
        <v>422555.10518782551</v>
      </c>
      <c r="F36" s="97">
        <f>E36/E12</f>
        <v>0.54362162765339905</v>
      </c>
      <c r="G36" s="29">
        <f>G21+G35</f>
        <v>712493.43868601357</v>
      </c>
      <c r="H36" s="97">
        <f>G36/G12</f>
        <v>0.5525938943800659</v>
      </c>
      <c r="I36" s="29">
        <f>I21+I35</f>
        <v>611510.11310000008</v>
      </c>
      <c r="J36" s="97">
        <f>I36/I12</f>
        <v>0.53711958736898324</v>
      </c>
      <c r="K36" s="29">
        <f>K21+K35</f>
        <v>622306.4902</v>
      </c>
      <c r="L36" s="97">
        <f>K36/K12</f>
        <v>0.59764009073509061</v>
      </c>
      <c r="M36" s="29">
        <f>M21+M35</f>
        <v>913619.70460000006</v>
      </c>
      <c r="N36" s="97">
        <f>M36/M12</f>
        <v>0.61876931807484004</v>
      </c>
      <c r="O36" s="29">
        <f>O21+O35</f>
        <v>579822.9</v>
      </c>
      <c r="P36" s="97">
        <f>O36/O12</f>
        <v>0.62026743831535258</v>
      </c>
      <c r="Q36" s="29">
        <f>Q21+Q35</f>
        <v>660380.46769999992</v>
      </c>
      <c r="R36" s="97">
        <f>Q36/Q12</f>
        <v>0.56891537409187509</v>
      </c>
      <c r="S36" s="29">
        <f>S21+S35</f>
        <v>686884.68640000012</v>
      </c>
      <c r="T36" s="97">
        <f>S36/S12</f>
        <v>0.58741379636494884</v>
      </c>
      <c r="U36" s="29">
        <f>U21+U35</f>
        <v>526620.77770184854</v>
      </c>
      <c r="V36" s="97">
        <f>U36/U12</f>
        <v>0.56776953433969002</v>
      </c>
      <c r="W36" s="29">
        <f>W21+W35</f>
        <v>508622.84079919849</v>
      </c>
      <c r="X36" s="97">
        <f>W36/W12</f>
        <v>0.53896491383723066</v>
      </c>
      <c r="Y36" s="29">
        <f>Y21+Y35</f>
        <v>848920.25103804132</v>
      </c>
      <c r="Z36" s="97">
        <f>Y36/Y12</f>
        <v>0.59547536257435429</v>
      </c>
      <c r="AA36" s="154">
        <f>AA21+AA35</f>
        <v>7687448.017412927</v>
      </c>
      <c r="AB36" s="97">
        <f>AA36/AA12</f>
        <v>0.57870922079943954</v>
      </c>
      <c r="AC36" s="139">
        <f t="shared" si="1"/>
        <v>640620.66811774392</v>
      </c>
      <c r="AD36" s="97">
        <f>AC36/AC12</f>
        <v>0.57870922079943954</v>
      </c>
      <c r="AE36" s="651"/>
      <c r="AF36" s="394"/>
      <c r="AG36" s="394"/>
    </row>
    <row r="37" spans="1:33" s="1" customFormat="1" ht="15.75" thickBot="1">
      <c r="A37" s="10"/>
      <c r="B37" s="10" t="s">
        <v>68</v>
      </c>
      <c r="C37" s="30">
        <f>(C16-C36)</f>
        <v>405381.75800000003</v>
      </c>
      <c r="D37" s="95">
        <f>C37/C12</f>
        <v>0.40574977304415105</v>
      </c>
      <c r="E37" s="30">
        <f>(E16-E36)</f>
        <v>354741.24155950651</v>
      </c>
      <c r="F37" s="95">
        <f>E37/E12</f>
        <v>0.45637837234660089</v>
      </c>
      <c r="G37" s="30">
        <f>(G16-G36)</f>
        <v>576868.32577092631</v>
      </c>
      <c r="H37" s="95">
        <f>G37/G12</f>
        <v>0.44740610561993416</v>
      </c>
      <c r="I37" s="30">
        <f>(I16-I36)</f>
        <v>526988.88689999992</v>
      </c>
      <c r="J37" s="95">
        <f>I37/I12</f>
        <v>0.46288041263101676</v>
      </c>
      <c r="K37" s="30">
        <f>(K16-K36)</f>
        <v>418966.5098</v>
      </c>
      <c r="L37" s="95">
        <f>K37/K12</f>
        <v>0.40235990926490939</v>
      </c>
      <c r="M37" s="30">
        <f>(M16-M36)</f>
        <v>562891.29539999994</v>
      </c>
      <c r="N37" s="95">
        <f>M37/M12</f>
        <v>0.38123068192516002</v>
      </c>
      <c r="O37" s="30">
        <f>(O16-O36)</f>
        <v>354972.1</v>
      </c>
      <c r="P37" s="95">
        <f>O37/O12</f>
        <v>0.37973256168464742</v>
      </c>
      <c r="Q37" s="30">
        <f>(Q16-Q36)</f>
        <v>500390.53230000008</v>
      </c>
      <c r="R37" s="95">
        <f>Q37/Q12</f>
        <v>0.43108462590812491</v>
      </c>
      <c r="S37" s="30">
        <f>(S16-S36)</f>
        <v>482452.31359999988</v>
      </c>
      <c r="T37" s="95">
        <f>S37/S12</f>
        <v>0.41258620363505122</v>
      </c>
      <c r="U37" s="30">
        <f>(U16-U36)</f>
        <v>400904.82177277445</v>
      </c>
      <c r="V37" s="95">
        <f>U37/U12</f>
        <v>0.43223046566030998</v>
      </c>
      <c r="W37" s="30">
        <f>(W16-W36)</f>
        <v>435080.22361364448</v>
      </c>
      <c r="X37" s="95">
        <f>W37/W12</f>
        <v>0.46103508616276928</v>
      </c>
      <c r="Y37" s="30">
        <f>(Y16-Y36)</f>
        <v>576697.50645908865</v>
      </c>
      <c r="Z37" s="95">
        <f>Y37/Y12</f>
        <v>0.40452463742564576</v>
      </c>
      <c r="AA37" s="158">
        <f>(AA16-AA36)</f>
        <v>5596335.5151759367</v>
      </c>
      <c r="AB37" s="95">
        <f>AA37/AA12</f>
        <v>0.42129077920056052</v>
      </c>
      <c r="AC37" s="132">
        <f t="shared" si="1"/>
        <v>466361.29293132806</v>
      </c>
      <c r="AD37" s="95">
        <f>AC37/AC12</f>
        <v>0.42129077920056052</v>
      </c>
      <c r="AE37" s="650"/>
      <c r="AF37" s="553"/>
      <c r="AG37" s="553"/>
    </row>
    <row r="38" spans="1:33" s="1" customFormat="1" ht="15.75" thickTop="1">
      <c r="A38" s="2">
        <v>6002</v>
      </c>
      <c r="B38" s="2" t="s">
        <v>45</v>
      </c>
      <c r="C38" s="26"/>
      <c r="D38" s="68"/>
      <c r="E38" s="26"/>
      <c r="F38" s="68"/>
      <c r="G38" s="26"/>
      <c r="H38" s="68"/>
      <c r="I38" s="26"/>
      <c r="J38" s="68"/>
      <c r="K38" s="26"/>
      <c r="L38" s="68"/>
      <c r="M38" s="26"/>
      <c r="N38" s="702"/>
      <c r="O38" s="26"/>
      <c r="P38" s="702"/>
      <c r="Q38" s="26"/>
      <c r="R38" s="68"/>
      <c r="S38" s="26"/>
      <c r="T38" s="68"/>
      <c r="U38" s="26"/>
      <c r="V38" s="68"/>
      <c r="W38" s="26"/>
      <c r="X38" s="68"/>
      <c r="Y38" s="26"/>
      <c r="Z38" s="68"/>
      <c r="AA38" s="144">
        <f>C38+E38+G38+I38+K38+M38+O38+Q38+S38+U38+W38+Y38</f>
        <v>0</v>
      </c>
      <c r="AB38" s="68"/>
      <c r="AC38" s="128">
        <f t="shared" si="1"/>
        <v>0</v>
      </c>
      <c r="AD38" s="68"/>
      <c r="AE38" s="645"/>
      <c r="AF38" s="226"/>
      <c r="AG38" s="226"/>
    </row>
    <row r="39" spans="1:33" s="1" customFormat="1">
      <c r="A39" s="2">
        <v>6003</v>
      </c>
      <c r="B39" s="2" t="s">
        <v>0</v>
      </c>
      <c r="C39" s="26"/>
      <c r="D39" s="68">
        <f>C39/C12</f>
        <v>0</v>
      </c>
      <c r="E39" s="26"/>
      <c r="F39" s="68">
        <f>E39/E12</f>
        <v>0</v>
      </c>
      <c r="G39" s="26">
        <v>0</v>
      </c>
      <c r="H39" s="68">
        <f>G39/G12</f>
        <v>0</v>
      </c>
      <c r="I39" s="26"/>
      <c r="J39" s="68">
        <f>I39/I12</f>
        <v>0</v>
      </c>
      <c r="K39" s="26">
        <v>0</v>
      </c>
      <c r="L39" s="68">
        <f>K39/K12</f>
        <v>0</v>
      </c>
      <c r="M39" s="26"/>
      <c r="N39" s="702">
        <f>M39/M12</f>
        <v>0</v>
      </c>
      <c r="O39" s="26"/>
      <c r="P39" s="702">
        <f>O39/O12</f>
        <v>0</v>
      </c>
      <c r="Q39" s="26">
        <v>0</v>
      </c>
      <c r="R39" s="68">
        <f>Q39/Q12</f>
        <v>0</v>
      </c>
      <c r="S39" s="26"/>
      <c r="T39" s="68">
        <f>S39/S12</f>
        <v>0</v>
      </c>
      <c r="U39" s="26"/>
      <c r="V39" s="68">
        <f>U39/U12</f>
        <v>0</v>
      </c>
      <c r="W39" s="26">
        <v>0</v>
      </c>
      <c r="X39" s="68">
        <f>W39/W12</f>
        <v>0</v>
      </c>
      <c r="Y39" s="26">
        <v>0</v>
      </c>
      <c r="Z39" s="68">
        <f>Y39/Y12</f>
        <v>0</v>
      </c>
      <c r="AA39" s="144">
        <f t="shared" ref="AA39:AA40" si="31">C39+E39+G39+I39+K39+M39+O39+Q39+S39+U39+W39+Y39</f>
        <v>0</v>
      </c>
      <c r="AB39" s="68">
        <f>AA39/AA12</f>
        <v>0</v>
      </c>
      <c r="AC39" s="128">
        <f t="shared" si="1"/>
        <v>0</v>
      </c>
      <c r="AD39" s="68">
        <f>AC39/AC12</f>
        <v>0</v>
      </c>
      <c r="AE39" s="645"/>
      <c r="AF39" s="226"/>
      <c r="AG39" s="226"/>
    </row>
    <row r="40" spans="1:33" s="1" customFormat="1">
      <c r="A40" s="2">
        <v>6004</v>
      </c>
      <c r="B40" s="2" t="s">
        <v>1</v>
      </c>
      <c r="C40" s="26"/>
      <c r="D40" s="68"/>
      <c r="E40" s="26"/>
      <c r="F40" s="68"/>
      <c r="G40" s="26"/>
      <c r="H40" s="68"/>
      <c r="I40" s="26"/>
      <c r="J40" s="68"/>
      <c r="K40" s="26"/>
      <c r="L40" s="68"/>
      <c r="M40" s="26"/>
      <c r="N40" s="702"/>
      <c r="O40" s="26"/>
      <c r="P40" s="702"/>
      <c r="Q40" s="26"/>
      <c r="R40" s="68"/>
      <c r="S40" s="26"/>
      <c r="T40" s="68"/>
      <c r="U40" s="26"/>
      <c r="V40" s="68"/>
      <c r="W40" s="26"/>
      <c r="X40" s="68"/>
      <c r="Y40" s="26"/>
      <c r="Z40" s="68"/>
      <c r="AA40" s="144">
        <f t="shared" si="31"/>
        <v>0</v>
      </c>
      <c r="AB40" s="68"/>
      <c r="AC40" s="128">
        <f t="shared" si="1"/>
        <v>0</v>
      </c>
      <c r="AD40" s="68"/>
      <c r="AE40" s="645"/>
      <c r="AF40" s="226"/>
      <c r="AG40" s="226"/>
    </row>
    <row r="41" spans="1:33" s="1" customFormat="1" ht="15.75" thickBot="1">
      <c r="A41" s="4">
        <v>6099</v>
      </c>
      <c r="B41" s="4" t="s">
        <v>99</v>
      </c>
      <c r="C41" s="28">
        <f>SUM(C38:C40)</f>
        <v>0</v>
      </c>
      <c r="D41" s="96">
        <f>C41/C12</f>
        <v>0</v>
      </c>
      <c r="E41" s="28">
        <f>E39</f>
        <v>0</v>
      </c>
      <c r="F41" s="96">
        <f>E41/E12</f>
        <v>0</v>
      </c>
      <c r="G41" s="28">
        <f>SUM(G38:G40)</f>
        <v>0</v>
      </c>
      <c r="H41" s="96">
        <f>G41/G12</f>
        <v>0</v>
      </c>
      <c r="I41" s="28">
        <f>SUM(I38:I40)</f>
        <v>0</v>
      </c>
      <c r="J41" s="96">
        <f>I41/I12</f>
        <v>0</v>
      </c>
      <c r="K41" s="28">
        <f>SUM(K38:K40)</f>
        <v>0</v>
      </c>
      <c r="L41" s="96">
        <f>K41/K12</f>
        <v>0</v>
      </c>
      <c r="M41" s="28">
        <f>SUM(M38:M40)</f>
        <v>0</v>
      </c>
      <c r="N41" s="96">
        <f>M41/M12</f>
        <v>0</v>
      </c>
      <c r="O41" s="28">
        <f>SUM(O38:O40)</f>
        <v>0</v>
      </c>
      <c r="P41" s="96">
        <f>O41/O12</f>
        <v>0</v>
      </c>
      <c r="Q41" s="28">
        <f>SUM(Q38:Q40)</f>
        <v>0</v>
      </c>
      <c r="R41" s="96">
        <f>Q41/Q12</f>
        <v>0</v>
      </c>
      <c r="S41" s="28">
        <f>SUM(S38:S40)</f>
        <v>0</v>
      </c>
      <c r="T41" s="96">
        <f>S41/S12</f>
        <v>0</v>
      </c>
      <c r="U41" s="28">
        <f>SUM(U38:U40)</f>
        <v>0</v>
      </c>
      <c r="V41" s="96">
        <f>U41/U12</f>
        <v>0</v>
      </c>
      <c r="W41" s="28">
        <f>SUM(W38:W40)</f>
        <v>0</v>
      </c>
      <c r="X41" s="96">
        <f>W41/W12</f>
        <v>0</v>
      </c>
      <c r="Y41" s="28">
        <f>SUM(Y38:Y40)</f>
        <v>0</v>
      </c>
      <c r="Z41" s="96">
        <f>Y41/Y12</f>
        <v>0</v>
      </c>
      <c r="AA41" s="148">
        <f>SUM(AA38:AA40)</f>
        <v>0</v>
      </c>
      <c r="AB41" s="96">
        <f>AA41/AA12</f>
        <v>0</v>
      </c>
      <c r="AC41" s="132">
        <f t="shared" si="1"/>
        <v>0</v>
      </c>
      <c r="AD41" s="96">
        <f>AC41/AC12</f>
        <v>0</v>
      </c>
      <c r="AE41" s="650"/>
      <c r="AF41" s="553"/>
      <c r="AG41" s="553"/>
    </row>
    <row r="42" spans="1:33" s="1" customFormat="1" ht="15.75" thickTop="1">
      <c r="A42" s="188">
        <v>6101</v>
      </c>
      <c r="B42" s="188" t="s">
        <v>2</v>
      </c>
      <c r="C42" s="705">
        <v>137547</v>
      </c>
      <c r="D42" s="68">
        <f>C42/C12</f>
        <v>0.13767186838462486</v>
      </c>
      <c r="E42" s="705">
        <v>137547</v>
      </c>
      <c r="F42" s="68">
        <f>E42/E12</f>
        <v>0.17695567536831744</v>
      </c>
      <c r="G42" s="705">
        <v>137547</v>
      </c>
      <c r="H42" s="68">
        <f>G42/G12</f>
        <v>0.10667836117967464</v>
      </c>
      <c r="I42" s="705">
        <v>137547</v>
      </c>
      <c r="J42" s="68">
        <f>I42/I12</f>
        <v>0.1208143353661268</v>
      </c>
      <c r="K42" s="705">
        <v>137547</v>
      </c>
      <c r="L42" s="68">
        <f>K42/K12</f>
        <v>0.13209504135803002</v>
      </c>
      <c r="M42" s="705">
        <v>137547</v>
      </c>
      <c r="N42" s="702">
        <f>M42/M12</f>
        <v>9.3156772960038908E-2</v>
      </c>
      <c r="O42" s="705">
        <v>137547</v>
      </c>
      <c r="P42" s="702">
        <f>O42/O12</f>
        <v>0.14714135184719646</v>
      </c>
      <c r="Q42" s="705">
        <v>137547</v>
      </c>
      <c r="R42" s="68">
        <f>Q42/Q12</f>
        <v>0.11849624086060041</v>
      </c>
      <c r="S42" s="705">
        <v>137547</v>
      </c>
      <c r="T42" s="68">
        <f>S42/S12</f>
        <v>0.11762819443838687</v>
      </c>
      <c r="U42" s="705">
        <v>137547</v>
      </c>
      <c r="V42" s="68">
        <f>U42/U12</f>
        <v>0.14829455928538313</v>
      </c>
      <c r="W42" s="705">
        <v>137547</v>
      </c>
      <c r="X42" s="68">
        <f>W42/W12</f>
        <v>0.14575241427829796</v>
      </c>
      <c r="Y42" s="705">
        <v>137547</v>
      </c>
      <c r="Z42" s="68">
        <f>Y42/Y12</f>
        <v>9.6482384058881862E-2</v>
      </c>
      <c r="AA42" s="144">
        <f t="shared" ref="AA42:AA53" si="32">C42+E42+G42+I42+K42+M42+O42+Q42+S42+U42+W42+Y42</f>
        <v>1650564</v>
      </c>
      <c r="AB42" s="68">
        <f>AA42/AA12</f>
        <v>0.12425405728350672</v>
      </c>
      <c r="AC42" s="128">
        <f t="shared" si="1"/>
        <v>137547</v>
      </c>
      <c r="AD42" s="68">
        <f>AC42/AC12</f>
        <v>0.12425405728350672</v>
      </c>
      <c r="AE42" s="645" t="s">
        <v>188</v>
      </c>
      <c r="AF42" s="694" t="s">
        <v>313</v>
      </c>
      <c r="AG42" s="226"/>
    </row>
    <row r="43" spans="1:33" s="1" customFormat="1">
      <c r="A43" s="188">
        <v>6102</v>
      </c>
      <c r="B43" s="188" t="s">
        <v>3</v>
      </c>
      <c r="C43" s="432">
        <v>18000</v>
      </c>
      <c r="D43" s="68">
        <f>C43/C12</f>
        <v>1.8016340821124761E-2</v>
      </c>
      <c r="E43" s="432">
        <v>18000</v>
      </c>
      <c r="F43" s="68">
        <f>E43/E12</f>
        <v>2.3157191044731722E-2</v>
      </c>
      <c r="G43" s="432">
        <v>18000</v>
      </c>
      <c r="H43" s="68">
        <f>G43/G12</f>
        <v>1.3960395364741822E-2</v>
      </c>
      <c r="I43" s="432">
        <v>18000</v>
      </c>
      <c r="J43" s="68">
        <f>I43/I12</f>
        <v>1.5810290566790133E-2</v>
      </c>
      <c r="K43" s="432">
        <v>18000</v>
      </c>
      <c r="L43" s="68">
        <f>K43/K12</f>
        <v>1.7286532926523591E-2</v>
      </c>
      <c r="M43" s="432">
        <v>18000</v>
      </c>
      <c r="N43" s="702">
        <f>M43/M12</f>
        <v>1.2190901388475941E-2</v>
      </c>
      <c r="O43" s="432">
        <v>18000</v>
      </c>
      <c r="P43" s="702">
        <f>O43/O12</f>
        <v>1.9255558705384604E-2</v>
      </c>
      <c r="Q43" s="432">
        <v>18000</v>
      </c>
      <c r="R43" s="68">
        <f>Q43/Q12</f>
        <v>1.5506934615010196E-2</v>
      </c>
      <c r="S43" s="432">
        <v>18000</v>
      </c>
      <c r="T43" s="677">
        <f>S43/S12</f>
        <v>1.5393338276305291E-2</v>
      </c>
      <c r="U43" s="432">
        <v>18000</v>
      </c>
      <c r="V43" s="677">
        <f>U43/U12</f>
        <v>1.9406472457682802E-2</v>
      </c>
      <c r="W43" s="432">
        <v>18000</v>
      </c>
      <c r="X43" s="677">
        <f>W43/W12</f>
        <v>1.907379628061218E-2</v>
      </c>
      <c r="Y43" s="432">
        <v>18000</v>
      </c>
      <c r="Z43" s="677">
        <f>Y43/Y12</f>
        <v>1.2626105353514607E-2</v>
      </c>
      <c r="AA43" s="144">
        <f t="shared" si="32"/>
        <v>216000</v>
      </c>
      <c r="AB43" s="68">
        <f>AA43/AA12</f>
        <v>1.6260427570962077E-2</v>
      </c>
      <c r="AC43" s="128">
        <f t="shared" si="1"/>
        <v>18000</v>
      </c>
      <c r="AD43" s="68">
        <f>AC43/AC12</f>
        <v>1.6260427570962077E-2</v>
      </c>
      <c r="AE43" s="645" t="s">
        <v>338</v>
      </c>
      <c r="AF43" s="694" t="s">
        <v>332</v>
      </c>
      <c r="AG43" s="226"/>
    </row>
    <row r="44" spans="1:33" s="1" customFormat="1">
      <c r="A44" s="188">
        <v>6103</v>
      </c>
      <c r="B44" s="188" t="s">
        <v>4</v>
      </c>
      <c r="C44" s="26">
        <v>0</v>
      </c>
      <c r="D44" s="68">
        <f>C44/C12</f>
        <v>0</v>
      </c>
      <c r="E44" s="26"/>
      <c r="F44" s="68">
        <f>E44/E12</f>
        <v>0</v>
      </c>
      <c r="G44" s="26">
        <v>0</v>
      </c>
      <c r="H44" s="68">
        <f>G44/G12</f>
        <v>0</v>
      </c>
      <c r="I44" s="26"/>
      <c r="J44" s="68">
        <f>I44/I12</f>
        <v>0</v>
      </c>
      <c r="K44" s="26">
        <v>0</v>
      </c>
      <c r="L44" s="68">
        <f>K44/K12</f>
        <v>0</v>
      </c>
      <c r="M44" s="26"/>
      <c r="N44" s="702">
        <f>M44/M12</f>
        <v>0</v>
      </c>
      <c r="P44" s="702">
        <f>O44/O12</f>
        <v>0</v>
      </c>
      <c r="Q44" s="26"/>
      <c r="R44" s="68">
        <f>Q44/Q12</f>
        <v>0</v>
      </c>
      <c r="S44" s="26"/>
      <c r="T44" s="68">
        <f>S44/S12</f>
        <v>0</v>
      </c>
      <c r="U44" s="26"/>
      <c r="V44" s="68">
        <f>U44/U12</f>
        <v>0</v>
      </c>
      <c r="W44" s="26"/>
      <c r="X44" s="68">
        <f>W44/W12</f>
        <v>0</v>
      </c>
      <c r="Y44" s="26"/>
      <c r="Z44" s="68">
        <f>Y44/Y12</f>
        <v>0</v>
      </c>
      <c r="AA44" s="144">
        <f t="shared" si="32"/>
        <v>0</v>
      </c>
      <c r="AB44" s="68">
        <f>AA44/AA12</f>
        <v>0</v>
      </c>
      <c r="AC44" s="128">
        <f t="shared" si="1"/>
        <v>0</v>
      </c>
      <c r="AD44" s="68">
        <f>AC44/AC12</f>
        <v>0</v>
      </c>
      <c r="AE44" s="645"/>
      <c r="AF44" s="694"/>
      <c r="AG44" s="226"/>
    </row>
    <row r="45" spans="1:33" s="1" customFormat="1">
      <c r="A45" s="188">
        <v>6104</v>
      </c>
      <c r="B45" s="188" t="s">
        <v>5</v>
      </c>
      <c r="C45" s="432">
        <v>3000</v>
      </c>
      <c r="D45" s="68">
        <f>C45/C12</f>
        <v>3.0027234701874598E-3</v>
      </c>
      <c r="E45" s="432">
        <v>3000</v>
      </c>
      <c r="F45" s="68">
        <f>E45/E12</f>
        <v>3.8595318407886204E-3</v>
      </c>
      <c r="G45" s="432">
        <v>3000</v>
      </c>
      <c r="H45" s="68">
        <f>G45/G12</f>
        <v>2.3267325607903037E-3</v>
      </c>
      <c r="I45" s="432">
        <v>3000</v>
      </c>
      <c r="J45" s="68">
        <f>I45/I12</f>
        <v>2.6350484277983554E-3</v>
      </c>
      <c r="K45" s="432">
        <v>3000</v>
      </c>
      <c r="L45" s="68">
        <f>K45/K12</f>
        <v>2.8810888210872654E-3</v>
      </c>
      <c r="M45" s="432">
        <v>3000</v>
      </c>
      <c r="N45" s="702">
        <f>M45/M12</f>
        <v>2.0318168980793237E-3</v>
      </c>
      <c r="O45" s="432">
        <v>3000</v>
      </c>
      <c r="P45" s="702">
        <f>O45/O12</f>
        <v>3.209259784230767E-3</v>
      </c>
      <c r="Q45" s="432">
        <v>3000</v>
      </c>
      <c r="R45" s="68">
        <f>Q45/Q12</f>
        <v>2.5844891025016991E-3</v>
      </c>
      <c r="S45" s="432">
        <v>3000</v>
      </c>
      <c r="T45" s="68">
        <f>S45/S12</f>
        <v>2.5655563793842151E-3</v>
      </c>
      <c r="U45" s="432">
        <v>3000</v>
      </c>
      <c r="V45" s="68">
        <f>U45/U12</f>
        <v>3.2344120762804666E-3</v>
      </c>
      <c r="W45" s="432">
        <v>3000</v>
      </c>
      <c r="X45" s="68">
        <f>W45/W12</f>
        <v>3.1789660467686966E-3</v>
      </c>
      <c r="Y45" s="432">
        <v>3000</v>
      </c>
      <c r="Z45" s="68">
        <f>Y45/Y12</f>
        <v>2.1043508922524343E-3</v>
      </c>
      <c r="AA45" s="144">
        <f t="shared" si="32"/>
        <v>36000</v>
      </c>
      <c r="AB45" s="68">
        <f>AA45/AA12</f>
        <v>2.7100712618270133E-3</v>
      </c>
      <c r="AC45" s="128">
        <f t="shared" si="1"/>
        <v>3000</v>
      </c>
      <c r="AD45" s="68">
        <f>AC45/AC12</f>
        <v>2.7100712618270133E-3</v>
      </c>
      <c r="AE45" s="645"/>
      <c r="AF45" s="694"/>
      <c r="AG45" s="226"/>
    </row>
    <row r="46" spans="1:33" s="1" customFormat="1">
      <c r="A46" s="188">
        <v>6105</v>
      </c>
      <c r="B46" s="188" t="s">
        <v>39</v>
      </c>
      <c r="C46" s="436">
        <v>3000</v>
      </c>
      <c r="D46" s="677">
        <f>C46/C$12</f>
        <v>3.0027234701874598E-3</v>
      </c>
      <c r="E46" s="436">
        <v>3000</v>
      </c>
      <c r="F46" s="677">
        <f>E46/E$12</f>
        <v>3.8595318407886204E-3</v>
      </c>
      <c r="G46" s="436">
        <v>3000</v>
      </c>
      <c r="H46" s="677">
        <v>2.4172858107885053E-3</v>
      </c>
      <c r="I46" s="436">
        <v>3000</v>
      </c>
      <c r="J46" s="226">
        <v>2.282921148507532E-3</v>
      </c>
      <c r="K46" s="436">
        <v>3000</v>
      </c>
      <c r="L46" s="226">
        <v>1.4480363095715567E-3</v>
      </c>
      <c r="M46" s="436">
        <v>3000</v>
      </c>
      <c r="N46" s="702">
        <v>1.4265472348621291E-3</v>
      </c>
      <c r="O46" s="436">
        <v>3000</v>
      </c>
      <c r="P46" s="702">
        <f>O46/O$12</f>
        <v>3.209259784230767E-3</v>
      </c>
      <c r="Q46" s="436">
        <v>3000</v>
      </c>
      <c r="R46" s="677">
        <f>Q46/Q$12</f>
        <v>2.5844891025016991E-3</v>
      </c>
      <c r="S46" s="436">
        <v>3000</v>
      </c>
      <c r="T46" s="677">
        <f>S46/S$12</f>
        <v>2.5655563793842151E-3</v>
      </c>
      <c r="U46" s="436">
        <v>3000</v>
      </c>
      <c r="V46" s="68">
        <f>U46/U12</f>
        <v>3.2344120762804666E-3</v>
      </c>
      <c r="W46" s="436">
        <v>3000</v>
      </c>
      <c r="X46" s="68">
        <f>W46/W12</f>
        <v>3.1789660467686966E-3</v>
      </c>
      <c r="Y46" s="436">
        <v>3000</v>
      </c>
      <c r="Z46" s="68">
        <f>Y46/Y12</f>
        <v>2.1043508922524343E-3</v>
      </c>
      <c r="AA46" s="144">
        <f t="shared" si="32"/>
        <v>36000</v>
      </c>
      <c r="AB46" s="68">
        <f>AA46/AA12</f>
        <v>2.7100712618270133E-3</v>
      </c>
      <c r="AC46" s="128">
        <f t="shared" si="1"/>
        <v>3000</v>
      </c>
      <c r="AD46" s="68">
        <f>AC46/AC12</f>
        <v>2.7100712618270133E-3</v>
      </c>
      <c r="AE46" s="645"/>
      <c r="AF46" s="694"/>
      <c r="AG46" s="226"/>
    </row>
    <row r="47" spans="1:33" s="1" customFormat="1">
      <c r="A47" s="188">
        <v>6106</v>
      </c>
      <c r="B47" s="188" t="s">
        <v>6</v>
      </c>
      <c r="C47" s="432">
        <v>250</v>
      </c>
      <c r="D47" s="68">
        <f>C47/C12</f>
        <v>2.5022695584895499E-4</v>
      </c>
      <c r="E47" s="432">
        <v>250</v>
      </c>
      <c r="F47" s="68">
        <f>E47/E12</f>
        <v>3.2162765339905166E-4</v>
      </c>
      <c r="G47" s="432">
        <v>250</v>
      </c>
      <c r="H47" s="68">
        <f>G47/G12</f>
        <v>1.9389438006585862E-4</v>
      </c>
      <c r="I47" s="432">
        <v>250</v>
      </c>
      <c r="J47" s="68">
        <f>I47/I12</f>
        <v>2.195873689831963E-4</v>
      </c>
      <c r="K47" s="432">
        <v>250</v>
      </c>
      <c r="L47" s="68">
        <f>K47/K12</f>
        <v>2.4009073509060545E-4</v>
      </c>
      <c r="M47" s="432">
        <v>250</v>
      </c>
      <c r="N47" s="702">
        <f>M47/M12</f>
        <v>1.6931807483994363E-4</v>
      </c>
      <c r="O47" s="432">
        <v>250</v>
      </c>
      <c r="P47" s="702">
        <f>O47/O12</f>
        <v>2.6743831535256394E-4</v>
      </c>
      <c r="Q47" s="432">
        <v>250</v>
      </c>
      <c r="R47" s="68">
        <f>Q47/Q12</f>
        <v>2.1537409187514161E-4</v>
      </c>
      <c r="S47" s="432">
        <v>250</v>
      </c>
      <c r="T47" s="68">
        <f>S47/S12</f>
        <v>2.1379636494868459E-4</v>
      </c>
      <c r="U47" s="432">
        <v>250</v>
      </c>
      <c r="V47" s="68">
        <f>U47/U12</f>
        <v>2.6953433969003889E-4</v>
      </c>
      <c r="W47" s="432">
        <v>250</v>
      </c>
      <c r="X47" s="68">
        <f>W47/W12</f>
        <v>2.6491383723072472E-4</v>
      </c>
      <c r="Y47" s="432">
        <v>250</v>
      </c>
      <c r="Z47" s="68">
        <f>Y47/Y12</f>
        <v>1.7536257435436952E-4</v>
      </c>
      <c r="AA47" s="144">
        <f t="shared" si="32"/>
        <v>3000</v>
      </c>
      <c r="AB47" s="68">
        <f>AA47/AA12</f>
        <v>2.2583927181891777E-4</v>
      </c>
      <c r="AC47" s="128">
        <f t="shared" si="1"/>
        <v>250</v>
      </c>
      <c r="AD47" s="68">
        <f>AC47/AC12</f>
        <v>2.2583927181891777E-4</v>
      </c>
      <c r="AE47" s="645"/>
      <c r="AF47" s="694"/>
      <c r="AG47" s="226"/>
    </row>
    <row r="48" spans="1:33" s="1" customFormat="1">
      <c r="A48" s="188">
        <v>6107</v>
      </c>
      <c r="B48" s="188" t="s">
        <v>7</v>
      </c>
      <c r="C48" s="31"/>
      <c r="D48" s="68">
        <f>C48/C12</f>
        <v>0</v>
      </c>
      <c r="E48" s="31">
        <v>0</v>
      </c>
      <c r="F48" s="68">
        <f>E48/E12</f>
        <v>0</v>
      </c>
      <c r="G48" s="31">
        <v>0</v>
      </c>
      <c r="H48" s="68">
        <f>G48/G12</f>
        <v>0</v>
      </c>
      <c r="I48" s="31">
        <v>0</v>
      </c>
      <c r="J48" s="68">
        <f>I48/I12</f>
        <v>0</v>
      </c>
      <c r="K48" s="31">
        <v>0</v>
      </c>
      <c r="L48" s="68">
        <f>K48/K12</f>
        <v>0</v>
      </c>
      <c r="M48" s="31"/>
      <c r="N48" s="702">
        <f>M48/M12</f>
        <v>0</v>
      </c>
      <c r="P48" s="702">
        <f>O48/O12</f>
        <v>0</v>
      </c>
      <c r="Q48" s="31"/>
      <c r="R48" s="68">
        <f>Q48/Q12</f>
        <v>0</v>
      </c>
      <c r="S48" s="31"/>
      <c r="T48" s="68">
        <f>S48/S12</f>
        <v>0</v>
      </c>
      <c r="U48" s="31"/>
      <c r="V48" s="68">
        <f>U48/U12</f>
        <v>0</v>
      </c>
      <c r="W48" s="31"/>
      <c r="X48" s="68">
        <f>W48/W12</f>
        <v>0</v>
      </c>
      <c r="Y48" s="31"/>
      <c r="Z48" s="68">
        <f>Y48/Y12</f>
        <v>0</v>
      </c>
      <c r="AA48" s="144">
        <f t="shared" si="32"/>
        <v>0</v>
      </c>
      <c r="AB48" s="68">
        <f>AA48/AA12</f>
        <v>0</v>
      </c>
      <c r="AC48" s="128">
        <f t="shared" si="1"/>
        <v>0</v>
      </c>
      <c r="AD48" s="68">
        <f>AC48/AC12</f>
        <v>0</v>
      </c>
      <c r="AE48" s="645"/>
      <c r="AF48" s="694"/>
      <c r="AG48" s="226"/>
    </row>
    <row r="49" spans="1:33" s="1" customFormat="1">
      <c r="A49" s="188">
        <v>6108</v>
      </c>
      <c r="B49" s="188" t="s">
        <v>8</v>
      </c>
      <c r="C49" s="31"/>
      <c r="D49" s="68">
        <f>C49/C12</f>
        <v>0</v>
      </c>
      <c r="E49" s="31">
        <v>0</v>
      </c>
      <c r="F49" s="68">
        <f>E49/E12</f>
        <v>0</v>
      </c>
      <c r="G49" s="31">
        <v>0</v>
      </c>
      <c r="H49" s="68">
        <f>G49/G12</f>
        <v>0</v>
      </c>
      <c r="I49" s="31">
        <v>0</v>
      </c>
      <c r="J49" s="68">
        <f>I49/I12</f>
        <v>0</v>
      </c>
      <c r="K49" s="31">
        <v>0</v>
      </c>
      <c r="L49" s="68">
        <f>K49/K12</f>
        <v>0</v>
      </c>
      <c r="M49" s="31"/>
      <c r="N49" s="702">
        <f>M49/M12</f>
        <v>0</v>
      </c>
      <c r="P49" s="702">
        <f>O49/O12</f>
        <v>0</v>
      </c>
      <c r="Q49" s="31"/>
      <c r="R49" s="68">
        <f>Q49/Q12</f>
        <v>0</v>
      </c>
      <c r="S49" s="31"/>
      <c r="T49" s="68">
        <f>S49/S12</f>
        <v>0</v>
      </c>
      <c r="U49" s="31"/>
      <c r="V49" s="68">
        <f>U49/U12</f>
        <v>0</v>
      </c>
      <c r="W49" s="31"/>
      <c r="X49" s="68">
        <f>W49/W12</f>
        <v>0</v>
      </c>
      <c r="Y49" s="31"/>
      <c r="Z49" s="68">
        <f>Y49/Y12</f>
        <v>0</v>
      </c>
      <c r="AA49" s="144">
        <f t="shared" si="32"/>
        <v>0</v>
      </c>
      <c r="AB49" s="68">
        <f>AA49/AA12</f>
        <v>0</v>
      </c>
      <c r="AC49" s="128">
        <f t="shared" si="1"/>
        <v>0</v>
      </c>
      <c r="AD49" s="68">
        <f>AC49/AC12</f>
        <v>0</v>
      </c>
      <c r="AE49" s="645"/>
      <c r="AF49" s="694"/>
      <c r="AG49" s="226"/>
    </row>
    <row r="50" spans="1:33" s="1" customFormat="1">
      <c r="A50" s="188">
        <v>6109</v>
      </c>
      <c r="B50" s="188" t="s">
        <v>79</v>
      </c>
      <c r="C50" s="31"/>
      <c r="D50" s="68">
        <f>C50/C12</f>
        <v>0</v>
      </c>
      <c r="E50" s="31"/>
      <c r="F50" s="68">
        <f>E50/E12</f>
        <v>0</v>
      </c>
      <c r="G50" s="31"/>
      <c r="H50" s="68">
        <f>G50/G12</f>
        <v>0</v>
      </c>
      <c r="I50" s="31"/>
      <c r="J50" s="68">
        <f>I50/I12</f>
        <v>0</v>
      </c>
      <c r="K50" s="31"/>
      <c r="L50" s="68">
        <f>K50/K12</f>
        <v>0</v>
      </c>
      <c r="M50" s="31"/>
      <c r="N50" s="702">
        <f>M50/M12</f>
        <v>0</v>
      </c>
      <c r="P50" s="702">
        <f>O50/O12</f>
        <v>0</v>
      </c>
      <c r="Q50" s="31"/>
      <c r="R50" s="68">
        <f>Q50/Q12</f>
        <v>0</v>
      </c>
      <c r="S50" s="31"/>
      <c r="T50" s="68">
        <f>S50/S12</f>
        <v>0</v>
      </c>
      <c r="U50" s="31"/>
      <c r="V50" s="68">
        <f>U50/U12</f>
        <v>0</v>
      </c>
      <c r="W50" s="31"/>
      <c r="X50" s="68">
        <f>W50/W12</f>
        <v>0</v>
      </c>
      <c r="Y50" s="31"/>
      <c r="Z50" s="68">
        <f>Y50/Y12</f>
        <v>0</v>
      </c>
      <c r="AA50" s="144">
        <f t="shared" si="32"/>
        <v>0</v>
      </c>
      <c r="AB50" s="68">
        <f>AA50/AA12</f>
        <v>0</v>
      </c>
      <c r="AC50" s="128">
        <f t="shared" si="1"/>
        <v>0</v>
      </c>
      <c r="AD50" s="68">
        <f>AC50/AC12</f>
        <v>0</v>
      </c>
      <c r="AE50" s="645"/>
      <c r="AF50" s="694"/>
      <c r="AG50" s="226"/>
    </row>
    <row r="51" spans="1:33" s="1" customFormat="1">
      <c r="A51" s="188">
        <v>6110</v>
      </c>
      <c r="B51" s="188" t="s">
        <v>9</v>
      </c>
      <c r="C51" s="432">
        <v>250</v>
      </c>
      <c r="D51" s="68">
        <f>C51/C12</f>
        <v>2.5022695584895499E-4</v>
      </c>
      <c r="E51" s="432">
        <v>250</v>
      </c>
      <c r="F51" s="68">
        <f>E51/E12</f>
        <v>3.2162765339905166E-4</v>
      </c>
      <c r="G51" s="432">
        <v>250</v>
      </c>
      <c r="H51" s="68">
        <f>G51/G12</f>
        <v>1.9389438006585862E-4</v>
      </c>
      <c r="I51" s="432">
        <v>250</v>
      </c>
      <c r="J51" s="68">
        <f>I51/I12</f>
        <v>2.195873689831963E-4</v>
      </c>
      <c r="K51" s="432">
        <v>250</v>
      </c>
      <c r="L51" s="68">
        <f>K51/K12</f>
        <v>2.4009073509060545E-4</v>
      </c>
      <c r="M51" s="432">
        <v>250</v>
      </c>
      <c r="N51" s="702">
        <f>M51/M12</f>
        <v>1.6931807483994363E-4</v>
      </c>
      <c r="O51" s="432">
        <v>250</v>
      </c>
      <c r="P51" s="702">
        <f>O51/O12</f>
        <v>2.6743831535256394E-4</v>
      </c>
      <c r="Q51" s="432">
        <v>250</v>
      </c>
      <c r="R51" s="68">
        <f>Q51/Q12</f>
        <v>2.1537409187514161E-4</v>
      </c>
      <c r="S51" s="432">
        <v>250</v>
      </c>
      <c r="T51" s="68">
        <f>S51/S12</f>
        <v>2.1379636494868459E-4</v>
      </c>
      <c r="U51" s="432">
        <v>250</v>
      </c>
      <c r="V51" s="68">
        <f>U51/U12</f>
        <v>2.6953433969003889E-4</v>
      </c>
      <c r="W51" s="432">
        <v>250</v>
      </c>
      <c r="X51" s="68">
        <f>W51/W12</f>
        <v>2.6491383723072472E-4</v>
      </c>
      <c r="Y51" s="432">
        <v>250</v>
      </c>
      <c r="Z51" s="68">
        <f>Y51/Y12</f>
        <v>1.7536257435436952E-4</v>
      </c>
      <c r="AA51" s="144">
        <f t="shared" si="32"/>
        <v>3000</v>
      </c>
      <c r="AB51" s="68">
        <f>AA51/AA12</f>
        <v>2.2583927181891777E-4</v>
      </c>
      <c r="AC51" s="128">
        <f t="shared" si="1"/>
        <v>250</v>
      </c>
      <c r="AD51" s="68">
        <f>AC51/AC12</f>
        <v>2.2583927181891777E-4</v>
      </c>
      <c r="AE51" s="645"/>
      <c r="AF51" s="694"/>
      <c r="AG51" s="226"/>
    </row>
    <row r="52" spans="1:33" s="1" customFormat="1">
      <c r="A52" s="188">
        <v>6111</v>
      </c>
      <c r="B52" s="188" t="s">
        <v>10</v>
      </c>
      <c r="C52" s="705">
        <v>26086.5</v>
      </c>
      <c r="D52" s="68">
        <f>C52/C12</f>
        <v>2.6110181935015058E-2</v>
      </c>
      <c r="E52" s="26">
        <v>26086.5</v>
      </c>
      <c r="F52" s="68">
        <f>E52/E12</f>
        <v>3.3560559121577446E-2</v>
      </c>
      <c r="G52" s="26">
        <v>26086.5</v>
      </c>
      <c r="H52" s="68">
        <f>G52/G12</f>
        <v>2.0232102982352083E-2</v>
      </c>
      <c r="I52" s="26">
        <v>26086.5</v>
      </c>
      <c r="J52" s="68">
        <f>I52/I12</f>
        <v>2.2913063603920602E-2</v>
      </c>
      <c r="K52" s="26">
        <v>26086.5</v>
      </c>
      <c r="L52" s="68">
        <f>K52/K12</f>
        <v>2.5052507843764317E-2</v>
      </c>
      <c r="M52" s="26">
        <v>26086.5</v>
      </c>
      <c r="N52" s="702">
        <f>M52/M12</f>
        <v>1.7667663837248757E-2</v>
      </c>
      <c r="O52" s="371">
        <v>26086.5</v>
      </c>
      <c r="P52" s="702">
        <f>O52/O12</f>
        <v>2.7906118453778637E-2</v>
      </c>
      <c r="Q52" s="26">
        <v>26086.5</v>
      </c>
      <c r="R52" s="68">
        <f>Q52/Q12</f>
        <v>2.2473424990803525E-2</v>
      </c>
      <c r="S52" s="26">
        <v>26086.5</v>
      </c>
      <c r="T52" s="68">
        <f>S52/S12</f>
        <v>2.2308795496935444E-2</v>
      </c>
      <c r="U52" s="26">
        <v>26086.5</v>
      </c>
      <c r="V52" s="68">
        <f>U52/U12</f>
        <v>2.8124830209296799E-2</v>
      </c>
      <c r="W52" s="26">
        <v>26086.5</v>
      </c>
      <c r="X52" s="68">
        <f>W52/W12</f>
        <v>2.76426992596772E-2</v>
      </c>
      <c r="Y52" s="26">
        <v>26086.5</v>
      </c>
      <c r="Z52" s="68">
        <f>Y52/Y12</f>
        <v>1.8298383183581044E-2</v>
      </c>
      <c r="AA52" s="144">
        <f t="shared" si="32"/>
        <v>313038</v>
      </c>
      <c r="AB52" s="68">
        <f>AA52/AA12</f>
        <v>2.3565424657216793E-2</v>
      </c>
      <c r="AC52" s="128">
        <f t="shared" si="1"/>
        <v>26086.5</v>
      </c>
      <c r="AD52" s="68">
        <f>AC52/AC12</f>
        <v>2.3565424657216793E-2</v>
      </c>
      <c r="AE52" s="226" t="s">
        <v>188</v>
      </c>
      <c r="AF52" s="694" t="s">
        <v>313</v>
      </c>
      <c r="AG52" s="226"/>
    </row>
    <row r="53" spans="1:33" s="1" customFormat="1">
      <c r="A53" s="188">
        <v>6112</v>
      </c>
      <c r="B53" s="188" t="s">
        <v>11</v>
      </c>
      <c r="C53" s="705">
        <v>2200</v>
      </c>
      <c r="D53" s="702">
        <f>C53/C12</f>
        <v>2.2019972114708042E-3</v>
      </c>
      <c r="E53" s="705">
        <v>2200</v>
      </c>
      <c r="F53" s="702">
        <f>E53/E12</f>
        <v>2.8303233499116548E-3</v>
      </c>
      <c r="G53" s="705">
        <v>2200</v>
      </c>
      <c r="H53" s="702">
        <f>G53/G12</f>
        <v>1.7062705445795559E-3</v>
      </c>
      <c r="I53" s="705">
        <v>2200</v>
      </c>
      <c r="J53" s="702">
        <f>I53/I12</f>
        <v>1.9323688470521275E-3</v>
      </c>
      <c r="K53" s="705">
        <v>2200</v>
      </c>
      <c r="L53" s="702">
        <f>K53/K12</f>
        <v>2.1127984687973277E-3</v>
      </c>
      <c r="M53" s="705">
        <v>2200</v>
      </c>
      <c r="N53" s="702">
        <f>M53/M12</f>
        <v>1.4899990585915039E-3</v>
      </c>
      <c r="O53" s="705">
        <v>2200</v>
      </c>
      <c r="P53" s="702">
        <f>O53/O12</f>
        <v>2.3534571751025624E-3</v>
      </c>
      <c r="Q53" s="705">
        <v>2200</v>
      </c>
      <c r="R53" s="702">
        <f>Q53/Q12</f>
        <v>1.8952920085012462E-3</v>
      </c>
      <c r="S53" s="705">
        <v>2200</v>
      </c>
      <c r="T53" s="702">
        <f>S53/S12</f>
        <v>1.8814080115484245E-3</v>
      </c>
      <c r="U53" s="705">
        <v>2200</v>
      </c>
      <c r="V53" s="702">
        <f>U53/U12</f>
        <v>2.3719021892723425E-3</v>
      </c>
      <c r="W53" s="705">
        <v>2200</v>
      </c>
      <c r="X53" s="702">
        <f>W53/W12</f>
        <v>2.3312417676303776E-3</v>
      </c>
      <c r="Y53" s="705">
        <v>2200</v>
      </c>
      <c r="Z53" s="702">
        <f>Y53/Y12</f>
        <v>1.5431906543184519E-3</v>
      </c>
      <c r="AA53" s="144">
        <f t="shared" si="32"/>
        <v>26400</v>
      </c>
      <c r="AB53" s="68">
        <f>AA53/AA12</f>
        <v>1.9873855920064763E-3</v>
      </c>
      <c r="AC53" s="128">
        <f t="shared" si="1"/>
        <v>2200</v>
      </c>
      <c r="AD53" s="68">
        <f>AC53/AC12</f>
        <v>1.9873855920064763E-3</v>
      </c>
      <c r="AE53" s="645" t="s">
        <v>339</v>
      </c>
      <c r="AF53" s="694"/>
      <c r="AG53" s="226"/>
    </row>
    <row r="54" spans="1:33" s="1" customFormat="1">
      <c r="A54" s="188">
        <v>6113</v>
      </c>
      <c r="B54" s="188" t="s">
        <v>12</v>
      </c>
      <c r="C54" s="26"/>
      <c r="D54" s="68">
        <f>C54/C12</f>
        <v>0</v>
      </c>
      <c r="E54" s="26"/>
      <c r="F54" s="68">
        <f>E54/E12</f>
        <v>0</v>
      </c>
      <c r="G54" s="26">
        <v>0</v>
      </c>
      <c r="H54" s="68">
        <f>G54/G12</f>
        <v>0</v>
      </c>
      <c r="I54" s="26"/>
      <c r="J54" s="68">
        <f>I54/I12</f>
        <v>0</v>
      </c>
      <c r="K54" s="26"/>
      <c r="L54" s="68">
        <f>K54/K12</f>
        <v>0</v>
      </c>
      <c r="M54" s="26"/>
      <c r="N54" s="702">
        <f>M54/M12</f>
        <v>0</v>
      </c>
      <c r="P54" s="702">
        <f>O54/O12</f>
        <v>0</v>
      </c>
      <c r="Q54" s="26"/>
      <c r="R54" s="68">
        <f>Q54/Q12</f>
        <v>0</v>
      </c>
      <c r="S54" s="26"/>
      <c r="T54" s="68">
        <f>S54/S12</f>
        <v>0</v>
      </c>
      <c r="U54" s="26"/>
      <c r="V54" s="68">
        <f>U54/U12</f>
        <v>0</v>
      </c>
      <c r="W54" s="26"/>
      <c r="X54" s="68">
        <f>W54/W12</f>
        <v>0</v>
      </c>
      <c r="Y54" s="26"/>
      <c r="Z54" s="68">
        <f>Y54/Y12</f>
        <v>0</v>
      </c>
      <c r="AA54" s="144">
        <f>C130+E54+G54+I54+K54+M54+O54+Q54+S54+U54+W54+Y54</f>
        <v>0</v>
      </c>
      <c r="AB54" s="68">
        <f>AA54/AA12</f>
        <v>0</v>
      </c>
      <c r="AC54" s="128">
        <f t="shared" si="1"/>
        <v>0</v>
      </c>
      <c r="AD54" s="68">
        <f>AC54/AC12</f>
        <v>0</v>
      </c>
      <c r="AE54" s="645"/>
      <c r="AF54" s="694"/>
      <c r="AG54" s="226"/>
    </row>
    <row r="55" spans="1:33" s="1" customFormat="1">
      <c r="A55" s="188">
        <v>6114</v>
      </c>
      <c r="B55" s="188" t="s">
        <v>88</v>
      </c>
      <c r="C55" s="432">
        <v>3250</v>
      </c>
      <c r="D55" s="68">
        <f>C55/C12</f>
        <v>3.252950426036415E-3</v>
      </c>
      <c r="E55" s="432">
        <v>3250</v>
      </c>
      <c r="F55" s="68">
        <f>E55/E12</f>
        <v>4.181159494187672E-3</v>
      </c>
      <c r="G55" s="432">
        <v>3250</v>
      </c>
      <c r="H55" s="68">
        <f>G55/G12</f>
        <v>2.5206269408561623E-3</v>
      </c>
      <c r="I55" s="432">
        <v>3250</v>
      </c>
      <c r="J55" s="68">
        <f>I55/I12</f>
        <v>2.8546357967815517E-3</v>
      </c>
      <c r="K55" s="432">
        <v>3250</v>
      </c>
      <c r="L55" s="68">
        <f>K55/K12</f>
        <v>3.1211795561778707E-3</v>
      </c>
      <c r="M55" s="432">
        <v>3250</v>
      </c>
      <c r="N55" s="702">
        <f>M55/M12</f>
        <v>2.2011349729192673E-3</v>
      </c>
      <c r="O55" s="432">
        <v>3250</v>
      </c>
      <c r="P55" s="702">
        <f>O55/O12</f>
        <v>3.476698099583331E-3</v>
      </c>
      <c r="Q55" s="432">
        <v>3250</v>
      </c>
      <c r="R55" s="68">
        <f>Q55/Q12</f>
        <v>2.7998631943768411E-3</v>
      </c>
      <c r="S55" s="432">
        <v>3250</v>
      </c>
      <c r="T55" s="68">
        <f>S55/S12</f>
        <v>2.7793527443328997E-3</v>
      </c>
      <c r="U55" s="432">
        <v>3250</v>
      </c>
      <c r="V55" s="68">
        <f>U55/U12</f>
        <v>3.5039464159705058E-3</v>
      </c>
      <c r="W55" s="432">
        <v>3250</v>
      </c>
      <c r="X55" s="68">
        <f>W55/W12</f>
        <v>3.4438798839994214E-3</v>
      </c>
      <c r="Y55" s="432">
        <v>3250</v>
      </c>
      <c r="Z55" s="68">
        <f>Y55/Y12</f>
        <v>2.279713466606804E-3</v>
      </c>
      <c r="AA55" s="144">
        <f t="shared" ref="AA55:AA69" si="33">C55+E55+G55+I55+K55+M55+O55+Q55+S55+U55+W55+Y55</f>
        <v>39000</v>
      </c>
      <c r="AB55" s="68">
        <f>AA55/AA12</f>
        <v>2.9359105336459307E-3</v>
      </c>
      <c r="AC55" s="128">
        <f t="shared" si="1"/>
        <v>3250</v>
      </c>
      <c r="AD55" s="68">
        <f>AC55/AC12</f>
        <v>2.9359105336459307E-3</v>
      </c>
      <c r="AE55" s="645" t="s">
        <v>340</v>
      </c>
      <c r="AF55" s="694"/>
      <c r="AG55" s="226"/>
    </row>
    <row r="56" spans="1:33" s="1" customFormat="1">
      <c r="A56" s="188">
        <v>6115</v>
      </c>
      <c r="B56" s="227" t="s">
        <v>13</v>
      </c>
      <c r="C56" s="437">
        <v>300</v>
      </c>
      <c r="D56" s="24">
        <f>C56/C12</f>
        <v>3.0027234701874601E-4</v>
      </c>
      <c r="E56" s="437">
        <v>300</v>
      </c>
      <c r="F56" s="24">
        <f>E56/E12</f>
        <v>3.8595318407886204E-4</v>
      </c>
      <c r="G56" s="437">
        <v>300</v>
      </c>
      <c r="H56" s="24">
        <f>G56/G12</f>
        <v>2.3267325607903035E-4</v>
      </c>
      <c r="I56" s="437">
        <v>300</v>
      </c>
      <c r="J56" s="24">
        <f>I56/I12</f>
        <v>2.6350484277983557E-4</v>
      </c>
      <c r="K56" s="437">
        <v>300</v>
      </c>
      <c r="L56" s="24">
        <f>K56/K12</f>
        <v>2.8810888210872653E-4</v>
      </c>
      <c r="M56" s="437">
        <v>300</v>
      </c>
      <c r="N56" s="24">
        <f>M56/M12</f>
        <v>2.0318168980793235E-4</v>
      </c>
      <c r="O56" s="437">
        <v>300</v>
      </c>
      <c r="P56" s="24">
        <f>O56/O12</f>
        <v>3.2092597842307672E-4</v>
      </c>
      <c r="Q56" s="437">
        <v>300</v>
      </c>
      <c r="R56" s="24">
        <f>Q56/Q12</f>
        <v>2.5844891025016993E-4</v>
      </c>
      <c r="S56" s="437">
        <v>300</v>
      </c>
      <c r="T56" s="24">
        <f>S56/S12</f>
        <v>2.5655563793842154E-4</v>
      </c>
      <c r="U56" s="437">
        <v>300</v>
      </c>
      <c r="V56" s="24">
        <f>U56/U12</f>
        <v>3.234412076280467E-4</v>
      </c>
      <c r="W56" s="437">
        <v>300</v>
      </c>
      <c r="X56" s="24">
        <f>W56/W12</f>
        <v>3.1789660467686963E-4</v>
      </c>
      <c r="Y56" s="437">
        <v>300</v>
      </c>
      <c r="Z56" s="24">
        <f>Y56/Y12</f>
        <v>2.1043508922524343E-4</v>
      </c>
      <c r="AA56" s="144">
        <f t="shared" si="33"/>
        <v>3600</v>
      </c>
      <c r="AB56" s="68">
        <f>AA56/AA12</f>
        <v>2.7100712618270131E-4</v>
      </c>
      <c r="AC56" s="128">
        <f t="shared" si="1"/>
        <v>300</v>
      </c>
      <c r="AD56" s="68">
        <f>AC56/AC12</f>
        <v>2.7100712618270131E-4</v>
      </c>
      <c r="AE56" s="645" t="s">
        <v>157</v>
      </c>
      <c r="AF56" s="694"/>
      <c r="AG56" s="226"/>
    </row>
    <row r="57" spans="1:33" s="1" customFormat="1">
      <c r="A57" s="188">
        <v>6116</v>
      </c>
      <c r="B57" s="227" t="s">
        <v>14</v>
      </c>
      <c r="C57" s="432">
        <f>1973.39+250</f>
        <v>2223.3900000000003</v>
      </c>
      <c r="D57" s="68">
        <f>C57/C12</f>
        <v>2.2254084454600325E-3</v>
      </c>
      <c r="E57" s="432">
        <f>1973.39+250</f>
        <v>2223.3900000000003</v>
      </c>
      <c r="F57" s="68">
        <f>E57/E12</f>
        <v>2.8604148331636704E-3</v>
      </c>
      <c r="G57" s="432">
        <f>1973.39+250</f>
        <v>2223.3900000000003</v>
      </c>
      <c r="H57" s="68">
        <f>G57/G12</f>
        <v>1.7244113027785179E-3</v>
      </c>
      <c r="I57" s="432">
        <f>1973.39+250</f>
        <v>2223.3900000000003</v>
      </c>
      <c r="J57" s="68">
        <f>I57/I12</f>
        <v>1.9529134412941955E-3</v>
      </c>
      <c r="K57" s="432">
        <f>1973.39+250</f>
        <v>2223.3900000000003</v>
      </c>
      <c r="L57" s="68">
        <f>K57/K12</f>
        <v>2.135261357972405E-3</v>
      </c>
      <c r="M57" s="432">
        <f>1973.39+250</f>
        <v>2223.3900000000003</v>
      </c>
      <c r="N57" s="702">
        <f>M57/M12</f>
        <v>1.5058404576735293E-3</v>
      </c>
      <c r="O57" s="432">
        <f>1973.39+250</f>
        <v>2223.3900000000003</v>
      </c>
      <c r="P57" s="702">
        <f>O57/O12</f>
        <v>2.378478703886949E-3</v>
      </c>
      <c r="Q57" s="432">
        <f>1973.39+250</f>
        <v>2223.3900000000003</v>
      </c>
      <c r="R57" s="68">
        <f>Q57/Q12</f>
        <v>1.9154424085370846E-3</v>
      </c>
      <c r="S57" s="432">
        <f>1973.39+250</f>
        <v>2223.3900000000003</v>
      </c>
      <c r="T57" s="68">
        <f>S57/S12</f>
        <v>1.9014107994530236E-3</v>
      </c>
      <c r="U57" s="432">
        <f>1973.39+250</f>
        <v>2223.3900000000003</v>
      </c>
      <c r="V57" s="68">
        <f>U57/U12</f>
        <v>2.3971198220937425E-3</v>
      </c>
      <c r="W57" s="432">
        <f>1973.39+250</f>
        <v>2223.3900000000003</v>
      </c>
      <c r="X57" s="68">
        <f>W57/W12</f>
        <v>2.3560271062416844E-3</v>
      </c>
      <c r="Y57" s="432">
        <f>1973.39+250</f>
        <v>2223.3900000000003</v>
      </c>
      <c r="Z57" s="68">
        <f>Y57/Y12</f>
        <v>1.5595975767750468E-3</v>
      </c>
      <c r="AA57" s="144">
        <f t="shared" si="33"/>
        <v>26680.679999999997</v>
      </c>
      <c r="AB57" s="68">
        <f>AA57/AA12</f>
        <v>2.0085151142778539E-3</v>
      </c>
      <c r="AC57" s="128">
        <f t="shared" si="1"/>
        <v>2223.39</v>
      </c>
      <c r="AD57" s="68">
        <f>AC57/AC12</f>
        <v>2.0085151142778543E-3</v>
      </c>
      <c r="AE57" s="645"/>
      <c r="AF57" s="694"/>
      <c r="AG57" s="226"/>
    </row>
    <row r="58" spans="1:33" s="1" customFormat="1">
      <c r="A58" s="188">
        <v>6117</v>
      </c>
      <c r="B58" s="188" t="s">
        <v>15</v>
      </c>
      <c r="C58" s="26">
        <v>0</v>
      </c>
      <c r="D58" s="68">
        <f>C58/C12</f>
        <v>0</v>
      </c>
      <c r="E58" s="26"/>
      <c r="F58" s="68">
        <f>E58/E12</f>
        <v>0</v>
      </c>
      <c r="G58" s="26">
        <v>0</v>
      </c>
      <c r="H58" s="68">
        <f>G58/G12</f>
        <v>0</v>
      </c>
      <c r="I58" s="26">
        <v>0</v>
      </c>
      <c r="J58" s="68">
        <f>I58/I12</f>
        <v>0</v>
      </c>
      <c r="K58" s="26"/>
      <c r="L58" s="68">
        <f>K58/K12</f>
        <v>0</v>
      </c>
      <c r="M58" s="26"/>
      <c r="N58" s="702">
        <f>M58/M12</f>
        <v>0</v>
      </c>
      <c r="P58" s="702">
        <f>O58/O12</f>
        <v>0</v>
      </c>
      <c r="Q58" s="26"/>
      <c r="R58" s="68">
        <f>Q58/Q12</f>
        <v>0</v>
      </c>
      <c r="S58" s="26"/>
      <c r="T58" s="68">
        <f>S58/S12</f>
        <v>0</v>
      </c>
      <c r="U58" s="26"/>
      <c r="V58" s="68">
        <f>U58/U12</f>
        <v>0</v>
      </c>
      <c r="W58" s="26"/>
      <c r="X58" s="68">
        <f>W58/W12</f>
        <v>0</v>
      </c>
      <c r="Y58" s="26"/>
      <c r="Z58" s="68">
        <f>Y58/Y12</f>
        <v>0</v>
      </c>
      <c r="AA58" s="144">
        <f t="shared" si="33"/>
        <v>0</v>
      </c>
      <c r="AB58" s="68">
        <f>AA58/AA12</f>
        <v>0</v>
      </c>
      <c r="AC58" s="128">
        <f t="shared" si="1"/>
        <v>0</v>
      </c>
      <c r="AD58" s="68">
        <f>AC58/AC12</f>
        <v>0</v>
      </c>
      <c r="AE58" s="645"/>
      <c r="AF58" s="226"/>
      <c r="AG58" s="226"/>
    </row>
    <row r="59" spans="1:33" s="1" customFormat="1">
      <c r="A59" s="188">
        <v>6118</v>
      </c>
      <c r="B59" s="188" t="s">
        <v>16</v>
      </c>
      <c r="C59" s="432">
        <v>22924.5</v>
      </c>
      <c r="D59" s="68">
        <f>C59/C12</f>
        <v>2.2945311397437475E-2</v>
      </c>
      <c r="E59" s="31">
        <v>22924.5</v>
      </c>
      <c r="F59" s="68">
        <f>E59/E12</f>
        <v>2.9492612561386241E-2</v>
      </c>
      <c r="G59" s="31">
        <v>22924.5</v>
      </c>
      <c r="H59" s="68">
        <f>G59/G12</f>
        <v>1.7779726863279104E-2</v>
      </c>
      <c r="I59" s="31">
        <v>22924.5</v>
      </c>
      <c r="J59" s="68">
        <f>I59/I12</f>
        <v>2.0135722561021134E-2</v>
      </c>
      <c r="K59" s="31">
        <v>22924.5</v>
      </c>
      <c r="L59" s="68">
        <f>K59/K12</f>
        <v>2.2015840226338339E-2</v>
      </c>
      <c r="M59" s="31">
        <v>22924.5</v>
      </c>
      <c r="N59" s="702">
        <f>M59/M12</f>
        <v>1.552612882667315E-2</v>
      </c>
      <c r="O59" s="371">
        <v>22924.5</v>
      </c>
      <c r="P59" s="702">
        <f>O59/O12</f>
        <v>2.4523558641199407E-2</v>
      </c>
      <c r="Q59" s="31">
        <v>22924.5</v>
      </c>
      <c r="R59" s="68">
        <f>Q59/Q12</f>
        <v>1.9749373476766734E-2</v>
      </c>
      <c r="S59" s="31">
        <v>22924.5</v>
      </c>
      <c r="T59" s="68">
        <f>S59/S12</f>
        <v>1.9604699073064481E-2</v>
      </c>
      <c r="U59" s="31">
        <v>22924.5</v>
      </c>
      <c r="V59" s="68">
        <f>U59/U12</f>
        <v>2.4715759880897189E-2</v>
      </c>
      <c r="W59" s="31">
        <v>22924.5</v>
      </c>
      <c r="X59" s="68">
        <f>W59/W12</f>
        <v>2.4292069046382994E-2</v>
      </c>
      <c r="Y59" s="31">
        <v>22924.5</v>
      </c>
      <c r="Z59" s="68">
        <f>Y59/Y12</f>
        <v>1.6080397343146976E-2</v>
      </c>
      <c r="AA59" s="144">
        <f t="shared" si="33"/>
        <v>275094</v>
      </c>
      <c r="AB59" s="68">
        <f>AA59/AA12</f>
        <v>2.070900954725112E-2</v>
      </c>
      <c r="AC59" s="128">
        <f t="shared" si="1"/>
        <v>22924.5</v>
      </c>
      <c r="AD59" s="68">
        <f>AC59/AC12</f>
        <v>2.070900954725112E-2</v>
      </c>
      <c r="AE59" s="226" t="s">
        <v>188</v>
      </c>
      <c r="AF59" s="694" t="s">
        <v>313</v>
      </c>
      <c r="AG59" s="226"/>
    </row>
    <row r="60" spans="1:33" s="1" customFormat="1">
      <c r="A60" s="188">
        <v>6119</v>
      </c>
      <c r="B60" s="188" t="s">
        <v>17</v>
      </c>
      <c r="C60" s="26"/>
      <c r="D60" s="68">
        <f>C60/C12</f>
        <v>0</v>
      </c>
      <c r="E60" s="26"/>
      <c r="F60" s="68">
        <f>E60/E12</f>
        <v>0</v>
      </c>
      <c r="G60" s="26">
        <v>0</v>
      </c>
      <c r="H60" s="68">
        <f>G60/G12</f>
        <v>0</v>
      </c>
      <c r="I60" s="26"/>
      <c r="J60" s="68">
        <f>I60/I12</f>
        <v>0</v>
      </c>
      <c r="K60" s="26">
        <v>0</v>
      </c>
      <c r="L60" s="68">
        <f>K60/K12</f>
        <v>0</v>
      </c>
      <c r="M60" s="26"/>
      <c r="N60" s="702">
        <f>M60/M12</f>
        <v>0</v>
      </c>
      <c r="P60" s="702">
        <f>O60/O12</f>
        <v>0</v>
      </c>
      <c r="Q60" s="26"/>
      <c r="R60" s="68">
        <f>Q60/Q12</f>
        <v>0</v>
      </c>
      <c r="S60" s="26"/>
      <c r="T60" s="68">
        <f>S60/S12</f>
        <v>0</v>
      </c>
      <c r="U60" s="26"/>
      <c r="V60" s="68">
        <f>U60/U12</f>
        <v>0</v>
      </c>
      <c r="W60" s="26"/>
      <c r="X60" s="68">
        <f>W60/W12</f>
        <v>0</v>
      </c>
      <c r="Y60" s="26"/>
      <c r="Z60" s="68">
        <f>Y60/Y12</f>
        <v>0</v>
      </c>
      <c r="AA60" s="144">
        <f t="shared" si="33"/>
        <v>0</v>
      </c>
      <c r="AB60" s="68">
        <f>AA60/AA12</f>
        <v>0</v>
      </c>
      <c r="AC60" s="128">
        <f t="shared" si="1"/>
        <v>0</v>
      </c>
      <c r="AD60" s="68">
        <f>AC60/AC12</f>
        <v>0</v>
      </c>
      <c r="AE60" s="645"/>
      <c r="AF60" s="226"/>
      <c r="AG60" s="226"/>
    </row>
    <row r="61" spans="1:33" s="1" customFormat="1">
      <c r="A61" s="188">
        <v>6120</v>
      </c>
      <c r="B61" s="188" t="s">
        <v>18</v>
      </c>
      <c r="C61" s="26"/>
      <c r="D61" s="68">
        <f>C61/C12</f>
        <v>0</v>
      </c>
      <c r="E61" s="26"/>
      <c r="F61" s="68">
        <f>E61/E12</f>
        <v>0</v>
      </c>
      <c r="G61" s="26">
        <v>0</v>
      </c>
      <c r="H61" s="68">
        <f>G61/G12</f>
        <v>0</v>
      </c>
      <c r="I61" s="26"/>
      <c r="J61" s="68">
        <f>I61/I12</f>
        <v>0</v>
      </c>
      <c r="K61" s="26">
        <v>0</v>
      </c>
      <c r="L61" s="68">
        <f>K61/K12</f>
        <v>0</v>
      </c>
      <c r="M61" s="26"/>
      <c r="N61" s="702">
        <f>M61/M12</f>
        <v>0</v>
      </c>
      <c r="P61" s="702">
        <f>O61/O12</f>
        <v>0</v>
      </c>
      <c r="Q61" s="26"/>
      <c r="R61" s="68">
        <f>Q61/Q12</f>
        <v>0</v>
      </c>
      <c r="S61" s="26"/>
      <c r="T61" s="68">
        <f>S61/S12</f>
        <v>0</v>
      </c>
      <c r="U61" s="26"/>
      <c r="V61" s="68">
        <f>U61/U12</f>
        <v>0</v>
      </c>
      <c r="W61" s="26"/>
      <c r="X61" s="68">
        <f>W61/W12</f>
        <v>0</v>
      </c>
      <c r="Y61" s="26"/>
      <c r="Z61" s="68">
        <f>Y61/Y12</f>
        <v>0</v>
      </c>
      <c r="AA61" s="144">
        <f t="shared" si="33"/>
        <v>0</v>
      </c>
      <c r="AB61" s="68">
        <f>AA61/AA12</f>
        <v>0</v>
      </c>
      <c r="AC61" s="128">
        <f t="shared" si="1"/>
        <v>0</v>
      </c>
      <c r="AD61" s="68">
        <f>AC61/AC12</f>
        <v>0</v>
      </c>
      <c r="AE61" s="645"/>
      <c r="AF61" s="226"/>
      <c r="AG61" s="226"/>
    </row>
    <row r="62" spans="1:33" s="1" customFormat="1">
      <c r="A62" s="188">
        <v>6121</v>
      </c>
      <c r="B62" s="188" t="s">
        <v>19</v>
      </c>
      <c r="C62" s="705">
        <v>250</v>
      </c>
      <c r="D62" s="68">
        <f>C62/C12</f>
        <v>2.5022695584895499E-4</v>
      </c>
      <c r="E62" s="705">
        <v>250</v>
      </c>
      <c r="F62" s="68">
        <f>E62/E12</f>
        <v>3.2162765339905166E-4</v>
      </c>
      <c r="G62" s="705">
        <v>250</v>
      </c>
      <c r="H62" s="68">
        <f>G62/G12</f>
        <v>1.9389438006585862E-4</v>
      </c>
      <c r="I62" s="705">
        <v>250</v>
      </c>
      <c r="J62" s="68">
        <f>I62/I12</f>
        <v>2.195873689831963E-4</v>
      </c>
      <c r="K62" s="705">
        <v>250</v>
      </c>
      <c r="L62" s="68">
        <f>K62/K12</f>
        <v>2.4009073509060545E-4</v>
      </c>
      <c r="M62" s="705">
        <v>500</v>
      </c>
      <c r="N62" s="702">
        <f>M62/M12</f>
        <v>3.3863614967988726E-4</v>
      </c>
      <c r="O62" s="705">
        <v>250</v>
      </c>
      <c r="P62" s="702">
        <f>O62/O12</f>
        <v>2.6743831535256394E-4</v>
      </c>
      <c r="Q62" s="705">
        <v>250</v>
      </c>
      <c r="R62" s="68">
        <f>Q62/Q12</f>
        <v>2.1537409187514161E-4</v>
      </c>
      <c r="S62" s="705">
        <v>500</v>
      </c>
      <c r="T62" s="68">
        <f>S62/S12</f>
        <v>4.2759272989736918E-4</v>
      </c>
      <c r="U62" s="705">
        <v>250</v>
      </c>
      <c r="V62" s="68">
        <f>U62/U12</f>
        <v>2.6953433969003889E-4</v>
      </c>
      <c r="W62" s="705">
        <v>250</v>
      </c>
      <c r="X62" s="68">
        <f>W62/W12</f>
        <v>2.6491383723072472E-4</v>
      </c>
      <c r="Y62" s="705">
        <f>250+250</f>
        <v>500</v>
      </c>
      <c r="Z62" s="68">
        <f>Y62/Y12</f>
        <v>3.5072514870873904E-4</v>
      </c>
      <c r="AA62" s="144">
        <f t="shared" si="33"/>
        <v>3750</v>
      </c>
      <c r="AB62" s="68">
        <f>AA62/AA12</f>
        <v>2.8229908977364719E-4</v>
      </c>
      <c r="AC62" s="128">
        <f t="shared" si="1"/>
        <v>312.5</v>
      </c>
      <c r="AD62" s="68">
        <f>AC62/AC12</f>
        <v>2.8229908977364719E-4</v>
      </c>
      <c r="AE62" s="645"/>
      <c r="AF62" s="226"/>
      <c r="AG62" s="226"/>
    </row>
    <row r="63" spans="1:33" s="1" customFormat="1">
      <c r="A63" s="188">
        <v>6122</v>
      </c>
      <c r="B63" s="188" t="s">
        <v>341</v>
      </c>
      <c r="C63" s="26">
        <v>1333.33</v>
      </c>
      <c r="D63" s="68">
        <f>C63/C12</f>
        <v>1.3345404281683486E-3</v>
      </c>
      <c r="E63" s="26">
        <v>1333.33</v>
      </c>
      <c r="F63" s="68">
        <f>E63/E12</f>
        <v>1.7153431964262303E-3</v>
      </c>
      <c r="G63" s="26">
        <v>1333.33</v>
      </c>
      <c r="H63" s="68">
        <f>G63/G12</f>
        <v>1.0341007750928452E-3</v>
      </c>
      <c r="I63" s="26">
        <v>1333.33</v>
      </c>
      <c r="J63" s="68">
        <f>I63/I12</f>
        <v>1.1711297067454605E-3</v>
      </c>
      <c r="K63" s="26">
        <v>1333.33</v>
      </c>
      <c r="L63" s="68">
        <f>K63/K12</f>
        <v>1.2804807192734278E-3</v>
      </c>
      <c r="M63" s="26">
        <v>1333.33</v>
      </c>
      <c r="N63" s="702">
        <f>M63/M12</f>
        <v>9.0302747490536811E-4</v>
      </c>
      <c r="O63" s="371">
        <v>1333.33</v>
      </c>
      <c r="P63" s="702">
        <f>O63/O12</f>
        <v>1.4263341160361362E-3</v>
      </c>
      <c r="Q63" s="26">
        <v>1333.33</v>
      </c>
      <c r="R63" s="68">
        <f>Q63/Q12</f>
        <v>1.1486589516795302E-3</v>
      </c>
      <c r="S63" s="26">
        <v>1333.33</v>
      </c>
      <c r="T63" s="68">
        <f>S63/S12</f>
        <v>1.1402444291081185E-3</v>
      </c>
      <c r="U63" s="26">
        <v>1333.33</v>
      </c>
      <c r="V63" s="68">
        <f>U63/U12</f>
        <v>1.4375128845556782E-3</v>
      </c>
      <c r="W63" s="26">
        <v>1333.33</v>
      </c>
      <c r="X63" s="68">
        <f>W63/W12</f>
        <v>1.4128702663793685E-3</v>
      </c>
      <c r="Y63" s="26">
        <v>1333.33</v>
      </c>
      <c r="Z63" s="68">
        <f>Y63/Y12</f>
        <v>9.3526472505564605E-4</v>
      </c>
      <c r="AA63" s="144">
        <f t="shared" si="33"/>
        <v>15999.96</v>
      </c>
      <c r="AB63" s="68">
        <f>AA63/AA12</f>
        <v>1.2044731051772705E-3</v>
      </c>
      <c r="AC63" s="128">
        <f t="shared" si="1"/>
        <v>1333.33</v>
      </c>
      <c r="AD63" s="68">
        <f>AC63/AC12</f>
        <v>1.2044731051772705E-3</v>
      </c>
      <c r="AE63" s="226"/>
      <c r="AF63" s="226"/>
      <c r="AG63" s="226"/>
    </row>
    <row r="64" spans="1:33" s="1" customFormat="1">
      <c r="A64" s="188">
        <v>6123</v>
      </c>
      <c r="B64" s="188" t="s">
        <v>21</v>
      </c>
      <c r="C64" s="26"/>
      <c r="D64" s="68">
        <f>C64/C12</f>
        <v>0</v>
      </c>
      <c r="E64" s="26"/>
      <c r="F64" s="68">
        <f>E64/E12</f>
        <v>0</v>
      </c>
      <c r="G64" s="26">
        <v>0</v>
      </c>
      <c r="H64" s="68">
        <f>G64/G12</f>
        <v>0</v>
      </c>
      <c r="I64" s="26"/>
      <c r="J64" s="68">
        <f>I64/I12</f>
        <v>0</v>
      </c>
      <c r="K64" s="26">
        <v>0</v>
      </c>
      <c r="L64" s="68">
        <f>K64/K12</f>
        <v>0</v>
      </c>
      <c r="M64" s="26"/>
      <c r="N64" s="702">
        <f>M64/M12</f>
        <v>0</v>
      </c>
      <c r="P64" s="702">
        <f>O64/O12</f>
        <v>0</v>
      </c>
      <c r="Q64" s="26">
        <v>0</v>
      </c>
      <c r="R64" s="68">
        <f>Q64/Q12</f>
        <v>0</v>
      </c>
      <c r="S64" s="26">
        <v>0</v>
      </c>
      <c r="T64" s="68">
        <f>S64/S12</f>
        <v>0</v>
      </c>
      <c r="U64" s="26">
        <v>0</v>
      </c>
      <c r="V64" s="68">
        <f>U64/U12</f>
        <v>0</v>
      </c>
      <c r="W64" s="26">
        <v>0</v>
      </c>
      <c r="X64" s="68">
        <f>W64/W12</f>
        <v>0</v>
      </c>
      <c r="Y64" s="26">
        <v>0</v>
      </c>
      <c r="Z64" s="68">
        <f>Y64/Y12</f>
        <v>0</v>
      </c>
      <c r="AA64" s="144">
        <f t="shared" si="33"/>
        <v>0</v>
      </c>
      <c r="AB64" s="68">
        <f>AA64/AA12</f>
        <v>0</v>
      </c>
      <c r="AC64" s="128">
        <f t="shared" si="1"/>
        <v>0</v>
      </c>
      <c r="AD64" s="68">
        <f>AC64/AC12</f>
        <v>0</v>
      </c>
      <c r="AE64" s="645"/>
      <c r="AF64" s="226"/>
      <c r="AG64" s="226"/>
    </row>
    <row r="65" spans="1:33" s="1" customFormat="1">
      <c r="A65" s="188">
        <v>6124</v>
      </c>
      <c r="B65" s="188" t="s">
        <v>22</v>
      </c>
      <c r="C65" s="26">
        <v>18000</v>
      </c>
      <c r="D65" s="68">
        <f>C65/C12</f>
        <v>1.8016340821124761E-2</v>
      </c>
      <c r="E65" s="26">
        <v>18000</v>
      </c>
      <c r="F65" s="68">
        <f>E65/E12</f>
        <v>2.3157191044731722E-2</v>
      </c>
      <c r="G65" s="26">
        <v>18000</v>
      </c>
      <c r="H65" s="68">
        <f>G65/G12</f>
        <v>1.3960395364741822E-2</v>
      </c>
      <c r="I65" s="26">
        <v>18000</v>
      </c>
      <c r="J65" s="68">
        <f>I65/I12</f>
        <v>1.5810290566790133E-2</v>
      </c>
      <c r="K65" s="26">
        <v>18000</v>
      </c>
      <c r="L65" s="68">
        <f>K65/K12</f>
        <v>1.7286532926523591E-2</v>
      </c>
      <c r="M65" s="26">
        <v>18000</v>
      </c>
      <c r="N65" s="702">
        <f>M65/M12</f>
        <v>1.2190901388475941E-2</v>
      </c>
      <c r="O65" s="26">
        <v>18000</v>
      </c>
      <c r="P65" s="702">
        <f>O65/O12</f>
        <v>1.9255558705384604E-2</v>
      </c>
      <c r="Q65" s="26">
        <v>18000</v>
      </c>
      <c r="R65" s="68">
        <f>Q65/Q12</f>
        <v>1.5506934615010196E-2</v>
      </c>
      <c r="S65" s="26">
        <v>18000</v>
      </c>
      <c r="T65" s="68">
        <f>S65/S12</f>
        <v>1.5393338276305291E-2</v>
      </c>
      <c r="U65" s="26">
        <v>18000</v>
      </c>
      <c r="V65" s="68">
        <f>U65/U12</f>
        <v>1.9406472457682802E-2</v>
      </c>
      <c r="W65" s="26">
        <v>18000</v>
      </c>
      <c r="X65" s="68">
        <f>W65/W12</f>
        <v>1.907379628061218E-2</v>
      </c>
      <c r="Y65" s="26">
        <v>18000</v>
      </c>
      <c r="Z65" s="68">
        <f>Y65/Y12</f>
        <v>1.2626105353514607E-2</v>
      </c>
      <c r="AA65" s="144">
        <f t="shared" si="33"/>
        <v>216000</v>
      </c>
      <c r="AB65" s="68">
        <f>AA65/AA12</f>
        <v>1.6260427570962077E-2</v>
      </c>
      <c r="AC65" s="128">
        <f t="shared" si="1"/>
        <v>18000</v>
      </c>
      <c r="AD65" s="68">
        <f>AC65/AC12</f>
        <v>1.6260427570962077E-2</v>
      </c>
      <c r="AE65" s="645" t="s">
        <v>342</v>
      </c>
      <c r="AF65" s="374"/>
      <c r="AG65" s="226"/>
    </row>
    <row r="66" spans="1:33" s="1" customFormat="1">
      <c r="A66" s="188">
        <v>6125</v>
      </c>
      <c r="B66" s="188" t="s">
        <v>78</v>
      </c>
      <c r="C66" s="705">
        <v>423.01</v>
      </c>
      <c r="D66" s="68">
        <f>C66/C12</f>
        <v>4.2339401837466584E-4</v>
      </c>
      <c r="E66" s="705">
        <v>423.01</v>
      </c>
      <c r="F66" s="702">
        <f>E66/E12</f>
        <v>5.4420685465733144E-4</v>
      </c>
      <c r="G66" s="705">
        <v>423.01</v>
      </c>
      <c r="H66" s="702">
        <f>G66/G12</f>
        <v>3.2807704684663543E-4</v>
      </c>
      <c r="I66" s="705">
        <v>423.01</v>
      </c>
      <c r="J66" s="702">
        <f>I66/I12</f>
        <v>3.7155061181432745E-4</v>
      </c>
      <c r="K66" s="705">
        <v>423.01</v>
      </c>
      <c r="L66" s="702">
        <f>K66/K12</f>
        <v>4.0624312740270805E-4</v>
      </c>
      <c r="M66" s="705">
        <v>423.01</v>
      </c>
      <c r="N66" s="702">
        <f>M66/M12</f>
        <v>2.8649295535217818E-4</v>
      </c>
      <c r="O66" s="705">
        <v>423.01</v>
      </c>
      <c r="P66" s="702">
        <f>O66/O12</f>
        <v>4.5251632710915224E-4</v>
      </c>
      <c r="Q66" s="705">
        <v>423.01</v>
      </c>
      <c r="R66" s="702">
        <f>Q66/Q12</f>
        <v>3.6442157841641462E-4</v>
      </c>
      <c r="S66" s="705">
        <v>423.01</v>
      </c>
      <c r="T66" s="702">
        <f>S66/S12</f>
        <v>3.6175200134777228E-4</v>
      </c>
      <c r="U66" s="705">
        <v>423.01</v>
      </c>
      <c r="V66" s="702">
        <f>U66/U12</f>
        <v>4.5606288412913343E-4</v>
      </c>
      <c r="W66" s="705">
        <v>423.01</v>
      </c>
      <c r="X66" s="702">
        <f>W66/W12</f>
        <v>4.4824480914787542E-4</v>
      </c>
      <c r="Y66" s="705">
        <v>423.01</v>
      </c>
      <c r="Z66" s="702">
        <f>Y66/Y12</f>
        <v>2.9672049031056742E-4</v>
      </c>
      <c r="AA66" s="144">
        <f t="shared" si="33"/>
        <v>5076.1200000000017</v>
      </c>
      <c r="AB66" s="68">
        <f>AA66/AA12</f>
        <v>3.8212908148848175E-4</v>
      </c>
      <c r="AC66" s="128">
        <f t="shared" si="1"/>
        <v>423.01000000000016</v>
      </c>
      <c r="AD66" s="68">
        <f>AC66/AC12</f>
        <v>3.8212908148848175E-4</v>
      </c>
      <c r="AE66" s="645" t="s">
        <v>276</v>
      </c>
      <c r="AF66" s="226" t="s">
        <v>275</v>
      </c>
      <c r="AG66" s="226"/>
    </row>
    <row r="67" spans="1:33" s="1" customFormat="1">
      <c r="A67" s="188">
        <v>6126</v>
      </c>
      <c r="B67" s="188" t="s">
        <v>116</v>
      </c>
      <c r="C67" s="26"/>
      <c r="D67" s="702" t="e">
        <f>C67/C13</f>
        <v>#DIV/0!</v>
      </c>
      <c r="E67" s="26"/>
      <c r="F67" s="702" t="e">
        <f>E67/E13</f>
        <v>#DIV/0!</v>
      </c>
      <c r="G67" s="26"/>
      <c r="H67" s="702" t="e">
        <f>G67/G13</f>
        <v>#DIV/0!</v>
      </c>
      <c r="I67" s="26"/>
      <c r="J67" s="702" t="e">
        <f>I67/I13</f>
        <v>#DIV/0!</v>
      </c>
      <c r="K67" s="26"/>
      <c r="L67" s="702" t="e">
        <f>K67/K13</f>
        <v>#DIV/0!</v>
      </c>
      <c r="M67" s="26"/>
      <c r="N67" s="702" t="e">
        <f>M67/M13</f>
        <v>#DIV/0!</v>
      </c>
      <c r="O67" s="26"/>
      <c r="P67" s="702" t="e">
        <f>O67/O13</f>
        <v>#DIV/0!</v>
      </c>
      <c r="Q67" s="26"/>
      <c r="R67" s="702" t="e">
        <f>Q67/Q13</f>
        <v>#DIV/0!</v>
      </c>
      <c r="S67" s="26"/>
      <c r="T67" s="702" t="e">
        <f>S67/S13</f>
        <v>#DIV/0!</v>
      </c>
      <c r="U67" s="26"/>
      <c r="V67" s="702" t="e">
        <f>U67/U13</f>
        <v>#DIV/0!</v>
      </c>
      <c r="W67" s="26"/>
      <c r="X67" s="702" t="e">
        <f>W67/W13</f>
        <v>#DIV/0!</v>
      </c>
      <c r="Y67" s="26"/>
      <c r="Z67" s="702" t="e">
        <f>Y67/Y13</f>
        <v>#DIV/0!</v>
      </c>
      <c r="AA67" s="144">
        <f t="shared" si="33"/>
        <v>0</v>
      </c>
      <c r="AB67" s="68"/>
      <c r="AC67" s="128">
        <f t="shared" si="1"/>
        <v>0</v>
      </c>
      <c r="AD67" s="68"/>
      <c r="AE67" s="645"/>
      <c r="AF67" s="226"/>
      <c r="AG67" s="226"/>
    </row>
    <row r="68" spans="1:33" s="1" customFormat="1">
      <c r="A68" s="188">
        <v>6127</v>
      </c>
      <c r="B68" s="188" t="s">
        <v>76</v>
      </c>
      <c r="C68" s="705">
        <v>382</v>
      </c>
      <c r="D68" s="68">
        <f>C68/C$12</f>
        <v>3.8234678853720324E-4</v>
      </c>
      <c r="E68" s="705">
        <v>382</v>
      </c>
      <c r="F68" s="702">
        <f>E68/E$12</f>
        <v>4.91447054393751E-4</v>
      </c>
      <c r="G68" s="705">
        <v>382</v>
      </c>
      <c r="H68" s="702">
        <f>G68/G$12</f>
        <v>2.96270612740632E-4</v>
      </c>
      <c r="I68" s="705">
        <v>382</v>
      </c>
      <c r="J68" s="702">
        <f>I68/I$12</f>
        <v>3.3552949980632392E-4</v>
      </c>
      <c r="K68" s="705">
        <v>382</v>
      </c>
      <c r="L68" s="702">
        <f>K68/K$12</f>
        <v>3.668586432184451E-4</v>
      </c>
      <c r="M68" s="705">
        <v>382</v>
      </c>
      <c r="N68" s="702">
        <f>M68/M$12</f>
        <v>2.5871801835543388E-4</v>
      </c>
      <c r="O68" s="705">
        <v>382</v>
      </c>
      <c r="P68" s="702">
        <f>O68/O$12</f>
        <v>4.0864574585871768E-4</v>
      </c>
      <c r="Q68" s="705">
        <v>382</v>
      </c>
      <c r="R68" s="702">
        <f>Q68/Q$12</f>
        <v>3.2909161238521637E-4</v>
      </c>
      <c r="S68" s="705">
        <v>382</v>
      </c>
      <c r="T68" s="702">
        <f>S68/S$12</f>
        <v>3.2668084564159005E-4</v>
      </c>
      <c r="U68" s="705">
        <v>382</v>
      </c>
      <c r="V68" s="702">
        <f>U68/U$12</f>
        <v>4.1184847104637945E-4</v>
      </c>
      <c r="W68" s="705">
        <v>382</v>
      </c>
      <c r="X68" s="702">
        <f>W68/W$12</f>
        <v>4.0478834328854738E-4</v>
      </c>
      <c r="Y68" s="705">
        <v>382</v>
      </c>
      <c r="Z68" s="702">
        <f>Y68/Y$12</f>
        <v>2.6795401361347665E-4</v>
      </c>
      <c r="AA68" s="144">
        <f t="shared" si="33"/>
        <v>4584</v>
      </c>
      <c r="AB68" s="68">
        <f>AA68/AA12</f>
        <v>3.4508240733930636E-4</v>
      </c>
      <c r="AC68" s="128">
        <f t="shared" si="1"/>
        <v>382</v>
      </c>
      <c r="AD68" s="68">
        <f>AC68/AC12</f>
        <v>3.4508240733930636E-4</v>
      </c>
      <c r="AE68" s="645" t="s">
        <v>157</v>
      </c>
      <c r="AF68" s="226"/>
      <c r="AG68" s="226"/>
    </row>
    <row r="69" spans="1:33" s="1" customFormat="1">
      <c r="A69" s="188">
        <v>6128</v>
      </c>
      <c r="B69" s="188" t="s">
        <v>232</v>
      </c>
      <c r="C69" s="678">
        <v>0</v>
      </c>
      <c r="D69" s="677">
        <f>C69/C$12</f>
        <v>0</v>
      </c>
      <c r="E69" s="678">
        <v>0</v>
      </c>
      <c r="F69" s="702">
        <f>E69/E$12</f>
        <v>0</v>
      </c>
      <c r="G69" s="678">
        <v>0</v>
      </c>
      <c r="H69" s="702">
        <f>G69/G$12</f>
        <v>0</v>
      </c>
      <c r="I69" s="678">
        <v>0</v>
      </c>
      <c r="J69" s="702">
        <f>I69/I$12</f>
        <v>0</v>
      </c>
      <c r="K69" s="678">
        <v>0</v>
      </c>
      <c r="L69" s="702">
        <f>K69/K$12</f>
        <v>0</v>
      </c>
      <c r="M69" s="678">
        <v>0</v>
      </c>
      <c r="N69" s="702">
        <f>M69/M$12</f>
        <v>0</v>
      </c>
      <c r="O69" s="678">
        <v>0</v>
      </c>
      <c r="P69" s="702">
        <f>O69/O$12</f>
        <v>0</v>
      </c>
      <c r="Q69" s="678">
        <v>0</v>
      </c>
      <c r="R69" s="702">
        <f>Q69/Q$12</f>
        <v>0</v>
      </c>
      <c r="S69" s="678">
        <v>0</v>
      </c>
      <c r="T69" s="702">
        <f>S69/S$12</f>
        <v>0</v>
      </c>
      <c r="U69" s="678">
        <v>0</v>
      </c>
      <c r="V69" s="702">
        <f>U69/U$12</f>
        <v>0</v>
      </c>
      <c r="W69" s="678">
        <v>0</v>
      </c>
      <c r="X69" s="702">
        <f>W69/W$12</f>
        <v>0</v>
      </c>
      <c r="Y69" s="678">
        <v>0</v>
      </c>
      <c r="Z69" s="702">
        <f>Y69/Y$12</f>
        <v>0</v>
      </c>
      <c r="AA69" s="144">
        <f t="shared" si="33"/>
        <v>0</v>
      </c>
      <c r="AB69" s="677">
        <f>AA69/AA$12</f>
        <v>0</v>
      </c>
      <c r="AC69" s="128">
        <f t="shared" si="1"/>
        <v>0</v>
      </c>
      <c r="AD69" s="677">
        <f>AC69/AC$12</f>
        <v>0</v>
      </c>
      <c r="AE69" s="645"/>
      <c r="AF69" s="226"/>
      <c r="AG69" s="226"/>
    </row>
    <row r="70" spans="1:33" s="1" customFormat="1">
      <c r="A70" s="2">
        <v>6131</v>
      </c>
      <c r="B70" s="188" t="s">
        <v>314</v>
      </c>
      <c r="C70" s="766">
        <v>676.8189509306261</v>
      </c>
      <c r="D70" s="702">
        <f t="shared" ref="D70:AD75" si="34">C70/C$12</f>
        <v>6.7743338300901531E-4</v>
      </c>
      <c r="E70" s="766">
        <v>676.8189509306261</v>
      </c>
      <c r="F70" s="702">
        <f t="shared" ref="F70:F75" si="35">E70/E$12</f>
        <v>8.707347638553007E-4</v>
      </c>
      <c r="G70" s="766">
        <v>676.8189509306261</v>
      </c>
      <c r="H70" s="702">
        <f t="shared" ref="H70:H75" si="36">G70/G$12</f>
        <v>5.2492556363007412E-4</v>
      </c>
      <c r="I70" s="766">
        <v>676.8189509306261</v>
      </c>
      <c r="J70" s="702">
        <f t="shared" ref="J70:J75" si="37">I70/I$12</f>
        <v>5.9448357085129292E-4</v>
      </c>
      <c r="K70" s="766">
        <v>676.8189509306261</v>
      </c>
      <c r="L70" s="702">
        <f t="shared" ref="L70:L75" si="38">K70/K$12</f>
        <v>6.4999183780874571E-4</v>
      </c>
      <c r="M70" s="766">
        <v>676.8189509306261</v>
      </c>
      <c r="N70" s="702">
        <f t="shared" ref="N70:N75" si="39">M70/M$12</f>
        <v>4.5839072714705555E-4</v>
      </c>
      <c r="O70" s="766">
        <v>676.8189509306261</v>
      </c>
      <c r="P70" s="702">
        <f t="shared" ref="P70:P75" si="40">O70/O$12</f>
        <v>7.2402928014230514E-4</v>
      </c>
      <c r="Q70" s="766">
        <v>676.8189509306261</v>
      </c>
      <c r="R70" s="702">
        <f t="shared" ref="R70:R75" si="41">Q70/Q$12</f>
        <v>5.830770676822785E-4</v>
      </c>
      <c r="S70" s="766">
        <v>676.8189509306261</v>
      </c>
      <c r="T70" s="702">
        <f t="shared" ref="T70:T75" si="42">S70/S$12</f>
        <v>5.7880572574939997E-4</v>
      </c>
      <c r="U70" s="766">
        <v>676.8189509306261</v>
      </c>
      <c r="V70" s="702">
        <f t="shared" ref="V70:V75" si="43">U70/U$12</f>
        <v>7.2970379611516463E-4</v>
      </c>
      <c r="W70" s="766">
        <v>676.8189509306261</v>
      </c>
      <c r="X70" s="702">
        <f t="shared" ref="X70:X75" si="44">W70/W$12</f>
        <v>7.171948216060229E-4</v>
      </c>
      <c r="Y70" s="766">
        <v>676.8189509306261</v>
      </c>
      <c r="Z70" s="702">
        <f t="shared" ref="Z70:Z75" si="45">Y70/Y$12</f>
        <v>4.7475485442807319E-4</v>
      </c>
      <c r="AA70" s="144">
        <f t="shared" ref="AA70:AA75" si="46">C70+E70+G70+I70+K70+M70+O70+Q70+S70+U70+W70+Y70</f>
        <v>8121.8274111675119</v>
      </c>
      <c r="AB70" s="702">
        <f t="shared" ref="AB70:AB74" si="47">AA70/AA$12</f>
        <v>6.1140919612566566E-4</v>
      </c>
      <c r="AC70" s="128">
        <f t="shared" ref="AC70:AC75" si="48">AA70/12</f>
        <v>676.81895093062599</v>
      </c>
      <c r="AD70" s="702">
        <f t="shared" ref="AD70:AD74" si="49">AC70/AC$12</f>
        <v>6.1140919612566566E-4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766">
        <v>46.53</v>
      </c>
      <c r="D71" s="702">
        <f t="shared" si="34"/>
        <v>4.6572241022607506E-5</v>
      </c>
      <c r="E71" s="766">
        <v>46.53</v>
      </c>
      <c r="F71" s="702">
        <f t="shared" si="35"/>
        <v>5.9861338850631502E-5</v>
      </c>
      <c r="G71" s="766">
        <v>46.53</v>
      </c>
      <c r="H71" s="702">
        <f t="shared" si="36"/>
        <v>3.6087622017857613E-5</v>
      </c>
      <c r="I71" s="766">
        <v>46.53</v>
      </c>
      <c r="J71" s="702">
        <f t="shared" si="37"/>
        <v>4.0869601115152498E-5</v>
      </c>
      <c r="K71" s="766">
        <v>46.53</v>
      </c>
      <c r="L71" s="702">
        <f t="shared" si="38"/>
        <v>4.4685687615063484E-5</v>
      </c>
      <c r="M71" s="766">
        <v>46.53</v>
      </c>
      <c r="N71" s="702">
        <f t="shared" si="39"/>
        <v>3.1513480089210311E-5</v>
      </c>
      <c r="O71" s="766">
        <v>46.53</v>
      </c>
      <c r="P71" s="702">
        <f t="shared" si="40"/>
        <v>4.9775619253419197E-5</v>
      </c>
      <c r="Q71" s="766">
        <v>46.53</v>
      </c>
      <c r="R71" s="702">
        <f t="shared" si="41"/>
        <v>4.008542597980136E-5</v>
      </c>
      <c r="S71" s="766">
        <v>46.53</v>
      </c>
      <c r="T71" s="702">
        <f t="shared" si="42"/>
        <v>3.979177944424918E-5</v>
      </c>
      <c r="U71" s="766">
        <v>46.53</v>
      </c>
      <c r="V71" s="702">
        <f t="shared" si="43"/>
        <v>5.016573130311004E-5</v>
      </c>
      <c r="W71" s="766">
        <v>46.53</v>
      </c>
      <c r="X71" s="702">
        <f t="shared" si="44"/>
        <v>4.9305763385382485E-5</v>
      </c>
      <c r="Y71" s="766">
        <v>46.53</v>
      </c>
      <c r="Z71" s="702">
        <f t="shared" si="45"/>
        <v>3.2638482338835256E-5</v>
      </c>
      <c r="AA71" s="144">
        <f t="shared" si="46"/>
        <v>558.3599999999999</v>
      </c>
      <c r="AB71" s="702">
        <f t="shared" si="47"/>
        <v>4.2033205270936969E-5</v>
      </c>
      <c r="AC71" s="128">
        <f t="shared" si="48"/>
        <v>46.529999999999994</v>
      </c>
      <c r="AD71" s="702">
        <f t="shared" si="49"/>
        <v>4.2033205270936969E-5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34"/>
        <v>1.00090782339582E-4</v>
      </c>
      <c r="E72" s="676">
        <v>100</v>
      </c>
      <c r="F72" s="702">
        <f t="shared" si="35"/>
        <v>1.2865106135962067E-4</v>
      </c>
      <c r="G72" s="676">
        <v>100</v>
      </c>
      <c r="H72" s="702">
        <f t="shared" si="36"/>
        <v>7.755775202634345E-5</v>
      </c>
      <c r="I72" s="676">
        <v>100</v>
      </c>
      <c r="J72" s="702">
        <f t="shared" si="37"/>
        <v>8.7834947593278516E-5</v>
      </c>
      <c r="K72" s="676">
        <v>100</v>
      </c>
      <c r="L72" s="702">
        <f t="shared" si="38"/>
        <v>9.6036294036242172E-5</v>
      </c>
      <c r="M72" s="676">
        <v>100</v>
      </c>
      <c r="N72" s="702">
        <f t="shared" si="39"/>
        <v>6.7727229935977455E-5</v>
      </c>
      <c r="O72" s="676">
        <v>100</v>
      </c>
      <c r="P72" s="702">
        <f t="shared" si="40"/>
        <v>1.0697532614102557E-4</v>
      </c>
      <c r="Q72" s="676">
        <v>100</v>
      </c>
      <c r="R72" s="702">
        <f t="shared" si="41"/>
        <v>8.6149636750056644E-5</v>
      </c>
      <c r="S72" s="676">
        <v>100</v>
      </c>
      <c r="T72" s="702">
        <f t="shared" si="42"/>
        <v>8.5518545979473834E-5</v>
      </c>
      <c r="U72" s="676">
        <v>100</v>
      </c>
      <c r="V72" s="702">
        <f t="shared" si="43"/>
        <v>1.0781373587601557E-4</v>
      </c>
      <c r="W72" s="676">
        <v>100</v>
      </c>
      <c r="X72" s="702">
        <f t="shared" si="44"/>
        <v>1.0596553489228989E-4</v>
      </c>
      <c r="Y72" s="676">
        <v>100</v>
      </c>
      <c r="Z72" s="702">
        <f t="shared" si="45"/>
        <v>7.0145029741747815E-5</v>
      </c>
      <c r="AA72" s="144">
        <f t="shared" si="46"/>
        <v>1200</v>
      </c>
      <c r="AB72" s="702">
        <f t="shared" si="47"/>
        <v>9.0335708727567107E-5</v>
      </c>
      <c r="AC72" s="128">
        <f t="shared" si="48"/>
        <v>100</v>
      </c>
      <c r="AD72" s="702">
        <f t="shared" si="49"/>
        <v>9.0335708727567107E-5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676">
        <v>118.44331641285957</v>
      </c>
      <c r="D73" s="702">
        <f t="shared" si="34"/>
        <v>1.1855084202657768E-4</v>
      </c>
      <c r="E73" s="676">
        <v>118.44331641285957</v>
      </c>
      <c r="F73" s="702">
        <f t="shared" si="35"/>
        <v>1.5237858367467762E-4</v>
      </c>
      <c r="G73" s="676">
        <v>118.44331641285957</v>
      </c>
      <c r="H73" s="702">
        <f t="shared" si="36"/>
        <v>9.1861973635262983E-5</v>
      </c>
      <c r="I73" s="676">
        <v>118.44331641285957</v>
      </c>
      <c r="J73" s="702">
        <f t="shared" si="37"/>
        <v>1.0403462489897626E-4</v>
      </c>
      <c r="K73" s="676">
        <v>118.44331641285957</v>
      </c>
      <c r="L73" s="702">
        <f t="shared" si="38"/>
        <v>1.1374857161653051E-4</v>
      </c>
      <c r="M73" s="676">
        <v>118.44331641285957</v>
      </c>
      <c r="N73" s="702">
        <f t="shared" si="39"/>
        <v>8.0218377250734717E-5</v>
      </c>
      <c r="O73" s="676">
        <v>118.44331641285957</v>
      </c>
      <c r="P73" s="702">
        <f t="shared" si="40"/>
        <v>1.267051240249034E-4</v>
      </c>
      <c r="Q73" s="676">
        <v>118.44331641285957</v>
      </c>
      <c r="R73" s="702">
        <f t="shared" si="41"/>
        <v>1.0203848684439874E-4</v>
      </c>
      <c r="S73" s="676">
        <v>118.44331641285957</v>
      </c>
      <c r="T73" s="702">
        <f t="shared" si="42"/>
        <v>1.01291002006145E-4</v>
      </c>
      <c r="U73" s="676">
        <v>118.44331641285957</v>
      </c>
      <c r="V73" s="702">
        <f t="shared" si="43"/>
        <v>1.2769816432015382E-4</v>
      </c>
      <c r="W73" s="676">
        <v>118.44331641285957</v>
      </c>
      <c r="X73" s="702">
        <f t="shared" si="44"/>
        <v>1.2550909378105402E-4</v>
      </c>
      <c r="Y73" s="676">
        <v>118.44331641285957</v>
      </c>
      <c r="Z73" s="702">
        <f t="shared" si="45"/>
        <v>8.3082099524912808E-5</v>
      </c>
      <c r="AA73" s="144">
        <f t="shared" si="46"/>
        <v>1421.3197969543146</v>
      </c>
      <c r="AB73" s="702">
        <f t="shared" si="47"/>
        <v>1.0699660932199148E-4</v>
      </c>
      <c r="AC73" s="128">
        <f t="shared" si="48"/>
        <v>118.44331641285955</v>
      </c>
      <c r="AD73" s="702">
        <f t="shared" si="49"/>
        <v>1.0699660932199148E-4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34"/>
        <v>0</v>
      </c>
      <c r="E74" s="676">
        <v>0</v>
      </c>
      <c r="F74" s="702">
        <f t="shared" si="35"/>
        <v>0</v>
      </c>
      <c r="G74" s="676">
        <v>0</v>
      </c>
      <c r="H74" s="702">
        <f t="shared" si="36"/>
        <v>0</v>
      </c>
      <c r="I74" s="676">
        <v>0</v>
      </c>
      <c r="J74" s="702">
        <f t="shared" si="37"/>
        <v>0</v>
      </c>
      <c r="K74" s="676">
        <v>0</v>
      </c>
      <c r="L74" s="702">
        <f t="shared" si="38"/>
        <v>0</v>
      </c>
      <c r="M74" s="676">
        <v>0</v>
      </c>
      <c r="N74" s="702">
        <f t="shared" si="39"/>
        <v>0</v>
      </c>
      <c r="O74" s="676">
        <v>0</v>
      </c>
      <c r="P74" s="702">
        <f t="shared" si="40"/>
        <v>0</v>
      </c>
      <c r="Q74" s="676">
        <v>0</v>
      </c>
      <c r="R74" s="702">
        <f t="shared" si="41"/>
        <v>0</v>
      </c>
      <c r="S74" s="676">
        <v>0</v>
      </c>
      <c r="T74" s="702">
        <f t="shared" si="42"/>
        <v>0</v>
      </c>
      <c r="U74" s="676">
        <v>0</v>
      </c>
      <c r="V74" s="702">
        <f t="shared" si="43"/>
        <v>0</v>
      </c>
      <c r="W74" s="676">
        <v>0</v>
      </c>
      <c r="X74" s="702">
        <f t="shared" si="44"/>
        <v>0</v>
      </c>
      <c r="Y74" s="676">
        <v>0</v>
      </c>
      <c r="Z74" s="702">
        <f t="shared" si="45"/>
        <v>0</v>
      </c>
      <c r="AA74" s="144">
        <f t="shared" si="46"/>
        <v>0</v>
      </c>
      <c r="AB74" s="702">
        <f t="shared" si="47"/>
        <v>0</v>
      </c>
      <c r="AC74" s="128">
        <f t="shared" si="48"/>
        <v>0</v>
      </c>
      <c r="AD74" s="702">
        <f t="shared" si="49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766">
        <v>155</v>
      </c>
      <c r="D75" s="702">
        <f t="shared" si="34"/>
        <v>1.5514071262635209E-4</v>
      </c>
      <c r="E75" s="766">
        <v>155</v>
      </c>
      <c r="F75" s="702">
        <f t="shared" si="35"/>
        <v>1.9940914510741204E-4</v>
      </c>
      <c r="G75" s="766">
        <v>155</v>
      </c>
      <c r="H75" s="702">
        <f t="shared" si="36"/>
        <v>1.2021451564083236E-4</v>
      </c>
      <c r="I75" s="766">
        <v>155</v>
      </c>
      <c r="J75" s="702">
        <f t="shared" si="37"/>
        <v>1.3614416876958171E-4</v>
      </c>
      <c r="K75" s="766">
        <v>155</v>
      </c>
      <c r="L75" s="702">
        <f t="shared" si="38"/>
        <v>1.4885625575617538E-4</v>
      </c>
      <c r="M75" s="766">
        <v>155</v>
      </c>
      <c r="N75" s="702">
        <f t="shared" si="39"/>
        <v>1.0497720640076504E-4</v>
      </c>
      <c r="O75" s="766">
        <v>155</v>
      </c>
      <c r="P75" s="702">
        <f t="shared" si="40"/>
        <v>1.6581175551858964E-4</v>
      </c>
      <c r="Q75" s="766">
        <v>155</v>
      </c>
      <c r="R75" s="702">
        <f t="shared" si="41"/>
        <v>1.335319369625878E-4</v>
      </c>
      <c r="S75" s="766">
        <v>155</v>
      </c>
      <c r="T75" s="702">
        <f t="shared" si="42"/>
        <v>1.3255374626818444E-4</v>
      </c>
      <c r="U75" s="766">
        <v>155</v>
      </c>
      <c r="V75" s="702">
        <f t="shared" si="43"/>
        <v>1.6711129060782411E-4</v>
      </c>
      <c r="W75" s="766">
        <v>155</v>
      </c>
      <c r="X75" s="702">
        <f t="shared" si="44"/>
        <v>1.6424657908304933E-4</v>
      </c>
      <c r="Y75" s="766">
        <v>155</v>
      </c>
      <c r="Z75" s="702">
        <f t="shared" si="45"/>
        <v>1.087247960997091E-4</v>
      </c>
      <c r="AA75" s="144">
        <f t="shared" si="46"/>
        <v>1860</v>
      </c>
      <c r="AB75" s="702">
        <f t="shared" si="34"/>
        <v>1.4002034852772901E-4</v>
      </c>
      <c r="AC75" s="128">
        <f t="shared" si="48"/>
        <v>155</v>
      </c>
      <c r="AD75" s="702">
        <f t="shared" si="34"/>
        <v>1.4002034852772901E-4</v>
      </c>
      <c r="AE75" s="645"/>
      <c r="AF75" s="226"/>
      <c r="AG75" s="226"/>
    </row>
    <row r="76" spans="1:33" s="1" customFormat="1" ht="15.75" thickBot="1">
      <c r="A76" s="4">
        <v>6199</v>
      </c>
      <c r="B76" s="4" t="s">
        <v>23</v>
      </c>
      <c r="C76" s="28">
        <f>SUM(C42:C75)</f>
        <v>240516.52226734351</v>
      </c>
      <c r="D76" s="96">
        <f>C76/C12</f>
        <v>0.24073486879333905</v>
      </c>
      <c r="E76" s="28">
        <f>SUM(E42:E75)</f>
        <v>240516.52226734351</v>
      </c>
      <c r="F76" s="96">
        <f>E76/E12</f>
        <v>0.30942705864218584</v>
      </c>
      <c r="G76" s="28">
        <f>SUM(G42:G75)</f>
        <v>240516.52226734351</v>
      </c>
      <c r="H76" s="96">
        <f>G76/G12</f>
        <v>0.1865392079224914</v>
      </c>
      <c r="I76" s="28">
        <f>SUM(I42:I75)</f>
        <v>240516.52226734351</v>
      </c>
      <c r="J76" s="96">
        <f>I76/I12</f>
        <v>0.21125756128669723</v>
      </c>
      <c r="K76" s="28">
        <f>SUM(K42:K75)</f>
        <v>240516.52226734351</v>
      </c>
      <c r="L76" s="96">
        <f>K76/K12</f>
        <v>0.23098315453040991</v>
      </c>
      <c r="M76" s="28">
        <f>SUM(M42:M75)</f>
        <v>240766.52226734351</v>
      </c>
      <c r="N76" s="96">
        <f>M76/M12</f>
        <v>0.16306449614486007</v>
      </c>
      <c r="O76" s="28">
        <f>SUM(O42:O75)</f>
        <v>240516.52226734351</v>
      </c>
      <c r="P76" s="96">
        <f>O76/O12</f>
        <v>0.2572933341185431</v>
      </c>
      <c r="Q76" s="28">
        <f>SUM(Q42:Q75)</f>
        <v>240516.52226734351</v>
      </c>
      <c r="R76" s="96">
        <f>Q76/Q12</f>
        <v>0.20720411025718552</v>
      </c>
      <c r="S76" s="28">
        <f>SUM(S42:S75)</f>
        <v>240766.52226734351</v>
      </c>
      <c r="T76" s="96">
        <f>S76/S12</f>
        <v>0.20590002904837829</v>
      </c>
      <c r="U76" s="28">
        <f>SUM(U42:U75)</f>
        <v>240516.52226734351</v>
      </c>
      <c r="V76" s="96">
        <f>U76/U12</f>
        <v>0.2593098480554919</v>
      </c>
      <c r="W76" s="28">
        <f>SUM(W42:W75)</f>
        <v>240516.52226734351</v>
      </c>
      <c r="X76" s="96">
        <f>W76/W12</f>
        <v>0.25486461932492405</v>
      </c>
      <c r="Y76" s="28">
        <f>SUM(Y42:Y75)</f>
        <v>240766.52226734351</v>
      </c>
      <c r="Z76" s="96">
        <f>Y76/Y12</f>
        <v>0.16888574865259998</v>
      </c>
      <c r="AA76" s="28">
        <f>SUM(AA42:AA75)</f>
        <v>2886948.2672081217</v>
      </c>
      <c r="AB76" s="96">
        <f>AA76/AA12</f>
        <v>0.2173287648150562</v>
      </c>
      <c r="AC76" s="132">
        <f t="shared" ref="AC76:AC148" si="50">AA76/12</f>
        <v>240579.02226734348</v>
      </c>
      <c r="AD76" s="96">
        <f>AC76/AC12</f>
        <v>0.2173287648150562</v>
      </c>
      <c r="AE76" s="650"/>
      <c r="AF76" s="553"/>
      <c r="AG76" s="553"/>
    </row>
    <row r="77" spans="1:33" s="1" customFormat="1" ht="15.75" thickTop="1">
      <c r="A77" s="419">
        <v>6201</v>
      </c>
      <c r="B77" s="419" t="s">
        <v>24</v>
      </c>
      <c r="C77" s="704">
        <v>52200</v>
      </c>
      <c r="D77" s="24">
        <f>C77/C12</f>
        <v>5.2247388381261806E-2</v>
      </c>
      <c r="E77" s="704">
        <v>52200</v>
      </c>
      <c r="F77" s="24">
        <f>E77/E12</f>
        <v>6.715585402972199E-2</v>
      </c>
      <c r="G77" s="704">
        <v>52200</v>
      </c>
      <c r="H77" s="24">
        <f>G77/G12</f>
        <v>4.0485146557751282E-2</v>
      </c>
      <c r="I77" s="704">
        <v>52200</v>
      </c>
      <c r="J77" s="24">
        <f>I77/I12</f>
        <v>4.5849842643691387E-2</v>
      </c>
      <c r="K77" s="704">
        <v>52200</v>
      </c>
      <c r="L77" s="24">
        <f>K77/K12</f>
        <v>5.0130945486918418E-2</v>
      </c>
      <c r="M77" s="704">
        <v>52200</v>
      </c>
      <c r="N77" s="24">
        <f>M77/M12</f>
        <v>3.535361402658023E-2</v>
      </c>
      <c r="O77" s="704">
        <v>52200</v>
      </c>
      <c r="P77" s="24">
        <f>O77/O12</f>
        <v>5.5841120245615349E-2</v>
      </c>
      <c r="Q77" s="704">
        <v>52200</v>
      </c>
      <c r="R77" s="24">
        <f>Q77/Q12</f>
        <v>4.497011038352957E-2</v>
      </c>
      <c r="S77" s="704">
        <v>52200</v>
      </c>
      <c r="T77" s="24">
        <f>S77/S12</f>
        <v>4.4640681001285341E-2</v>
      </c>
      <c r="U77" s="704">
        <v>52200</v>
      </c>
      <c r="V77" s="24">
        <f>U77/U12</f>
        <v>5.6278770127280123E-2</v>
      </c>
      <c r="W77" s="704">
        <v>52200</v>
      </c>
      <c r="X77" s="24">
        <f>W77/W12</f>
        <v>5.5314009213775321E-2</v>
      </c>
      <c r="Y77" s="704">
        <v>52200</v>
      </c>
      <c r="Z77" s="24">
        <f>Y77/Y12</f>
        <v>3.661570552519236E-2</v>
      </c>
      <c r="AA77" s="144">
        <f t="shared" ref="AA77:AA92" si="51">C77+E77+G77+I77+K77+M77+O77+Q77+S77+U77+W77+Y77</f>
        <v>626400</v>
      </c>
      <c r="AB77" s="68">
        <f>AA77/AA12</f>
        <v>4.7155239955790025E-2</v>
      </c>
      <c r="AC77" s="128">
        <f t="shared" si="50"/>
        <v>52200</v>
      </c>
      <c r="AD77" s="68">
        <f>AC77/AC12</f>
        <v>4.7155239955790025E-2</v>
      </c>
      <c r="AE77" s="645"/>
      <c r="AF77" s="226"/>
      <c r="AG77" s="226"/>
    </row>
    <row r="78" spans="1:33" s="1" customFormat="1">
      <c r="A78" s="188">
        <v>6202</v>
      </c>
      <c r="B78" s="2" t="s">
        <v>25</v>
      </c>
      <c r="C78" s="704">
        <v>26100</v>
      </c>
      <c r="D78" s="24">
        <f>C78/C12</f>
        <v>2.6123694190630903E-2</v>
      </c>
      <c r="E78" s="704">
        <v>26100</v>
      </c>
      <c r="F78" s="24">
        <f>E78/E12</f>
        <v>3.3577927014860995E-2</v>
      </c>
      <c r="G78" s="704">
        <v>26100</v>
      </c>
      <c r="H78" s="24">
        <f>G78/G12</f>
        <v>2.0242573278875641E-2</v>
      </c>
      <c r="I78" s="704">
        <v>26100</v>
      </c>
      <c r="J78" s="24">
        <f>I78/I12</f>
        <v>2.2924921321845693E-2</v>
      </c>
      <c r="K78" s="704">
        <v>26100</v>
      </c>
      <c r="L78" s="24">
        <f>K78/K12</f>
        <v>2.5065472743459209E-2</v>
      </c>
      <c r="M78" s="704">
        <v>26100</v>
      </c>
      <c r="N78" s="24">
        <f>M78/M12</f>
        <v>1.7676807013290115E-2</v>
      </c>
      <c r="O78" s="704">
        <v>26100</v>
      </c>
      <c r="P78" s="24">
        <f>O78/O12</f>
        <v>2.7920560122807674E-2</v>
      </c>
      <c r="Q78" s="704">
        <v>26100</v>
      </c>
      <c r="R78" s="24">
        <f>Q78/Q12</f>
        <v>2.2485055191764785E-2</v>
      </c>
      <c r="S78" s="704">
        <v>26100</v>
      </c>
      <c r="T78" s="24">
        <f>S78/S12</f>
        <v>2.2320340500642671E-2</v>
      </c>
      <c r="U78" s="704">
        <v>26100</v>
      </c>
      <c r="V78" s="24">
        <f>U78/U12</f>
        <v>2.8139385063640061E-2</v>
      </c>
      <c r="W78" s="704">
        <v>26100</v>
      </c>
      <c r="X78" s="24">
        <f>W78/W12</f>
        <v>2.7657004606887661E-2</v>
      </c>
      <c r="Y78" s="704">
        <v>26100</v>
      </c>
      <c r="Z78" s="24">
        <f>Y78/Y12</f>
        <v>1.830785276259618E-2</v>
      </c>
      <c r="AA78" s="144">
        <f t="shared" si="51"/>
        <v>313200</v>
      </c>
      <c r="AB78" s="68">
        <f>AA78/AA12</f>
        <v>2.3577619977895013E-2</v>
      </c>
      <c r="AC78" s="128">
        <f t="shared" si="50"/>
        <v>26100</v>
      </c>
      <c r="AD78" s="68">
        <f>AC78/AC12</f>
        <v>2.3577619977895013E-2</v>
      </c>
      <c r="AE78" s="645"/>
      <c r="AF78" s="226"/>
      <c r="AG78" s="226"/>
    </row>
    <row r="79" spans="1:33" s="1" customFormat="1">
      <c r="A79" s="188">
        <v>6203</v>
      </c>
      <c r="B79" s="2" t="s">
        <v>26</v>
      </c>
      <c r="C79" s="704">
        <v>8700</v>
      </c>
      <c r="D79" s="24">
        <f>C79/C12</f>
        <v>8.7078980635436343E-3</v>
      </c>
      <c r="E79" s="704">
        <v>8700</v>
      </c>
      <c r="F79" s="24">
        <f>E79/E12</f>
        <v>1.1192642338286998E-2</v>
      </c>
      <c r="G79" s="704">
        <v>8700</v>
      </c>
      <c r="H79" s="24">
        <f>G79/G12</f>
        <v>6.7475244262918807E-3</v>
      </c>
      <c r="I79" s="704">
        <v>8700</v>
      </c>
      <c r="J79" s="24">
        <f>I79/I12</f>
        <v>7.6416404406152308E-3</v>
      </c>
      <c r="K79" s="704">
        <v>8700</v>
      </c>
      <c r="L79" s="24">
        <f>K79/K12</f>
        <v>8.3551575811530686E-3</v>
      </c>
      <c r="M79" s="704">
        <v>8700</v>
      </c>
      <c r="N79" s="24">
        <f>M79/M12</f>
        <v>5.8922690044300383E-3</v>
      </c>
      <c r="O79" s="704">
        <v>8700</v>
      </c>
      <c r="P79" s="24">
        <f>O79/O12</f>
        <v>9.3068533742692253E-3</v>
      </c>
      <c r="Q79" s="704">
        <v>8700</v>
      </c>
      <c r="R79" s="24">
        <f>Q79/Q12</f>
        <v>7.4950183972549277E-3</v>
      </c>
      <c r="S79" s="704">
        <v>8700</v>
      </c>
      <c r="T79" s="24">
        <f>S79/S12</f>
        <v>7.4401135002142241E-3</v>
      </c>
      <c r="U79" s="704">
        <v>8700</v>
      </c>
      <c r="V79" s="24">
        <f>U79/U12</f>
        <v>9.3797950212133538E-3</v>
      </c>
      <c r="W79" s="704">
        <v>8700</v>
      </c>
      <c r="X79" s="24">
        <f>W79/W12</f>
        <v>9.2190015356292208E-3</v>
      </c>
      <c r="Y79" s="704">
        <v>8700</v>
      </c>
      <c r="Z79" s="24">
        <f>Y79/Y12</f>
        <v>6.1026175875320597E-3</v>
      </c>
      <c r="AA79" s="144">
        <f t="shared" si="51"/>
        <v>104400</v>
      </c>
      <c r="AB79" s="68">
        <f>AA79/AA12</f>
        <v>7.8592066592983387E-3</v>
      </c>
      <c r="AC79" s="128">
        <f t="shared" si="50"/>
        <v>8700</v>
      </c>
      <c r="AD79" s="68">
        <f>AC79/AC12</f>
        <v>7.8592066592983387E-3</v>
      </c>
      <c r="AE79" s="645"/>
      <c r="AF79" s="226"/>
      <c r="AG79" s="226"/>
    </row>
    <row r="80" spans="1:33" s="1" customFormat="1">
      <c r="A80" s="188">
        <v>6204</v>
      </c>
      <c r="B80" s="2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24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51"/>
        <v>0</v>
      </c>
      <c r="AB80" s="68"/>
      <c r="AC80" s="128">
        <f t="shared" si="50"/>
        <v>0</v>
      </c>
      <c r="AD80" s="68"/>
      <c r="AE80" s="645"/>
      <c r="AF80" s="226"/>
      <c r="AG80" s="226"/>
    </row>
    <row r="81" spans="1:33" s="1" customFormat="1">
      <c r="A81" s="188">
        <v>6205</v>
      </c>
      <c r="B81" s="2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24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51"/>
        <v>0</v>
      </c>
      <c r="AB81" s="68"/>
      <c r="AC81" s="128">
        <f t="shared" si="50"/>
        <v>0</v>
      </c>
      <c r="AD81" s="68"/>
      <c r="AE81" s="645"/>
      <c r="AF81" s="226"/>
      <c r="AG81" s="226"/>
    </row>
    <row r="82" spans="1:33" s="1" customFormat="1">
      <c r="A82" s="188">
        <v>6206</v>
      </c>
      <c r="B82" s="2" t="s">
        <v>217</v>
      </c>
      <c r="C82" s="61">
        <v>1481.2333333333333</v>
      </c>
      <c r="D82" s="24">
        <f>C82/C12</f>
        <v>1.4825780316080018E-3</v>
      </c>
      <c r="E82" s="61">
        <v>1481.2333333333333</v>
      </c>
      <c r="F82" s="24">
        <f>E82/E12</f>
        <v>1.9056224045458214E-3</v>
      </c>
      <c r="G82" s="61">
        <v>1481.2333333333333</v>
      </c>
      <c r="H82" s="24">
        <f>G82/G12</f>
        <v>1.1488112755982081E-3</v>
      </c>
      <c r="I82" s="61">
        <v>1481.2333333333333</v>
      </c>
      <c r="J82" s="24">
        <f>I82/I12</f>
        <v>1.3010405220675058E-3</v>
      </c>
      <c r="K82" s="61">
        <v>1481.2333333333333</v>
      </c>
      <c r="L82" s="24">
        <f>K82/K12</f>
        <v>1.4225215993628312E-3</v>
      </c>
      <c r="M82" s="61">
        <v>1481.2333333333333</v>
      </c>
      <c r="N82" s="24">
        <f>M82/M12</f>
        <v>1.00319830555501E-3</v>
      </c>
      <c r="O82" s="61">
        <v>1481.2333333333333</v>
      </c>
      <c r="P82" s="24">
        <f>O82/O12</f>
        <v>1.5845541892429177E-3</v>
      </c>
      <c r="Q82" s="61">
        <v>1481.2333333333333</v>
      </c>
      <c r="R82" s="24">
        <f>Q82/Q12</f>
        <v>1.2760771360874224E-3</v>
      </c>
      <c r="S82" s="61">
        <v>1481.2333333333333</v>
      </c>
      <c r="T82" s="24">
        <f>S82/S12</f>
        <v>1.2667292092299596E-3</v>
      </c>
      <c r="U82" s="61">
        <v>1481.2333333333333</v>
      </c>
      <c r="V82" s="24">
        <f>U82/U12</f>
        <v>1.5969729937075012E-3</v>
      </c>
      <c r="W82" s="61">
        <v>1481.2333333333333</v>
      </c>
      <c r="X82" s="24">
        <f>W82/W12</f>
        <v>1.5695968246695619E-3</v>
      </c>
      <c r="Y82" s="61">
        <v>1481.2333333333333</v>
      </c>
      <c r="Z82" s="24">
        <f>Y82/Y12</f>
        <v>1.0390115622113491E-3</v>
      </c>
      <c r="AA82" s="144">
        <f t="shared" si="51"/>
        <v>17774.8</v>
      </c>
      <c r="AB82" s="68">
        <f>AA82/AA$12</f>
        <v>1.3380826295756331E-3</v>
      </c>
      <c r="AC82" s="128">
        <f t="shared" si="50"/>
        <v>1481.2333333333333</v>
      </c>
      <c r="AD82" s="68">
        <f>AC82/AC$12</f>
        <v>1.3380826295756331E-3</v>
      </c>
      <c r="AE82" s="595" t="s">
        <v>269</v>
      </c>
      <c r="AF82" s="226"/>
      <c r="AG82" s="226"/>
    </row>
    <row r="83" spans="1:33" s="1" customFormat="1">
      <c r="A83" s="188">
        <v>6207</v>
      </c>
      <c r="B83" s="2" t="s">
        <v>218</v>
      </c>
      <c r="C83" s="113">
        <v>4833.333333333333</v>
      </c>
      <c r="D83" s="24">
        <f>C83/C$12</f>
        <v>4.8377211464131296E-3</v>
      </c>
      <c r="E83" s="113">
        <v>4833.333333333333</v>
      </c>
      <c r="F83" s="24">
        <f>E83/E$12</f>
        <v>6.2181346323816654E-3</v>
      </c>
      <c r="G83" s="113">
        <v>4833.333333333333</v>
      </c>
      <c r="H83" s="24">
        <f>G83/G$12</f>
        <v>3.7486246812732668E-3</v>
      </c>
      <c r="I83" s="113">
        <v>4833.333333333333</v>
      </c>
      <c r="J83" s="24">
        <f>I83/I$12</f>
        <v>4.2453558003417947E-3</v>
      </c>
      <c r="K83" s="113">
        <v>4833.333333333333</v>
      </c>
      <c r="L83" s="24">
        <f>K83/K$12</f>
        <v>4.6417542117517053E-3</v>
      </c>
      <c r="M83" s="113">
        <v>4833.333333333333</v>
      </c>
      <c r="N83" s="24">
        <f>M83/M$12</f>
        <v>3.2734827802389098E-3</v>
      </c>
      <c r="O83" s="113">
        <v>4833.333333333333</v>
      </c>
      <c r="P83" s="24">
        <f>O83/O$12</f>
        <v>5.170474096816236E-3</v>
      </c>
      <c r="Q83" s="113">
        <v>4833.333333333333</v>
      </c>
      <c r="R83" s="24">
        <f>Q83/Q$12</f>
        <v>4.1638991095860707E-3</v>
      </c>
      <c r="S83" s="113">
        <v>4833.333333333333</v>
      </c>
      <c r="T83" s="24">
        <f>S83/S$12</f>
        <v>4.1333963890079015E-3</v>
      </c>
      <c r="U83" s="113">
        <v>4833.333333333333</v>
      </c>
      <c r="V83" s="24">
        <f>U83/U$12</f>
        <v>5.2109972340074187E-3</v>
      </c>
      <c r="W83" s="113">
        <v>4833.333333333333</v>
      </c>
      <c r="X83" s="24">
        <f>W83/W$12</f>
        <v>5.1216675197940107E-3</v>
      </c>
      <c r="Y83" s="113">
        <v>4833.333333333333</v>
      </c>
      <c r="Z83" s="24">
        <f>Y83/Y$12</f>
        <v>3.3903431041844775E-3</v>
      </c>
      <c r="AA83" s="144">
        <f t="shared" si="51"/>
        <v>58000.000000000007</v>
      </c>
      <c r="AB83" s="68">
        <f>AA83/AA$12</f>
        <v>4.3662259218324104E-3</v>
      </c>
      <c r="AC83" s="128">
        <f t="shared" si="50"/>
        <v>4833.3333333333339</v>
      </c>
      <c r="AD83" s="68">
        <f>AC83/AC$12</f>
        <v>4.3662259218324104E-3</v>
      </c>
      <c r="AE83" s="645"/>
      <c r="AF83" s="226"/>
      <c r="AG83" s="226"/>
    </row>
    <row r="84" spans="1:33" s="1" customFormat="1">
      <c r="A84" s="188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24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51"/>
        <v>0</v>
      </c>
      <c r="AB84" s="68"/>
      <c r="AC84" s="128">
        <f t="shared" si="50"/>
        <v>0</v>
      </c>
      <c r="AD84" s="68"/>
      <c r="AE84" s="645"/>
      <c r="AF84" s="226"/>
      <c r="AG84" s="226"/>
    </row>
    <row r="85" spans="1:33" s="1" customFormat="1">
      <c r="A85" s="2">
        <v>6209</v>
      </c>
      <c r="B85" s="2" t="s">
        <v>29</v>
      </c>
      <c r="C85" s="61">
        <v>6525</v>
      </c>
      <c r="D85" s="702">
        <f>C85/C12</f>
        <v>6.5309235476577257E-3</v>
      </c>
      <c r="E85" s="61">
        <v>6525</v>
      </c>
      <c r="F85" s="702">
        <f>E85/E12</f>
        <v>8.3944817537152487E-3</v>
      </c>
      <c r="G85" s="61">
        <v>6525</v>
      </c>
      <c r="H85" s="702">
        <f>G85/G12</f>
        <v>5.0606433197189103E-3</v>
      </c>
      <c r="I85" s="61">
        <v>6525</v>
      </c>
      <c r="J85" s="702">
        <f>I85/I12</f>
        <v>5.7312303304614233E-3</v>
      </c>
      <c r="K85" s="61">
        <v>6525</v>
      </c>
      <c r="L85" s="702">
        <f>K85/K12</f>
        <v>6.2663681858648023E-3</v>
      </c>
      <c r="M85" s="61">
        <v>6525</v>
      </c>
      <c r="N85" s="702">
        <f>M85/M12</f>
        <v>4.4192017533225287E-3</v>
      </c>
      <c r="O85" s="61">
        <v>6525</v>
      </c>
      <c r="P85" s="702">
        <f>O85/O12</f>
        <v>6.9801400307019186E-3</v>
      </c>
      <c r="Q85" s="61">
        <v>6525</v>
      </c>
      <c r="R85" s="702">
        <f>Q85/Q12</f>
        <v>5.6212637979411962E-3</v>
      </c>
      <c r="S85" s="61">
        <v>6525</v>
      </c>
      <c r="T85" s="702">
        <f>S85/S12</f>
        <v>5.5800851251606677E-3</v>
      </c>
      <c r="U85" s="61">
        <v>6525</v>
      </c>
      <c r="V85" s="702">
        <f>U85/U12</f>
        <v>7.0348462659100153E-3</v>
      </c>
      <c r="W85" s="61">
        <v>6525</v>
      </c>
      <c r="X85" s="702">
        <f>W85/W12</f>
        <v>6.9142511517219151E-3</v>
      </c>
      <c r="Y85" s="61">
        <v>6525</v>
      </c>
      <c r="Z85" s="702">
        <f>Y85/Y12</f>
        <v>4.576963190649045E-3</v>
      </c>
      <c r="AA85" s="144">
        <f t="shared" si="51"/>
        <v>78300</v>
      </c>
      <c r="AB85" s="68">
        <f>AA85/AA12</f>
        <v>5.8944049944737531E-3</v>
      </c>
      <c r="AC85" s="128">
        <f t="shared" si="50"/>
        <v>6525</v>
      </c>
      <c r="AD85" s="68">
        <f>AC85/AC12</f>
        <v>5.8944049944737531E-3</v>
      </c>
      <c r="AE85" s="645"/>
      <c r="AF85" s="226"/>
      <c r="AG85" s="226"/>
    </row>
    <row r="86" spans="1:33" s="1" customFormat="1">
      <c r="A86" s="2">
        <v>6210</v>
      </c>
      <c r="B86" s="2" t="s">
        <v>30</v>
      </c>
      <c r="C86" s="61">
        <v>3003.2876712328766</v>
      </c>
      <c r="D86" s="24">
        <f>C86/C12</f>
        <v>3.0060141260451994E-3</v>
      </c>
      <c r="E86" s="61">
        <v>3003.2876712328766</v>
      </c>
      <c r="F86" s="24">
        <f>E86/E12</f>
        <v>3.8637614647237311E-3</v>
      </c>
      <c r="G86" s="61">
        <v>3003.2876712328766</v>
      </c>
      <c r="H86" s="24">
        <f>G86/G12</f>
        <v>2.3292824046925397E-3</v>
      </c>
      <c r="I86" s="61">
        <v>3003.2876712328766</v>
      </c>
      <c r="J86" s="24">
        <f>I86/I12</f>
        <v>2.6379361521027922E-3</v>
      </c>
      <c r="K86" s="61">
        <v>3003.2876712328766</v>
      </c>
      <c r="L86" s="24">
        <f>K86/K12</f>
        <v>2.8842461786994155E-3</v>
      </c>
      <c r="M86" s="61">
        <v>3003.2876712328766</v>
      </c>
      <c r="N86" s="24">
        <f>M86/M12</f>
        <v>2.0340435467347527E-3</v>
      </c>
      <c r="O86" s="61">
        <v>3003.2876712328766</v>
      </c>
      <c r="P86" s="24">
        <f>O86/O12</f>
        <v>3.2127767812545815E-3</v>
      </c>
      <c r="Q86" s="61">
        <v>3003.2876712328766</v>
      </c>
      <c r="R86" s="24">
        <f>Q86/Q12</f>
        <v>2.5873214193263584E-3</v>
      </c>
      <c r="S86" s="61">
        <v>3003.2876712328766</v>
      </c>
      <c r="T86" s="24">
        <f>S86/S12</f>
        <v>2.5683679480191569E-3</v>
      </c>
      <c r="U86" s="61">
        <v>3003.2876712328766</v>
      </c>
      <c r="V86" s="24">
        <f>U86/U12</f>
        <v>3.2379566374599522E-3</v>
      </c>
      <c r="W86" s="61">
        <v>3003.2876712328766</v>
      </c>
      <c r="X86" s="24">
        <f>W86/W12</f>
        <v>3.1824498451761144E-3</v>
      </c>
      <c r="Y86" s="61">
        <v>3003.2876712328766</v>
      </c>
      <c r="Z86" s="24">
        <f>Y86/Y12</f>
        <v>2.1066570302165463E-3</v>
      </c>
      <c r="AA86" s="144">
        <f t="shared" si="51"/>
        <v>36039.452054794521</v>
      </c>
      <c r="AB86" s="68">
        <f>AA86/AA12</f>
        <v>2.7130412029358645E-3</v>
      </c>
      <c r="AC86" s="128">
        <f t="shared" si="50"/>
        <v>3003.2876712328766</v>
      </c>
      <c r="AD86" s="68">
        <f>AC86/AC12</f>
        <v>2.7130412029358645E-3</v>
      </c>
      <c r="AE86" s="645"/>
      <c r="AF86" s="226"/>
      <c r="AG86" s="226"/>
    </row>
    <row r="87" spans="1:33" s="1" customFormat="1">
      <c r="A87" s="2">
        <v>6211</v>
      </c>
      <c r="B87" s="2" t="s">
        <v>31</v>
      </c>
      <c r="C87" s="61">
        <v>3375</v>
      </c>
      <c r="D87" s="24">
        <f>C87/C12</f>
        <v>3.3780639039608924E-3</v>
      </c>
      <c r="E87" s="61">
        <v>3375</v>
      </c>
      <c r="F87" s="24">
        <f>E87/E12</f>
        <v>4.3419733208871977E-3</v>
      </c>
      <c r="G87" s="61">
        <v>3375</v>
      </c>
      <c r="H87" s="24">
        <f>G87/G12</f>
        <v>2.6175741308890913E-3</v>
      </c>
      <c r="I87" s="61">
        <v>3375</v>
      </c>
      <c r="J87" s="24">
        <f>I87/I12</f>
        <v>2.96442948127315E-3</v>
      </c>
      <c r="K87" s="61">
        <v>3375</v>
      </c>
      <c r="L87" s="24">
        <f>K87/K12</f>
        <v>3.2412249237231735E-3</v>
      </c>
      <c r="M87" s="61">
        <v>3375</v>
      </c>
      <c r="N87" s="24">
        <f>M87/M12</f>
        <v>2.2857940103392389E-3</v>
      </c>
      <c r="O87" s="61">
        <v>3375</v>
      </c>
      <c r="P87" s="24">
        <f>O87/O12</f>
        <v>3.6104172572596132E-3</v>
      </c>
      <c r="Q87" s="61">
        <v>3375</v>
      </c>
      <c r="R87" s="24">
        <f>Q87/Q12</f>
        <v>2.9075502403144117E-3</v>
      </c>
      <c r="S87" s="61">
        <v>3375</v>
      </c>
      <c r="T87" s="24">
        <f>S87/S12</f>
        <v>2.886250926807242E-3</v>
      </c>
      <c r="U87" s="61">
        <v>3375</v>
      </c>
      <c r="V87" s="24">
        <f>U87/U12</f>
        <v>3.638713585815525E-3</v>
      </c>
      <c r="W87" s="61">
        <v>3375</v>
      </c>
      <c r="X87" s="24">
        <f>W87/W12</f>
        <v>3.5763368026147835E-3</v>
      </c>
      <c r="Y87" s="61">
        <v>3375</v>
      </c>
      <c r="Z87" s="24">
        <f>Y87/Y12</f>
        <v>2.3673947537839884E-3</v>
      </c>
      <c r="AA87" s="144">
        <f t="shared" si="51"/>
        <v>40500</v>
      </c>
      <c r="AB87" s="68">
        <f>AA87/AA12</f>
        <v>3.0488301695553899E-3</v>
      </c>
      <c r="AC87" s="128">
        <f t="shared" si="50"/>
        <v>3375</v>
      </c>
      <c r="AD87" s="68">
        <f>AC87/AC12</f>
        <v>3.0488301695553899E-3</v>
      </c>
      <c r="AE87" s="645"/>
      <c r="AF87" s="226"/>
      <c r="AG87" s="226"/>
    </row>
    <row r="88" spans="1:33" s="1" customFormat="1">
      <c r="A88" s="2">
        <v>6212</v>
      </c>
      <c r="B88" s="2" t="s">
        <v>32</v>
      </c>
      <c r="C88" s="75">
        <v>100</v>
      </c>
      <c r="D88" s="702">
        <f>C88/C12</f>
        <v>1.00090782339582E-4</v>
      </c>
      <c r="E88" s="75">
        <v>100</v>
      </c>
      <c r="F88" s="702">
        <f>E88/E12</f>
        <v>1.2865106135962067E-4</v>
      </c>
      <c r="G88" s="75">
        <v>100</v>
      </c>
      <c r="H88" s="702">
        <f>G88/G12</f>
        <v>7.755775202634345E-5</v>
      </c>
      <c r="I88" s="75">
        <v>100</v>
      </c>
      <c r="J88" s="702">
        <f>I88/I12</f>
        <v>8.7834947593278516E-5</v>
      </c>
      <c r="K88" s="75">
        <v>100</v>
      </c>
      <c r="L88" s="702">
        <f>K88/K12</f>
        <v>9.6036294036242172E-5</v>
      </c>
      <c r="M88" s="75">
        <v>100</v>
      </c>
      <c r="N88" s="702">
        <f>M88/M12</f>
        <v>6.7727229935977455E-5</v>
      </c>
      <c r="O88" s="75">
        <v>100</v>
      </c>
      <c r="P88" s="702">
        <f>O88/O12</f>
        <v>1.0697532614102557E-4</v>
      </c>
      <c r="Q88" s="75">
        <v>100</v>
      </c>
      <c r="R88" s="702">
        <f>Q88/Q12</f>
        <v>8.6149636750056644E-5</v>
      </c>
      <c r="S88" s="75">
        <v>100</v>
      </c>
      <c r="T88" s="702">
        <f>S88/S12</f>
        <v>8.5518545979473834E-5</v>
      </c>
      <c r="U88" s="75">
        <v>100</v>
      </c>
      <c r="V88" s="702">
        <f>U88/U12</f>
        <v>1.0781373587601557E-4</v>
      </c>
      <c r="W88" s="75">
        <v>100</v>
      </c>
      <c r="X88" s="702">
        <f>W88/W12</f>
        <v>1.0596553489228989E-4</v>
      </c>
      <c r="Y88" s="75">
        <v>100</v>
      </c>
      <c r="Z88" s="702">
        <f>Y88/Y12</f>
        <v>7.0145029741747815E-5</v>
      </c>
      <c r="AA88" s="144">
        <f t="shared" si="51"/>
        <v>1200</v>
      </c>
      <c r="AB88" s="68">
        <f>AA88/AA12</f>
        <v>9.0335708727567107E-5</v>
      </c>
      <c r="AC88" s="128">
        <f t="shared" si="50"/>
        <v>100</v>
      </c>
      <c r="AD88" s="68">
        <f>AC88/AC12</f>
        <v>9.0335708727567107E-5</v>
      </c>
      <c r="AE88" s="645" t="s">
        <v>264</v>
      </c>
      <c r="AF88" s="226"/>
      <c r="AG88" s="226"/>
    </row>
    <row r="89" spans="1:33" s="1" customFormat="1">
      <c r="A89" s="188">
        <v>6213</v>
      </c>
      <c r="B89" s="2" t="s">
        <v>33</v>
      </c>
      <c r="C89" s="113"/>
      <c r="D89" s="702">
        <f>C89/C12</f>
        <v>0</v>
      </c>
      <c r="E89" s="113"/>
      <c r="F89" s="702">
        <f>E89/E12</f>
        <v>0</v>
      </c>
      <c r="G89" s="113"/>
      <c r="H89" s="702">
        <f>G89/G12</f>
        <v>0</v>
      </c>
      <c r="I89" s="113"/>
      <c r="J89" s="702">
        <f>I89/I12</f>
        <v>0</v>
      </c>
      <c r="K89" s="113"/>
      <c r="L89" s="702">
        <f>K89/K12</f>
        <v>0</v>
      </c>
      <c r="M89" s="113"/>
      <c r="N89" s="702">
        <f>M89/M12</f>
        <v>0</v>
      </c>
      <c r="O89" s="113"/>
      <c r="P89" s="702">
        <f>O89/O12</f>
        <v>0</v>
      </c>
      <c r="Q89" s="113"/>
      <c r="R89" s="702">
        <f>Q89/Q12</f>
        <v>0</v>
      </c>
      <c r="S89" s="113"/>
      <c r="T89" s="702">
        <f>S89/S12</f>
        <v>0</v>
      </c>
      <c r="U89" s="113"/>
      <c r="V89" s="702">
        <f>U89/U12</f>
        <v>0</v>
      </c>
      <c r="W89" s="113"/>
      <c r="X89" s="702">
        <f>W89/W12</f>
        <v>0</v>
      </c>
      <c r="Y89" s="113"/>
      <c r="Z89" s="702">
        <f>Y89/Y12</f>
        <v>0</v>
      </c>
      <c r="AA89" s="144">
        <f t="shared" si="51"/>
        <v>0</v>
      </c>
      <c r="AB89" s="68">
        <f>AA89/AA12</f>
        <v>0</v>
      </c>
      <c r="AC89" s="128">
        <f t="shared" si="50"/>
        <v>0</v>
      </c>
      <c r="AD89" s="68">
        <f>AC89/AC12</f>
        <v>0</v>
      </c>
      <c r="AE89" s="645"/>
      <c r="AF89" s="226"/>
      <c r="AG89" s="226"/>
    </row>
    <row r="90" spans="1:33" s="1" customFormat="1">
      <c r="A90" s="2">
        <v>6214</v>
      </c>
      <c r="B90" s="2" t="s">
        <v>34</v>
      </c>
      <c r="C90" s="75">
        <v>5220</v>
      </c>
      <c r="D90" s="702">
        <f>C90/C12</f>
        <v>5.22473883812618E-3</v>
      </c>
      <c r="E90" s="75">
        <v>5220</v>
      </c>
      <c r="F90" s="702">
        <f>E90/E12</f>
        <v>6.7155854029721995E-3</v>
      </c>
      <c r="G90" s="75">
        <v>5220</v>
      </c>
      <c r="H90" s="702">
        <f>G90/G12</f>
        <v>4.0485146557751282E-3</v>
      </c>
      <c r="I90" s="75">
        <v>5220</v>
      </c>
      <c r="J90" s="702">
        <f>I90/I12</f>
        <v>4.5849842643691388E-3</v>
      </c>
      <c r="K90" s="75">
        <v>5220</v>
      </c>
      <c r="L90" s="702">
        <f>K90/K12</f>
        <v>5.013094548691842E-3</v>
      </c>
      <c r="M90" s="75">
        <v>5220</v>
      </c>
      <c r="N90" s="702">
        <f>M90/M12</f>
        <v>3.5353614026580227E-3</v>
      </c>
      <c r="O90" s="75">
        <v>5220</v>
      </c>
      <c r="P90" s="702">
        <f>O90/O12</f>
        <v>5.5841120245615347E-3</v>
      </c>
      <c r="Q90" s="75">
        <v>5220</v>
      </c>
      <c r="R90" s="702">
        <f>Q90/Q12</f>
        <v>4.4970110383529566E-3</v>
      </c>
      <c r="S90" s="75">
        <v>5220</v>
      </c>
      <c r="T90" s="702">
        <f>S90/S12</f>
        <v>4.4640681001285347E-3</v>
      </c>
      <c r="U90" s="75">
        <v>5220</v>
      </c>
      <c r="V90" s="702">
        <f>U90/U12</f>
        <v>5.6278770127280121E-3</v>
      </c>
      <c r="W90" s="75">
        <v>5220</v>
      </c>
      <c r="X90" s="702">
        <f>W90/W12</f>
        <v>5.5314009213775321E-3</v>
      </c>
      <c r="Y90" s="75">
        <v>5220</v>
      </c>
      <c r="Z90" s="702">
        <f>Y90/Y12</f>
        <v>3.6615705525192359E-3</v>
      </c>
      <c r="AA90" s="144">
        <f t="shared" si="51"/>
        <v>62640</v>
      </c>
      <c r="AB90" s="68">
        <f>AA90/AA12</f>
        <v>4.715523995579003E-3</v>
      </c>
      <c r="AC90" s="128">
        <f t="shared" si="50"/>
        <v>5220</v>
      </c>
      <c r="AD90" s="68">
        <f>AC90/AC12</f>
        <v>4.715523995579003E-3</v>
      </c>
      <c r="AE90" s="645"/>
      <c r="AF90" s="226"/>
      <c r="AG90" s="226"/>
    </row>
    <row r="91" spans="1:33" s="1" customFormat="1">
      <c r="A91" s="2">
        <v>6215</v>
      </c>
      <c r="B91" s="2" t="s">
        <v>35</v>
      </c>
      <c r="C91" s="292"/>
      <c r="D91" s="68">
        <f>C91/C12</f>
        <v>0</v>
      </c>
      <c r="E91" s="292"/>
      <c r="F91" s="68">
        <f>E91/E12</f>
        <v>0</v>
      </c>
      <c r="G91" s="292"/>
      <c r="H91" s="68">
        <f>G91/G12</f>
        <v>0</v>
      </c>
      <c r="I91" s="292"/>
      <c r="J91" s="68">
        <f>I91/I12</f>
        <v>0</v>
      </c>
      <c r="K91" s="292"/>
      <c r="L91" s="68">
        <f>K91/K12</f>
        <v>0</v>
      </c>
      <c r="M91" s="704"/>
      <c r="N91" s="702">
        <f>M91/M12</f>
        <v>0</v>
      </c>
      <c r="O91" s="704"/>
      <c r="P91" s="702">
        <f>O91/O12</f>
        <v>0</v>
      </c>
      <c r="Q91" s="292"/>
      <c r="R91" s="68">
        <f>Q91/Q12</f>
        <v>0</v>
      </c>
      <c r="S91" s="292"/>
      <c r="T91" s="68">
        <f>S91/S12</f>
        <v>0</v>
      </c>
      <c r="U91" s="292"/>
      <c r="V91" s="68">
        <f>U91/U12</f>
        <v>0</v>
      </c>
      <c r="W91" s="292"/>
      <c r="X91" s="68">
        <f>W91/W12</f>
        <v>0</v>
      </c>
      <c r="Y91" s="292"/>
      <c r="Z91" s="68">
        <f>Y91/Y12</f>
        <v>0</v>
      </c>
      <c r="AA91" s="144">
        <f t="shared" si="51"/>
        <v>0</v>
      </c>
      <c r="AB91" s="68">
        <f>AA91/AA12</f>
        <v>0</v>
      </c>
      <c r="AC91" s="128">
        <f t="shared" si="50"/>
        <v>0</v>
      </c>
      <c r="AD91" s="68">
        <f>AC91/AC12</f>
        <v>0</v>
      </c>
      <c r="AE91" s="645"/>
      <c r="AF91" s="226"/>
      <c r="AG91" s="226"/>
    </row>
    <row r="92" spans="1:33" s="1" customFormat="1">
      <c r="A92" s="2">
        <v>6216</v>
      </c>
      <c r="B92" s="2" t="s">
        <v>91</v>
      </c>
      <c r="C92" s="292">
        <v>0</v>
      </c>
      <c r="D92" s="68"/>
      <c r="E92" s="292">
        <v>0</v>
      </c>
      <c r="F92" s="68"/>
      <c r="G92" s="292">
        <v>0</v>
      </c>
      <c r="H92" s="68"/>
      <c r="I92" s="292">
        <v>0</v>
      </c>
      <c r="J92" s="68"/>
      <c r="K92" s="292">
        <v>0</v>
      </c>
      <c r="L92" s="68"/>
      <c r="M92" s="704">
        <v>0</v>
      </c>
      <c r="N92" s="702"/>
      <c r="O92" s="704"/>
      <c r="P92" s="702"/>
      <c r="Q92" s="292">
        <v>0</v>
      </c>
      <c r="R92" s="68"/>
      <c r="S92" s="292">
        <v>0</v>
      </c>
      <c r="T92" s="68"/>
      <c r="U92" s="292">
        <v>0</v>
      </c>
      <c r="V92" s="68"/>
      <c r="W92" s="292">
        <v>0</v>
      </c>
      <c r="X92" s="68"/>
      <c r="Y92" s="292">
        <v>0</v>
      </c>
      <c r="Z92" s="68"/>
      <c r="AA92" s="144">
        <f t="shared" si="51"/>
        <v>0</v>
      </c>
      <c r="AB92" s="68"/>
      <c r="AC92" s="128">
        <f t="shared" si="50"/>
        <v>0</v>
      </c>
      <c r="AD92" s="68"/>
      <c r="AE92" s="645"/>
      <c r="AF92" s="226"/>
      <c r="AG92" s="226"/>
    </row>
    <row r="93" spans="1:33" s="1" customFormat="1" ht="15.75" thickBot="1">
      <c r="A93" s="4">
        <v>6299</v>
      </c>
      <c r="B93" s="4" t="s">
        <v>100</v>
      </c>
      <c r="C93" s="29">
        <f>SUM(C77:C92)</f>
        <v>111537.85433789954</v>
      </c>
      <c r="D93" s="97">
        <f>C93/C12</f>
        <v>0.11163911101158705</v>
      </c>
      <c r="E93" s="29">
        <f>SUM(E77:E92)</f>
        <v>111537.85433789954</v>
      </c>
      <c r="F93" s="97">
        <f>E93/E12</f>
        <v>0.14349463342345548</v>
      </c>
      <c r="G93" s="29">
        <f>SUM(G77:G92)</f>
        <v>111537.85433789954</v>
      </c>
      <c r="H93" s="97">
        <f>G93/G12</f>
        <v>8.6506252482892287E-2</v>
      </c>
      <c r="I93" s="29">
        <f>SUM(I77:I92)</f>
        <v>111537.85433789954</v>
      </c>
      <c r="J93" s="97">
        <f>I93/I12</f>
        <v>9.796921590436139E-2</v>
      </c>
      <c r="K93" s="29">
        <f>SUM(K77:K92)</f>
        <v>111537.85433789954</v>
      </c>
      <c r="L93" s="97">
        <f>K93/K12</f>
        <v>0.1071168217536607</v>
      </c>
      <c r="M93" s="29">
        <f>SUM(M77:M92)</f>
        <v>111537.85433789954</v>
      </c>
      <c r="N93" s="97">
        <f>M93/M12</f>
        <v>7.5541499073084814E-2</v>
      </c>
      <c r="O93" s="29">
        <f>SUM(O77:O92)</f>
        <v>111537.85433789954</v>
      </c>
      <c r="P93" s="97">
        <f>O93/O12</f>
        <v>0.11931798344867008</v>
      </c>
      <c r="Q93" s="29">
        <f>SUM(Q77:Q92)</f>
        <v>111537.85433789954</v>
      </c>
      <c r="R93" s="97">
        <f>Q93/Q12</f>
        <v>9.6089456350907751E-2</v>
      </c>
      <c r="S93" s="29">
        <f>SUM(S77:S92)</f>
        <v>111537.85433789954</v>
      </c>
      <c r="T93" s="97">
        <f>S93/S12</f>
        <v>9.5385551246475173E-2</v>
      </c>
      <c r="U93" s="29">
        <f>SUM(U77:U92)</f>
        <v>111537.85433789954</v>
      </c>
      <c r="V93" s="97">
        <f>U93/U12</f>
        <v>0.12025312767763797</v>
      </c>
      <c r="W93" s="29">
        <f>SUM(W77:W92)</f>
        <v>111537.85433789954</v>
      </c>
      <c r="X93" s="97">
        <f>W93/W12</f>
        <v>0.1181916839565384</v>
      </c>
      <c r="Y93" s="29">
        <f>SUM(Y77:Y92)</f>
        <v>111537.85433789954</v>
      </c>
      <c r="Z93" s="97">
        <f>Y93/Y12</f>
        <v>7.8238261098626985E-2</v>
      </c>
      <c r="AA93" s="751">
        <f>SUM(AA77:AA92)</f>
        <v>1338454.2520547945</v>
      </c>
      <c r="AB93" s="97">
        <f>AA93/AA12</f>
        <v>0.100758511215663</v>
      </c>
      <c r="AC93" s="137">
        <f t="shared" si="50"/>
        <v>111537.85433789954</v>
      </c>
      <c r="AD93" s="97">
        <f>AC93/AC12</f>
        <v>0.100758511215663</v>
      </c>
      <c r="AE93" s="650"/>
      <c r="AF93" s="553"/>
      <c r="AG93" s="553"/>
    </row>
    <row r="94" spans="1:33" s="1" customFormat="1" ht="15.75" thickTop="1">
      <c r="A94" s="2">
        <v>6301</v>
      </c>
      <c r="B94" s="2" t="s">
        <v>36</v>
      </c>
      <c r="C94" s="992"/>
      <c r="D94" s="702">
        <f t="shared" ref="D94:D101" si="52">C94/C$12</f>
        <v>0</v>
      </c>
      <c r="E94" s="992"/>
      <c r="F94" s="702">
        <f t="shared" ref="F94:F101" si="53">E94/E$12</f>
        <v>0</v>
      </c>
      <c r="G94" s="992"/>
      <c r="H94" s="702">
        <f t="shared" ref="H94:H101" si="54">G94/G$12</f>
        <v>0</v>
      </c>
      <c r="I94" s="992"/>
      <c r="J94" s="702">
        <f t="shared" ref="J94:J101" si="55">I94/I$12</f>
        <v>0</v>
      </c>
      <c r="K94" s="992"/>
      <c r="L94" s="702">
        <f t="shared" ref="L94:L101" si="56">K94/K$12</f>
        <v>0</v>
      </c>
      <c r="M94" s="992"/>
      <c r="N94" s="702">
        <f t="shared" ref="N94:P101" si="57">M94/M$12</f>
        <v>0</v>
      </c>
      <c r="O94" s="992"/>
      <c r="P94" s="702">
        <f t="shared" si="57"/>
        <v>0</v>
      </c>
      <c r="Q94" s="992"/>
      <c r="R94" s="702">
        <f t="shared" ref="R94:R101" si="58">Q94/Q$12</f>
        <v>0</v>
      </c>
      <c r="S94" s="992"/>
      <c r="T94" s="702">
        <f t="shared" ref="T94:T101" si="59">S94/S$12</f>
        <v>0</v>
      </c>
      <c r="U94" s="992"/>
      <c r="V94" s="702">
        <f t="shared" ref="V94:V101" si="60">U94/U$12</f>
        <v>0</v>
      </c>
      <c r="W94" s="992"/>
      <c r="X94" s="702">
        <f t="shared" ref="X94:X101" si="61">W94/W$12</f>
        <v>0</v>
      </c>
      <c r="Y94" s="992"/>
      <c r="Z94" s="702">
        <f t="shared" ref="Z94:Z101" si="62">Y94/Y$12</f>
        <v>0</v>
      </c>
      <c r="AA94" s="464">
        <f t="shared" ref="AA94:AA113" si="63">C94+E94+G94+I94+K94+M94+O94+Q94+S94+U94+W94+Y94</f>
        <v>0</v>
      </c>
      <c r="AB94" s="467">
        <f>AA94/AA$12</f>
        <v>0</v>
      </c>
      <c r="AC94" s="472">
        <f t="shared" si="50"/>
        <v>0</v>
      </c>
      <c r="AD94" s="467">
        <f>AC94/AC$12</f>
        <v>0</v>
      </c>
      <c r="AE94" s="645"/>
      <c r="AF94" s="226"/>
      <c r="AG94" s="226"/>
    </row>
    <row r="95" spans="1:33" s="1" customFormat="1">
      <c r="A95" s="188">
        <v>6302</v>
      </c>
      <c r="B95" s="2" t="s">
        <v>37</v>
      </c>
      <c r="C95" s="678"/>
      <c r="D95" s="702">
        <f t="shared" si="52"/>
        <v>0</v>
      </c>
      <c r="E95" s="678"/>
      <c r="F95" s="702">
        <f t="shared" si="53"/>
        <v>0</v>
      </c>
      <c r="G95" s="678"/>
      <c r="H95" s="702">
        <f t="shared" si="54"/>
        <v>0</v>
      </c>
      <c r="I95" s="678"/>
      <c r="J95" s="702">
        <f t="shared" si="55"/>
        <v>0</v>
      </c>
      <c r="K95" s="678"/>
      <c r="L95" s="702">
        <f t="shared" si="56"/>
        <v>0</v>
      </c>
      <c r="M95" s="678"/>
      <c r="N95" s="702">
        <f t="shared" si="57"/>
        <v>0</v>
      </c>
      <c r="O95" s="678"/>
      <c r="P95" s="702">
        <f t="shared" si="57"/>
        <v>0</v>
      </c>
      <c r="Q95" s="678"/>
      <c r="R95" s="702">
        <f t="shared" si="58"/>
        <v>0</v>
      </c>
      <c r="S95" s="678"/>
      <c r="T95" s="702">
        <f t="shared" si="59"/>
        <v>0</v>
      </c>
      <c r="U95" s="678"/>
      <c r="V95" s="702">
        <f t="shared" si="60"/>
        <v>0</v>
      </c>
      <c r="W95" s="678"/>
      <c r="X95" s="702">
        <f t="shared" si="61"/>
        <v>0</v>
      </c>
      <c r="Y95" s="678"/>
      <c r="Z95" s="702">
        <f t="shared" si="62"/>
        <v>0</v>
      </c>
      <c r="AA95" s="464">
        <f t="shared" si="63"/>
        <v>0</v>
      </c>
      <c r="AB95" s="467">
        <f t="shared" ref="AB95:AB99" si="64">AA95/AA$12</f>
        <v>0</v>
      </c>
      <c r="AC95" s="472">
        <f t="shared" si="50"/>
        <v>0</v>
      </c>
      <c r="AD95" s="467">
        <f t="shared" ref="AD95:AD99" si="65">AC95/AC$12</f>
        <v>0</v>
      </c>
      <c r="AE95" s="645"/>
      <c r="AF95" s="226"/>
      <c r="AG95" s="226"/>
    </row>
    <row r="96" spans="1:33" s="1" customFormat="1">
      <c r="A96" s="2">
        <v>6303</v>
      </c>
      <c r="B96" s="2" t="s">
        <v>132</v>
      </c>
      <c r="C96" s="678"/>
      <c r="D96" s="702">
        <f t="shared" si="52"/>
        <v>0</v>
      </c>
      <c r="E96" s="678"/>
      <c r="F96" s="702">
        <f t="shared" si="53"/>
        <v>0</v>
      </c>
      <c r="G96" s="678"/>
      <c r="H96" s="702">
        <f t="shared" si="54"/>
        <v>0</v>
      </c>
      <c r="I96" s="678"/>
      <c r="J96" s="702">
        <f t="shared" si="55"/>
        <v>0</v>
      </c>
      <c r="K96" s="678"/>
      <c r="L96" s="702">
        <f t="shared" si="56"/>
        <v>0</v>
      </c>
      <c r="M96" s="678"/>
      <c r="N96" s="702">
        <f t="shared" si="57"/>
        <v>0</v>
      </c>
      <c r="O96" s="678"/>
      <c r="P96" s="702">
        <f t="shared" si="57"/>
        <v>0</v>
      </c>
      <c r="Q96" s="678"/>
      <c r="R96" s="702">
        <f t="shared" si="58"/>
        <v>0</v>
      </c>
      <c r="S96" s="678"/>
      <c r="T96" s="702">
        <f t="shared" si="59"/>
        <v>0</v>
      </c>
      <c r="U96" s="678"/>
      <c r="V96" s="702">
        <f t="shared" si="60"/>
        <v>0</v>
      </c>
      <c r="W96" s="678"/>
      <c r="X96" s="702">
        <f t="shared" si="61"/>
        <v>0</v>
      </c>
      <c r="Y96" s="678"/>
      <c r="Z96" s="702">
        <f t="shared" si="62"/>
        <v>0</v>
      </c>
      <c r="AA96" s="464">
        <f t="shared" si="63"/>
        <v>0</v>
      </c>
      <c r="AB96" s="467">
        <f t="shared" si="64"/>
        <v>0</v>
      </c>
      <c r="AC96" s="472">
        <f t="shared" si="50"/>
        <v>0</v>
      </c>
      <c r="AD96" s="467">
        <f t="shared" si="65"/>
        <v>0</v>
      </c>
      <c r="AE96" s="645"/>
      <c r="AF96" s="226"/>
      <c r="AG96" s="226"/>
    </row>
    <row r="97" spans="1:33" s="1" customFormat="1">
      <c r="A97" s="2">
        <v>6304</v>
      </c>
      <c r="B97" s="2" t="s">
        <v>38</v>
      </c>
      <c r="C97" s="753"/>
      <c r="D97" s="702">
        <f t="shared" si="52"/>
        <v>0</v>
      </c>
      <c r="E97" s="753"/>
      <c r="F97" s="702">
        <f t="shared" si="53"/>
        <v>0</v>
      </c>
      <c r="G97" s="753"/>
      <c r="H97" s="702">
        <f t="shared" si="54"/>
        <v>0</v>
      </c>
      <c r="I97" s="753"/>
      <c r="J97" s="702">
        <f t="shared" si="55"/>
        <v>0</v>
      </c>
      <c r="K97" s="753"/>
      <c r="L97" s="702">
        <f t="shared" si="56"/>
        <v>0</v>
      </c>
      <c r="M97" s="753"/>
      <c r="N97" s="702">
        <f t="shared" si="57"/>
        <v>0</v>
      </c>
      <c r="O97" s="753"/>
      <c r="P97" s="702">
        <f t="shared" si="57"/>
        <v>0</v>
      </c>
      <c r="Q97" s="753"/>
      <c r="R97" s="702">
        <f t="shared" si="58"/>
        <v>0</v>
      </c>
      <c r="S97" s="753"/>
      <c r="T97" s="702">
        <f t="shared" si="59"/>
        <v>0</v>
      </c>
      <c r="U97" s="753"/>
      <c r="V97" s="702">
        <f t="shared" si="60"/>
        <v>0</v>
      </c>
      <c r="W97" s="753"/>
      <c r="X97" s="702">
        <f t="shared" si="61"/>
        <v>0</v>
      </c>
      <c r="Y97" s="753"/>
      <c r="Z97" s="702">
        <f t="shared" si="62"/>
        <v>0</v>
      </c>
      <c r="AA97" s="464">
        <f t="shared" si="63"/>
        <v>0</v>
      </c>
      <c r="AB97" s="467">
        <f t="shared" si="64"/>
        <v>0</v>
      </c>
      <c r="AC97" s="472">
        <f t="shared" si="50"/>
        <v>0</v>
      </c>
      <c r="AD97" s="467">
        <f t="shared" si="65"/>
        <v>0</v>
      </c>
      <c r="AE97" s="645"/>
      <c r="AF97" s="226"/>
      <c r="AG97" s="226"/>
    </row>
    <row r="98" spans="1:33" s="1" customFormat="1">
      <c r="A98" s="188">
        <v>6305</v>
      </c>
      <c r="B98" s="2" t="s">
        <v>39</v>
      </c>
      <c r="C98" s="678"/>
      <c r="D98" s="702">
        <f t="shared" si="52"/>
        <v>0</v>
      </c>
      <c r="E98" s="678"/>
      <c r="F98" s="702">
        <f t="shared" si="53"/>
        <v>0</v>
      </c>
      <c r="G98" s="678"/>
      <c r="H98" s="702">
        <f t="shared" si="54"/>
        <v>0</v>
      </c>
      <c r="I98" s="678"/>
      <c r="J98" s="702">
        <f t="shared" si="55"/>
        <v>0</v>
      </c>
      <c r="K98" s="678"/>
      <c r="L98" s="702">
        <f t="shared" si="56"/>
        <v>0</v>
      </c>
      <c r="M98" s="678"/>
      <c r="N98" s="702">
        <f t="shared" si="57"/>
        <v>0</v>
      </c>
      <c r="O98" s="678"/>
      <c r="P98" s="702">
        <f t="shared" si="57"/>
        <v>0</v>
      </c>
      <c r="Q98" s="678"/>
      <c r="R98" s="702">
        <f t="shared" si="58"/>
        <v>0</v>
      </c>
      <c r="S98" s="678"/>
      <c r="T98" s="702">
        <f t="shared" si="59"/>
        <v>0</v>
      </c>
      <c r="U98" s="678"/>
      <c r="V98" s="702">
        <f t="shared" si="60"/>
        <v>0</v>
      </c>
      <c r="W98" s="678"/>
      <c r="X98" s="702">
        <f t="shared" si="61"/>
        <v>0</v>
      </c>
      <c r="Y98" s="678"/>
      <c r="Z98" s="702">
        <f t="shared" si="62"/>
        <v>0</v>
      </c>
      <c r="AA98" s="464">
        <f t="shared" si="63"/>
        <v>0</v>
      </c>
      <c r="AB98" s="467">
        <f t="shared" si="64"/>
        <v>0</v>
      </c>
      <c r="AC98" s="472">
        <f t="shared" si="50"/>
        <v>0</v>
      </c>
      <c r="AD98" s="467">
        <f t="shared" si="65"/>
        <v>0</v>
      </c>
      <c r="AE98" s="645"/>
      <c r="AF98" s="226"/>
      <c r="AG98" s="226"/>
    </row>
    <row r="99" spans="1:33" s="1" customFormat="1">
      <c r="A99" s="2">
        <v>6306</v>
      </c>
      <c r="B99" s="2" t="s">
        <v>40</v>
      </c>
      <c r="C99" s="678"/>
      <c r="D99" s="702">
        <f t="shared" si="52"/>
        <v>0</v>
      </c>
      <c r="E99" s="678"/>
      <c r="F99" s="702">
        <f t="shared" si="53"/>
        <v>0</v>
      </c>
      <c r="G99" s="678"/>
      <c r="H99" s="702">
        <f t="shared" si="54"/>
        <v>0</v>
      </c>
      <c r="I99" s="678"/>
      <c r="J99" s="702">
        <f t="shared" si="55"/>
        <v>0</v>
      </c>
      <c r="K99" s="678"/>
      <c r="L99" s="702">
        <f t="shared" si="56"/>
        <v>0</v>
      </c>
      <c r="M99" s="678"/>
      <c r="N99" s="702">
        <f t="shared" si="57"/>
        <v>0</v>
      </c>
      <c r="O99" s="678"/>
      <c r="P99" s="702">
        <f t="shared" si="57"/>
        <v>0</v>
      </c>
      <c r="Q99" s="678"/>
      <c r="R99" s="702">
        <f t="shared" si="58"/>
        <v>0</v>
      </c>
      <c r="S99" s="678"/>
      <c r="T99" s="702">
        <f t="shared" si="59"/>
        <v>0</v>
      </c>
      <c r="U99" s="678"/>
      <c r="V99" s="702">
        <f t="shared" si="60"/>
        <v>0</v>
      </c>
      <c r="W99" s="678"/>
      <c r="X99" s="702">
        <f t="shared" si="61"/>
        <v>0</v>
      </c>
      <c r="Y99" s="678"/>
      <c r="Z99" s="702">
        <f t="shared" si="62"/>
        <v>0</v>
      </c>
      <c r="AA99" s="464">
        <f t="shared" si="63"/>
        <v>0</v>
      </c>
      <c r="AB99" s="467">
        <f t="shared" si="64"/>
        <v>0</v>
      </c>
      <c r="AC99" s="472">
        <f t="shared" si="50"/>
        <v>0</v>
      </c>
      <c r="AD99" s="467">
        <f t="shared" si="65"/>
        <v>0</v>
      </c>
      <c r="AE99" s="645"/>
      <c r="AF99" s="226"/>
      <c r="AG99" s="226"/>
    </row>
    <row r="100" spans="1:33" s="1" customFormat="1">
      <c r="A100" s="2">
        <v>6307</v>
      </c>
      <c r="B100" s="2" t="s">
        <v>322</v>
      </c>
      <c r="C100" s="753"/>
      <c r="D100" s="702">
        <f t="shared" si="52"/>
        <v>0</v>
      </c>
      <c r="E100" s="678">
        <v>375</v>
      </c>
      <c r="F100" s="702">
        <f t="shared" si="53"/>
        <v>4.8244148009857755E-4</v>
      </c>
      <c r="G100" s="678">
        <v>375</v>
      </c>
      <c r="H100" s="702">
        <f t="shared" si="54"/>
        <v>2.9084157009878796E-4</v>
      </c>
      <c r="I100" s="678">
        <v>940</v>
      </c>
      <c r="J100" s="702">
        <f t="shared" si="55"/>
        <v>8.2564850737681808E-4</v>
      </c>
      <c r="K100" s="678">
        <v>375</v>
      </c>
      <c r="L100" s="702">
        <f t="shared" si="56"/>
        <v>3.6013610263590818E-4</v>
      </c>
      <c r="M100" s="678"/>
      <c r="N100" s="702">
        <f t="shared" si="57"/>
        <v>0</v>
      </c>
      <c r="O100" s="678">
        <v>375</v>
      </c>
      <c r="P100" s="702">
        <f t="shared" si="57"/>
        <v>4.0115747302884588E-4</v>
      </c>
      <c r="Q100" s="678">
        <v>375</v>
      </c>
      <c r="R100" s="702">
        <f t="shared" si="58"/>
        <v>3.2306113781271239E-4</v>
      </c>
      <c r="S100" s="678">
        <v>375</v>
      </c>
      <c r="T100" s="702">
        <f t="shared" si="59"/>
        <v>3.2069454742302689E-4</v>
      </c>
      <c r="U100" s="678">
        <v>375</v>
      </c>
      <c r="V100" s="702">
        <f t="shared" si="60"/>
        <v>4.0430150953505833E-4</v>
      </c>
      <c r="W100" s="678">
        <v>375</v>
      </c>
      <c r="X100" s="702">
        <f t="shared" si="61"/>
        <v>3.9737075584608708E-4</v>
      </c>
      <c r="Y100" s="678">
        <v>375</v>
      </c>
      <c r="Z100" s="702">
        <f t="shared" si="62"/>
        <v>2.6304386153155429E-4</v>
      </c>
      <c r="AA100" s="464">
        <f t="shared" si="63"/>
        <v>4315</v>
      </c>
      <c r="AB100" s="467">
        <f>AA100/AA$12</f>
        <v>3.2483215263287671E-4</v>
      </c>
      <c r="AC100" s="472">
        <f t="shared" si="50"/>
        <v>359.58333333333331</v>
      </c>
      <c r="AD100" s="467">
        <f>AC100/AC$12</f>
        <v>3.2483215263287671E-4</v>
      </c>
      <c r="AE100" s="645"/>
      <c r="AF100" s="226"/>
      <c r="AG100" s="226"/>
    </row>
    <row r="101" spans="1:33" s="1" customFormat="1">
      <c r="A101" s="2">
        <v>6308</v>
      </c>
      <c r="B101" s="2" t="s">
        <v>151</v>
      </c>
      <c r="C101" s="678"/>
      <c r="D101" s="702">
        <f t="shared" si="52"/>
        <v>0</v>
      </c>
      <c r="E101" s="678"/>
      <c r="F101" s="702">
        <f t="shared" si="53"/>
        <v>0</v>
      </c>
      <c r="G101" s="678"/>
      <c r="H101" s="702">
        <f t="shared" si="54"/>
        <v>0</v>
      </c>
      <c r="I101" s="678"/>
      <c r="J101" s="702">
        <f t="shared" si="55"/>
        <v>0</v>
      </c>
      <c r="K101" s="678"/>
      <c r="L101" s="702">
        <f t="shared" si="56"/>
        <v>0</v>
      </c>
      <c r="M101" s="678"/>
      <c r="N101" s="702">
        <f t="shared" si="57"/>
        <v>0</v>
      </c>
      <c r="O101" s="678"/>
      <c r="P101" s="702">
        <f t="shared" si="57"/>
        <v>0</v>
      </c>
      <c r="Q101" s="678"/>
      <c r="R101" s="702">
        <f t="shared" si="58"/>
        <v>0</v>
      </c>
      <c r="S101" s="678"/>
      <c r="T101" s="702">
        <f t="shared" si="59"/>
        <v>0</v>
      </c>
      <c r="U101" s="678"/>
      <c r="V101" s="702">
        <f t="shared" si="60"/>
        <v>0</v>
      </c>
      <c r="W101" s="678"/>
      <c r="X101" s="702">
        <f t="shared" si="61"/>
        <v>0</v>
      </c>
      <c r="Y101" s="678"/>
      <c r="Z101" s="702">
        <f t="shared" si="62"/>
        <v>0</v>
      </c>
      <c r="AA101" s="464">
        <f t="shared" si="63"/>
        <v>0</v>
      </c>
      <c r="AB101" s="467">
        <f>AA101/AA$12</f>
        <v>0</v>
      </c>
      <c r="AC101" s="472">
        <f t="shared" si="50"/>
        <v>0</v>
      </c>
      <c r="AD101" s="467">
        <f>AC101/AC$12</f>
        <v>0</v>
      </c>
      <c r="AE101" s="645"/>
      <c r="AF101" s="226"/>
      <c r="AG101" s="226"/>
    </row>
    <row r="102" spans="1:33" s="1" customFormat="1">
      <c r="A102" s="2">
        <v>6309</v>
      </c>
      <c r="B102" s="2" t="s">
        <v>152</v>
      </c>
      <c r="C102" s="753">
        <f>(15945.92736496/5)*2</f>
        <v>6378.3709459840002</v>
      </c>
      <c r="D102" s="702">
        <f>C102/C$12</f>
        <v>6.384161380355983E-3</v>
      </c>
      <c r="E102" s="678">
        <f>(16105.3866386096/5)*2</f>
        <v>6442.1546554438401</v>
      </c>
      <c r="F102" s="702">
        <f>E102/E$12</f>
        <v>8.2879003386567146E-3</v>
      </c>
      <c r="G102" s="678">
        <f>16266.4405049957/5</f>
        <v>3253.2881009991402</v>
      </c>
      <c r="H102" s="702">
        <f>G102/G$12</f>
        <v>2.523177118075451E-3</v>
      </c>
      <c r="I102" s="678">
        <f>16429.1049100457/5</f>
        <v>3285.8209820091397</v>
      </c>
      <c r="J102" s="702">
        <f>I102/I$12</f>
        <v>2.8860991375566775E-3</v>
      </c>
      <c r="K102" s="753">
        <f>(16593.3959591461/5)*2</f>
        <v>6637.3583836584394</v>
      </c>
      <c r="L102" s="702">
        <f>K102/K$12</f>
        <v>6.3742730135693901E-3</v>
      </c>
      <c r="M102" s="678">
        <f>16759.3299187376/5</f>
        <v>3351.8659837475197</v>
      </c>
      <c r="N102" s="702">
        <f>M102/M$12</f>
        <v>2.2701259819584954E-3</v>
      </c>
      <c r="O102" s="993">
        <f>16926.9232179249/5</f>
        <v>3385.38464358498</v>
      </c>
      <c r="P102" s="702">
        <f>O102/O$12</f>
        <v>3.6215262636032286E-3</v>
      </c>
      <c r="Q102" s="678">
        <f>17096.1924501042/5</f>
        <v>3419.2384900208403</v>
      </c>
      <c r="R102" s="702">
        <f>Q102/Q$12</f>
        <v>2.9456615387710755E-3</v>
      </c>
      <c r="S102" s="753">
        <f>(17267.1543746052/5)*2</f>
        <v>6906.8617498420808</v>
      </c>
      <c r="T102" s="702">
        <f>S102/S$12</f>
        <v>5.9066477412773911E-3</v>
      </c>
      <c r="U102" s="678">
        <f>(17439.8259183513/5)*2</f>
        <v>6975.9303673405202</v>
      </c>
      <c r="V102" s="702">
        <f>U102/U$12</f>
        <v>7.5210111411392706E-3</v>
      </c>
      <c r="W102" s="753">
        <f>17614.2241775348/5</f>
        <v>3522.8448355069604</v>
      </c>
      <c r="X102" s="702">
        <f>W102/W$12</f>
        <v>3.7330013733703604E-3</v>
      </c>
      <c r="Y102" s="678">
        <f>17790.3664193102/5</f>
        <v>3558.0732838620402</v>
      </c>
      <c r="Z102" s="702">
        <f>Y102/Y$12</f>
        <v>2.4958115631982113E-3</v>
      </c>
      <c r="AA102" s="464">
        <f t="shared" si="63"/>
        <v>57117.192421999505</v>
      </c>
      <c r="AB102" s="467">
        <f>AA102/AA$12</f>
        <v>4.2997683816417918E-3</v>
      </c>
      <c r="AC102" s="472">
        <f t="shared" si="50"/>
        <v>4759.7660351666254</v>
      </c>
      <c r="AD102" s="467">
        <f>AC102/AC$12</f>
        <v>4.2997683816417918E-3</v>
      </c>
      <c r="AE102" s="645"/>
      <c r="AF102" s="226"/>
      <c r="AG102" s="226"/>
    </row>
    <row r="103" spans="1:33" s="1" customFormat="1">
      <c r="A103" s="2">
        <v>6310</v>
      </c>
      <c r="B103" s="2" t="s">
        <v>153</v>
      </c>
      <c r="C103" s="678"/>
      <c r="D103" s="702">
        <f t="shared" ref="D103:D114" si="66">C103/C$12</f>
        <v>0</v>
      </c>
      <c r="E103" s="678">
        <v>14000</v>
      </c>
      <c r="F103" s="702">
        <f t="shared" ref="F103:F114" si="67">E103/E$12</f>
        <v>1.8011148590346894E-2</v>
      </c>
      <c r="G103" s="678">
        <v>12800</v>
      </c>
      <c r="H103" s="702">
        <f t="shared" ref="H103:H114" si="68">G103/G$12</f>
        <v>9.9273922593719616E-3</v>
      </c>
      <c r="I103" s="678">
        <v>6000</v>
      </c>
      <c r="J103" s="702">
        <f t="shared" ref="J103:J114" si="69">I103/I$12</f>
        <v>5.2700968555967108E-3</v>
      </c>
      <c r="K103" s="678">
        <v>7400</v>
      </c>
      <c r="L103" s="702">
        <f t="shared" ref="L103:L114" si="70">K103/K$12</f>
        <v>7.1066857586819208E-3</v>
      </c>
      <c r="M103" s="678">
        <v>0</v>
      </c>
      <c r="N103" s="702">
        <f t="shared" ref="N103:P114" si="71">M103/M$12</f>
        <v>0</v>
      </c>
      <c r="O103" s="678">
        <v>1500</v>
      </c>
      <c r="P103" s="702">
        <f t="shared" si="71"/>
        <v>1.6046298921153835E-3</v>
      </c>
      <c r="Q103" s="678">
        <v>12000</v>
      </c>
      <c r="R103" s="702">
        <f t="shared" ref="R103:R114" si="72">Q103/Q$12</f>
        <v>1.0337956410006796E-2</v>
      </c>
      <c r="S103" s="678">
        <v>12300</v>
      </c>
      <c r="T103" s="702">
        <f t="shared" ref="T103:T114" si="73">S103/S$12</f>
        <v>1.0518781155475282E-2</v>
      </c>
      <c r="U103" s="678">
        <v>7000</v>
      </c>
      <c r="V103" s="702">
        <f t="shared" ref="V103:V114" si="74">U103/U$12</f>
        <v>7.5469615113210892E-3</v>
      </c>
      <c r="W103" s="678"/>
      <c r="X103" s="702">
        <f t="shared" ref="X103:X114" si="75">W103/W$12</f>
        <v>0</v>
      </c>
      <c r="Y103" s="678">
        <v>13000</v>
      </c>
      <c r="Z103" s="702">
        <f t="shared" ref="Z103:Z114" si="76">Y103/Y$12</f>
        <v>9.1188538664272161E-3</v>
      </c>
      <c r="AA103" s="464">
        <f t="shared" si="63"/>
        <v>86000</v>
      </c>
      <c r="AB103" s="467">
        <f t="shared" ref="AB103" si="77">AA103/AA$12</f>
        <v>6.4740591254756428E-3</v>
      </c>
      <c r="AC103" s="472">
        <f t="shared" si="50"/>
        <v>7166.666666666667</v>
      </c>
      <c r="AD103" s="467">
        <f t="shared" ref="AD103" si="78">AC103/AC$12</f>
        <v>6.4740591254756428E-3</v>
      </c>
      <c r="AE103" s="645"/>
      <c r="AF103" s="226"/>
      <c r="AG103" s="226"/>
    </row>
    <row r="104" spans="1:33" s="1" customFormat="1">
      <c r="A104" s="2">
        <v>6311</v>
      </c>
      <c r="B104" s="2" t="s">
        <v>154</v>
      </c>
      <c r="C104" s="753">
        <v>9018.2093305873077</v>
      </c>
      <c r="D104" s="702">
        <f t="shared" si="66"/>
        <v>9.0263962720060174E-3</v>
      </c>
      <c r="E104" s="753"/>
      <c r="F104" s="702">
        <f t="shared" si="67"/>
        <v>0</v>
      </c>
      <c r="G104" s="753"/>
      <c r="H104" s="702">
        <f t="shared" si="68"/>
        <v>0</v>
      </c>
      <c r="I104" s="753"/>
      <c r="J104" s="702">
        <f t="shared" si="69"/>
        <v>0</v>
      </c>
      <c r="K104" s="753"/>
      <c r="L104" s="702">
        <f t="shared" si="70"/>
        <v>0</v>
      </c>
      <c r="M104" s="753"/>
      <c r="N104" s="702">
        <f t="shared" si="71"/>
        <v>0</v>
      </c>
      <c r="O104" s="753"/>
      <c r="P104" s="702">
        <f t="shared" si="71"/>
        <v>0</v>
      </c>
      <c r="Q104" s="753"/>
      <c r="R104" s="702">
        <f t="shared" si="72"/>
        <v>0</v>
      </c>
      <c r="S104" s="753"/>
      <c r="T104" s="702">
        <f t="shared" si="73"/>
        <v>0</v>
      </c>
      <c r="U104" s="753"/>
      <c r="V104" s="702">
        <f t="shared" si="74"/>
        <v>0</v>
      </c>
      <c r="W104" s="753"/>
      <c r="X104" s="702">
        <f t="shared" si="75"/>
        <v>0</v>
      </c>
      <c r="Y104" s="753"/>
      <c r="Z104" s="702">
        <f t="shared" si="76"/>
        <v>0</v>
      </c>
      <c r="AA104" s="464">
        <f t="shared" si="63"/>
        <v>9018.2093305873077</v>
      </c>
      <c r="AB104" s="467">
        <f t="shared" ref="AB104" si="79">AA104/AA$12</f>
        <v>6.788886094434691E-4</v>
      </c>
      <c r="AC104" s="472">
        <f t="shared" si="50"/>
        <v>751.51744421560898</v>
      </c>
      <c r="AD104" s="467">
        <f t="shared" ref="AD104" si="80">AC104/AC$12</f>
        <v>6.788886094434691E-4</v>
      </c>
      <c r="AE104" s="645"/>
      <c r="AF104" s="226"/>
      <c r="AG104" s="226"/>
    </row>
    <row r="105" spans="1:33" s="1" customFormat="1">
      <c r="A105" s="2">
        <v>6312</v>
      </c>
      <c r="B105" s="2" t="s">
        <v>155</v>
      </c>
      <c r="C105" s="678"/>
      <c r="D105" s="702">
        <f t="shared" si="66"/>
        <v>0</v>
      </c>
      <c r="E105" s="678"/>
      <c r="F105" s="702">
        <f t="shared" si="67"/>
        <v>0</v>
      </c>
      <c r="G105" s="678"/>
      <c r="H105" s="702">
        <f t="shared" si="68"/>
        <v>0</v>
      </c>
      <c r="I105" s="678"/>
      <c r="J105" s="702">
        <f t="shared" si="69"/>
        <v>0</v>
      </c>
      <c r="K105" s="678"/>
      <c r="L105" s="702">
        <f t="shared" si="70"/>
        <v>0</v>
      </c>
      <c r="M105" s="678"/>
      <c r="N105" s="702">
        <f t="shared" si="71"/>
        <v>0</v>
      </c>
      <c r="O105" s="678"/>
      <c r="P105" s="702">
        <f t="shared" si="71"/>
        <v>0</v>
      </c>
      <c r="Q105" s="678"/>
      <c r="R105" s="702">
        <f t="shared" si="72"/>
        <v>0</v>
      </c>
      <c r="S105" s="678"/>
      <c r="T105" s="702">
        <f t="shared" si="73"/>
        <v>0</v>
      </c>
      <c r="U105" s="678"/>
      <c r="V105" s="702">
        <f t="shared" si="74"/>
        <v>0</v>
      </c>
      <c r="W105" s="678"/>
      <c r="X105" s="702">
        <f t="shared" si="75"/>
        <v>0</v>
      </c>
      <c r="Y105" s="678"/>
      <c r="Z105" s="702">
        <f t="shared" si="76"/>
        <v>0</v>
      </c>
      <c r="AA105" s="464">
        <f t="shared" si="63"/>
        <v>0</v>
      </c>
      <c r="AB105" s="467">
        <f t="shared" ref="AB105" si="81">AA105/AA$12</f>
        <v>0</v>
      </c>
      <c r="AC105" s="472">
        <f t="shared" si="50"/>
        <v>0</v>
      </c>
      <c r="AD105" s="467">
        <f t="shared" ref="AD105" si="82">AC105/AC$12</f>
        <v>0</v>
      </c>
      <c r="AE105" s="645"/>
      <c r="AF105" s="226"/>
      <c r="AG105" s="226"/>
    </row>
    <row r="106" spans="1:33" s="1" customFormat="1">
      <c r="A106" s="2">
        <v>6313</v>
      </c>
      <c r="B106" s="2" t="s">
        <v>156</v>
      </c>
      <c r="C106" s="753"/>
      <c r="D106" s="702">
        <f t="shared" si="66"/>
        <v>0</v>
      </c>
      <c r="E106" s="753"/>
      <c r="F106" s="702">
        <f t="shared" si="67"/>
        <v>0</v>
      </c>
      <c r="G106" s="753">
        <f>(27272.7272727273/0.985)/12</f>
        <v>2307.3373327180457</v>
      </c>
      <c r="H106" s="702">
        <f t="shared" si="68"/>
        <v>1.789518966920709E-3</v>
      </c>
      <c r="I106" s="753"/>
      <c r="J106" s="702">
        <f t="shared" si="69"/>
        <v>0</v>
      </c>
      <c r="K106" s="753">
        <f>(27272.7272727273/0.985)/12</f>
        <v>2307.3373327180457</v>
      </c>
      <c r="L106" s="702">
        <f t="shared" si="70"/>
        <v>2.21588126525709E-3</v>
      </c>
      <c r="M106" s="753"/>
      <c r="N106" s="702">
        <f t="shared" si="71"/>
        <v>0</v>
      </c>
      <c r="O106" s="753"/>
      <c r="P106" s="702">
        <f t="shared" si="71"/>
        <v>0</v>
      </c>
      <c r="Q106" s="753">
        <f>(27272.7272727273/0.985)/12</f>
        <v>2307.3373327180457</v>
      </c>
      <c r="R106" s="702">
        <f t="shared" si="72"/>
        <v>1.987762730735042E-3</v>
      </c>
      <c r="S106" s="753"/>
      <c r="T106" s="702">
        <f t="shared" si="73"/>
        <v>0</v>
      </c>
      <c r="U106" s="753"/>
      <c r="V106" s="702">
        <f t="shared" si="74"/>
        <v>0</v>
      </c>
      <c r="W106" s="753"/>
      <c r="X106" s="702">
        <f t="shared" si="75"/>
        <v>0</v>
      </c>
      <c r="Y106" s="753">
        <f>(27272.7272727273/0.985)/12</f>
        <v>2307.3373327180457</v>
      </c>
      <c r="Z106" s="702">
        <f t="shared" si="76"/>
        <v>1.6184824582775239E-3</v>
      </c>
      <c r="AA106" s="464">
        <f t="shared" si="63"/>
        <v>9229.3493308721827</v>
      </c>
      <c r="AB106" s="467">
        <f t="shared" ref="AB106" si="83">AA106/AA$12</f>
        <v>6.9478317741552989E-4</v>
      </c>
      <c r="AC106" s="472">
        <f t="shared" si="50"/>
        <v>769.11244423934852</v>
      </c>
      <c r="AD106" s="467">
        <f t="shared" ref="AD106" si="84">AC106/AC$12</f>
        <v>6.9478317741552989E-4</v>
      </c>
      <c r="AE106" s="645"/>
      <c r="AF106" s="226"/>
      <c r="AG106" s="226"/>
    </row>
    <row r="107" spans="1:33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66"/>
        <v>1.2511347792447751E-2</v>
      </c>
      <c r="E107" s="678">
        <f>(206850/12)/0.985</f>
        <v>17500</v>
      </c>
      <c r="F107" s="702">
        <f t="shared" si="67"/>
        <v>2.2513935737933619E-2</v>
      </c>
      <c r="G107" s="678">
        <f>(159570/12)/0.985</f>
        <v>13500</v>
      </c>
      <c r="H107" s="702">
        <f t="shared" si="68"/>
        <v>1.0470296523556365E-2</v>
      </c>
      <c r="I107" s="678">
        <f>(159570/12)/0.985</f>
        <v>13500</v>
      </c>
      <c r="J107" s="702">
        <f t="shared" si="69"/>
        <v>1.18577179250926E-2</v>
      </c>
      <c r="K107" s="678">
        <f>(206850/12)/0.985</f>
        <v>17500</v>
      </c>
      <c r="L107" s="702">
        <f t="shared" si="70"/>
        <v>1.6806351456342381E-2</v>
      </c>
      <c r="M107" s="678">
        <f>(159570/12)/0.985</f>
        <v>13500</v>
      </c>
      <c r="N107" s="702">
        <f t="shared" si="71"/>
        <v>9.1431760413569554E-3</v>
      </c>
      <c r="O107" s="678">
        <f>(159570/12)/0.985</f>
        <v>13500</v>
      </c>
      <c r="P107" s="702">
        <f t="shared" si="71"/>
        <v>1.4441669029038453E-2</v>
      </c>
      <c r="Q107" s="678">
        <f>(206850/12)/0.985</f>
        <v>17500</v>
      </c>
      <c r="R107" s="702">
        <f t="shared" si="72"/>
        <v>1.5076186431259913E-2</v>
      </c>
      <c r="S107" s="678">
        <f>(159570/12)/0.985</f>
        <v>13500</v>
      </c>
      <c r="T107" s="702">
        <f t="shared" si="73"/>
        <v>1.1545003707228968E-2</v>
      </c>
      <c r="U107" s="678">
        <f>(159570/12)/0.985</f>
        <v>13500</v>
      </c>
      <c r="V107" s="702">
        <f t="shared" si="74"/>
        <v>1.45548543432621E-2</v>
      </c>
      <c r="W107" s="678">
        <f>(206850/12)/0.985</f>
        <v>17500</v>
      </c>
      <c r="X107" s="702">
        <f t="shared" si="75"/>
        <v>1.8543968606150731E-2</v>
      </c>
      <c r="Y107" s="678">
        <f>(159570/12)/0.985</f>
        <v>13500</v>
      </c>
      <c r="Z107" s="702">
        <f t="shared" si="76"/>
        <v>9.4695790151359538E-3</v>
      </c>
      <c r="AA107" s="464">
        <f t="shared" si="63"/>
        <v>177000</v>
      </c>
      <c r="AB107" s="467">
        <f t="shared" ref="AB107" si="85">AA107/AA$12</f>
        <v>1.3324517037316148E-2</v>
      </c>
      <c r="AC107" s="472">
        <f t="shared" si="50"/>
        <v>14750</v>
      </c>
      <c r="AD107" s="467">
        <f t="shared" ref="AD107" si="86">AC107/AC$12</f>
        <v>1.3324517037316148E-2</v>
      </c>
      <c r="AE107" s="645"/>
      <c r="AF107" s="226"/>
      <c r="AG107" s="226"/>
    </row>
    <row r="108" spans="1:33" s="1" customFormat="1">
      <c r="A108" s="2">
        <v>6315</v>
      </c>
      <c r="B108" s="2" t="s">
        <v>323</v>
      </c>
      <c r="C108" s="678"/>
      <c r="D108" s="702">
        <f t="shared" si="66"/>
        <v>0</v>
      </c>
      <c r="E108" s="678">
        <v>3312</v>
      </c>
      <c r="F108" s="702">
        <f t="shared" si="67"/>
        <v>4.2609231522306367E-3</v>
      </c>
      <c r="G108" s="678">
        <v>4562</v>
      </c>
      <c r="H108" s="702">
        <f t="shared" si="68"/>
        <v>3.5381846474417883E-3</v>
      </c>
      <c r="I108" s="678">
        <v>3312</v>
      </c>
      <c r="J108" s="702">
        <f t="shared" si="69"/>
        <v>2.9090934642893845E-3</v>
      </c>
      <c r="K108" s="678">
        <v>1250</v>
      </c>
      <c r="L108" s="702">
        <f t="shared" si="70"/>
        <v>1.2004536754530273E-3</v>
      </c>
      <c r="M108" s="678"/>
      <c r="N108" s="702">
        <f t="shared" si="71"/>
        <v>0</v>
      </c>
      <c r="O108" s="678">
        <v>875</v>
      </c>
      <c r="P108" s="702">
        <f t="shared" si="71"/>
        <v>9.3603410373397375E-4</v>
      </c>
      <c r="Q108" s="678">
        <v>1250</v>
      </c>
      <c r="R108" s="702">
        <f t="shared" si="72"/>
        <v>1.076870459375708E-3</v>
      </c>
      <c r="S108" s="678"/>
      <c r="T108" s="702">
        <f t="shared" si="73"/>
        <v>0</v>
      </c>
      <c r="U108" s="678">
        <v>875</v>
      </c>
      <c r="V108" s="702">
        <f t="shared" si="74"/>
        <v>9.4337018891513615E-4</v>
      </c>
      <c r="W108" s="678"/>
      <c r="X108" s="702">
        <f t="shared" si="75"/>
        <v>0</v>
      </c>
      <c r="Y108" s="678">
        <v>1250</v>
      </c>
      <c r="Z108" s="702">
        <f t="shared" si="76"/>
        <v>8.7681287177184767E-4</v>
      </c>
      <c r="AA108" s="464">
        <f t="shared" si="63"/>
        <v>16686</v>
      </c>
      <c r="AB108" s="467">
        <f t="shared" ref="AB108" si="87">AA108/AA$12</f>
        <v>1.2561180298568207E-3</v>
      </c>
      <c r="AC108" s="472">
        <f t="shared" si="50"/>
        <v>1390.5</v>
      </c>
      <c r="AD108" s="467">
        <f t="shared" ref="AD108" si="88">AC108/AC$12</f>
        <v>1.2561180298568207E-3</v>
      </c>
      <c r="AE108" s="645"/>
      <c r="AF108" s="226"/>
      <c r="AG108" s="226"/>
    </row>
    <row r="109" spans="1:33" s="1" customFormat="1">
      <c r="A109" s="2">
        <v>6316</v>
      </c>
      <c r="B109" s="2" t="s">
        <v>324</v>
      </c>
      <c r="C109" s="678"/>
      <c r="D109" s="702">
        <f t="shared" si="66"/>
        <v>0</v>
      </c>
      <c r="E109" s="678">
        <v>10897.222222222223</v>
      </c>
      <c r="F109" s="702">
        <f t="shared" si="67"/>
        <v>1.4019392047605331E-2</v>
      </c>
      <c r="G109" s="678"/>
      <c r="H109" s="702">
        <f t="shared" si="68"/>
        <v>0</v>
      </c>
      <c r="I109" s="678"/>
      <c r="J109" s="702">
        <f t="shared" si="69"/>
        <v>0</v>
      </c>
      <c r="K109" s="678">
        <v>10000</v>
      </c>
      <c r="L109" s="702">
        <f t="shared" si="70"/>
        <v>9.6036294036242181E-3</v>
      </c>
      <c r="M109" s="678">
        <v>3800</v>
      </c>
      <c r="N109" s="702">
        <f t="shared" si="71"/>
        <v>2.5736347375671432E-3</v>
      </c>
      <c r="O109" s="678"/>
      <c r="P109" s="702">
        <f t="shared" si="71"/>
        <v>0</v>
      </c>
      <c r="Q109" s="678">
        <v>13097.222222222223</v>
      </c>
      <c r="R109" s="702">
        <f t="shared" si="72"/>
        <v>1.1283209368792142E-2</v>
      </c>
      <c r="S109" s="678">
        <v>3800</v>
      </c>
      <c r="T109" s="702">
        <f t="shared" si="73"/>
        <v>3.2497047472200059E-3</v>
      </c>
      <c r="U109" s="678">
        <v>5600</v>
      </c>
      <c r="V109" s="702">
        <f t="shared" si="74"/>
        <v>6.0375692090568712E-3</v>
      </c>
      <c r="W109" s="678"/>
      <c r="X109" s="702">
        <f t="shared" si="75"/>
        <v>0</v>
      </c>
      <c r="Y109" s="678"/>
      <c r="Z109" s="702">
        <f t="shared" si="76"/>
        <v>0</v>
      </c>
      <c r="AA109" s="464">
        <f t="shared" si="63"/>
        <v>47194.444444444445</v>
      </c>
      <c r="AB109" s="467">
        <f t="shared" ref="AB109" si="89">AA109/AA$12</f>
        <v>3.5527863224105675E-3</v>
      </c>
      <c r="AC109" s="472">
        <f t="shared" si="50"/>
        <v>3932.8703703703704</v>
      </c>
      <c r="AD109" s="467">
        <f t="shared" ref="AD109" si="90">AC109/AC$12</f>
        <v>3.5527863224105675E-3</v>
      </c>
      <c r="AE109" s="645"/>
      <c r="AF109" s="226"/>
      <c r="AG109" s="226"/>
    </row>
    <row r="110" spans="1:33" s="1" customFormat="1">
      <c r="A110" s="2">
        <v>6317</v>
      </c>
      <c r="B110" s="2" t="s">
        <v>325</v>
      </c>
      <c r="C110" s="678"/>
      <c r="D110" s="702">
        <f t="shared" si="66"/>
        <v>0</v>
      </c>
      <c r="E110" s="678">
        <v>2250</v>
      </c>
      <c r="F110" s="702">
        <f t="shared" si="67"/>
        <v>2.8946488805914653E-3</v>
      </c>
      <c r="G110" s="678"/>
      <c r="H110" s="702">
        <f t="shared" si="68"/>
        <v>0</v>
      </c>
      <c r="I110" s="678">
        <v>14303.5</v>
      </c>
      <c r="J110" s="702">
        <f t="shared" si="69"/>
        <v>1.2563471729004592E-2</v>
      </c>
      <c r="K110" s="678">
        <v>2487.5</v>
      </c>
      <c r="L110" s="702">
        <f t="shared" si="70"/>
        <v>2.388902814151524E-3</v>
      </c>
      <c r="M110" s="678"/>
      <c r="N110" s="702">
        <f t="shared" si="71"/>
        <v>0</v>
      </c>
      <c r="O110" s="678"/>
      <c r="P110" s="702">
        <f t="shared" si="71"/>
        <v>0</v>
      </c>
      <c r="Q110" s="678">
        <v>9176.5</v>
      </c>
      <c r="R110" s="702">
        <f t="shared" si="72"/>
        <v>7.9055214163689484E-3</v>
      </c>
      <c r="S110" s="678"/>
      <c r="T110" s="702">
        <f t="shared" si="73"/>
        <v>0</v>
      </c>
      <c r="U110" s="678">
        <v>2250</v>
      </c>
      <c r="V110" s="702">
        <f t="shared" si="74"/>
        <v>2.4258090572103503E-3</v>
      </c>
      <c r="W110" s="678"/>
      <c r="X110" s="702">
        <f t="shared" si="75"/>
        <v>0</v>
      </c>
      <c r="Y110" s="678"/>
      <c r="Z110" s="702">
        <f t="shared" si="76"/>
        <v>0</v>
      </c>
      <c r="AA110" s="464">
        <f t="shared" si="63"/>
        <v>30467.5</v>
      </c>
      <c r="AB110" s="467">
        <f t="shared" ref="AB110" si="91">AA110/AA$12</f>
        <v>2.2935860047142921E-3</v>
      </c>
      <c r="AC110" s="472">
        <f t="shared" si="50"/>
        <v>2538.9583333333335</v>
      </c>
      <c r="AD110" s="467">
        <f t="shared" ref="AD110" si="92">AC110/AC$12</f>
        <v>2.2935860047142926E-3</v>
      </c>
      <c r="AE110" s="645"/>
      <c r="AF110" s="226"/>
      <c r="AG110" s="226"/>
    </row>
    <row r="111" spans="1:33" s="1" customFormat="1">
      <c r="A111" s="2">
        <v>6318</v>
      </c>
      <c r="B111" s="2" t="s">
        <v>326</v>
      </c>
      <c r="C111" s="678">
        <f>(6660/12)</f>
        <v>555</v>
      </c>
      <c r="D111" s="702">
        <f t="shared" si="66"/>
        <v>5.5550384198468005E-4</v>
      </c>
      <c r="E111" s="678">
        <f>(6660/12)</f>
        <v>555</v>
      </c>
      <c r="F111" s="702">
        <f t="shared" si="67"/>
        <v>7.1401339054589477E-4</v>
      </c>
      <c r="G111" s="678">
        <f>(6660/12)</f>
        <v>555</v>
      </c>
      <c r="H111" s="702">
        <f t="shared" si="68"/>
        <v>4.3044552374620618E-4</v>
      </c>
      <c r="I111" s="678">
        <f>(6660/12)</f>
        <v>555</v>
      </c>
      <c r="J111" s="702">
        <f t="shared" si="69"/>
        <v>4.874839591426958E-4</v>
      </c>
      <c r="K111" s="678">
        <f>(6660/12)</f>
        <v>555</v>
      </c>
      <c r="L111" s="702">
        <f t="shared" si="70"/>
        <v>5.3300143190114404E-4</v>
      </c>
      <c r="M111" s="678">
        <f>(6660/12)</f>
        <v>555</v>
      </c>
      <c r="N111" s="702">
        <f t="shared" si="71"/>
        <v>3.7588612614467486E-4</v>
      </c>
      <c r="O111" s="678">
        <f>(6660/12)</f>
        <v>555</v>
      </c>
      <c r="P111" s="702">
        <f t="shared" si="71"/>
        <v>5.9371306008269191E-4</v>
      </c>
      <c r="Q111" s="678">
        <f>(6660/12)</f>
        <v>555</v>
      </c>
      <c r="R111" s="702">
        <f t="shared" si="72"/>
        <v>4.7813048396281438E-4</v>
      </c>
      <c r="S111" s="678">
        <f>(6660/12)</f>
        <v>555</v>
      </c>
      <c r="T111" s="702">
        <f t="shared" si="73"/>
        <v>4.7462793018607978E-4</v>
      </c>
      <c r="U111" s="678">
        <f>(6660/12)</f>
        <v>555</v>
      </c>
      <c r="V111" s="702">
        <f t="shared" si="74"/>
        <v>5.9836623411188637E-4</v>
      </c>
      <c r="W111" s="678">
        <f>(6660/12)</f>
        <v>555</v>
      </c>
      <c r="X111" s="702">
        <f t="shared" si="75"/>
        <v>5.8810871865220887E-4</v>
      </c>
      <c r="Y111" s="678">
        <f>(6660/12)</f>
        <v>555</v>
      </c>
      <c r="Z111" s="702">
        <f t="shared" si="76"/>
        <v>3.8930491506670035E-4</v>
      </c>
      <c r="AA111" s="464">
        <f t="shared" si="63"/>
        <v>6660</v>
      </c>
      <c r="AB111" s="467">
        <f t="shared" ref="AB111" si="93">AA111/AA$12</f>
        <v>5.0136318343799743E-4</v>
      </c>
      <c r="AC111" s="472">
        <f t="shared" si="50"/>
        <v>555</v>
      </c>
      <c r="AD111" s="467">
        <f t="shared" ref="AD111" si="94">AC111/AC$12</f>
        <v>5.0136318343799743E-4</v>
      </c>
      <c r="AE111" s="645"/>
      <c r="AF111" s="226"/>
      <c r="AG111" s="226"/>
    </row>
    <row r="112" spans="1:33" s="1" customFormat="1">
      <c r="A112" s="2">
        <v>6319</v>
      </c>
      <c r="B112" s="2" t="s">
        <v>327</v>
      </c>
      <c r="C112" s="678"/>
      <c r="D112" s="702">
        <f t="shared" si="66"/>
        <v>0</v>
      </c>
      <c r="E112" s="678">
        <f>(43504.1666666667/12)/0.985</f>
        <v>3680.5555555555584</v>
      </c>
      <c r="F112" s="702">
        <f t="shared" si="67"/>
        <v>4.7350737861527091E-3</v>
      </c>
      <c r="G112" s="678">
        <f>(43504.1666666667/12)/0.985</f>
        <v>3680.5555555555584</v>
      </c>
      <c r="H112" s="702">
        <f t="shared" si="68"/>
        <v>2.8545561509695878E-3</v>
      </c>
      <c r="I112" s="678">
        <f>(43504.1666666667/12)/0.985</f>
        <v>3680.5555555555584</v>
      </c>
      <c r="J112" s="702">
        <f t="shared" si="69"/>
        <v>3.2328140433637259E-3</v>
      </c>
      <c r="K112" s="678">
        <f>(43504.1666666667/12)/0.985</f>
        <v>3680.5555555555584</v>
      </c>
      <c r="L112" s="702">
        <f t="shared" si="70"/>
        <v>3.5346691555005827E-3</v>
      </c>
      <c r="M112" s="678"/>
      <c r="N112" s="702">
        <f t="shared" si="71"/>
        <v>0</v>
      </c>
      <c r="O112" s="678">
        <f>(43504.1666666667/12)/0.985</f>
        <v>3680.5555555555584</v>
      </c>
      <c r="P112" s="702">
        <f t="shared" si="71"/>
        <v>3.9372863093571943E-3</v>
      </c>
      <c r="Q112" s="678">
        <f>(43504.1666666667/12)/0.985</f>
        <v>3680.5555555555584</v>
      </c>
      <c r="R112" s="702">
        <f t="shared" si="72"/>
        <v>3.1707852414951426E-3</v>
      </c>
      <c r="S112" s="678">
        <f>(43504.1666666667/12)/0.985</f>
        <v>3680.5555555555584</v>
      </c>
      <c r="T112" s="702">
        <f t="shared" si="73"/>
        <v>3.147557595077859E-3</v>
      </c>
      <c r="U112" s="678">
        <f>(43504.1666666667/12)/0.985</f>
        <v>3680.5555555555584</v>
      </c>
      <c r="V112" s="702">
        <f t="shared" si="74"/>
        <v>3.9681444454366865E-3</v>
      </c>
      <c r="W112" s="678">
        <f>(43504.1666666667/12)/0.985</f>
        <v>3680.5555555555584</v>
      </c>
      <c r="X112" s="702">
        <f t="shared" si="75"/>
        <v>3.9001203814523389E-3</v>
      </c>
      <c r="Y112" s="678">
        <f>(43504.1666666667/12)/0.985</f>
        <v>3680.5555555555584</v>
      </c>
      <c r="Z112" s="702">
        <f t="shared" si="76"/>
        <v>2.5817267891059979E-3</v>
      </c>
      <c r="AA112" s="464">
        <f t="shared" si="63"/>
        <v>36805.555555555591</v>
      </c>
      <c r="AB112" s="467">
        <f t="shared" ref="AB112" si="95">AA112/AA$12</f>
        <v>2.7707132885191328E-3</v>
      </c>
      <c r="AC112" s="472">
        <f t="shared" si="50"/>
        <v>3067.1296296296327</v>
      </c>
      <c r="AD112" s="467">
        <f t="shared" ref="AD112" si="96">AC112/AC$12</f>
        <v>2.7707132885191328E-3</v>
      </c>
      <c r="AE112" s="645"/>
      <c r="AF112" s="226"/>
      <c r="AG112" s="226"/>
    </row>
    <row r="113" spans="1:33" s="1" customFormat="1">
      <c r="A113" s="2">
        <v>6320</v>
      </c>
      <c r="B113" s="2" t="s">
        <v>328</v>
      </c>
      <c r="C113" s="678"/>
      <c r="D113" s="702">
        <f t="shared" si="66"/>
        <v>0</v>
      </c>
      <c r="E113" s="678"/>
      <c r="F113" s="702">
        <f t="shared" si="67"/>
        <v>0</v>
      </c>
      <c r="G113" s="678"/>
      <c r="H113" s="702">
        <f t="shared" si="68"/>
        <v>0</v>
      </c>
      <c r="I113" s="678"/>
      <c r="J113" s="702">
        <f t="shared" si="69"/>
        <v>0</v>
      </c>
      <c r="K113" s="678"/>
      <c r="L113" s="702">
        <f t="shared" si="70"/>
        <v>0</v>
      </c>
      <c r="M113" s="678"/>
      <c r="N113" s="702">
        <f t="shared" si="71"/>
        <v>0</v>
      </c>
      <c r="O113" s="678"/>
      <c r="P113" s="702">
        <f t="shared" si="71"/>
        <v>0</v>
      </c>
      <c r="Q113" s="678"/>
      <c r="R113" s="702">
        <f t="shared" si="72"/>
        <v>0</v>
      </c>
      <c r="S113" s="678"/>
      <c r="T113" s="702">
        <f t="shared" si="73"/>
        <v>0</v>
      </c>
      <c r="U113" s="678"/>
      <c r="V113" s="702">
        <f t="shared" si="74"/>
        <v>0</v>
      </c>
      <c r="W113" s="678"/>
      <c r="X113" s="702">
        <f t="shared" si="75"/>
        <v>0</v>
      </c>
      <c r="Y113" s="678"/>
      <c r="Z113" s="702">
        <f t="shared" si="76"/>
        <v>0</v>
      </c>
      <c r="AA113" s="464">
        <f t="shared" si="63"/>
        <v>0</v>
      </c>
      <c r="AB113" s="467">
        <f t="shared" ref="AB113" si="97">AA113/AA$12</f>
        <v>0</v>
      </c>
      <c r="AC113" s="472">
        <f t="shared" si="50"/>
        <v>0</v>
      </c>
      <c r="AD113" s="467">
        <f t="shared" ref="AD113" si="98">AC113/AC$12</f>
        <v>0</v>
      </c>
      <c r="AE113" s="645"/>
      <c r="AF113" s="226"/>
      <c r="AG113" s="226"/>
    </row>
    <row r="114" spans="1:33" s="1" customFormat="1">
      <c r="A114" s="2">
        <v>6321</v>
      </c>
      <c r="B114" s="2" t="s">
        <v>329</v>
      </c>
      <c r="C114" s="754"/>
      <c r="D114" s="684">
        <f t="shared" si="66"/>
        <v>0</v>
      </c>
      <c r="E114" s="754"/>
      <c r="F114" s="684">
        <f t="shared" si="67"/>
        <v>0</v>
      </c>
      <c r="G114" s="754"/>
      <c r="H114" s="702">
        <f t="shared" si="68"/>
        <v>0</v>
      </c>
      <c r="I114" s="754"/>
      <c r="J114" s="702">
        <f t="shared" si="69"/>
        <v>0</v>
      </c>
      <c r="K114" s="754"/>
      <c r="L114" s="702">
        <f t="shared" si="70"/>
        <v>0</v>
      </c>
      <c r="M114" s="754"/>
      <c r="N114" s="702">
        <f t="shared" si="71"/>
        <v>0</v>
      </c>
      <c r="O114" s="754"/>
      <c r="P114" s="702">
        <f t="shared" si="71"/>
        <v>0</v>
      </c>
      <c r="Q114" s="754"/>
      <c r="R114" s="702">
        <f t="shared" si="72"/>
        <v>0</v>
      </c>
      <c r="S114" s="754"/>
      <c r="T114" s="702">
        <f t="shared" si="73"/>
        <v>0</v>
      </c>
      <c r="U114" s="754"/>
      <c r="V114" s="702">
        <f t="shared" si="74"/>
        <v>0</v>
      </c>
      <c r="W114" s="754">
        <f>100000/12</f>
        <v>8333.3333333333339</v>
      </c>
      <c r="X114" s="702">
        <f t="shared" si="75"/>
        <v>8.8304612410241585E-3</v>
      </c>
      <c r="Y114" s="754"/>
      <c r="Z114" s="702">
        <f t="shared" si="76"/>
        <v>0</v>
      </c>
      <c r="AA114" s="464">
        <f t="shared" ref="AA114" si="99">C114+E114+G114+I114+K114+M114+O114+Q114+S114+U114+W114+Y114</f>
        <v>8333.3333333333339</v>
      </c>
      <c r="AB114" s="467">
        <f t="shared" ref="AB114" si="100">AA114/AA$12</f>
        <v>6.2733131060810495E-4</v>
      </c>
      <c r="AC114" s="472">
        <f t="shared" si="50"/>
        <v>694.44444444444446</v>
      </c>
      <c r="AD114" s="467">
        <f t="shared" ref="AD114" si="101">AC114/AC$12</f>
        <v>6.2733131060810495E-4</v>
      </c>
      <c r="AE114" s="645"/>
      <c r="AF114" s="226"/>
      <c r="AG114" s="226"/>
    </row>
    <row r="115" spans="1:33" s="1" customFormat="1" ht="15.75" thickBot="1">
      <c r="A115" s="4">
        <v>6399</v>
      </c>
      <c r="B115" s="4" t="s">
        <v>101</v>
      </c>
      <c r="C115" s="473">
        <f>SUM(C94:C114)</f>
        <v>28451.580276571309</v>
      </c>
      <c r="D115" s="752">
        <f>C115/C12</f>
        <v>2.8477409286794431E-2</v>
      </c>
      <c r="E115" s="473">
        <f>SUM(E94:E114)</f>
        <v>59011.93243322162</v>
      </c>
      <c r="F115" s="752">
        <f>E115/E12</f>
        <v>7.5919477404161842E-2</v>
      </c>
      <c r="G115" s="473">
        <f>SUM(G94:G114)</f>
        <v>41033.180989272747</v>
      </c>
      <c r="H115" s="752">
        <f>G115/G12</f>
        <v>3.1824412760180859E-2</v>
      </c>
      <c r="I115" s="473">
        <f>SUM(I94:I114)</f>
        <v>45576.876537564705</v>
      </c>
      <c r="J115" s="752">
        <f>I115/I12</f>
        <v>4.0032425621423215E-2</v>
      </c>
      <c r="K115" s="473">
        <f>SUM(K94:K114)</f>
        <v>52192.751271932051</v>
      </c>
      <c r="L115" s="752">
        <f>K115/K12</f>
        <v>5.0123984077117191E-2</v>
      </c>
      <c r="M115" s="473">
        <f>SUM(M94:M114)</f>
        <v>21206.865983747521</v>
      </c>
      <c r="N115" s="752">
        <f>M115/M12</f>
        <v>1.436282288702727E-2</v>
      </c>
      <c r="O115" s="473">
        <f>SUM(O94:O114)</f>
        <v>23870.940199140539</v>
      </c>
      <c r="P115" s="752">
        <f>O115/O12</f>
        <v>2.5536016130959772E-2</v>
      </c>
      <c r="Q115" s="473">
        <f>SUM(Q94:Q114)</f>
        <v>63360.853600516668</v>
      </c>
      <c r="R115" s="752">
        <f>Q115/Q12</f>
        <v>5.4585145218580294E-2</v>
      </c>
      <c r="S115" s="473">
        <f>SUM(S94:S114)</f>
        <v>41117.417305397641</v>
      </c>
      <c r="T115" s="752">
        <f>S115/S12</f>
        <v>3.5163017423888616E-2</v>
      </c>
      <c r="U115" s="473">
        <f>SUM(U94:U114)</f>
        <v>40811.485922896085</v>
      </c>
      <c r="V115" s="752">
        <f>U115/U12</f>
        <v>4.400038763998846E-2</v>
      </c>
      <c r="W115" s="473">
        <f>SUM(W94:W114)</f>
        <v>33966.733724395854</v>
      </c>
      <c r="X115" s="752">
        <f>W115/W12</f>
        <v>3.5993031076495881E-2</v>
      </c>
      <c r="Y115" s="473">
        <f>SUM(Y94:Y114)</f>
        <v>38225.966172135639</v>
      </c>
      <c r="Z115" s="752">
        <f>Y115/Y12</f>
        <v>2.6813615340515001E-2</v>
      </c>
      <c r="AA115" s="473">
        <f>SUM(AA94:AA114)</f>
        <v>488826.58441679232</v>
      </c>
      <c r="AB115" s="752">
        <f>AA115/AA12</f>
        <v>3.6798746623472371E-2</v>
      </c>
      <c r="AC115" s="491">
        <f t="shared" si="50"/>
        <v>40735.548701399362</v>
      </c>
      <c r="AD115" s="752">
        <f>AC115/AC12</f>
        <v>3.6798746623472371E-2</v>
      </c>
      <c r="AE115" s="650"/>
      <c r="AF115" s="553"/>
      <c r="AG115" s="553"/>
    </row>
    <row r="116" spans="1:33" s="1" customFormat="1" ht="15.75" thickTop="1">
      <c r="A116" s="21">
        <v>6401</v>
      </c>
      <c r="B116" s="21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464">
        <f t="shared" ref="AA116:AA128" si="102">C116+E116+G116+I116+K116+M116+O116+Q116+S116+U116+W116+Y116</f>
        <v>0</v>
      </c>
      <c r="AB116" s="467">
        <f>AA116/AA12</f>
        <v>0</v>
      </c>
      <c r="AC116" s="472">
        <f t="shared" si="50"/>
        <v>0</v>
      </c>
      <c r="AD116" s="467">
        <f>AC116/AC12</f>
        <v>0</v>
      </c>
      <c r="AE116" s="645"/>
      <c r="AF116" s="226"/>
      <c r="AG116" s="226"/>
    </row>
    <row r="117" spans="1:33" s="1" customFormat="1">
      <c r="A117" s="188">
        <v>6402</v>
      </c>
      <c r="B117" s="2" t="s">
        <v>75</v>
      </c>
      <c r="C117" s="452">
        <v>500</v>
      </c>
      <c r="D117" s="467">
        <f>C117/C12</f>
        <v>5.0045391169790997E-4</v>
      </c>
      <c r="E117" s="452">
        <v>500</v>
      </c>
      <c r="F117" s="467">
        <f>E117/E12</f>
        <v>6.4325530679810333E-4</v>
      </c>
      <c r="G117" s="452">
        <v>500</v>
      </c>
      <c r="H117" s="467">
        <f>G117/G12</f>
        <v>3.8778876013171725E-4</v>
      </c>
      <c r="I117" s="452">
        <v>500</v>
      </c>
      <c r="J117" s="467">
        <f>I117/I12</f>
        <v>4.391747379663926E-4</v>
      </c>
      <c r="K117" s="452">
        <v>500</v>
      </c>
      <c r="L117" s="467">
        <f>K117/K12</f>
        <v>4.801814701812109E-4</v>
      </c>
      <c r="M117" s="452">
        <v>500</v>
      </c>
      <c r="N117" s="467">
        <f>M117/M12</f>
        <v>3.3863614967988726E-4</v>
      </c>
      <c r="O117" s="452">
        <v>500</v>
      </c>
      <c r="P117" s="467">
        <f>O117/O12</f>
        <v>5.3487663070512787E-4</v>
      </c>
      <c r="Q117" s="452">
        <v>500</v>
      </c>
      <c r="R117" s="467">
        <f>Q117/Q12</f>
        <v>4.3074818375028322E-4</v>
      </c>
      <c r="S117" s="452">
        <v>500</v>
      </c>
      <c r="T117" s="467">
        <f>S117/S12</f>
        <v>4.2759272989736918E-4</v>
      </c>
      <c r="U117" s="452">
        <v>500</v>
      </c>
      <c r="V117" s="467">
        <f>U117/U12</f>
        <v>5.3906867938007777E-4</v>
      </c>
      <c r="W117" s="452">
        <v>500</v>
      </c>
      <c r="X117" s="467">
        <f>W117/W12</f>
        <v>5.2982767446144944E-4</v>
      </c>
      <c r="Y117" s="452">
        <v>500</v>
      </c>
      <c r="Z117" s="467">
        <f>Y117/Y12</f>
        <v>3.5072514870873904E-4</v>
      </c>
      <c r="AA117" s="464">
        <f t="shared" si="102"/>
        <v>6000</v>
      </c>
      <c r="AB117" s="467">
        <f>AA117/AA12</f>
        <v>4.5167854363783555E-4</v>
      </c>
      <c r="AC117" s="472">
        <f t="shared" si="50"/>
        <v>500</v>
      </c>
      <c r="AD117" s="467">
        <f>AC117/AC12</f>
        <v>4.5167854363783555E-4</v>
      </c>
      <c r="AE117" s="645" t="s">
        <v>224</v>
      </c>
      <c r="AF117" s="226" t="s">
        <v>244</v>
      </c>
      <c r="AG117" s="226"/>
    </row>
    <row r="118" spans="1:33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464">
        <f t="shared" si="102"/>
        <v>0</v>
      </c>
      <c r="AB118" s="467">
        <f>AA118/AA12</f>
        <v>0</v>
      </c>
      <c r="AC118" s="472">
        <f t="shared" si="50"/>
        <v>0</v>
      </c>
      <c r="AD118" s="467">
        <f>AC118/AC12</f>
        <v>0</v>
      </c>
      <c r="AE118" s="645"/>
      <c r="AF118" s="226"/>
      <c r="AG118" s="226"/>
    </row>
    <row r="119" spans="1:33" s="1" customFormat="1">
      <c r="A119" s="695">
        <v>6404</v>
      </c>
      <c r="B119" s="695" t="s">
        <v>92</v>
      </c>
      <c r="C119" s="707">
        <v>2000</v>
      </c>
      <c r="D119" s="467">
        <f>C119/C12</f>
        <v>2.0018156467916399E-3</v>
      </c>
      <c r="E119" s="707">
        <v>2000</v>
      </c>
      <c r="F119" s="467">
        <f>E119/E12</f>
        <v>2.5730212271924133E-3</v>
      </c>
      <c r="G119" s="707">
        <v>2000</v>
      </c>
      <c r="H119" s="467">
        <f>G119/G12</f>
        <v>1.551155040526869E-3</v>
      </c>
      <c r="I119" s="707">
        <v>2000</v>
      </c>
      <c r="J119" s="467">
        <f>I119/I12</f>
        <v>1.7566989518655704E-3</v>
      </c>
      <c r="K119" s="707">
        <v>2000</v>
      </c>
      <c r="L119" s="467">
        <f>K119/K12</f>
        <v>1.9207258807248436E-3</v>
      </c>
      <c r="M119" s="707">
        <v>2000</v>
      </c>
      <c r="N119" s="467">
        <f>M119/M12</f>
        <v>1.354544598719549E-3</v>
      </c>
      <c r="O119" s="707">
        <v>2000</v>
      </c>
      <c r="P119" s="467">
        <f>O119/O12</f>
        <v>2.1395065228205115E-3</v>
      </c>
      <c r="Q119" s="707">
        <v>2000</v>
      </c>
      <c r="R119" s="467">
        <f>Q119/Q12</f>
        <v>1.7229927350011329E-3</v>
      </c>
      <c r="S119" s="707">
        <v>2000</v>
      </c>
      <c r="T119" s="467">
        <f>S119/S12</f>
        <v>1.7103709195894767E-3</v>
      </c>
      <c r="U119" s="707">
        <v>2000</v>
      </c>
      <c r="V119" s="467">
        <f>U119/U12</f>
        <v>2.1562747175203111E-3</v>
      </c>
      <c r="W119" s="707">
        <v>2000</v>
      </c>
      <c r="X119" s="467">
        <f>W119/W12</f>
        <v>2.1193106978457978E-3</v>
      </c>
      <c r="Y119" s="707">
        <v>2000</v>
      </c>
      <c r="Z119" s="467">
        <f>Y119/Y12</f>
        <v>1.4029005948349561E-3</v>
      </c>
      <c r="AA119" s="464">
        <f t="shared" si="102"/>
        <v>24000</v>
      </c>
      <c r="AB119" s="467">
        <f>AA119/AA12</f>
        <v>1.8067141745513422E-3</v>
      </c>
      <c r="AC119" s="472">
        <f t="shared" si="50"/>
        <v>2000</v>
      </c>
      <c r="AD119" s="467">
        <v>0</v>
      </c>
      <c r="AE119" s="645" t="s">
        <v>224</v>
      </c>
      <c r="AF119" s="226" t="s">
        <v>319</v>
      </c>
      <c r="AG119" s="226"/>
    </row>
    <row r="120" spans="1:33" s="1" customFormat="1">
      <c r="A120" s="188">
        <v>6406</v>
      </c>
      <c r="B120" s="2" t="s">
        <v>72</v>
      </c>
      <c r="C120" s="452">
        <v>750</v>
      </c>
      <c r="D120" s="467">
        <f>C120/C12</f>
        <v>7.5068086754686496E-4</v>
      </c>
      <c r="E120" s="452">
        <v>750</v>
      </c>
      <c r="F120" s="467">
        <f>E120/E12</f>
        <v>9.648829601971551E-4</v>
      </c>
      <c r="G120" s="452">
        <v>750</v>
      </c>
      <c r="H120" s="467">
        <f>G120/G12</f>
        <v>5.8168314019757593E-4</v>
      </c>
      <c r="I120" s="452">
        <v>750</v>
      </c>
      <c r="J120" s="467">
        <f>I120/I12</f>
        <v>6.5876210694958885E-4</v>
      </c>
      <c r="K120" s="452">
        <v>750</v>
      </c>
      <c r="L120" s="467">
        <f>K120/K12</f>
        <v>7.2027220527181635E-4</v>
      </c>
      <c r="M120" s="452">
        <v>750</v>
      </c>
      <c r="N120" s="467">
        <f>M120/M12</f>
        <v>5.0795422451983092E-4</v>
      </c>
      <c r="O120" s="452">
        <v>750</v>
      </c>
      <c r="P120" s="467">
        <f>O120/O12</f>
        <v>8.0231494605769176E-4</v>
      </c>
      <c r="Q120" s="452">
        <v>750</v>
      </c>
      <c r="R120" s="467">
        <f>Q120/Q12</f>
        <v>6.4612227562542478E-4</v>
      </c>
      <c r="S120" s="452">
        <v>750</v>
      </c>
      <c r="T120" s="467">
        <f>S120/S12</f>
        <v>6.4138909484605378E-4</v>
      </c>
      <c r="U120" s="452">
        <v>750</v>
      </c>
      <c r="V120" s="467">
        <f>U120/U12</f>
        <v>8.0860301907011666E-4</v>
      </c>
      <c r="W120" s="452">
        <v>750</v>
      </c>
      <c r="X120" s="467">
        <f>W120/W12</f>
        <v>7.9474151169217416E-4</v>
      </c>
      <c r="Y120" s="452">
        <v>750</v>
      </c>
      <c r="Z120" s="467">
        <f>Y120/Y12</f>
        <v>5.2608772306310858E-4</v>
      </c>
      <c r="AA120" s="464">
        <f t="shared" si="102"/>
        <v>9000</v>
      </c>
      <c r="AB120" s="467">
        <f>AA120/AA12</f>
        <v>6.7751781545675332E-4</v>
      </c>
      <c r="AC120" s="472">
        <f t="shared" si="50"/>
        <v>750</v>
      </c>
      <c r="AD120" s="467">
        <f>AC120/AC12</f>
        <v>6.7751781545675332E-4</v>
      </c>
      <c r="AE120" s="645" t="s">
        <v>224</v>
      </c>
      <c r="AF120" s="226"/>
      <c r="AG120" s="226"/>
    </row>
    <row r="121" spans="1:33" s="1" customFormat="1">
      <c r="A121" s="188">
        <v>6407</v>
      </c>
      <c r="B121" s="2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464">
        <f t="shared" si="102"/>
        <v>0</v>
      </c>
      <c r="AB121" s="467">
        <f>AA121/AA12</f>
        <v>0</v>
      </c>
      <c r="AC121" s="472">
        <f t="shared" si="50"/>
        <v>0</v>
      </c>
      <c r="AD121" s="467">
        <f>AC121/AC12</f>
        <v>0</v>
      </c>
      <c r="AE121" s="645"/>
      <c r="AF121" s="226"/>
      <c r="AG121" s="226"/>
    </row>
    <row r="122" spans="1:33" s="1" customFormat="1">
      <c r="A122" s="2">
        <v>6408</v>
      </c>
      <c r="B122" s="2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464">
        <f t="shared" si="102"/>
        <v>0</v>
      </c>
      <c r="AB122" s="467">
        <f>AA122/AA12</f>
        <v>0</v>
      </c>
      <c r="AC122" s="472">
        <f t="shared" si="50"/>
        <v>0</v>
      </c>
      <c r="AD122" s="467">
        <f>AC122/AC12</f>
        <v>0</v>
      </c>
      <c r="AE122" s="645"/>
      <c r="AF122" s="226"/>
      <c r="AG122" s="226"/>
    </row>
    <row r="123" spans="1:33" s="1" customFormat="1">
      <c r="A123" s="2">
        <v>6410</v>
      </c>
      <c r="B123" s="2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464">
        <f t="shared" si="102"/>
        <v>0</v>
      </c>
      <c r="AB123" s="467"/>
      <c r="AC123" s="472">
        <f t="shared" si="50"/>
        <v>0</v>
      </c>
      <c r="AD123" s="467"/>
      <c r="AE123" s="645"/>
      <c r="AF123" s="226"/>
      <c r="AG123" s="226"/>
    </row>
    <row r="124" spans="1:33" s="1" customFormat="1">
      <c r="A124" s="2">
        <v>6411</v>
      </c>
      <c r="B124" s="2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464">
        <f t="shared" si="102"/>
        <v>0</v>
      </c>
      <c r="AB124" s="467"/>
      <c r="AC124" s="472">
        <f t="shared" si="50"/>
        <v>0</v>
      </c>
      <c r="AD124" s="467"/>
      <c r="AE124" s="645"/>
      <c r="AF124" s="226"/>
      <c r="AG124" s="226"/>
    </row>
    <row r="125" spans="1:33" s="1" customFormat="1">
      <c r="A125" s="2">
        <v>6412</v>
      </c>
      <c r="B125" s="2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464">
        <f t="shared" si="102"/>
        <v>0</v>
      </c>
      <c r="AB125" s="467">
        <f>AA125/AA12</f>
        <v>0</v>
      </c>
      <c r="AC125" s="472">
        <f t="shared" si="50"/>
        <v>0</v>
      </c>
      <c r="AD125" s="467">
        <f>AC125/AC12</f>
        <v>0</v>
      </c>
      <c r="AE125" s="645"/>
      <c r="AF125" s="226"/>
      <c r="AG125" s="226"/>
    </row>
    <row r="126" spans="1:33" s="1" customFormat="1">
      <c r="A126" s="188">
        <v>6413</v>
      </c>
      <c r="B126" s="188" t="s">
        <v>41</v>
      </c>
      <c r="C126" s="452">
        <f>C12*1%</f>
        <v>9990.93</v>
      </c>
      <c r="D126" s="467">
        <f>C126/C12</f>
        <v>0.01</v>
      </c>
      <c r="E126" s="452">
        <f>E12*1%</f>
        <v>7772.9634674733206</v>
      </c>
      <c r="F126" s="467">
        <f>E126/E12</f>
        <v>0.01</v>
      </c>
      <c r="G126" s="452">
        <f>G12*1%</f>
        <v>12893.6176445694</v>
      </c>
      <c r="H126" s="467">
        <f>G126/G12</f>
        <v>0.01</v>
      </c>
      <c r="I126" s="452">
        <f>I12*1%</f>
        <v>11384.99</v>
      </c>
      <c r="J126" s="467">
        <f>I126/I12</f>
        <v>0.01</v>
      </c>
      <c r="K126" s="452">
        <f>K12*1%</f>
        <v>10412.73</v>
      </c>
      <c r="L126" s="467">
        <f>K126/K12</f>
        <v>0.01</v>
      </c>
      <c r="M126" s="452">
        <f>M12*1%</f>
        <v>14765.11</v>
      </c>
      <c r="N126" s="467">
        <f>M126/M12</f>
        <v>0.01</v>
      </c>
      <c r="O126" s="452">
        <f>O12*1%</f>
        <v>9347.9500000000007</v>
      </c>
      <c r="P126" s="467">
        <f>O126/O12</f>
        <v>0.01</v>
      </c>
      <c r="Q126" s="452">
        <f>Q12*1%</f>
        <v>11607.710000000001</v>
      </c>
      <c r="R126" s="467">
        <f>Q126/Q12</f>
        <v>0.01</v>
      </c>
      <c r="S126" s="452">
        <f>S12*1%</f>
        <v>11693.37</v>
      </c>
      <c r="T126" s="467">
        <f>S126/S12</f>
        <v>0.01</v>
      </c>
      <c r="U126" s="452">
        <f>U12*1%</f>
        <v>9275.2559947462305</v>
      </c>
      <c r="V126" s="467">
        <f>U126/U12</f>
        <v>0.01</v>
      </c>
      <c r="W126" s="452">
        <f>W12*1%</f>
        <v>9437.0306441284301</v>
      </c>
      <c r="X126" s="467">
        <f>W126/W12</f>
        <v>0.01</v>
      </c>
      <c r="Y126" s="452">
        <f>Y12*1%</f>
        <v>14256.1775749713</v>
      </c>
      <c r="Z126" s="467">
        <f>Y126/Y12</f>
        <v>0.01</v>
      </c>
      <c r="AA126" s="464">
        <f t="shared" si="102"/>
        <v>132837.83532588868</v>
      </c>
      <c r="AB126" s="467">
        <f>AA126/AA12</f>
        <v>1.0000000000000004E-2</v>
      </c>
      <c r="AC126" s="472">
        <f t="shared" si="50"/>
        <v>11069.819610490724</v>
      </c>
      <c r="AD126" s="467">
        <f>AC126/AC12</f>
        <v>1.0000000000000004E-2</v>
      </c>
      <c r="AE126" s="645" t="s">
        <v>289</v>
      </c>
      <c r="AF126" s="226"/>
      <c r="AG126" s="226"/>
    </row>
    <row r="127" spans="1:33" s="1" customFormat="1">
      <c r="A127" s="188">
        <v>6414</v>
      </c>
      <c r="B127" s="188" t="s">
        <v>43</v>
      </c>
      <c r="C127" s="486">
        <v>250</v>
      </c>
      <c r="D127" s="467">
        <f>C127/C12</f>
        <v>2.5022695584895499E-4</v>
      </c>
      <c r="E127" s="486">
        <v>250</v>
      </c>
      <c r="F127" s="467">
        <f>E127/E12</f>
        <v>3.2162765339905166E-4</v>
      </c>
      <c r="G127" s="486">
        <v>250</v>
      </c>
      <c r="H127" s="467">
        <f>G127/G12</f>
        <v>1.9389438006585862E-4</v>
      </c>
      <c r="I127" s="486">
        <v>250</v>
      </c>
      <c r="J127" s="467">
        <f>I127/I12</f>
        <v>2.195873689831963E-4</v>
      </c>
      <c r="K127" s="486">
        <v>250</v>
      </c>
      <c r="L127" s="467">
        <f>K127/K12</f>
        <v>2.4009073509060545E-4</v>
      </c>
      <c r="M127" s="486">
        <v>250</v>
      </c>
      <c r="N127" s="467">
        <f>M127/M12</f>
        <v>1.6931807483994363E-4</v>
      </c>
      <c r="O127" s="486">
        <v>250</v>
      </c>
      <c r="P127" s="467">
        <f>O127/O12</f>
        <v>2.6743831535256394E-4</v>
      </c>
      <c r="Q127" s="486">
        <v>250</v>
      </c>
      <c r="R127" s="467">
        <f>Q127/Q12</f>
        <v>2.1537409187514161E-4</v>
      </c>
      <c r="S127" s="486">
        <v>250</v>
      </c>
      <c r="T127" s="467">
        <f>S127/S12</f>
        <v>2.1379636494868459E-4</v>
      </c>
      <c r="U127" s="486">
        <v>250</v>
      </c>
      <c r="V127" s="467">
        <f>U127/U12</f>
        <v>2.6953433969003889E-4</v>
      </c>
      <c r="W127" s="486">
        <v>250</v>
      </c>
      <c r="X127" s="467">
        <f>W127/W12</f>
        <v>2.6491383723072472E-4</v>
      </c>
      <c r="Y127" s="486">
        <v>250</v>
      </c>
      <c r="Z127" s="467">
        <f>Y127/Y12</f>
        <v>1.7536257435436952E-4</v>
      </c>
      <c r="AA127" s="464">
        <f t="shared" si="102"/>
        <v>3000</v>
      </c>
      <c r="AB127" s="467">
        <f>AA127/AA12</f>
        <v>2.2583927181891777E-4</v>
      </c>
      <c r="AC127" s="472">
        <f t="shared" si="50"/>
        <v>250</v>
      </c>
      <c r="AD127" s="467">
        <f>AC127/AC12</f>
        <v>2.2583927181891777E-4</v>
      </c>
      <c r="AE127" s="645" t="s">
        <v>320</v>
      </c>
      <c r="AF127" s="226"/>
      <c r="AG127" s="226"/>
    </row>
    <row r="128" spans="1:33" s="1" customFormat="1">
      <c r="A128" s="2">
        <v>6415</v>
      </c>
      <c r="B128" s="2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464">
        <f t="shared" si="102"/>
        <v>0</v>
      </c>
      <c r="AB128" s="467">
        <f>AA128/AA12</f>
        <v>0</v>
      </c>
      <c r="AC128" s="472">
        <f t="shared" si="50"/>
        <v>0</v>
      </c>
      <c r="AD128" s="467">
        <f>AC128/AC12</f>
        <v>0</v>
      </c>
      <c r="AE128" s="645"/>
      <c r="AF128" s="226"/>
      <c r="AG128" s="226"/>
    </row>
    <row r="129" spans="1:33" s="1" customFormat="1" ht="15.75" thickBot="1">
      <c r="A129" s="4">
        <v>6499</v>
      </c>
      <c r="B129" s="4" t="s">
        <v>102</v>
      </c>
      <c r="C129" s="28">
        <f>SUM(C116:C128)</f>
        <v>13490.93</v>
      </c>
      <c r="D129" s="96">
        <f>C129/C12</f>
        <v>1.350317738188537E-2</v>
      </c>
      <c r="E129" s="28">
        <f>SUM(E116:E128)</f>
        <v>11272.963467473321</v>
      </c>
      <c r="F129" s="96">
        <f>E129/E12</f>
        <v>1.4502787147586724E-2</v>
      </c>
      <c r="G129" s="28">
        <f>SUM(G116:G128)</f>
        <v>16393.6176445694</v>
      </c>
      <c r="H129" s="96">
        <f>G129/G12</f>
        <v>1.2714521320922021E-2</v>
      </c>
      <c r="I129" s="28">
        <f>SUM(I116:I128)</f>
        <v>14884.99</v>
      </c>
      <c r="J129" s="96">
        <f>I129/I12</f>
        <v>1.3074223165764749E-2</v>
      </c>
      <c r="K129" s="28">
        <f>SUM(K117:K128)</f>
        <v>13912.73</v>
      </c>
      <c r="L129" s="96">
        <f>K129/K12</f>
        <v>1.3361270291268476E-2</v>
      </c>
      <c r="M129" s="376">
        <f>SUM(M117:M128)</f>
        <v>18265.11</v>
      </c>
      <c r="N129" s="96">
        <f>M129/M12</f>
        <v>1.2370453047759212E-2</v>
      </c>
      <c r="O129" s="28">
        <f>SUM(O117:O128)</f>
        <v>12847.95</v>
      </c>
      <c r="P129" s="96">
        <f>O129/O12</f>
        <v>1.3744136414935895E-2</v>
      </c>
      <c r="Q129" s="28">
        <f>SUM(Q117:Q128)</f>
        <v>15107.710000000001</v>
      </c>
      <c r="R129" s="96">
        <f>Q129/Q12</f>
        <v>1.3015237286251983E-2</v>
      </c>
      <c r="S129" s="28">
        <f>SUM(S117:S128)</f>
        <v>15193.37</v>
      </c>
      <c r="T129" s="96">
        <f>S129/S12</f>
        <v>1.2993149109281584E-2</v>
      </c>
      <c r="U129" s="28">
        <f>SUM(U117:U128)</f>
        <v>12775.25599474623</v>
      </c>
      <c r="V129" s="96">
        <f>U129/U12</f>
        <v>1.3773480755660546E-2</v>
      </c>
      <c r="W129" s="28">
        <f>SUM(W117:W128)</f>
        <v>12937.03064412843</v>
      </c>
      <c r="X129" s="96">
        <f>W129/W12</f>
        <v>1.3708793721230147E-2</v>
      </c>
      <c r="Y129" s="28">
        <f>SUM(Y117:Y128)</f>
        <v>17756.177574971298</v>
      </c>
      <c r="Z129" s="96">
        <f>Y129/Y12</f>
        <v>1.2455076040961173E-2</v>
      </c>
      <c r="AA129" s="158">
        <f>SUM(AA116:AA128)</f>
        <v>174837.83532588868</v>
      </c>
      <c r="AB129" s="96">
        <f>AA129/AA12</f>
        <v>1.3161749805464851E-2</v>
      </c>
      <c r="AC129" s="132">
        <f t="shared" si="50"/>
        <v>14569.819610490724</v>
      </c>
      <c r="AD129" s="96">
        <f>AC129/AC12</f>
        <v>1.3161749805464851E-2</v>
      </c>
      <c r="AE129" s="650"/>
      <c r="AF129" s="553"/>
      <c r="AG129" s="553"/>
    </row>
    <row r="130" spans="1:33" s="1" customFormat="1" ht="15.75" thickTop="1">
      <c r="A130" s="222"/>
      <c r="B130" s="222"/>
      <c r="C130" s="32"/>
      <c r="D130" s="68"/>
      <c r="E130" s="32"/>
      <c r="F130" s="68"/>
      <c r="G130" s="32"/>
      <c r="H130" s="68"/>
      <c r="I130" s="32"/>
      <c r="J130" s="68"/>
      <c r="K130" s="32"/>
      <c r="L130" s="68"/>
      <c r="M130" s="32"/>
      <c r="N130" s="702"/>
      <c r="O130" s="32"/>
      <c r="P130" s="702"/>
      <c r="Q130" s="32"/>
      <c r="R130" s="68"/>
      <c r="S130" s="32"/>
      <c r="T130" s="68"/>
      <c r="U130" s="32"/>
      <c r="V130" s="68"/>
      <c r="W130" s="32"/>
      <c r="X130" s="68"/>
      <c r="Y130" s="32"/>
      <c r="Z130" s="68"/>
      <c r="AA130" s="154"/>
      <c r="AB130" s="68"/>
      <c r="AC130" s="139">
        <f t="shared" si="50"/>
        <v>0</v>
      </c>
      <c r="AD130" s="68"/>
      <c r="AE130" s="645"/>
      <c r="AF130" s="226"/>
      <c r="AG130" s="226"/>
    </row>
    <row r="131" spans="1:33" s="1" customFormat="1" ht="15.75" thickBot="1">
      <c r="A131" s="4"/>
      <c r="B131" s="4" t="s">
        <v>133</v>
      </c>
      <c r="C131" s="252">
        <f>C37-C41-C76-C93-C115-C129</f>
        <v>11384.871118185678</v>
      </c>
      <c r="D131" s="259">
        <f>C131/C12</f>
        <v>1.1395206570545163E-2</v>
      </c>
      <c r="E131" s="252">
        <f>E37-E41-E76-E93-E115-E129</f>
        <v>-67598.030946431478</v>
      </c>
      <c r="F131" s="259">
        <f>E131/E12</f>
        <v>-8.6965584270788931E-2</v>
      </c>
      <c r="G131" s="252">
        <f>G37-G41-G76-G93-G115-G129</f>
        <v>167387.15053184115</v>
      </c>
      <c r="H131" s="259">
        <f>G131/G12</f>
        <v>0.12982171113344759</v>
      </c>
      <c r="I131" s="252">
        <f>I37-I41-I76-I93-I115-I129</f>
        <v>114472.6437571922</v>
      </c>
      <c r="J131" s="259">
        <f>I131/I12</f>
        <v>0.10054698665277018</v>
      </c>
      <c r="K131" s="252">
        <f>K37-K41-K76-K93-K115-K129</f>
        <v>806.65192282490534</v>
      </c>
      <c r="L131" s="259">
        <f>K131/K12</f>
        <v>7.7467861245312738E-4</v>
      </c>
      <c r="M131" s="252">
        <f>M37-M41-M76-M93-M115-M129</f>
        <v>171114.94281100942</v>
      </c>
      <c r="N131" s="259">
        <f>M131/M12</f>
        <v>0.11589141077242866</v>
      </c>
      <c r="O131" s="252">
        <f>O37-O41-O76-O93-O115-O129</f>
        <v>-33801.166804383611</v>
      </c>
      <c r="P131" s="259">
        <f>O131/O12</f>
        <v>-3.6158908428461436E-2</v>
      </c>
      <c r="Q131" s="252">
        <f>Q37-Q41-Q76-Q93-Q115-Q129</f>
        <v>69867.592094240361</v>
      </c>
      <c r="R131" s="259">
        <f>Q131/Q12</f>
        <v>6.0190676795199363E-2</v>
      </c>
      <c r="S131" s="287">
        <f>S37-S41-S76-S93-S115-S129</f>
        <v>73837.149689359198</v>
      </c>
      <c r="T131" s="259">
        <f>S131/S12</f>
        <v>6.3144456807027571E-2</v>
      </c>
      <c r="U131" s="252">
        <f>U37-U41-U76-U93-U115-U129</f>
        <v>-4736.2967501109106</v>
      </c>
      <c r="V131" s="259">
        <f>U131/U12</f>
        <v>-5.106378468468886E-3</v>
      </c>
      <c r="W131" s="252">
        <f>W37-W41-W76-W93-W115-W129</f>
        <v>36122.082639877161</v>
      </c>
      <c r="X131" s="259">
        <f>W131/W12</f>
        <v>3.8276958083580823E-2</v>
      </c>
      <c r="Y131" s="252">
        <f>Y37-Y41-Y76-Y93-Y115-Y129</f>
        <v>168410.98610673868</v>
      </c>
      <c r="Z131" s="259">
        <f>Y131/Y12</f>
        <v>0.11813193629294262</v>
      </c>
      <c r="AA131" s="252">
        <f>AA37-AA41-AA76-AA93-AA115-AA129</f>
        <v>707268.5761703396</v>
      </c>
      <c r="AB131" s="259">
        <f>AA131/AA12</f>
        <v>5.3243006740904091E-2</v>
      </c>
      <c r="AC131" s="255">
        <f t="shared" si="50"/>
        <v>58939.048014194967</v>
      </c>
      <c r="AD131" s="259">
        <f>AC131/AC12</f>
        <v>5.3243006740904091E-2</v>
      </c>
      <c r="AE131" s="652"/>
      <c r="AF131" s="554"/>
      <c r="AG131" s="554"/>
    </row>
    <row r="132" spans="1:33" s="1" customFormat="1" ht="15.75" thickTop="1">
      <c r="A132" s="222"/>
      <c r="B132" s="222"/>
      <c r="C132" s="32"/>
      <c r="D132" s="68"/>
      <c r="E132" s="32"/>
      <c r="F132" s="68"/>
      <c r="G132" s="32"/>
      <c r="H132" s="68"/>
      <c r="I132" s="32"/>
      <c r="J132" s="68"/>
      <c r="K132" s="32"/>
      <c r="L132" s="68"/>
      <c r="M132" s="32"/>
      <c r="N132" s="702"/>
      <c r="O132" s="32"/>
      <c r="P132" s="702"/>
      <c r="Q132" s="32"/>
      <c r="R132" s="68"/>
      <c r="S132" s="32"/>
      <c r="T132" s="68"/>
      <c r="U132" s="32"/>
      <c r="V132" s="68"/>
      <c r="W132" s="32"/>
      <c r="X132" s="68"/>
      <c r="Y132" s="32"/>
      <c r="Z132" s="68"/>
      <c r="AA132" s="154"/>
      <c r="AB132" s="68"/>
      <c r="AC132" s="139">
        <f t="shared" si="50"/>
        <v>0</v>
      </c>
      <c r="AD132" s="68"/>
      <c r="AE132" s="645"/>
      <c r="AF132" s="226"/>
      <c r="AG132" s="226"/>
    </row>
    <row r="133" spans="1:33" s="1" customFormat="1" ht="15.75" thickBot="1">
      <c r="A133" s="4"/>
      <c r="B133" s="4" t="s">
        <v>149</v>
      </c>
      <c r="C133" s="28"/>
      <c r="D133" s="28"/>
      <c r="E133" s="28"/>
      <c r="F133" s="28"/>
      <c r="G133" s="28"/>
      <c r="H133" s="28"/>
      <c r="I133" s="274"/>
      <c r="J133" s="28"/>
      <c r="K133" s="28"/>
      <c r="L133" s="28"/>
      <c r="M133" s="28"/>
      <c r="N133" s="28"/>
      <c r="O133" s="28"/>
      <c r="P133" s="28"/>
      <c r="Q133" s="273"/>
      <c r="R133" s="28"/>
      <c r="S133" s="28"/>
      <c r="T133" s="28"/>
      <c r="U133" s="28"/>
      <c r="V133" s="28"/>
      <c r="W133" s="28"/>
      <c r="X133" s="28"/>
      <c r="Y133" s="28"/>
      <c r="Z133" s="28"/>
      <c r="AA133" s="175">
        <f>C133+E133+G133+I133+K133+M133+O133+Q133+S133+U133+W133+Y133</f>
        <v>0</v>
      </c>
      <c r="AB133" s="28"/>
      <c r="AC133" s="172">
        <f t="shared" si="50"/>
        <v>0</v>
      </c>
      <c r="AD133" s="28"/>
      <c r="AE133" s="653"/>
      <c r="AF133" s="381"/>
      <c r="AG133" s="381"/>
    </row>
    <row r="134" spans="1:33" s="1" customFormat="1" ht="15.75" thickTop="1">
      <c r="A134" s="222"/>
      <c r="B134" s="222"/>
      <c r="C134" s="32"/>
      <c r="D134" s="68"/>
      <c r="E134" s="32"/>
      <c r="F134" s="68"/>
      <c r="G134" s="32"/>
      <c r="H134" s="68"/>
      <c r="I134" s="32"/>
      <c r="J134" s="68"/>
      <c r="K134" s="32"/>
      <c r="L134" s="68"/>
      <c r="M134" s="32"/>
      <c r="N134" s="702"/>
      <c r="O134" s="32"/>
      <c r="P134" s="702"/>
      <c r="Q134" s="32"/>
      <c r="R134" s="68"/>
      <c r="S134" s="32"/>
      <c r="T134" s="68"/>
      <c r="U134" s="32"/>
      <c r="V134" s="68"/>
      <c r="W134" s="32"/>
      <c r="X134" s="68"/>
      <c r="Y134" s="32"/>
      <c r="Z134" s="68"/>
      <c r="AA134" s="154"/>
      <c r="AB134" s="68"/>
      <c r="AC134" s="139">
        <f t="shared" si="50"/>
        <v>0</v>
      </c>
      <c r="AD134" s="68"/>
      <c r="AE134" s="645"/>
      <c r="AF134" s="226"/>
      <c r="AG134" s="226"/>
    </row>
    <row r="135" spans="1:33" s="1" customFormat="1" ht="15.75" thickBot="1">
      <c r="A135" s="4"/>
      <c r="B135" s="4" t="s">
        <v>140</v>
      </c>
      <c r="C135" s="52">
        <f>C131-C133</f>
        <v>11384.871118185678</v>
      </c>
      <c r="D135" s="96">
        <f>C135/C12</f>
        <v>1.1395206570545163E-2</v>
      </c>
      <c r="E135" s="52">
        <f>E131-E133</f>
        <v>-67598.030946431478</v>
      </c>
      <c r="F135" s="96">
        <f>E135/E12</f>
        <v>-8.6965584270788931E-2</v>
      </c>
      <c r="G135" s="52">
        <f>G131-G133</f>
        <v>167387.15053184115</v>
      </c>
      <c r="H135" s="96">
        <f>G135/G12</f>
        <v>0.12982171113344759</v>
      </c>
      <c r="I135" s="52">
        <f>I131-I133</f>
        <v>114472.6437571922</v>
      </c>
      <c r="J135" s="96">
        <f>I135/I12</f>
        <v>0.10054698665277018</v>
      </c>
      <c r="K135" s="52">
        <f>K131-K133</f>
        <v>806.65192282490534</v>
      </c>
      <c r="L135" s="96">
        <f>K135/K12</f>
        <v>7.7467861245312738E-4</v>
      </c>
      <c r="M135" s="52">
        <f>M131-M133</f>
        <v>171114.94281100942</v>
      </c>
      <c r="N135" s="96">
        <f>M135/M12</f>
        <v>0.11589141077242866</v>
      </c>
      <c r="O135" s="52">
        <f>O131-O133</f>
        <v>-33801.166804383611</v>
      </c>
      <c r="P135" s="96">
        <f>O135/O12</f>
        <v>-3.6158908428461436E-2</v>
      </c>
      <c r="Q135" s="52">
        <f>Q131-Q133</f>
        <v>69867.592094240361</v>
      </c>
      <c r="R135" s="96">
        <f>Q135/Q12</f>
        <v>6.0190676795199363E-2</v>
      </c>
      <c r="S135" s="28">
        <f>S131-S133</f>
        <v>73837.149689359198</v>
      </c>
      <c r="T135" s="96">
        <f>S135/S12</f>
        <v>6.3144456807027571E-2</v>
      </c>
      <c r="U135" s="52">
        <f>U131-U133</f>
        <v>-4736.2967501109106</v>
      </c>
      <c r="V135" s="96">
        <f>U135/U12</f>
        <v>-5.106378468468886E-3</v>
      </c>
      <c r="W135" s="52">
        <f>W131-W133</f>
        <v>36122.082639877161</v>
      </c>
      <c r="X135" s="96">
        <f>W135/W12</f>
        <v>3.8276958083580823E-2</v>
      </c>
      <c r="Y135" s="52">
        <f>Y131-Y133</f>
        <v>168410.98610673868</v>
      </c>
      <c r="Z135" s="96">
        <f>Y135/Y12</f>
        <v>0.11813193629294262</v>
      </c>
      <c r="AA135" s="52">
        <f>AA131-AA133</f>
        <v>707268.5761703396</v>
      </c>
      <c r="AB135" s="96">
        <f>AA135/AA12</f>
        <v>5.3243006740904091E-2</v>
      </c>
      <c r="AC135" s="52">
        <f t="shared" si="50"/>
        <v>58939.048014194967</v>
      </c>
      <c r="AD135" s="96">
        <f>AC135/AC12</f>
        <v>5.3243006740904091E-2</v>
      </c>
      <c r="AE135" s="650"/>
      <c r="AF135" s="553"/>
      <c r="AG135" s="553"/>
    </row>
    <row r="136" spans="1:33" s="1" customFormat="1" ht="15.75" thickTop="1">
      <c r="A136" s="696">
        <v>6501</v>
      </c>
      <c r="B136" s="696" t="s">
        <v>148</v>
      </c>
      <c r="C136" s="32"/>
      <c r="D136" s="68"/>
      <c r="E136" s="32"/>
      <c r="F136" s="68"/>
      <c r="G136" s="32"/>
      <c r="H136" s="68"/>
      <c r="I136" s="32"/>
      <c r="J136" s="68"/>
      <c r="K136" s="32"/>
      <c r="L136" s="68"/>
      <c r="M136" s="32"/>
      <c r="N136" s="702"/>
      <c r="O136" s="32"/>
      <c r="P136" s="702"/>
      <c r="Q136" s="32"/>
      <c r="R136" s="68"/>
      <c r="S136" s="32"/>
      <c r="T136" s="68"/>
      <c r="U136" s="32"/>
      <c r="V136" s="68"/>
      <c r="W136" s="32"/>
      <c r="X136" s="68"/>
      <c r="Y136" s="32"/>
      <c r="Z136" s="68"/>
      <c r="AA136" s="144">
        <f t="shared" ref="AA136:AA143" si="103">C136+E136+G136+I136+K136+M136+O136+Q136+S136+U136+W136+Y136</f>
        <v>0</v>
      </c>
      <c r="AB136" s="68"/>
      <c r="AC136" s="128">
        <f t="shared" si="50"/>
        <v>0</v>
      </c>
      <c r="AD136" s="68"/>
      <c r="AE136" s="645"/>
      <c r="AF136" s="226"/>
      <c r="AG136" s="226"/>
    </row>
    <row r="137" spans="1:33" s="1" customFormat="1">
      <c r="A137" s="695">
        <v>6502</v>
      </c>
      <c r="B137" s="696" t="s">
        <v>136</v>
      </c>
      <c r="C137" s="33">
        <v>6183.98</v>
      </c>
      <c r="D137" s="106">
        <f>C137/C12</f>
        <v>6.1895939617232828E-3</v>
      </c>
      <c r="E137" s="33">
        <v>6183.98</v>
      </c>
      <c r="F137" s="106">
        <f>E137/E12</f>
        <v>7.9557559042666703E-3</v>
      </c>
      <c r="G137" s="33">
        <v>6183.98</v>
      </c>
      <c r="H137" s="106">
        <f>G137/G12</f>
        <v>4.7961558737586738E-3</v>
      </c>
      <c r="I137" s="33">
        <v>6183.98</v>
      </c>
      <c r="J137" s="106">
        <f>I137/I12</f>
        <v>5.4316955921788245E-3</v>
      </c>
      <c r="K137" s="33">
        <v>6183.98</v>
      </c>
      <c r="L137" s="106">
        <f>K137/K12</f>
        <v>5.9388652159424087E-3</v>
      </c>
      <c r="M137" s="33">
        <v>6183.98</v>
      </c>
      <c r="N137" s="106">
        <f>M137/M12</f>
        <v>4.1882383537948584E-3</v>
      </c>
      <c r="O137" s="33">
        <v>6183.98</v>
      </c>
      <c r="P137" s="106">
        <f>O137/O12</f>
        <v>6.6153327734957924E-3</v>
      </c>
      <c r="Q137" s="33">
        <v>6183.98</v>
      </c>
      <c r="R137" s="106">
        <f>Q137/Q12</f>
        <v>5.3274763066961522E-3</v>
      </c>
      <c r="S137" s="33">
        <v>6183.98</v>
      </c>
      <c r="T137" s="106">
        <f>S137/S12</f>
        <v>5.2884497796614662E-3</v>
      </c>
      <c r="U137" s="33">
        <v>6183.98</v>
      </c>
      <c r="V137" s="106">
        <f>U137/U12</f>
        <v>6.667179863825627E-3</v>
      </c>
      <c r="W137" s="33">
        <v>6183.98</v>
      </c>
      <c r="X137" s="106">
        <f>W137/W12</f>
        <v>6.5528874846322279E-3</v>
      </c>
      <c r="Y137" s="33">
        <v>6183.98</v>
      </c>
      <c r="Z137" s="106">
        <f>Y137/Y12</f>
        <v>4.3377546102237362E-3</v>
      </c>
      <c r="AA137" s="144">
        <f t="shared" si="103"/>
        <v>74207.75999999998</v>
      </c>
      <c r="AB137" s="106">
        <f>AA137/AA12</f>
        <v>5.5863421605710029E-3</v>
      </c>
      <c r="AC137" s="128">
        <f t="shared" si="50"/>
        <v>6183.9799999999987</v>
      </c>
      <c r="AD137" s="106">
        <f>AC137/AC12</f>
        <v>5.5863421605710029E-3</v>
      </c>
      <c r="AE137" s="645"/>
      <c r="AF137" s="226"/>
      <c r="AG137" s="226"/>
    </row>
    <row r="138" spans="1:33" s="1" customFormat="1">
      <c r="A138" s="695">
        <v>6503</v>
      </c>
      <c r="B138" s="696" t="s">
        <v>137</v>
      </c>
      <c r="C138" s="33">
        <v>310.36</v>
      </c>
      <c r="D138" s="106">
        <f>C138/C12</f>
        <v>3.1064175206912671E-4</v>
      </c>
      <c r="E138" s="33">
        <v>310.36</v>
      </c>
      <c r="F138" s="106">
        <f>E138/E12</f>
        <v>3.9928143403571874E-4</v>
      </c>
      <c r="G138" s="33">
        <v>310.36</v>
      </c>
      <c r="H138" s="106">
        <f>G138/G12</f>
        <v>2.4070823918895956E-4</v>
      </c>
      <c r="I138" s="33">
        <v>310.36</v>
      </c>
      <c r="J138" s="106">
        <f>I138/I12</f>
        <v>2.7260454335049922E-4</v>
      </c>
      <c r="K138" s="33">
        <v>310.36</v>
      </c>
      <c r="L138" s="106">
        <f>K138/K12</f>
        <v>2.9805824217088125E-4</v>
      </c>
      <c r="M138" s="33">
        <v>310.36</v>
      </c>
      <c r="N138" s="106">
        <f>M138/M12</f>
        <v>2.1019823082929961E-4</v>
      </c>
      <c r="O138" s="33">
        <v>310.36</v>
      </c>
      <c r="P138" s="106">
        <f>O138/O12</f>
        <v>3.3200862221128701E-4</v>
      </c>
      <c r="Q138" s="33">
        <v>310.36</v>
      </c>
      <c r="R138" s="106">
        <f>Q138/Q12</f>
        <v>2.6737401261747582E-4</v>
      </c>
      <c r="S138" s="33">
        <v>310.36</v>
      </c>
      <c r="T138" s="106">
        <f>S138/S12</f>
        <v>2.6541535930189501E-4</v>
      </c>
      <c r="U138" s="33">
        <v>310.36</v>
      </c>
      <c r="V138" s="106">
        <f>U138/U12</f>
        <v>3.346107106648019E-4</v>
      </c>
      <c r="W138" s="33">
        <v>310.36</v>
      </c>
      <c r="X138" s="106">
        <f>W138/W12</f>
        <v>3.2887463409171088E-4</v>
      </c>
      <c r="Y138" s="33">
        <v>310.36</v>
      </c>
      <c r="Z138" s="106">
        <f>Y138/Y12</f>
        <v>2.1770211430648852E-4</v>
      </c>
      <c r="AA138" s="144">
        <f t="shared" si="103"/>
        <v>3724.3200000000011</v>
      </c>
      <c r="AB138" s="106">
        <f>AA138/AA12</f>
        <v>2.8036590560687733E-4</v>
      </c>
      <c r="AC138" s="128">
        <f t="shared" si="50"/>
        <v>310.36000000000007</v>
      </c>
      <c r="AD138" s="106">
        <f>AC138/AC12</f>
        <v>2.8036590560687733E-4</v>
      </c>
      <c r="AE138" s="645"/>
      <c r="AF138" s="226"/>
      <c r="AG138" s="226"/>
    </row>
    <row r="139" spans="1:33" s="1" customFormat="1">
      <c r="A139" s="695">
        <v>6504</v>
      </c>
      <c r="B139" s="696" t="s">
        <v>138</v>
      </c>
      <c r="C139" s="33"/>
      <c r="D139" s="106">
        <f>C139/C12</f>
        <v>0</v>
      </c>
      <c r="E139" s="33"/>
      <c r="F139" s="106">
        <f>E139/E12</f>
        <v>0</v>
      </c>
      <c r="G139" s="33"/>
      <c r="H139" s="106">
        <f>G139/G12</f>
        <v>0</v>
      </c>
      <c r="I139" s="33"/>
      <c r="J139" s="106">
        <f>I139/I12</f>
        <v>0</v>
      </c>
      <c r="K139" s="33"/>
      <c r="L139" s="106">
        <f>K139/K12</f>
        <v>0</v>
      </c>
      <c r="M139" s="33"/>
      <c r="N139" s="106">
        <f>M139/M12</f>
        <v>0</v>
      </c>
      <c r="O139" s="33"/>
      <c r="P139" s="106">
        <f>O139/O12</f>
        <v>0</v>
      </c>
      <c r="Q139" s="33"/>
      <c r="R139" s="106">
        <f>Q139/Q12</f>
        <v>0</v>
      </c>
      <c r="S139" s="33"/>
      <c r="T139" s="106">
        <f>S139/S12</f>
        <v>0</v>
      </c>
      <c r="U139" s="33"/>
      <c r="V139" s="106">
        <f>U139/U12</f>
        <v>0</v>
      </c>
      <c r="W139" s="33"/>
      <c r="X139" s="106">
        <f>W139/W12</f>
        <v>0</v>
      </c>
      <c r="Y139" s="33"/>
      <c r="Z139" s="106">
        <f>Y139/Y12</f>
        <v>0</v>
      </c>
      <c r="AA139" s="144">
        <f t="shared" si="103"/>
        <v>0</v>
      </c>
      <c r="AB139" s="106">
        <f>AA139/AA12</f>
        <v>0</v>
      </c>
      <c r="AC139" s="128">
        <f t="shared" si="50"/>
        <v>0</v>
      </c>
      <c r="AD139" s="106">
        <f>AC139/AC12</f>
        <v>0</v>
      </c>
      <c r="AE139" s="645"/>
      <c r="AF139" s="226"/>
      <c r="AG139" s="226"/>
    </row>
    <row r="140" spans="1:33" s="1" customFormat="1">
      <c r="A140" s="695">
        <v>6505</v>
      </c>
      <c r="B140" s="695" t="s">
        <v>139</v>
      </c>
      <c r="C140" s="33"/>
      <c r="D140" s="106">
        <f>C140/C12</f>
        <v>0</v>
      </c>
      <c r="E140" s="33"/>
      <c r="F140" s="106">
        <f>E140/E12</f>
        <v>0</v>
      </c>
      <c r="G140" s="33"/>
      <c r="H140" s="106">
        <f>G140/G12</f>
        <v>0</v>
      </c>
      <c r="I140" s="33"/>
      <c r="J140" s="106">
        <f>I140/I12</f>
        <v>0</v>
      </c>
      <c r="K140" s="33"/>
      <c r="L140" s="106">
        <f>K140/K12</f>
        <v>0</v>
      </c>
      <c r="M140" s="33"/>
      <c r="N140" s="106">
        <f>M140/M12</f>
        <v>0</v>
      </c>
      <c r="O140" s="33"/>
      <c r="P140" s="106">
        <f>O140/O12</f>
        <v>0</v>
      </c>
      <c r="Q140" s="33"/>
      <c r="R140" s="106">
        <f>Q140/Q12</f>
        <v>0</v>
      </c>
      <c r="S140" s="33"/>
      <c r="T140" s="106">
        <f>S140/S12</f>
        <v>0</v>
      </c>
      <c r="U140" s="33"/>
      <c r="V140" s="106">
        <f>U140/U12</f>
        <v>0</v>
      </c>
      <c r="W140" s="33"/>
      <c r="X140" s="106">
        <f>W140/W12</f>
        <v>0</v>
      </c>
      <c r="Y140" s="33"/>
      <c r="Z140" s="106">
        <f>Y140/Y12</f>
        <v>0</v>
      </c>
      <c r="AA140" s="144">
        <f t="shared" si="103"/>
        <v>0</v>
      </c>
      <c r="AB140" s="106">
        <f>AA140/AA12</f>
        <v>0</v>
      </c>
      <c r="AC140" s="128">
        <f t="shared" si="50"/>
        <v>0</v>
      </c>
      <c r="AD140" s="106">
        <f>AC140/AC12</f>
        <v>0</v>
      </c>
      <c r="AE140" s="645"/>
      <c r="AF140" s="226"/>
      <c r="AG140" s="226"/>
    </row>
    <row r="141" spans="1:33" s="1" customFormat="1">
      <c r="A141" s="695">
        <v>6506</v>
      </c>
      <c r="B141" s="695" t="s">
        <v>229</v>
      </c>
      <c r="C141" s="33">
        <v>0</v>
      </c>
      <c r="D141" s="106">
        <f>C141/C12</f>
        <v>0</v>
      </c>
      <c r="E141" s="33">
        <v>0</v>
      </c>
      <c r="F141" s="106">
        <f>E141/E12</f>
        <v>0</v>
      </c>
      <c r="G141" s="33">
        <v>0</v>
      </c>
      <c r="H141" s="106">
        <f>G141/G12</f>
        <v>0</v>
      </c>
      <c r="I141" s="33">
        <v>0</v>
      </c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/>
      <c r="T141" s="106">
        <f>S141/S12</f>
        <v>0</v>
      </c>
      <c r="U141" s="33"/>
      <c r="V141" s="106">
        <f>U141/U12</f>
        <v>0</v>
      </c>
      <c r="W141" s="33"/>
      <c r="X141" s="106">
        <f>W141/W12</f>
        <v>0</v>
      </c>
      <c r="Y141" s="33">
        <v>0</v>
      </c>
      <c r="Z141" s="106">
        <f>Y141/Y12</f>
        <v>0</v>
      </c>
      <c r="AA141" s="144">
        <f t="shared" si="103"/>
        <v>0</v>
      </c>
      <c r="AB141" s="106">
        <f>AA141/AA12</f>
        <v>0</v>
      </c>
      <c r="AC141" s="144">
        <f t="shared" si="50"/>
        <v>0</v>
      </c>
      <c r="AD141" s="106">
        <f>AC141/AC12</f>
        <v>0</v>
      </c>
      <c r="AE141" s="645"/>
      <c r="AF141" s="226"/>
      <c r="AG141" s="226"/>
    </row>
    <row r="142" spans="1:33" s="1" customFormat="1">
      <c r="A142" s="695">
        <v>6604</v>
      </c>
      <c r="B142" s="695" t="s">
        <v>145</v>
      </c>
      <c r="C142" s="26">
        <v>59024.571769207432</v>
      </c>
      <c r="D142" s="106">
        <f>C142/C12</f>
        <v>5.9078155656387778E-2</v>
      </c>
      <c r="E142" s="26">
        <v>59024.571769207432</v>
      </c>
      <c r="F142" s="106">
        <f>E142/E12</f>
        <v>7.59357380440564E-2</v>
      </c>
      <c r="G142" s="26">
        <v>59024.571769207432</v>
      </c>
      <c r="H142" s="106">
        <f>G142/G12</f>
        <v>4.5778131007373025E-2</v>
      </c>
      <c r="I142" s="26">
        <v>59024.571769207432</v>
      </c>
      <c r="J142" s="106">
        <f>I142/I12</f>
        <v>5.1844201680640419E-2</v>
      </c>
      <c r="K142" s="26">
        <v>59024.571769207432</v>
      </c>
      <c r="L142" s="106">
        <f>K142/K12</f>
        <v>5.6685011297908844E-2</v>
      </c>
      <c r="M142" s="26">
        <v>59024.571769207432</v>
      </c>
      <c r="N142" s="106">
        <f>M142/M12</f>
        <v>3.9975707440857149E-2</v>
      </c>
      <c r="O142" s="26">
        <v>59024.571769207432</v>
      </c>
      <c r="P142" s="106">
        <f>O142/O12</f>
        <v>6.3141728153453355E-2</v>
      </c>
      <c r="Q142" s="26">
        <v>59024.571769207432</v>
      </c>
      <c r="R142" s="106">
        <f>Q142/Q12</f>
        <v>5.0849454172448683E-2</v>
      </c>
      <c r="S142" s="26">
        <v>59024.571769207432</v>
      </c>
      <c r="T142" s="106">
        <f>S142/S12</f>
        <v>5.047695554763719E-2</v>
      </c>
      <c r="U142" s="26">
        <v>59024.571769207432</v>
      </c>
      <c r="V142" s="106">
        <f>U142/U12</f>
        <v>6.3636595909202551E-2</v>
      </c>
      <c r="W142" s="26">
        <v>59024.571769207432</v>
      </c>
      <c r="X142" s="106">
        <f>W142/W12</f>
        <v>6.2545703193124191E-2</v>
      </c>
      <c r="Y142" s="26">
        <v>59024.571769207432</v>
      </c>
      <c r="Z142" s="106">
        <f>Y142/Y12</f>
        <v>4.1402803422449834E-2</v>
      </c>
      <c r="AA142" s="144">
        <f t="shared" si="103"/>
        <v>708294.86123048933</v>
      </c>
      <c r="AB142" s="106">
        <f>AA142/AA12</f>
        <v>5.3320265231125041E-2</v>
      </c>
      <c r="AC142" s="128">
        <f t="shared" si="50"/>
        <v>59024.571769207447</v>
      </c>
      <c r="AD142" s="106">
        <f>AC142/AC12</f>
        <v>5.3320265231125041E-2</v>
      </c>
      <c r="AE142" s="645"/>
      <c r="AF142" s="226"/>
      <c r="AG142" s="226"/>
    </row>
    <row r="143" spans="1:33" s="1" customFormat="1">
      <c r="A143" s="188"/>
      <c r="B143" s="2"/>
      <c r="C143" s="26">
        <v>0</v>
      </c>
      <c r="D143" s="106">
        <f>C143/C12</f>
        <v>0</v>
      </c>
      <c r="E143" s="26"/>
      <c r="F143" s="106">
        <f>E143/E12</f>
        <v>0</v>
      </c>
      <c r="G143" s="26"/>
      <c r="H143" s="106">
        <f>G143/G12</f>
        <v>0</v>
      </c>
      <c r="I143" s="26"/>
      <c r="J143" s="106">
        <f>I143/I12</f>
        <v>0</v>
      </c>
      <c r="K143" s="26"/>
      <c r="L143" s="106">
        <f>K143/K12</f>
        <v>0</v>
      </c>
      <c r="M143" s="26"/>
      <c r="N143" s="106">
        <f>M143/M12</f>
        <v>0</v>
      </c>
      <c r="O143" s="26"/>
      <c r="P143" s="106">
        <f>O143/O12</f>
        <v>0</v>
      </c>
      <c r="Q143" s="26"/>
      <c r="R143" s="106">
        <f>Q143/Q12</f>
        <v>0</v>
      </c>
      <c r="S143" s="26"/>
      <c r="T143" s="106">
        <f>S143/S12</f>
        <v>0</v>
      </c>
      <c r="U143" s="26"/>
      <c r="V143" s="106">
        <f>U143/U12</f>
        <v>0</v>
      </c>
      <c r="W143" s="26"/>
      <c r="X143" s="106">
        <f>W143/W12</f>
        <v>0</v>
      </c>
      <c r="Y143" s="26"/>
      <c r="Z143" s="106">
        <f>Y143/Y12</f>
        <v>0</v>
      </c>
      <c r="AA143" s="144">
        <f t="shared" si="103"/>
        <v>0</v>
      </c>
      <c r="AB143" s="106">
        <f>AA143/AA12</f>
        <v>0</v>
      </c>
      <c r="AC143" s="128">
        <f t="shared" si="50"/>
        <v>0</v>
      </c>
      <c r="AD143" s="106">
        <f>AC143/AC12</f>
        <v>0</v>
      </c>
      <c r="AE143" s="645"/>
      <c r="AF143" s="226"/>
      <c r="AG143" s="226"/>
    </row>
    <row r="144" spans="1:33" s="1" customFormat="1" ht="15" customHeight="1">
      <c r="A144" s="63">
        <v>6798</v>
      </c>
      <c r="B144" s="63" t="s">
        <v>205</v>
      </c>
      <c r="C144" s="79">
        <f>SUM(C136:C143)</f>
        <v>65518.911769207429</v>
      </c>
      <c r="D144" s="87">
        <f>C144/C12</f>
        <v>6.5578391370180178E-2</v>
      </c>
      <c r="E144" s="79">
        <f>SUM(E136:E143)</f>
        <v>65518.911769207429</v>
      </c>
      <c r="F144" s="87">
        <f>E144/E12</f>
        <v>8.4290775382358782E-2</v>
      </c>
      <c r="G144" s="79">
        <f>SUM(G136:G143)</f>
        <v>65518.911769207429</v>
      </c>
      <c r="H144" s="87">
        <f>G144/G12</f>
        <v>5.0814995120320651E-2</v>
      </c>
      <c r="I144" s="79">
        <f>SUM(I136:I143)</f>
        <v>65518.911769207429</v>
      </c>
      <c r="J144" s="87">
        <f>I144/I12</f>
        <v>5.7548501816169738E-2</v>
      </c>
      <c r="K144" s="79">
        <f>SUM(K136:K143)</f>
        <v>65518.911769207429</v>
      </c>
      <c r="L144" s="87">
        <f>K144/K12</f>
        <v>6.2921934756022133E-2</v>
      </c>
      <c r="M144" s="79">
        <f>SUM(M136:M143)</f>
        <v>65518.911769207429</v>
      </c>
      <c r="N144" s="87">
        <f>M144/M12</f>
        <v>4.4374144025481309E-2</v>
      </c>
      <c r="O144" s="79">
        <f>SUM(O136:O143)</f>
        <v>65518.911769207429</v>
      </c>
      <c r="P144" s="87">
        <f>O144/O12</f>
        <v>7.0089069549160429E-2</v>
      </c>
      <c r="Q144" s="79">
        <f>SUM(Q136:Q143)</f>
        <v>65518.911769207429</v>
      </c>
      <c r="R144" s="87">
        <f>Q144/Q12</f>
        <v>5.6444304491762312E-2</v>
      </c>
      <c r="S144" s="79">
        <f>SUM(S136:S143)</f>
        <v>65518.911769207429</v>
      </c>
      <c r="T144" s="87">
        <f t="shared" ref="T144" si="104">S144/S$12</f>
        <v>5.6030820686600549E-2</v>
      </c>
      <c r="U144" s="79">
        <f>SUM(U136:U143)</f>
        <v>65518.911769207429</v>
      </c>
      <c r="V144" s="87">
        <f>U144/U12</f>
        <v>7.0638386483692972E-2</v>
      </c>
      <c r="W144" s="79">
        <f>SUM(W136:W143)</f>
        <v>65518.911769207429</v>
      </c>
      <c r="X144" s="87">
        <f>W144/W12</f>
        <v>6.9427465311848124E-2</v>
      </c>
      <c r="Y144" s="79">
        <f>SUM(Y136:Y143)</f>
        <v>65518.911769207429</v>
      </c>
      <c r="Z144" s="87">
        <f t="shared" ref="Z144" si="105">Y144/Y$12</f>
        <v>4.5958260146980061E-2</v>
      </c>
      <c r="AA144" s="152">
        <f>SUM(AA136:AA143)</f>
        <v>786226.94123048929</v>
      </c>
      <c r="AB144" s="153">
        <f t="shared" ref="AB144" si="106">AA144/AA$12</f>
        <v>5.9186973297302915E-2</v>
      </c>
      <c r="AC144" s="137">
        <f t="shared" si="50"/>
        <v>65518.911769207443</v>
      </c>
      <c r="AD144" s="138">
        <f t="shared" ref="AD144" si="107">AC144/AC$12</f>
        <v>5.9186973297302922E-2</v>
      </c>
      <c r="AE144" s="304"/>
      <c r="AF144" s="218"/>
      <c r="AG144" s="218"/>
    </row>
    <row r="145" spans="1:36" s="1" customFormat="1">
      <c r="A145" s="34">
        <v>6799</v>
      </c>
      <c r="B145" s="63" t="s">
        <v>135</v>
      </c>
      <c r="C145" s="58">
        <f>C41+C76+C93+C115+C129+C144+C133</f>
        <v>459515.79865102185</v>
      </c>
      <c r="D145" s="98">
        <f>C145/C12</f>
        <v>0.45993295784378618</v>
      </c>
      <c r="E145" s="58">
        <f>E41+E76+E93+E115+E129+E144+E133</f>
        <v>487858.18427514547</v>
      </c>
      <c r="F145" s="98">
        <f>E145/E12</f>
        <v>0.62763473199974873</v>
      </c>
      <c r="G145" s="58">
        <f>G41+G76+G93+G115+G129+G144+G133</f>
        <v>475000.08700829267</v>
      </c>
      <c r="H145" s="98">
        <f>G145/G12</f>
        <v>0.36839938960680729</v>
      </c>
      <c r="I145" s="58">
        <f>I41+I76+I93+I115+I129+I144+I133</f>
        <v>478035.15491201519</v>
      </c>
      <c r="J145" s="98">
        <f>I145/I12</f>
        <v>0.4198819277944163</v>
      </c>
      <c r="K145" s="58">
        <f>K41+K76+K93+K115+K129+K144+K133</f>
        <v>483678.76964638254</v>
      </c>
      <c r="L145" s="98">
        <f>K145/K12</f>
        <v>0.46450716540847842</v>
      </c>
      <c r="M145" s="58">
        <f>M41+M76+M93+M115+M129+M144+M133</f>
        <v>457295.26435819804</v>
      </c>
      <c r="N145" s="98">
        <f>M145/M12</f>
        <v>0.30971341517821271</v>
      </c>
      <c r="O145" s="58">
        <f>O41+O76+O93+O115+O129+O144+O133</f>
        <v>454292.17857359105</v>
      </c>
      <c r="P145" s="98">
        <f>O145/O12</f>
        <v>0.48598053966226934</v>
      </c>
      <c r="Q145" s="58">
        <f>Q41+Q76+Q93+Q115+Q129+Q144+Q133</f>
        <v>496041.85197496723</v>
      </c>
      <c r="R145" s="98">
        <f>Q145/Q12</f>
        <v>0.42733825360468797</v>
      </c>
      <c r="S145" s="29">
        <f>S41+S76+S93+S115+S129+S144+S133</f>
        <v>474134.07567984815</v>
      </c>
      <c r="T145" s="98">
        <f>S145/S12</f>
        <v>0.40547256751462424</v>
      </c>
      <c r="U145" s="58">
        <f>U41+U76+U93+U115+U129+U144+U133</f>
        <v>471160.03029209282</v>
      </c>
      <c r="V145" s="98">
        <f>U145/U12</f>
        <v>0.50797523061247185</v>
      </c>
      <c r="W145" s="58">
        <f>W41+W76+W93+W115+W129+W144+W133</f>
        <v>464477.05274297483</v>
      </c>
      <c r="X145" s="98">
        <f>W145/W12</f>
        <v>0.49218559339103668</v>
      </c>
      <c r="Y145" s="58">
        <f>Y41+Y76+Y93+Y115+Y129+Y144+Y133</f>
        <v>473805.43212155747</v>
      </c>
      <c r="Z145" s="98">
        <f>Y145/Y12</f>
        <v>0.33235096127968322</v>
      </c>
      <c r="AA145" s="58">
        <f>AA41+AA76+AA93+AA115+AA129+AA144+AA133</f>
        <v>5675293.8802360864</v>
      </c>
      <c r="AB145" s="98">
        <f>AA145/AA12</f>
        <v>0.42723474575695936</v>
      </c>
      <c r="AC145" s="58">
        <f t="shared" si="50"/>
        <v>472941.15668634052</v>
      </c>
      <c r="AD145" s="98">
        <f>AC145/AC12</f>
        <v>0.4272347457569593</v>
      </c>
      <c r="AE145" s="651"/>
      <c r="AF145" s="394"/>
      <c r="AG145" s="394"/>
      <c r="AJ145" s="686" t="e">
        <f>#REF!-#REF!</f>
        <v>#REF!</v>
      </c>
    </row>
    <row r="146" spans="1:36" s="1" customFormat="1" ht="15.75" thickBot="1">
      <c r="A146" s="11">
        <v>6999</v>
      </c>
      <c r="B146" s="11" t="s">
        <v>144</v>
      </c>
      <c r="C146" s="80">
        <f>C135-C144</f>
        <v>-54134.040651021751</v>
      </c>
      <c r="D146" s="95">
        <f>C146/C12</f>
        <v>-5.418318479963502E-2</v>
      </c>
      <c r="E146" s="30">
        <f>E135-E144</f>
        <v>-133116.9427156389</v>
      </c>
      <c r="F146" s="95">
        <f>E146/E12</f>
        <v>-0.1712563596531477</v>
      </c>
      <c r="G146" s="30">
        <f>G135-G144</f>
        <v>101868.23876263373</v>
      </c>
      <c r="H146" s="95">
        <f>G146/G12</f>
        <v>7.9006716013126949E-2</v>
      </c>
      <c r="I146" s="30">
        <f>I135-I144</f>
        <v>48953.731987984771</v>
      </c>
      <c r="J146" s="95">
        <f>I146/I12</f>
        <v>4.2998484836600445E-2</v>
      </c>
      <c r="K146" s="30">
        <f>K135-K144</f>
        <v>-64712.259846382527</v>
      </c>
      <c r="L146" s="95">
        <f>K146/K12</f>
        <v>-6.2147256143569002E-2</v>
      </c>
      <c r="M146" s="30">
        <f>M135-M144</f>
        <v>105596.03104180199</v>
      </c>
      <c r="N146" s="95">
        <f>M146/M12</f>
        <v>7.1517266746947361E-2</v>
      </c>
      <c r="O146" s="30">
        <f>O135-O144</f>
        <v>-99320.078573591047</v>
      </c>
      <c r="P146" s="95">
        <f>O146/O12</f>
        <v>-0.10624797797762188</v>
      </c>
      <c r="Q146" s="30">
        <f>Q135-Q144</f>
        <v>4348.6803250329322</v>
      </c>
      <c r="R146" s="95">
        <f>Q146/Q12</f>
        <v>3.7463723034370537E-3</v>
      </c>
      <c r="S146" s="30">
        <f>S135-S144</f>
        <v>8318.2379201517688</v>
      </c>
      <c r="T146" s="95">
        <f>S146/S12</f>
        <v>7.1136361204270186E-3</v>
      </c>
      <c r="U146" s="30">
        <f>U135-U144</f>
        <v>-70255.208519318345</v>
      </c>
      <c r="V146" s="95">
        <f>U146/U12</f>
        <v>-7.5744764952161869E-2</v>
      </c>
      <c r="W146" s="30">
        <f>W135-W144</f>
        <v>-29396.829129330268</v>
      </c>
      <c r="X146" s="95">
        <f>W146/W12</f>
        <v>-3.1150507228267302E-2</v>
      </c>
      <c r="Y146" s="30">
        <f>Y135-Y144</f>
        <v>102892.07433753126</v>
      </c>
      <c r="Z146" s="95">
        <f>Y146/Y12</f>
        <v>7.2173676145962568E-2</v>
      </c>
      <c r="AA146" s="389">
        <f>AA135-AA144</f>
        <v>-78958.365060149692</v>
      </c>
      <c r="AB146" s="95">
        <f>AA146/AA12</f>
        <v>-5.9439665563988282E-3</v>
      </c>
      <c r="AC146" s="132">
        <f t="shared" si="50"/>
        <v>-6579.863755012474</v>
      </c>
      <c r="AD146" s="95">
        <f>AC146/AC12</f>
        <v>-5.9439665563988282E-3</v>
      </c>
      <c r="AE146" s="645"/>
      <c r="AF146" s="226"/>
      <c r="AG146" s="226"/>
    </row>
    <row r="147" spans="1:36" s="1" customFormat="1" ht="15.75" thickTop="1">
      <c r="C147" s="33"/>
      <c r="D147" s="106"/>
      <c r="E147" s="33"/>
      <c r="F147" s="106"/>
      <c r="G147" s="33"/>
      <c r="H147" s="106"/>
      <c r="I147" s="33"/>
      <c r="J147" s="106"/>
      <c r="K147" s="33"/>
      <c r="L147" s="106"/>
      <c r="M147" s="33"/>
      <c r="N147" s="106"/>
      <c r="O147" s="33"/>
      <c r="P147" s="106"/>
      <c r="Q147" s="33"/>
      <c r="R147" s="106"/>
      <c r="S147" s="33"/>
      <c r="T147" s="106"/>
      <c r="U147" s="33"/>
      <c r="V147" s="106"/>
      <c r="W147" s="33"/>
      <c r="X147" s="106"/>
      <c r="Y147" s="33"/>
      <c r="Z147" s="106"/>
      <c r="AA147" s="145"/>
      <c r="AB147" s="106"/>
      <c r="AC147" s="129">
        <f t="shared" si="50"/>
        <v>0</v>
      </c>
      <c r="AD147" s="106"/>
      <c r="AE147" s="645"/>
      <c r="AF147" s="226"/>
      <c r="AG147" s="226"/>
    </row>
    <row r="148" spans="1:36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si="50"/>
        <v>0</v>
      </c>
      <c r="AD148" s="246">
        <f>AC148/AC12</f>
        <v>0</v>
      </c>
      <c r="AE148" s="650"/>
      <c r="AF148" s="553"/>
      <c r="AG148" s="553"/>
    </row>
    <row r="149" spans="1:36" s="1" customFormat="1" ht="15.75" thickTop="1">
      <c r="B149" s="86"/>
      <c r="C149" s="33"/>
      <c r="D149" s="106"/>
      <c r="E149" s="33"/>
      <c r="F149" s="106"/>
      <c r="G149" s="33"/>
      <c r="H149" s="106"/>
      <c r="I149" s="3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>
        <f t="shared" ref="AC149:AC152" si="108">AA149/12</f>
        <v>0</v>
      </c>
      <c r="AD149" s="106"/>
      <c r="AE149" s="645"/>
      <c r="AF149" s="226"/>
      <c r="AG149" s="226"/>
    </row>
    <row r="150" spans="1:36" s="1" customFormat="1" ht="15.75" customHeight="1" thickBot="1">
      <c r="A150" s="223"/>
      <c r="B150" s="404" t="s">
        <v>232</v>
      </c>
      <c r="C150" s="685">
        <f>C146*10%</f>
        <v>-5413.4040651021751</v>
      </c>
      <c r="D150" s="406"/>
      <c r="E150" s="685">
        <f>E146*10%</f>
        <v>-13311.694271563891</v>
      </c>
      <c r="F150" s="407"/>
      <c r="G150" s="685">
        <f>G146*10%</f>
        <v>10186.823876263374</v>
      </c>
      <c r="H150" s="407"/>
      <c r="I150" s="685">
        <f>I146*10%</f>
        <v>4895.3731987984775</v>
      </c>
      <c r="J150" s="407"/>
      <c r="K150" s="685">
        <f>K146*10%</f>
        <v>-6471.2259846382531</v>
      </c>
      <c r="L150" s="407"/>
      <c r="M150" s="685">
        <f>M146*10%</f>
        <v>10559.6031041802</v>
      </c>
      <c r="N150" s="407"/>
      <c r="O150" s="685">
        <f>O146*10%</f>
        <v>-9932.0078573591054</v>
      </c>
      <c r="P150" s="407"/>
      <c r="Q150" s="685">
        <f>Q146*10%</f>
        <v>434.86803250329325</v>
      </c>
      <c r="R150" s="407"/>
      <c r="S150" s="685">
        <f>S146*10%</f>
        <v>831.82379201517688</v>
      </c>
      <c r="T150" s="407"/>
      <c r="U150" s="685">
        <f>U146*10%</f>
        <v>-7025.5208519318348</v>
      </c>
      <c r="V150" s="407"/>
      <c r="W150" s="685">
        <f>W146*10%</f>
        <v>-2939.6829129330272</v>
      </c>
      <c r="X150" s="407"/>
      <c r="Y150" s="685">
        <f>Y146*10%</f>
        <v>10289.207433753127</v>
      </c>
      <c r="Z150" s="407"/>
      <c r="AA150" s="405">
        <f>C150+E150+G150+I150+K150+M150+O150+Q150+S150+U150+W150+Y150</f>
        <v>-7895.8365060146389</v>
      </c>
      <c r="AB150" s="407"/>
      <c r="AC150" s="405">
        <f t="shared" si="108"/>
        <v>-657.98637550121987</v>
      </c>
      <c r="AD150" s="407"/>
      <c r="AE150" s="649"/>
      <c r="AF150" s="363" t="s">
        <v>245</v>
      </c>
      <c r="AG150" s="363"/>
    </row>
    <row r="151" spans="1:36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>
        <f t="shared" si="108"/>
        <v>0</v>
      </c>
      <c r="AD151" s="106"/>
      <c r="AE151" s="645"/>
      <c r="AF151" s="226"/>
      <c r="AG151" s="226"/>
    </row>
    <row r="152" spans="1:36" s="1" customFormat="1" ht="19.5" customHeight="1" thickBot="1">
      <c r="A152" s="224"/>
      <c r="B152" s="232" t="s">
        <v>335</v>
      </c>
      <c r="C152" s="237">
        <f>C146-C148-C150</f>
        <v>-48720.636585919579</v>
      </c>
      <c r="D152" s="246">
        <f>C152/C12</f>
        <v>-4.8764866319671522E-2</v>
      </c>
      <c r="E152" s="237">
        <f>E146-E148-E150</f>
        <v>-119805.24844407501</v>
      </c>
      <c r="F152" s="246">
        <f>E152/E12</f>
        <v>-0.15413072368783293</v>
      </c>
      <c r="G152" s="237">
        <f>G146-G148-G150</f>
        <v>91681.414886370359</v>
      </c>
      <c r="H152" s="246">
        <f>G152/G12</f>
        <v>7.1106044411814257E-2</v>
      </c>
      <c r="I152" s="237">
        <f>I146-I148-I150</f>
        <v>44058.358789186292</v>
      </c>
      <c r="J152" s="246">
        <f>I152/I12</f>
        <v>3.8698636352940401E-2</v>
      </c>
      <c r="K152" s="237">
        <f>K146-K148-K150</f>
        <v>-58241.033861744276</v>
      </c>
      <c r="L152" s="246">
        <f>K152/K12</f>
        <v>-5.5932530529212106E-2</v>
      </c>
      <c r="M152" s="237">
        <f>M146-M148-M150</f>
        <v>95036.427937621789</v>
      </c>
      <c r="N152" s="246">
        <f>M152/M12</f>
        <v>6.4365540072252619E-2</v>
      </c>
      <c r="O152" s="237">
        <f>O146-O148-O150</f>
        <v>-89388.070716231945</v>
      </c>
      <c r="P152" s="246">
        <f>O152/O12</f>
        <v>-9.5623180179859699E-2</v>
      </c>
      <c r="Q152" s="237">
        <f>Q146-Q148-Q150</f>
        <v>3913.8122925296389</v>
      </c>
      <c r="R152" s="246">
        <f>Q152/Q12</f>
        <v>3.3717350730933481E-3</v>
      </c>
      <c r="S152" s="237">
        <f>S146-S148-S150</f>
        <v>7486.4141281365919</v>
      </c>
      <c r="T152" s="246">
        <f>S152/S12</f>
        <v>6.4022725083843169E-3</v>
      </c>
      <c r="U152" s="237">
        <f>U146-U148-U150</f>
        <v>-63229.687667386512</v>
      </c>
      <c r="V152" s="246">
        <f>U152/U12</f>
        <v>-6.8170288456945685E-2</v>
      </c>
      <c r="W152" s="237">
        <f>W146-W148-W150</f>
        <v>-26457.146216397239</v>
      </c>
      <c r="X152" s="246">
        <f>W152/W12</f>
        <v>-2.8035456505440568E-2</v>
      </c>
      <c r="Y152" s="237">
        <f>Y146-Y148-Y150</f>
        <v>92602.866903778136</v>
      </c>
      <c r="Z152" s="246">
        <f>Y152/Y12</f>
        <v>6.4956308531366316E-2</v>
      </c>
      <c r="AA152" s="270">
        <f>AA146-AA148-AA150</f>
        <v>-71062.52855413506</v>
      </c>
      <c r="AB152" s="246">
        <f>AA152/AA12</f>
        <v>-5.3495699007589711E-3</v>
      </c>
      <c r="AC152" s="271">
        <f t="shared" si="108"/>
        <v>-5921.8773795112547</v>
      </c>
      <c r="AD152" s="246">
        <f>AC152/AC12</f>
        <v>-5.3495699007589711E-3</v>
      </c>
      <c r="AE152" s="650"/>
      <c r="AF152" s="553"/>
      <c r="AG152" s="553"/>
    </row>
    <row r="153" spans="1:36" s="1" customFormat="1" ht="15.75" thickTop="1">
      <c r="C153" s="33"/>
      <c r="D153" s="106"/>
      <c r="E153" s="33"/>
      <c r="F153" s="104"/>
      <c r="G153" s="33"/>
      <c r="H153" s="104"/>
      <c r="I153" s="33"/>
      <c r="J153" s="104"/>
      <c r="K153" s="33"/>
      <c r="L153" s="93"/>
      <c r="M153" s="33"/>
      <c r="N153" s="93"/>
      <c r="O153" s="33"/>
      <c r="P153" s="93"/>
      <c r="Q153" s="33"/>
      <c r="R153" s="93"/>
      <c r="S153" s="33"/>
      <c r="T153" s="93"/>
      <c r="U153" s="33"/>
      <c r="V153" s="93"/>
      <c r="W153" s="33"/>
      <c r="X153" s="93"/>
      <c r="Y153" s="33"/>
      <c r="Z153" s="93"/>
      <c r="AA153" s="142"/>
      <c r="AB153" s="143"/>
      <c r="AC153" s="126"/>
      <c r="AD153" s="127"/>
      <c r="AE153" s="649"/>
      <c r="AF153" s="363"/>
      <c r="AG153" s="363"/>
    </row>
    <row r="154" spans="1:36" s="1" customFormat="1">
      <c r="B154" s="85" t="s">
        <v>214</v>
      </c>
      <c r="C154" s="84">
        <f>C152</f>
        <v>-48720.636585919579</v>
      </c>
      <c r="D154" s="20"/>
      <c r="E154" s="84">
        <f>E152+C154</f>
        <v>-168525.88502999459</v>
      </c>
      <c r="F154" s="93"/>
      <c r="G154" s="84">
        <f>G152+E154</f>
        <v>-76844.470143624232</v>
      </c>
      <c r="H154" s="93"/>
      <c r="I154" s="84">
        <f>I152+G154</f>
        <v>-32786.11135443794</v>
      </c>
      <c r="J154" s="93"/>
      <c r="K154" s="84">
        <f>K152+I154</f>
        <v>-91027.145216182224</v>
      </c>
      <c r="L154" s="93"/>
      <c r="M154" s="686">
        <f>M152+K154</f>
        <v>4009.2827214395656</v>
      </c>
      <c r="N154" s="93"/>
      <c r="O154" s="686">
        <f>O152+M154</f>
        <v>-85378.787994792379</v>
      </c>
      <c r="P154" s="93"/>
      <c r="Q154" s="84">
        <f>Q152+O154</f>
        <v>-81464.975702262745</v>
      </c>
      <c r="R154" s="93"/>
      <c r="S154" s="84">
        <f>S152+Q154</f>
        <v>-73978.561574126157</v>
      </c>
      <c r="T154" s="93"/>
      <c r="U154" s="84">
        <f>U152+S154</f>
        <v>-137208.24924151268</v>
      </c>
      <c r="V154" s="93"/>
      <c r="W154" s="84">
        <f>W152+U154</f>
        <v>-163665.39545790991</v>
      </c>
      <c r="X154" s="93"/>
      <c r="Y154" s="84">
        <f>Y152+W154</f>
        <v>-71062.528554131772</v>
      </c>
      <c r="Z154" s="93"/>
      <c r="AA154" s="679">
        <f>AA152-Y154</f>
        <v>-3.2887328416109085E-9</v>
      </c>
      <c r="AB154" s="143"/>
      <c r="AC154" s="126"/>
      <c r="AD154" s="127"/>
      <c r="AE154" s="649"/>
      <c r="AF154" s="363"/>
      <c r="AG154" s="363"/>
    </row>
    <row r="155" spans="1:36">
      <c r="AA155" s="269">
        <f>AA152*0.985</f>
        <v>-69996.590625823039</v>
      </c>
    </row>
    <row r="156" spans="1:36">
      <c r="K156" s="32">
        <v>-249146.43</v>
      </c>
      <c r="S156" s="32">
        <f>S152</f>
        <v>7486.4141281365919</v>
      </c>
    </row>
    <row r="157" spans="1:36">
      <c r="S157" s="32">
        <f>S87+S86+S85</f>
        <v>12903.287671232876</v>
      </c>
    </row>
    <row r="158" spans="1:36">
      <c r="I158" s="431"/>
      <c r="O158" s="431"/>
      <c r="S158" s="32">
        <f>S156+S157</f>
        <v>20389.701799369468</v>
      </c>
    </row>
    <row r="160" spans="1:36" s="214" customFormat="1" hidden="1">
      <c r="B160" s="715" t="s">
        <v>144</v>
      </c>
      <c r="C160" s="716">
        <f>C152</f>
        <v>-48720.636585919579</v>
      </c>
      <c r="D160" s="716"/>
      <c r="E160" s="716">
        <f>E152</f>
        <v>-119805.24844407501</v>
      </c>
      <c r="F160" s="716"/>
      <c r="G160" s="716">
        <f>G152</f>
        <v>91681.414886370359</v>
      </c>
      <c r="H160" s="716"/>
      <c r="I160" s="716">
        <f>I152</f>
        <v>44058.358789186292</v>
      </c>
      <c r="J160" s="716"/>
      <c r="K160" s="716">
        <f>K152</f>
        <v>-58241.033861744276</v>
      </c>
      <c r="L160" s="716"/>
      <c r="M160" s="716">
        <f>M152</f>
        <v>95036.427937621789</v>
      </c>
      <c r="N160" s="716"/>
      <c r="O160" s="716">
        <f>O152</f>
        <v>-89388.070716231945</v>
      </c>
      <c r="P160" s="716"/>
      <c r="Q160" s="716">
        <f>Q152</f>
        <v>3913.8122925296389</v>
      </c>
      <c r="R160" s="716"/>
      <c r="S160" s="716">
        <f>S152</f>
        <v>7486.4141281365919</v>
      </c>
      <c r="T160" s="716"/>
      <c r="U160" s="716">
        <f>U152</f>
        <v>-63229.687667386512</v>
      </c>
      <c r="V160" s="716"/>
      <c r="W160" s="716">
        <f>W152</f>
        <v>-26457.146216397239</v>
      </c>
      <c r="X160" s="716"/>
      <c r="Y160" s="716">
        <f>Y152</f>
        <v>92602.866903778136</v>
      </c>
      <c r="Z160" s="716"/>
      <c r="AA160" s="716">
        <f>AA152</f>
        <v>-71062.52855413506</v>
      </c>
      <c r="AB160" s="716"/>
      <c r="AC160" s="716">
        <f>AC152</f>
        <v>-5921.8773795112547</v>
      </c>
      <c r="AD160" s="716"/>
      <c r="AE160" s="654"/>
      <c r="AF160" s="32"/>
      <c r="AG160" s="32"/>
    </row>
    <row r="161" spans="2:33" s="214" customFormat="1" hidden="1">
      <c r="C161" s="215"/>
      <c r="D161" s="216"/>
      <c r="E161" s="215"/>
      <c r="F161" s="217"/>
      <c r="G161" s="215"/>
      <c r="H161" s="217"/>
      <c r="I161" s="215"/>
      <c r="J161" s="217"/>
      <c r="K161" s="215"/>
      <c r="L161" s="217"/>
      <c r="M161" s="215"/>
      <c r="N161" s="217"/>
      <c r="O161" s="215"/>
      <c r="P161" s="217"/>
      <c r="Q161" s="215"/>
      <c r="R161" s="217"/>
      <c r="S161" s="215"/>
      <c r="T161" s="217"/>
      <c r="U161" s="215"/>
      <c r="V161" s="217"/>
      <c r="W161" s="215"/>
      <c r="X161" s="217"/>
      <c r="Y161" s="215"/>
      <c r="Z161" s="217"/>
      <c r="AA161" s="213"/>
      <c r="AB161" s="218"/>
      <c r="AC161" s="213"/>
      <c r="AD161" s="218"/>
      <c r="AE161" s="304"/>
      <c r="AF161" s="218"/>
      <c r="AG161" s="218"/>
    </row>
    <row r="162" spans="2:33" s="214" customFormat="1" hidden="1">
      <c r="B162" s="214" t="s">
        <v>237</v>
      </c>
      <c r="C162" s="215">
        <f>C150</f>
        <v>-5413.4040651021751</v>
      </c>
      <c r="D162" s="216"/>
      <c r="E162" s="215">
        <f>E150</f>
        <v>-13311.694271563891</v>
      </c>
      <c r="F162" s="217"/>
      <c r="G162" s="215">
        <f>G150</f>
        <v>10186.823876263374</v>
      </c>
      <c r="H162" s="217"/>
      <c r="I162" s="215">
        <f>I150</f>
        <v>4895.3731987984775</v>
      </c>
      <c r="J162" s="217"/>
      <c r="K162" s="215">
        <f>K150</f>
        <v>-6471.2259846382531</v>
      </c>
      <c r="L162" s="217"/>
      <c r="M162" s="215">
        <f>M150</f>
        <v>10559.6031041802</v>
      </c>
      <c r="N162" s="217"/>
      <c r="O162" s="215">
        <f>O150</f>
        <v>-9932.0078573591054</v>
      </c>
      <c r="P162" s="217"/>
      <c r="Q162" s="215">
        <f>Q150</f>
        <v>434.86803250329325</v>
      </c>
      <c r="R162" s="217"/>
      <c r="S162" s="215">
        <f>S150</f>
        <v>831.82379201517688</v>
      </c>
      <c r="T162" s="217"/>
      <c r="U162" s="215">
        <f>U150</f>
        <v>-7025.5208519318348</v>
      </c>
      <c r="V162" s="217"/>
      <c r="W162" s="215">
        <f>W150</f>
        <v>-2939.6829129330272</v>
      </c>
      <c r="X162" s="217"/>
      <c r="Y162" s="215">
        <f>Y150</f>
        <v>10289.207433753127</v>
      </c>
      <c r="Z162" s="217"/>
      <c r="AA162" s="215">
        <f>AA150</f>
        <v>-7895.8365060146389</v>
      </c>
      <c r="AB162" s="218"/>
      <c r="AC162" s="215">
        <f>AC150</f>
        <v>-657.98637550121987</v>
      </c>
      <c r="AD162" s="218"/>
      <c r="AE162" s="304"/>
      <c r="AF162" s="218"/>
      <c r="AG162" s="218"/>
    </row>
    <row r="163" spans="2:33" s="214" customFormat="1" hidden="1">
      <c r="C163" s="215"/>
      <c r="D163" s="216"/>
      <c r="E163" s="215"/>
      <c r="F163" s="217"/>
      <c r="G163" s="215"/>
      <c r="H163" s="217"/>
      <c r="I163" s="215"/>
      <c r="J163" s="217"/>
      <c r="K163" s="215"/>
      <c r="L163" s="217"/>
      <c r="M163" s="215"/>
      <c r="N163" s="217"/>
      <c r="O163" s="215"/>
      <c r="P163" s="217"/>
      <c r="Q163" s="215"/>
      <c r="R163" s="217"/>
      <c r="S163" s="215"/>
      <c r="T163" s="217"/>
      <c r="U163" s="215"/>
      <c r="V163" s="217"/>
      <c r="W163" s="215"/>
      <c r="X163" s="217"/>
      <c r="Y163" s="215"/>
      <c r="Z163" s="217"/>
      <c r="AA163" s="213"/>
      <c r="AB163" s="218"/>
      <c r="AC163" s="213"/>
      <c r="AD163" s="218"/>
      <c r="AE163" s="304"/>
      <c r="AF163" s="218"/>
      <c r="AG163" s="218"/>
    </row>
    <row r="164" spans="2:33" s="214" customFormat="1" hidden="1">
      <c r="B164" s="214" t="s">
        <v>241</v>
      </c>
      <c r="C164" s="215">
        <f>C142</f>
        <v>59024.571769207432</v>
      </c>
      <c r="D164" s="215"/>
      <c r="E164" s="215">
        <f>E142</f>
        <v>59024.571769207432</v>
      </c>
      <c r="F164" s="215"/>
      <c r="G164" s="215">
        <f>G142</f>
        <v>59024.571769207432</v>
      </c>
      <c r="H164" s="215"/>
      <c r="I164" s="215">
        <f>I142</f>
        <v>59024.571769207432</v>
      </c>
      <c r="J164" s="215"/>
      <c r="K164" s="215">
        <f>K142</f>
        <v>59024.571769207432</v>
      </c>
      <c r="L164" s="215"/>
      <c r="M164" s="215">
        <f>M142</f>
        <v>59024.571769207432</v>
      </c>
      <c r="N164" s="215"/>
      <c r="O164" s="215">
        <f>O142</f>
        <v>59024.571769207432</v>
      </c>
      <c r="P164" s="215"/>
      <c r="Q164" s="215">
        <f>Q142</f>
        <v>59024.571769207432</v>
      </c>
      <c r="R164" s="215"/>
      <c r="S164" s="215">
        <f>S142</f>
        <v>59024.571769207432</v>
      </c>
      <c r="T164" s="215"/>
      <c r="U164" s="215">
        <f>U142</f>
        <v>59024.571769207432</v>
      </c>
      <c r="V164" s="215"/>
      <c r="W164" s="215">
        <f>W142</f>
        <v>59024.571769207432</v>
      </c>
      <c r="X164" s="215"/>
      <c r="Y164" s="215">
        <f>Y142</f>
        <v>59024.571769207432</v>
      </c>
      <c r="Z164" s="215"/>
      <c r="AA164" s="215">
        <f>AA142</f>
        <v>708294.86123048933</v>
      </c>
      <c r="AB164" s="215"/>
      <c r="AC164" s="215">
        <f>AC142</f>
        <v>59024.571769207447</v>
      </c>
      <c r="AD164" s="215"/>
      <c r="AE164" s="654"/>
      <c r="AF164" s="32"/>
      <c r="AG164" s="32"/>
    </row>
    <row r="165" spans="2:33" s="214" customFormat="1" hidden="1">
      <c r="C165" s="215"/>
      <c r="D165" s="216"/>
      <c r="E165" s="215"/>
      <c r="F165" s="217"/>
      <c r="G165" s="215"/>
      <c r="H165" s="217"/>
      <c r="I165" s="215"/>
      <c r="J165" s="217"/>
      <c r="K165" s="215"/>
      <c r="L165" s="217"/>
      <c r="M165" s="215"/>
      <c r="N165" s="217"/>
      <c r="O165" s="215"/>
      <c r="P165" s="217"/>
      <c r="Q165" s="215"/>
      <c r="R165" s="217"/>
      <c r="S165" s="215"/>
      <c r="T165" s="217"/>
      <c r="U165" s="215"/>
      <c r="V165" s="217"/>
      <c r="W165" s="215"/>
      <c r="X165" s="217"/>
      <c r="Y165" s="215"/>
      <c r="Z165" s="217"/>
      <c r="AA165" s="215"/>
      <c r="AB165" s="218"/>
      <c r="AC165" s="215"/>
      <c r="AD165" s="218"/>
      <c r="AE165" s="304"/>
      <c r="AF165" s="218"/>
      <c r="AG165" s="218"/>
    </row>
    <row r="166" spans="2:33" s="214" customFormat="1" hidden="1">
      <c r="B166" s="214" t="s">
        <v>238</v>
      </c>
      <c r="C166" s="215">
        <f>C144-C142</f>
        <v>6494.3399999999965</v>
      </c>
      <c r="D166" s="215"/>
      <c r="E166" s="215">
        <f>E144-E142</f>
        <v>6494.3399999999965</v>
      </c>
      <c r="F166" s="215"/>
      <c r="G166" s="215">
        <f>G144-G142</f>
        <v>6494.3399999999965</v>
      </c>
      <c r="H166" s="215"/>
      <c r="I166" s="215">
        <f>I144-I142</f>
        <v>6494.3399999999965</v>
      </c>
      <c r="J166" s="215"/>
      <c r="K166" s="215">
        <f>K144-K142</f>
        <v>6494.3399999999965</v>
      </c>
      <c r="L166" s="215"/>
      <c r="M166" s="215">
        <f>M144-M142</f>
        <v>6494.3399999999965</v>
      </c>
      <c r="N166" s="215"/>
      <c r="O166" s="215">
        <f>O144-O142</f>
        <v>6494.3399999999965</v>
      </c>
      <c r="P166" s="215"/>
      <c r="Q166" s="215">
        <f>Q144-Q142</f>
        <v>6494.3399999999965</v>
      </c>
      <c r="R166" s="215"/>
      <c r="S166" s="215">
        <f>S144-S142</f>
        <v>6494.3399999999965</v>
      </c>
      <c r="T166" s="215"/>
      <c r="U166" s="215">
        <f>U144-U142</f>
        <v>6494.3399999999965</v>
      </c>
      <c r="V166" s="215"/>
      <c r="W166" s="215">
        <f>W144-W142</f>
        <v>6494.3399999999965</v>
      </c>
      <c r="X166" s="215"/>
      <c r="Y166" s="215">
        <f>Y144-Y142</f>
        <v>6494.3399999999965</v>
      </c>
      <c r="Z166" s="215"/>
      <c r="AA166" s="215">
        <f>AA144-AA142</f>
        <v>77932.079999999958</v>
      </c>
      <c r="AB166" s="215"/>
      <c r="AC166" s="215">
        <f>AC144-AC142</f>
        <v>6494.3399999999965</v>
      </c>
      <c r="AD166" s="215"/>
      <c r="AE166" s="654"/>
      <c r="AF166" s="32"/>
      <c r="AG166" s="32"/>
    </row>
    <row r="167" spans="2:33" s="214" customFormat="1" hidden="1">
      <c r="C167" s="215"/>
      <c r="D167" s="216"/>
      <c r="E167" s="215"/>
      <c r="F167" s="217"/>
      <c r="G167" s="215"/>
      <c r="H167" s="217"/>
      <c r="I167" s="215"/>
      <c r="J167" s="217"/>
      <c r="K167" s="215"/>
      <c r="L167" s="217"/>
      <c r="M167" s="215"/>
      <c r="N167" s="217"/>
      <c r="O167" s="215"/>
      <c r="P167" s="217"/>
      <c r="Q167" s="215"/>
      <c r="R167" s="217"/>
      <c r="S167" s="215"/>
      <c r="T167" s="217"/>
      <c r="U167" s="215"/>
      <c r="V167" s="217"/>
      <c r="W167" s="215"/>
      <c r="X167" s="217"/>
      <c r="Y167" s="215"/>
      <c r="Z167" s="217"/>
      <c r="AA167" s="213"/>
      <c r="AB167" s="218"/>
      <c r="AC167" s="215"/>
      <c r="AD167" s="218"/>
      <c r="AE167" s="304"/>
      <c r="AF167" s="218"/>
      <c r="AG167" s="218"/>
    </row>
    <row r="168" spans="2:33" s="214" customFormat="1" hidden="1">
      <c r="C168" s="215"/>
      <c r="D168" s="216"/>
      <c r="E168" s="215"/>
      <c r="F168" s="217"/>
      <c r="G168" s="215"/>
      <c r="H168" s="217"/>
      <c r="I168" s="215"/>
      <c r="J168" s="217"/>
      <c r="K168" s="215"/>
      <c r="L168" s="217"/>
      <c r="M168" s="215"/>
      <c r="N168" s="217"/>
      <c r="O168" s="215"/>
      <c r="P168" s="217"/>
      <c r="Q168" s="215"/>
      <c r="R168" s="217"/>
      <c r="S168" s="215"/>
      <c r="T168" s="217"/>
      <c r="U168" s="215"/>
      <c r="V168" s="217"/>
      <c r="W168" s="215"/>
      <c r="X168" s="217"/>
      <c r="Y168" s="215"/>
      <c r="Z168" s="217"/>
      <c r="AA168" s="213"/>
      <c r="AB168" s="218"/>
      <c r="AC168" s="213"/>
      <c r="AD168" s="218"/>
      <c r="AE168" s="304"/>
      <c r="AF168" s="218"/>
      <c r="AG168" s="218"/>
    </row>
    <row r="169" spans="2:33" s="214" customFormat="1" hidden="1">
      <c r="B169" s="424" t="s">
        <v>239</v>
      </c>
      <c r="C169" s="425">
        <f>C162+C160+C164+C166</f>
        <v>11384.871118185671</v>
      </c>
      <c r="D169" s="426"/>
      <c r="E169" s="425">
        <f>E162+E160+E164+E166</f>
        <v>-67598.030946431478</v>
      </c>
      <c r="F169" s="425"/>
      <c r="G169" s="425">
        <f>G162+G160+G164+G166</f>
        <v>167387.15053184115</v>
      </c>
      <c r="H169" s="425"/>
      <c r="I169" s="425">
        <f>I162+I160+I164+I166</f>
        <v>114472.6437571922</v>
      </c>
      <c r="J169" s="425"/>
      <c r="K169" s="425">
        <f>K162+K160+K164+K166</f>
        <v>806.6519228249017</v>
      </c>
      <c r="L169" s="425"/>
      <c r="M169" s="425">
        <f>M162+M160+M164+M166</f>
        <v>171114.94281100942</v>
      </c>
      <c r="N169" s="425"/>
      <c r="O169" s="425">
        <f>O162+O160+O164+O166</f>
        <v>-33801.166804383618</v>
      </c>
      <c r="P169" s="425"/>
      <c r="Q169" s="425">
        <f>Q162+Q160+Q164+Q166</f>
        <v>69867.592094240361</v>
      </c>
      <c r="R169" s="425"/>
      <c r="S169" s="425">
        <f>S162+S160+S164+S166</f>
        <v>73837.149689359198</v>
      </c>
      <c r="T169" s="425"/>
      <c r="U169" s="425">
        <f>U162+U160+U164+U166</f>
        <v>-4736.296750110916</v>
      </c>
      <c r="V169" s="425"/>
      <c r="W169" s="425">
        <f>W162+W160+W164+W166</f>
        <v>36122.082639877161</v>
      </c>
      <c r="X169" s="425"/>
      <c r="Y169" s="425">
        <f>Y162+Y160+Y164+Y166</f>
        <v>168410.98610673868</v>
      </c>
      <c r="Z169" s="425"/>
      <c r="AA169" s="425">
        <f>AA162+AA160+AA164+AA166</f>
        <v>707268.5761703396</v>
      </c>
      <c r="AB169" s="218"/>
      <c r="AC169" s="215">
        <f>AA169/12</f>
        <v>58939.048014194967</v>
      </c>
      <c r="AD169" s="218"/>
      <c r="AE169" s="304"/>
      <c r="AF169" s="218"/>
      <c r="AG169" s="218"/>
    </row>
    <row r="170" spans="2:33" s="214" customFormat="1" hidden="1">
      <c r="C170" s="215"/>
      <c r="D170" s="216"/>
      <c r="E170" s="215"/>
      <c r="F170" s="217"/>
      <c r="G170" s="215"/>
      <c r="H170" s="217"/>
      <c r="I170" s="215"/>
      <c r="J170" s="217"/>
      <c r="K170" s="215"/>
      <c r="L170" s="217"/>
      <c r="M170" s="215"/>
      <c r="N170" s="217"/>
      <c r="O170" s="215"/>
      <c r="P170" s="217"/>
      <c r="Q170" s="215"/>
      <c r="R170" s="217"/>
      <c r="S170" s="215"/>
      <c r="T170" s="217"/>
      <c r="U170" s="215"/>
      <c r="V170" s="217"/>
      <c r="W170" s="215"/>
      <c r="X170" s="217"/>
      <c r="Y170" s="215"/>
      <c r="Z170" s="217"/>
      <c r="AA170" s="213"/>
      <c r="AB170" s="218"/>
      <c r="AC170" s="213"/>
      <c r="AD170" s="218"/>
      <c r="AE170" s="304"/>
      <c r="AF170" s="218"/>
      <c r="AG170" s="218"/>
    </row>
    <row r="171" spans="2:33" s="214" customFormat="1" hidden="1">
      <c r="B171" s="275"/>
      <c r="C171" s="215"/>
      <c r="D171" s="216"/>
      <c r="E171" s="215"/>
      <c r="F171" s="217"/>
      <c r="G171" s="215"/>
      <c r="H171" s="217"/>
      <c r="I171" s="215"/>
      <c r="J171" s="217"/>
      <c r="K171" s="215"/>
      <c r="L171" s="217"/>
      <c r="M171" s="215"/>
      <c r="N171" s="217"/>
      <c r="O171" s="215"/>
      <c r="P171" s="217"/>
      <c r="Q171" s="215"/>
      <c r="R171" s="217"/>
      <c r="S171" s="215"/>
      <c r="T171" s="217"/>
      <c r="U171" s="215"/>
      <c r="V171" s="217"/>
      <c r="W171" s="215"/>
      <c r="X171" s="217"/>
      <c r="Y171" s="215"/>
      <c r="Z171" s="217"/>
      <c r="AA171" s="213"/>
      <c r="AB171" s="218"/>
      <c r="AC171" s="213"/>
      <c r="AD171" s="218"/>
      <c r="AE171" s="304"/>
      <c r="AF171" s="218"/>
      <c r="AG171" s="218"/>
    </row>
    <row r="172" spans="2:33" s="214" customFormat="1" hidden="1">
      <c r="B172" s="427" t="s">
        <v>240</v>
      </c>
      <c r="C172" s="423">
        <f>C169</f>
        <v>11384.871118185671</v>
      </c>
      <c r="D172" s="423"/>
      <c r="E172" s="423">
        <f>C172+E169</f>
        <v>-56213.159828245807</v>
      </c>
      <c r="F172" s="423"/>
      <c r="G172" s="423">
        <f>E172+G169</f>
        <v>111173.99070359534</v>
      </c>
      <c r="H172" s="423"/>
      <c r="I172" s="423">
        <f>G172+I169</f>
        <v>225646.63446078752</v>
      </c>
      <c r="J172" s="423"/>
      <c r="K172" s="423">
        <f>I172+K169</f>
        <v>226453.28638361243</v>
      </c>
      <c r="L172" s="423"/>
      <c r="M172" s="423">
        <f>K172+M169</f>
        <v>397568.22919462185</v>
      </c>
      <c r="N172" s="423"/>
      <c r="O172" s="423">
        <f>M172+O169</f>
        <v>363767.06239023822</v>
      </c>
      <c r="P172" s="423"/>
      <c r="Q172" s="423">
        <f>O172+Q169</f>
        <v>433634.65448447858</v>
      </c>
      <c r="R172" s="423"/>
      <c r="S172" s="423">
        <f>Q172+S169</f>
        <v>507471.80417383777</v>
      </c>
      <c r="T172" s="423"/>
      <c r="U172" s="423">
        <f>S172+U169</f>
        <v>502735.50742372684</v>
      </c>
      <c r="V172" s="423"/>
      <c r="W172" s="423">
        <f>U172+W169</f>
        <v>538857.59006360406</v>
      </c>
      <c r="X172" s="423"/>
      <c r="Y172" s="423">
        <f>W172+Y169</f>
        <v>707268.57617034274</v>
      </c>
      <c r="Z172" s="423"/>
      <c r="AA172" s="423"/>
      <c r="AB172" s="423"/>
      <c r="AC172" s="423"/>
      <c r="AD172" s="423"/>
      <c r="AE172" s="654"/>
      <c r="AF172" s="32"/>
      <c r="AG172" s="32"/>
    </row>
    <row r="173" spans="2:33" s="1" customFormat="1" hidden="1">
      <c r="C173" s="33"/>
      <c r="D173" s="106"/>
      <c r="E173" s="33"/>
      <c r="F173" s="104"/>
      <c r="G173" s="33"/>
      <c r="H173" s="104"/>
      <c r="I173" s="33"/>
      <c r="J173" s="104"/>
      <c r="K173" s="33"/>
      <c r="L173" s="93"/>
      <c r="M173" s="33"/>
      <c r="N173" s="93"/>
      <c r="O173" s="33"/>
      <c r="P173" s="93"/>
      <c r="Q173" s="33"/>
      <c r="R173" s="93"/>
      <c r="S173" s="33"/>
      <c r="T173" s="93"/>
      <c r="U173" s="33"/>
      <c r="V173" s="93"/>
      <c r="W173" s="33"/>
      <c r="X173" s="93"/>
      <c r="Y173" s="33"/>
      <c r="Z173" s="93"/>
      <c r="AA173" s="142"/>
      <c r="AB173" s="143"/>
      <c r="AC173" s="126"/>
      <c r="AD173" s="127"/>
      <c r="AE173" s="649"/>
      <c r="AF173" s="363"/>
      <c r="AG173" s="363"/>
    </row>
  </sheetData>
  <customSheetViews>
    <customSheetView guid="{E19D3675-E478-4A54-8E7A-94A199F67811}" hiddenRows="1">
      <pane xSplit="2" ySplit="3" topLeftCell="C119" activePane="bottomRight" state="frozen"/>
      <selection pane="bottomRight" activeCell="I132" sqref="I132"/>
      <pageMargins left="0.27559055118110237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1"/>
    </customSheetView>
    <customSheetView guid="{BFB0E08A-7D07-48F2-93C4-BE631A8642F6}" hiddenRows="1">
      <pane xSplit="2" ySplit="3" topLeftCell="C103" activePane="bottomRight" state="frozen"/>
      <selection pane="bottomRight" activeCell="F130" sqref="F130"/>
      <pageMargins left="0.27559055118110237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2"/>
    </customSheetView>
    <customSheetView guid="{D65E0E17-9A53-4B36-ADDE-FDFBD878E6A1}">
      <pane xSplit="6" ySplit="19" topLeftCell="G20" activePane="bottomRight" state="frozen"/>
      <selection pane="bottomRight" activeCell="I30" sqref="I30"/>
      <pageMargins left="0.7" right="0.7" top="0.75" bottom="0.75" header="0.3" footer="0.3"/>
      <pageSetup orientation="portrait" r:id="rId3"/>
    </customSheetView>
    <customSheetView guid="{F3E5B7E7-D3C6-4CDC-BAA7-D62F15A870E4}">
      <pane xSplit="6" ySplit="19" topLeftCell="G122" activePane="bottomRight" state="frozen"/>
      <selection pane="bottomRight" activeCell="I131" sqref="I131"/>
      <pageMargins left="0.7" right="0.7" top="0.75" bottom="0.75" header="0.3" footer="0.3"/>
      <pageSetup orientation="portrait" r:id="rId4"/>
    </customSheetView>
    <customSheetView guid="{879F34B1-DA85-44D2-99EE-74A633FB2C72}" hiddenRows="1">
      <pane xSplit="2" ySplit="3" topLeftCell="AJ51" activePane="bottomRight" state="frozen"/>
      <selection pane="bottomRight" activeCell="AQ58" sqref="AQ58"/>
      <pageMargins left="0.27559055118110237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5"/>
    </customSheetView>
    <customSheetView guid="{02AA01BD-C75B-4B6E-A8E6-EEB6E90D29E4}" hiddenRows="1">
      <pane xSplit="2" ySplit="3" topLeftCell="M112" activePane="bottomRight" state="frozen"/>
      <selection pane="bottomRight" activeCell="P125" sqref="P125"/>
      <pageMargins left="0.27559055118110237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6"/>
    </customSheetView>
    <customSheetView guid="{209662B1-09B2-4060-A837-250CED7848ED}" hiddenRows="1">
      <pane xSplit="2" ySplit="3" topLeftCell="Z4" activePane="bottomRight" state="frozen"/>
      <selection pane="bottomRight" activeCell="AF16" sqref="AF16"/>
      <pageMargins left="0.27559055118110237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7"/>
    </customSheetView>
    <customSheetView guid="{B2BB7590-1CD2-4457-858D-F8835B99F338}" hiddenRows="1">
      <pane xSplit="2" ySplit="3" topLeftCell="H24" activePane="bottomRight" state="frozen"/>
      <selection pane="bottomRight" activeCell="M38" sqref="M38"/>
      <pageMargins left="0.27559055118110237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8"/>
    </customSheetView>
    <customSheetView guid="{A879B074-133C-4DA1-A94D-0D1575EAAFB0}" hiddenColumns="1" topLeftCell="O91">
      <selection activeCell="AE12" sqref="AE12"/>
      <pageMargins left="0.7" right="0.7" top="0.75" bottom="0.75" header="0.3" footer="0.3"/>
    </customSheetView>
    <customSheetView guid="{C4C974E7-2FCF-4C3A-A063-03001047949F}" topLeftCell="A98">
      <selection activeCell="B98" sqref="B1:N1048576"/>
      <pageMargins left="0.7" right="0.7" top="0.75" bottom="0.75" header="0.3" footer="0.3"/>
      <pageSetup orientation="portrait" r:id="rId9"/>
    </customSheetView>
    <customSheetView guid="{A8167CC1-C909-4D11-B8D5-4313083C8125}" hiddenRows="1" hiddenColumns="1">
      <pane xSplit="2" ySplit="3" topLeftCell="C113" activePane="bottomRight" state="frozen"/>
      <selection pane="bottomRight" activeCell="I130" sqref="I130"/>
      <pageMargins left="0.27559055118110237" right="0.31496062992125984" top="0.5" bottom="0.48" header="0.31496062992125984" footer="0.31496062992125984"/>
      <printOptions horizontalCentered="1" gridLines="1"/>
      <pageSetup paperSize="8" scale="39" fitToHeight="3" orientation="landscape" r:id="rId10"/>
    </customSheetView>
    <customSheetView guid="{AA4262F8-9AB3-4147-94E2-8DEF81F7E83C}" hiddenRows="1">
      <pane xSplit="2" ySplit="3" topLeftCell="C4" activePane="bottomRight" state="frozen"/>
      <selection pane="bottomRight" activeCell="I5" sqref="I5"/>
      <pageMargins left="0.27559055118110237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11"/>
    </customSheetView>
  </customSheetViews>
  <mergeCells count="15">
    <mergeCell ref="A1:AD1"/>
    <mergeCell ref="AA2:AB2"/>
    <mergeCell ref="AC2:AD2"/>
    <mergeCell ref="Q2:R2"/>
    <mergeCell ref="S2:T2"/>
    <mergeCell ref="C2:D2"/>
    <mergeCell ref="E2:F2"/>
    <mergeCell ref="G2:H2"/>
    <mergeCell ref="I2:J2"/>
    <mergeCell ref="K2:L2"/>
    <mergeCell ref="M2:N2"/>
    <mergeCell ref="O2:P2"/>
    <mergeCell ref="U2:V2"/>
    <mergeCell ref="W2:X2"/>
    <mergeCell ref="Y2:Z2"/>
  </mergeCells>
  <printOptions horizontalCentered="1" verticalCentered="1" gridLines="1"/>
  <pageMargins left="0" right="0.3" top="0.74803149606299202" bottom="0.49803149600000002" header="0.31496062992126" footer="0.31496062992126"/>
  <pageSetup paperSize="8" scale="38" fitToHeight="3" orientation="landscape" r:id="rId1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172"/>
  <sheetViews>
    <sheetView zoomScale="85" zoomScaleNormal="85" workbookViewId="0">
      <pane xSplit="2" ySplit="5" topLeftCell="M113" activePane="bottomRight" state="frozen"/>
      <selection pane="topRight" activeCell="C1" sqref="C1"/>
      <selection pane="bottomLeft" activeCell="A6" sqref="A6"/>
      <selection pane="bottomRight" activeCell="AA142" sqref="AA142"/>
    </sheetView>
  </sheetViews>
  <sheetFormatPr defaultColWidth="9.140625" defaultRowHeight="15"/>
  <cols>
    <col min="1" max="1" width="6.42578125" style="213" bestFit="1" customWidth="1"/>
    <col min="2" max="2" width="38.42578125" style="213" bestFit="1" customWidth="1"/>
    <col min="3" max="3" width="14.140625" style="269" customWidth="1"/>
    <col min="4" max="4" width="8.7109375" style="213" customWidth="1"/>
    <col min="5" max="5" width="13.28515625" style="269" bestFit="1" customWidth="1"/>
    <col min="6" max="6" width="9.85546875" style="213" bestFit="1" customWidth="1"/>
    <col min="7" max="7" width="14" style="269" bestFit="1" customWidth="1"/>
    <col min="8" max="8" width="7.85546875" style="213" bestFit="1" customWidth="1"/>
    <col min="9" max="9" width="13.28515625" style="269" bestFit="1" customWidth="1"/>
    <col min="10" max="10" width="7.85546875" style="213" bestFit="1" customWidth="1"/>
    <col min="11" max="11" width="14" style="32" bestFit="1" customWidth="1"/>
    <col min="12" max="12" width="8" style="213" customWidth="1"/>
    <col min="13" max="13" width="14" style="32" bestFit="1" customWidth="1"/>
    <col min="14" max="14" width="7.140625" style="213" bestFit="1" customWidth="1"/>
    <col min="15" max="15" width="14" style="32" bestFit="1" customWidth="1"/>
    <col min="16" max="16" width="7.140625" style="363" bestFit="1" customWidth="1"/>
    <col min="17" max="17" width="13.28515625" style="32" bestFit="1" customWidth="1"/>
    <col min="18" max="18" width="7.140625" style="363" bestFit="1" customWidth="1"/>
    <col min="19" max="19" width="14.28515625" style="32" bestFit="1" customWidth="1"/>
    <col min="20" max="20" width="7.85546875" style="363" bestFit="1" customWidth="1"/>
    <col min="21" max="21" width="13.28515625" style="269" bestFit="1" customWidth="1"/>
    <col min="22" max="22" width="7.140625" style="363" bestFit="1" customWidth="1"/>
    <col min="23" max="23" width="13.28515625" style="269" bestFit="1" customWidth="1"/>
    <col min="24" max="24" width="7.140625" style="363" bestFit="1" customWidth="1"/>
    <col min="25" max="25" width="14" style="269" bestFit="1" customWidth="1"/>
    <col min="26" max="26" width="7.140625" style="363" bestFit="1" customWidth="1"/>
    <col min="27" max="27" width="12.28515625" style="213" bestFit="1" customWidth="1"/>
    <col min="28" max="28" width="7.140625" style="363" customWidth="1"/>
    <col min="29" max="29" width="11.5703125" style="213" bestFit="1" customWidth="1"/>
    <col min="30" max="30" width="7.140625" style="363" customWidth="1"/>
    <col min="31" max="31" width="26.7109375" style="718" hidden="1" customWidth="1"/>
    <col min="32" max="32" width="44.140625" style="718" hidden="1" customWidth="1"/>
    <col min="33" max="33" width="14.85546875" style="718" hidden="1" customWidth="1"/>
    <col min="34" max="34" width="9.140625" style="213" customWidth="1"/>
    <col min="35" max="35" width="11.7109375" style="213" bestFit="1" customWidth="1"/>
    <col min="36" max="58" width="9.140625" style="213" customWidth="1"/>
    <col min="59" max="16384" width="9.140625" style="213"/>
  </cols>
  <sheetData>
    <row r="1" spans="1:33" s="358" customFormat="1">
      <c r="A1" s="995" t="s">
        <v>370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548" t="s">
        <v>267</v>
      </c>
      <c r="AF1" s="548">
        <f>2759*10.76</f>
        <v>29686.84</v>
      </c>
      <c r="AG1" s="548"/>
    </row>
    <row r="2" spans="1:33" s="1" customFormat="1">
      <c r="A2" s="43"/>
      <c r="B2" s="988" t="s">
        <v>358</v>
      </c>
      <c r="C2" s="324" t="s">
        <v>64</v>
      </c>
      <c r="D2" s="325"/>
      <c r="E2" s="324" t="s">
        <v>65</v>
      </c>
      <c r="F2" s="325"/>
      <c r="G2" s="324" t="s">
        <v>81</v>
      </c>
      <c r="H2" s="325"/>
      <c r="I2" s="324" t="s">
        <v>82</v>
      </c>
      <c r="J2" s="325"/>
      <c r="K2" s="324" t="s">
        <v>83</v>
      </c>
      <c r="L2" s="325"/>
      <c r="M2" s="798" t="s">
        <v>84</v>
      </c>
      <c r="N2" s="729"/>
      <c r="O2" s="798" t="s">
        <v>85</v>
      </c>
      <c r="P2" s="325"/>
      <c r="Q2" s="324" t="s">
        <v>86</v>
      </c>
      <c r="R2" s="589"/>
      <c r="S2" s="808" t="s">
        <v>87</v>
      </c>
      <c r="T2" s="589"/>
      <c r="U2" s="324" t="s">
        <v>123</v>
      </c>
      <c r="V2" s="325"/>
      <c r="W2" s="324" t="s">
        <v>124</v>
      </c>
      <c r="X2" s="589"/>
      <c r="Y2" s="589" t="s">
        <v>125</v>
      </c>
      <c r="Z2" s="589"/>
      <c r="AA2" s="587" t="s">
        <v>120</v>
      </c>
      <c r="AB2" s="587"/>
      <c r="AC2" s="588" t="s">
        <v>121</v>
      </c>
      <c r="AD2" s="588"/>
      <c r="AE2" s="556"/>
      <c r="AF2" s="556"/>
      <c r="AG2" s="556"/>
    </row>
    <row r="3" spans="1:33" s="1" customFormat="1" ht="15.75" thickBot="1">
      <c r="A3" s="65"/>
      <c r="B3" s="42" t="s">
        <v>69</v>
      </c>
      <c r="C3" s="73" t="s">
        <v>115</v>
      </c>
      <c r="D3" s="67" t="s">
        <v>80</v>
      </c>
      <c r="E3" s="111" t="s">
        <v>115</v>
      </c>
      <c r="F3" s="67" t="s">
        <v>80</v>
      </c>
      <c r="G3" s="73" t="s">
        <v>115</v>
      </c>
      <c r="H3" s="67" t="s">
        <v>80</v>
      </c>
      <c r="I3" s="73" t="s">
        <v>115</v>
      </c>
      <c r="J3" s="67" t="s">
        <v>80</v>
      </c>
      <c r="K3" s="70" t="s">
        <v>115</v>
      </c>
      <c r="L3" s="67" t="s">
        <v>80</v>
      </c>
      <c r="M3" s="70" t="s">
        <v>115</v>
      </c>
      <c r="N3" s="67" t="s">
        <v>80</v>
      </c>
      <c r="O3" s="70" t="s">
        <v>115</v>
      </c>
      <c r="P3" s="99" t="s">
        <v>80</v>
      </c>
      <c r="Q3" s="70" t="s">
        <v>115</v>
      </c>
      <c r="R3" s="99" t="s">
        <v>80</v>
      </c>
      <c r="S3" s="70" t="s">
        <v>115</v>
      </c>
      <c r="T3" s="99" t="s">
        <v>80</v>
      </c>
      <c r="U3" s="73" t="s">
        <v>115</v>
      </c>
      <c r="V3" s="99" t="s">
        <v>80</v>
      </c>
      <c r="W3" s="73" t="s">
        <v>115</v>
      </c>
      <c r="X3" s="99" t="s">
        <v>80</v>
      </c>
      <c r="Y3" s="73" t="s">
        <v>115</v>
      </c>
      <c r="Z3" s="99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50" t="s">
        <v>183</v>
      </c>
      <c r="AF3" s="550" t="s">
        <v>181</v>
      </c>
      <c r="AG3" s="550" t="s">
        <v>225</v>
      </c>
    </row>
    <row r="4" spans="1:33" s="1" customFormat="1">
      <c r="B4" s="20"/>
      <c r="C4" s="74" t="s">
        <v>234</v>
      </c>
      <c r="D4" s="17"/>
      <c r="E4" s="112" t="s">
        <v>234</v>
      </c>
      <c r="F4" s="17"/>
      <c r="G4" s="74" t="s">
        <v>234</v>
      </c>
      <c r="H4" s="17"/>
      <c r="I4" s="74" t="s">
        <v>234</v>
      </c>
      <c r="J4" s="17"/>
      <c r="K4" s="26" t="s">
        <v>234</v>
      </c>
      <c r="L4" s="17"/>
      <c r="M4" s="26" t="s">
        <v>234</v>
      </c>
      <c r="N4" s="17"/>
      <c r="O4" s="26" t="s">
        <v>234</v>
      </c>
      <c r="P4" s="91"/>
      <c r="Q4" s="26" t="s">
        <v>234</v>
      </c>
      <c r="R4" s="91"/>
      <c r="S4" s="26" t="s">
        <v>234</v>
      </c>
      <c r="T4" s="91"/>
      <c r="U4" s="74" t="s">
        <v>234</v>
      </c>
      <c r="V4" s="91"/>
      <c r="W4" s="74" t="s">
        <v>234</v>
      </c>
      <c r="X4" s="91"/>
      <c r="Y4" s="74" t="s">
        <v>234</v>
      </c>
      <c r="Z4" s="91"/>
      <c r="AA4" s="142"/>
      <c r="AB4" s="143"/>
      <c r="AC4" s="126"/>
      <c r="AD4" s="127"/>
      <c r="AE4" s="557"/>
      <c r="AF4" s="557"/>
      <c r="AG4" s="557"/>
    </row>
    <row r="5" spans="1:33" s="1" customFormat="1">
      <c r="A5" s="6">
        <v>5004</v>
      </c>
      <c r="B5" s="759" t="s">
        <v>71</v>
      </c>
      <c r="C5" s="950">
        <f>668970.81+C9</f>
        <v>862972.34659279301</v>
      </c>
      <c r="D5" s="760"/>
      <c r="E5" s="951">
        <f>520460.27+E9</f>
        <v>608938.51657333062</v>
      </c>
      <c r="F5" s="702"/>
      <c r="G5" s="952">
        <f>863327.841397834+G9</f>
        <v>1130959.4722311627</v>
      </c>
      <c r="H5" s="702"/>
      <c r="I5" s="953">
        <f>762313.533719062+I9</f>
        <v>968138.18782320875</v>
      </c>
      <c r="J5" s="760"/>
      <c r="K5" s="954">
        <f>697213.384133025+K9</f>
        <v>822711.79327696946</v>
      </c>
      <c r="L5" s="760"/>
      <c r="M5" s="955">
        <f>988638.925627263+M9</f>
        <v>1295116.9925717143</v>
      </c>
      <c r="N5" s="760"/>
      <c r="O5" s="956">
        <f>625917.705378243+O9</f>
        <v>813693.01699171588</v>
      </c>
      <c r="P5" s="760"/>
      <c r="Q5" s="957">
        <f>777226.449962939+Q9</f>
        <v>994849.85595256207</v>
      </c>
      <c r="R5" s="760"/>
      <c r="S5" s="958">
        <f>782961.81828274+S9</f>
        <v>963043.03648777027</v>
      </c>
      <c r="T5" s="760"/>
      <c r="U5" s="959">
        <f>621050.426427783+U9</f>
        <v>813576.05862039572</v>
      </c>
      <c r="V5" s="760"/>
      <c r="W5" s="960">
        <f>631882.495649476+W9</f>
        <v>739302.51990988699</v>
      </c>
      <c r="X5" s="760"/>
      <c r="Y5" s="961">
        <f>954561.81125148+Y9</f>
        <v>1221839.1184018946</v>
      </c>
      <c r="Z5" s="760">
        <v>0</v>
      </c>
      <c r="AA5" s="182">
        <f t="shared" ref="AA5:AA11" si="0">C5+E5+G5+I5+K5+M5+O5+Q5+S5+U5+W5+Y5</f>
        <v>11235140.915433403</v>
      </c>
      <c r="AB5" s="299">
        <v>0</v>
      </c>
      <c r="AC5" s="182">
        <f>AA5/12</f>
        <v>936261.74295278359</v>
      </c>
      <c r="AD5" s="299">
        <v>0</v>
      </c>
      <c r="AE5" s="573"/>
      <c r="AF5" s="573"/>
      <c r="AG5" s="573"/>
    </row>
    <row r="6" spans="1:33" s="1" customFormat="1">
      <c r="A6" s="5">
        <v>5005</v>
      </c>
      <c r="B6" s="17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si="0"/>
        <v>0</v>
      </c>
      <c r="AB6" s="22">
        <f>AA6/AA$5</f>
        <v>0</v>
      </c>
      <c r="AC6" s="50">
        <f t="shared" ref="AC6:AC11" si="1">AA6/12</f>
        <v>0</v>
      </c>
      <c r="AD6" s="22">
        <f>AC6/AC$5</f>
        <v>0</v>
      </c>
      <c r="AE6" s="574"/>
      <c r="AF6" s="574"/>
      <c r="AG6" s="574"/>
    </row>
    <row r="7" spans="1:33" s="1" customFormat="1">
      <c r="A7" s="14">
        <v>5051</v>
      </c>
      <c r="B7" s="241" t="s">
        <v>74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22">
        <f t="shared" ref="AB7:AB11" si="2">AA7/AA$5</f>
        <v>0</v>
      </c>
      <c r="AC7" s="50">
        <f t="shared" si="1"/>
        <v>0</v>
      </c>
      <c r="AD7" s="22">
        <f t="shared" ref="AD7:AD11" si="3">AC7/AC$5</f>
        <v>0</v>
      </c>
      <c r="AE7" s="574"/>
      <c r="AF7" s="574"/>
      <c r="AG7" s="574"/>
    </row>
    <row r="8" spans="1:33" s="1" customFormat="1">
      <c r="A8" s="1">
        <v>5052</v>
      </c>
      <c r="B8" s="1" t="s">
        <v>90</v>
      </c>
      <c r="C8" s="31"/>
      <c r="D8" s="702">
        <f t="shared" ref="D8:D11" si="4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5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6">Y8/Y$5</f>
        <v>0</v>
      </c>
      <c r="AA8" s="144">
        <f t="shared" si="0"/>
        <v>0</v>
      </c>
      <c r="AB8" s="22">
        <f t="shared" si="2"/>
        <v>0</v>
      </c>
      <c r="AC8" s="50">
        <f t="shared" si="1"/>
        <v>0</v>
      </c>
      <c r="AD8" s="22">
        <f t="shared" si="3"/>
        <v>0</v>
      </c>
      <c r="AE8" s="574" t="s">
        <v>224</v>
      </c>
      <c r="AF8" s="574"/>
      <c r="AG8" s="574"/>
    </row>
    <row r="9" spans="1:33" s="1" customFormat="1">
      <c r="A9" s="1">
        <v>5101</v>
      </c>
      <c r="B9" s="20" t="s">
        <v>46</v>
      </c>
      <c r="C9" s="1">
        <v>194001.53659279292</v>
      </c>
      <c r="D9" s="702">
        <v>0.19417752325765827</v>
      </c>
      <c r="E9" s="1">
        <v>88478.246573330587</v>
      </c>
      <c r="F9" s="702">
        <v>0.11382820328897209</v>
      </c>
      <c r="G9" s="1">
        <v>267631.63083332859</v>
      </c>
      <c r="H9" s="702">
        <v>0.20756907658577264</v>
      </c>
      <c r="I9" s="371">
        <v>205824.6541041467</v>
      </c>
      <c r="J9" s="702">
        <v>0.18078596992954393</v>
      </c>
      <c r="K9" s="371">
        <v>125498.40914394455</v>
      </c>
      <c r="L9" s="702">
        <v>0.12052397995302928</v>
      </c>
      <c r="M9" s="33">
        <v>306478.06694445142</v>
      </c>
      <c r="N9" s="702">
        <v>0.20756907658577262</v>
      </c>
      <c r="O9" s="371">
        <v>187775.31161347285</v>
      </c>
      <c r="P9" s="702">
        <v>0.20087329992171549</v>
      </c>
      <c r="Q9" s="371">
        <v>217623.40598962308</v>
      </c>
      <c r="R9" s="702">
        <v>0.18748174659360109</v>
      </c>
      <c r="S9" s="371">
        <v>180081.21820503031</v>
      </c>
      <c r="T9" s="22">
        <v>0.15400286327331519</v>
      </c>
      <c r="U9" s="1">
        <v>192525.63219261271</v>
      </c>
      <c r="V9" s="22">
        <v>0.20756907658577259</v>
      </c>
      <c r="W9" s="1">
        <v>107420.024260411</v>
      </c>
      <c r="X9" s="22">
        <v>0.11382820328897211</v>
      </c>
      <c r="Y9" s="1">
        <v>267277.3071504145</v>
      </c>
      <c r="Z9" s="22">
        <v>0.18748174659360112</v>
      </c>
      <c r="AA9" s="144">
        <f t="shared" si="0"/>
        <v>2340615.4436035594</v>
      </c>
      <c r="AB9" s="677">
        <f t="shared" si="2"/>
        <v>0.20832986975609008</v>
      </c>
      <c r="AC9" s="50">
        <f t="shared" si="1"/>
        <v>195051.28696696329</v>
      </c>
      <c r="AD9" s="22">
        <f t="shared" si="3"/>
        <v>0.20832986975609008</v>
      </c>
      <c r="AE9" s="574"/>
      <c r="AF9" s="574"/>
      <c r="AG9" s="574"/>
    </row>
    <row r="10" spans="1:33" s="1" customFormat="1">
      <c r="A10" s="1">
        <v>5102</v>
      </c>
      <c r="B10" s="1" t="s">
        <v>220</v>
      </c>
      <c r="C10" s="31"/>
      <c r="D10" s="702">
        <f t="shared" si="4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5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6"/>
        <v>0</v>
      </c>
      <c r="AA10" s="144">
        <f t="shared" si="0"/>
        <v>0</v>
      </c>
      <c r="AB10" s="22">
        <f t="shared" si="2"/>
        <v>0</v>
      </c>
      <c r="AC10" s="50">
        <f t="shared" si="1"/>
        <v>0</v>
      </c>
      <c r="AD10" s="22">
        <f t="shared" si="3"/>
        <v>0</v>
      </c>
      <c r="AE10" s="574"/>
      <c r="AF10" s="574"/>
      <c r="AG10" s="574"/>
    </row>
    <row r="11" spans="1:33" s="1" customFormat="1">
      <c r="A11" s="1">
        <v>5103</v>
      </c>
      <c r="B11" s="1" t="s">
        <v>63</v>
      </c>
      <c r="C11" s="26"/>
      <c r="D11" s="702">
        <f t="shared" si="4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5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6"/>
        <v>0</v>
      </c>
      <c r="AA11" s="144">
        <f t="shared" si="0"/>
        <v>0</v>
      </c>
      <c r="AB11" s="22">
        <f t="shared" si="2"/>
        <v>0</v>
      </c>
      <c r="AC11" s="50">
        <f t="shared" si="1"/>
        <v>0</v>
      </c>
      <c r="AD11" s="22">
        <f t="shared" si="3"/>
        <v>0</v>
      </c>
      <c r="AE11" s="574"/>
      <c r="AF11" s="574"/>
      <c r="AG11" s="574"/>
    </row>
    <row r="12" spans="1:33" s="1" customFormat="1" ht="15.75" thickBot="1">
      <c r="A12" s="7">
        <v>5149</v>
      </c>
      <c r="B12" s="242" t="s">
        <v>66</v>
      </c>
      <c r="C12" s="116">
        <f>C5+C6-C7-C8-C9-C10+C11</f>
        <v>668970.81000000006</v>
      </c>
      <c r="D12" s="23">
        <v>1</v>
      </c>
      <c r="E12" s="116">
        <f>E5+E6-E7-E8-E9-E10+E11</f>
        <v>520460.27</v>
      </c>
      <c r="F12" s="23">
        <v>1</v>
      </c>
      <c r="G12" s="76">
        <f>G5+G6-G7-G8-G9-G10+G11</f>
        <v>863327.84139783413</v>
      </c>
      <c r="H12" s="23">
        <v>1</v>
      </c>
      <c r="I12" s="116">
        <f>I5+I6-I7-I8-I9-I10+I11</f>
        <v>762313.53371906211</v>
      </c>
      <c r="J12" s="23">
        <v>1</v>
      </c>
      <c r="K12" s="116">
        <f>K5+K6-K7-K8-K9-K10+K11</f>
        <v>697213.38413302496</v>
      </c>
      <c r="L12" s="23">
        <v>1</v>
      </c>
      <c r="M12" s="800">
        <f>M5+M6-M7-M8-M9-M10+M11</f>
        <v>988638.92562726291</v>
      </c>
      <c r="N12" s="23">
        <v>1</v>
      </c>
      <c r="O12" s="45">
        <f>O5+O6-O7-O8-O9-O10+O11</f>
        <v>625917.705378243</v>
      </c>
      <c r="P12" s="23">
        <v>1</v>
      </c>
      <c r="Q12" s="116">
        <f>Q5+Q6-Q7-Q8-Q9-Q10+Q11</f>
        <v>777226.44996293902</v>
      </c>
      <c r="R12" s="23">
        <v>1</v>
      </c>
      <c r="S12" s="116">
        <f>S5+S6-S7-S8-S9-S10+S11</f>
        <v>782961.81828273996</v>
      </c>
      <c r="T12" s="23">
        <v>1</v>
      </c>
      <c r="U12" s="116">
        <f>U5+U6-U7-U8-U9-U10+U11</f>
        <v>621050.42642778298</v>
      </c>
      <c r="V12" s="23">
        <v>1</v>
      </c>
      <c r="W12" s="116">
        <f>W5+W6-W7-W8-W9-W10+W11</f>
        <v>631882.49564947595</v>
      </c>
      <c r="X12" s="23">
        <v>1</v>
      </c>
      <c r="Y12" s="116">
        <f>Y5+Y6-Y7-Y8-Y9-Y10+Y11</f>
        <v>954561.81125148013</v>
      </c>
      <c r="Z12" s="23">
        <v>1</v>
      </c>
      <c r="AA12" s="52">
        <f>AA5+AA6-AA7-AA8-AA9-AA10+AA11</f>
        <v>8894525.4718298428</v>
      </c>
      <c r="AB12" s="23">
        <v>1</v>
      </c>
      <c r="AC12" s="52">
        <f t="shared" ref="AC12:AC17" si="16">AA12/12</f>
        <v>741210.45598582027</v>
      </c>
      <c r="AD12" s="23">
        <v>1</v>
      </c>
      <c r="AE12" s="575"/>
      <c r="AF12" s="575"/>
      <c r="AG12" s="575"/>
    </row>
    <row r="13" spans="1:33" s="1" customFormat="1" ht="15.75" thickTop="1">
      <c r="A13" s="1">
        <v>5151</v>
      </c>
      <c r="B13" s="20" t="s">
        <v>47</v>
      </c>
      <c r="C13" s="61"/>
      <c r="D13" s="18"/>
      <c r="E13" s="703"/>
      <c r="F13" s="18"/>
      <c r="G13" s="61"/>
      <c r="H13" s="18"/>
      <c r="I13" s="61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61"/>
      <c r="V13" s="18"/>
      <c r="W13" s="61"/>
      <c r="X13" s="18"/>
      <c r="Y13" s="61"/>
      <c r="Z13" s="18"/>
      <c r="AA13" s="144">
        <f>C13+E13+G13+I13+K13+M13+O13+Q13+S13+U13+W13+Y13</f>
        <v>0</v>
      </c>
      <c r="AB13" s="18"/>
      <c r="AC13" s="128">
        <f t="shared" si="16"/>
        <v>0</v>
      </c>
      <c r="AD13" s="18"/>
      <c r="AE13" s="576"/>
      <c r="AF13" s="576"/>
      <c r="AG13" s="576"/>
    </row>
    <row r="14" spans="1:33" s="1" customFormat="1">
      <c r="A14" s="1">
        <v>5152</v>
      </c>
      <c r="B14" s="20" t="s">
        <v>48</v>
      </c>
      <c r="C14" s="61"/>
      <c r="D14" s="18"/>
      <c r="E14" s="703"/>
      <c r="F14" s="18"/>
      <c r="G14" s="61"/>
      <c r="H14" s="18"/>
      <c r="I14" s="61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61"/>
      <c r="V14" s="18"/>
      <c r="W14" s="61"/>
      <c r="X14" s="18"/>
      <c r="Y14" s="61"/>
      <c r="Z14" s="18"/>
      <c r="AA14" s="144">
        <f>C14+E14+G14+I14+K14+M14+O14+Q14+S14+U14+W14+Y14</f>
        <v>0</v>
      </c>
      <c r="AB14" s="18"/>
      <c r="AC14" s="128">
        <f t="shared" si="16"/>
        <v>0</v>
      </c>
      <c r="AD14" s="18"/>
      <c r="AE14" s="576"/>
      <c r="AF14" s="576"/>
      <c r="AG14" s="576"/>
    </row>
    <row r="15" spans="1:33" s="1" customFormat="1">
      <c r="A15" s="198">
        <v>5198</v>
      </c>
      <c r="B15" s="247" t="s">
        <v>106</v>
      </c>
      <c r="C15" s="79">
        <f>C13+C14</f>
        <v>0</v>
      </c>
      <c r="D15" s="199"/>
      <c r="E15" s="119">
        <f>E13+E14</f>
        <v>0</v>
      </c>
      <c r="F15" s="199"/>
      <c r="G15" s="79">
        <f>G13+G14</f>
        <v>0</v>
      </c>
      <c r="H15" s="199"/>
      <c r="I15" s="79">
        <f>I13+I14</f>
        <v>0</v>
      </c>
      <c r="J15" s="199"/>
      <c r="K15" s="29">
        <f>K13+K14</f>
        <v>0</v>
      </c>
      <c r="L15" s="199"/>
      <c r="M15" s="29">
        <f>M13+M14</f>
        <v>0</v>
      </c>
      <c r="N15" s="199"/>
      <c r="O15" s="29">
        <f>O13+O14</f>
        <v>0</v>
      </c>
      <c r="P15" s="199"/>
      <c r="Q15" s="29">
        <f>Q13+Q14</f>
        <v>0</v>
      </c>
      <c r="R15" s="199"/>
      <c r="S15" s="29">
        <f>S13+S14</f>
        <v>0</v>
      </c>
      <c r="T15" s="199"/>
      <c r="U15" s="79">
        <f>U13+U14</f>
        <v>0</v>
      </c>
      <c r="V15" s="199"/>
      <c r="W15" s="79">
        <f>W13+W14</f>
        <v>0</v>
      </c>
      <c r="X15" s="199"/>
      <c r="Y15" s="79">
        <f>Y13+Y14</f>
        <v>0</v>
      </c>
      <c r="Z15" s="199"/>
      <c r="AA15" s="58">
        <f>AA13+AA14</f>
        <v>0</v>
      </c>
      <c r="AB15" s="199"/>
      <c r="AC15" s="58">
        <f t="shared" si="16"/>
        <v>0</v>
      </c>
      <c r="AD15" s="199"/>
      <c r="AE15" s="577"/>
      <c r="AF15" s="577"/>
      <c r="AG15" s="577"/>
    </row>
    <row r="16" spans="1:33" s="1" customFormat="1" ht="15.75" thickBot="1">
      <c r="A16" s="37">
        <v>5199</v>
      </c>
      <c r="B16" s="248" t="s">
        <v>70</v>
      </c>
      <c r="C16" s="80">
        <f>C12+C15</f>
        <v>668970.81000000006</v>
      </c>
      <c r="D16" s="25">
        <f>C16/C12</f>
        <v>1</v>
      </c>
      <c r="E16" s="120">
        <f>E12+E15</f>
        <v>520460.27</v>
      </c>
      <c r="F16" s="25">
        <f>E16/E12</f>
        <v>1</v>
      </c>
      <c r="G16" s="80">
        <f>G12+G15</f>
        <v>863327.84139783413</v>
      </c>
      <c r="H16" s="25">
        <f>G16/G12</f>
        <v>1</v>
      </c>
      <c r="I16" s="80">
        <f>I12+I15</f>
        <v>762313.53371906211</v>
      </c>
      <c r="J16" s="25">
        <f>I16/I12</f>
        <v>1</v>
      </c>
      <c r="K16" s="30">
        <f>K12+K15</f>
        <v>697213.38413302496</v>
      </c>
      <c r="L16" s="25">
        <f>K16/K12</f>
        <v>1</v>
      </c>
      <c r="M16" s="30">
        <f>M12+M15</f>
        <v>988638.92562726291</v>
      </c>
      <c r="N16" s="25">
        <f>M16/M12</f>
        <v>1</v>
      </c>
      <c r="O16" s="30">
        <f>O12+O15</f>
        <v>625917.705378243</v>
      </c>
      <c r="P16" s="25">
        <f>O16/O12</f>
        <v>1</v>
      </c>
      <c r="Q16" s="30">
        <f>Q12+Q15</f>
        <v>777226.44996293902</v>
      </c>
      <c r="R16" s="25">
        <f>Q16/Q12</f>
        <v>1</v>
      </c>
      <c r="S16" s="30">
        <f>S12+S15</f>
        <v>782961.81828273996</v>
      </c>
      <c r="T16" s="25">
        <f>S16/S12</f>
        <v>1</v>
      </c>
      <c r="U16" s="80">
        <f>U12+U15</f>
        <v>621050.42642778298</v>
      </c>
      <c r="V16" s="25">
        <f>U16/U12</f>
        <v>1</v>
      </c>
      <c r="W16" s="80">
        <f>W12+W15</f>
        <v>631882.49564947595</v>
      </c>
      <c r="X16" s="25">
        <f>W16/W12</f>
        <v>1</v>
      </c>
      <c r="Y16" s="80">
        <f>Y12+Y15</f>
        <v>954561.81125148013</v>
      </c>
      <c r="Z16" s="25">
        <f>Y16/Y12</f>
        <v>1</v>
      </c>
      <c r="AA16" s="195">
        <f>AA12+AA15</f>
        <v>8894525.4718298428</v>
      </c>
      <c r="AB16" s="25">
        <f>AA16/AA12</f>
        <v>1</v>
      </c>
      <c r="AC16" s="59">
        <f t="shared" si="16"/>
        <v>741210.45598582027</v>
      </c>
      <c r="AD16" s="25">
        <f>AC16/AC12</f>
        <v>1</v>
      </c>
      <c r="AE16" s="578"/>
      <c r="AF16" s="578"/>
      <c r="AG16" s="578"/>
    </row>
    <row r="17" spans="1:33" s="1" customFormat="1" ht="15.75" thickTop="1">
      <c r="A17" s="13">
        <v>5502</v>
      </c>
      <c r="B17" s="17" t="s">
        <v>49</v>
      </c>
      <c r="C17" s="704">
        <f>C12*55.95%</f>
        <v>374289.16819500003</v>
      </c>
      <c r="D17" s="702">
        <f>C17/C12</f>
        <v>0.5595</v>
      </c>
      <c r="E17" s="704">
        <f>E12*47.95%</f>
        <v>249560.69946500004</v>
      </c>
      <c r="F17" s="702">
        <f>E17/E12</f>
        <v>0.47950000000000004</v>
      </c>
      <c r="G17" s="704">
        <f>G12*59.84%</f>
        <v>516615.38029246399</v>
      </c>
      <c r="H17" s="702">
        <f>G17/G12</f>
        <v>0.59840000000000004</v>
      </c>
      <c r="I17" s="704">
        <f>I12*52%</f>
        <v>396403.03753391228</v>
      </c>
      <c r="J17" s="702">
        <f>I17/I12</f>
        <v>0.52</v>
      </c>
      <c r="K17" s="704">
        <f>K12*44.66%</f>
        <v>311375.4973538089</v>
      </c>
      <c r="L17" s="702">
        <f>K17/K12</f>
        <v>0.44659999999999994</v>
      </c>
      <c r="M17" s="704">
        <f>M12*57.64%</f>
        <v>569851.47673155437</v>
      </c>
      <c r="N17" s="702">
        <f>M17/M12</f>
        <v>0.57640000000000002</v>
      </c>
      <c r="O17" s="704">
        <f>O12*47.59%</f>
        <v>297874.23598950589</v>
      </c>
      <c r="P17" s="702">
        <f>O17/O12</f>
        <v>0.4759000000000001</v>
      </c>
      <c r="Q17" s="704">
        <f>Q12*49.13%</f>
        <v>381851.35486679192</v>
      </c>
      <c r="R17" s="702">
        <f>Q17/Q12</f>
        <v>0.49129999999999996</v>
      </c>
      <c r="S17" s="704">
        <f>S12*52.71%</f>
        <v>412699.17441683222</v>
      </c>
      <c r="T17" s="702">
        <f>S17/S12</f>
        <v>0.52710000000000001</v>
      </c>
      <c r="U17" s="704">
        <f>U12*46.67%</f>
        <v>289844.23401384632</v>
      </c>
      <c r="V17" s="702">
        <f>U17/U12</f>
        <v>0.4667</v>
      </c>
      <c r="W17" s="704">
        <f>W12*45%</f>
        <v>284347.1230422642</v>
      </c>
      <c r="X17" s="702">
        <f>W17/W12</f>
        <v>0.45</v>
      </c>
      <c r="Y17" s="704">
        <f>Y12*52.74%</f>
        <v>503435.89925403061</v>
      </c>
      <c r="Z17" s="702">
        <f>Y17/Y12</f>
        <v>0.52739999999999998</v>
      </c>
      <c r="AA17" s="144">
        <f>C17+E17+G17+I17+K17+M17+O17+Q17+S17+U17+W17+Y17</f>
        <v>4588147.2811550107</v>
      </c>
      <c r="AB17" s="68">
        <f>AA17/AA12</f>
        <v>0.5158394672865112</v>
      </c>
      <c r="AC17" s="128">
        <f t="shared" si="16"/>
        <v>382345.60676291754</v>
      </c>
      <c r="AD17" s="68">
        <f>AC17/AC12</f>
        <v>0.51583946728651109</v>
      </c>
      <c r="AE17" s="393" t="s">
        <v>246</v>
      </c>
      <c r="AF17" s="393"/>
      <c r="AG17" s="393"/>
    </row>
    <row r="18" spans="1:33" s="1" customFormat="1">
      <c r="A18" s="3">
        <v>5503</v>
      </c>
      <c r="B18" s="238" t="s">
        <v>50</v>
      </c>
      <c r="C18" s="704"/>
      <c r="D18" s="102"/>
      <c r="E18" s="61"/>
      <c r="F18" s="102"/>
      <c r="G18" s="703"/>
      <c r="H18" s="102"/>
      <c r="I18" s="26"/>
      <c r="J18" s="102"/>
      <c r="K18" s="61"/>
      <c r="L18" s="102"/>
      <c r="M18" s="26"/>
      <c r="N18" s="102"/>
      <c r="O18" s="26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ref="AC18:AC20" si="17">AA18/12</f>
        <v>0</v>
      </c>
      <c r="AD18" s="102"/>
      <c r="AE18" s="393"/>
      <c r="AF18" s="393"/>
      <c r="AG18" s="393"/>
    </row>
    <row r="19" spans="1:33" s="1" customFormat="1">
      <c r="A19" s="187">
        <v>5504</v>
      </c>
      <c r="B19" s="758" t="s">
        <v>51</v>
      </c>
      <c r="C19" s="26"/>
      <c r="D19" s="702">
        <f>C19/C12</f>
        <v>0</v>
      </c>
      <c r="E19" s="26"/>
      <c r="F19" s="702">
        <f>E19/E12</f>
        <v>0</v>
      </c>
      <c r="H19" s="702">
        <f>G19/G12</f>
        <v>0</v>
      </c>
      <c r="I19" s="26"/>
      <c r="J19" s="702">
        <f>I19/I12</f>
        <v>0</v>
      </c>
      <c r="K19" s="26"/>
      <c r="L19" s="702">
        <f>K19/K12</f>
        <v>0</v>
      </c>
      <c r="M19" s="33"/>
      <c r="N19" s="702">
        <f>M19/M12</f>
        <v>0</v>
      </c>
      <c r="O19" s="33"/>
      <c r="P19" s="702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7"/>
        <v>0</v>
      </c>
      <c r="AD19" s="68">
        <f>AC19/AC12</f>
        <v>0</v>
      </c>
      <c r="AE19" s="393"/>
      <c r="AF19" s="393"/>
      <c r="AG19" s="393"/>
    </row>
    <row r="20" spans="1:33" s="1" customFormat="1">
      <c r="A20" s="3">
        <v>5505</v>
      </c>
      <c r="B20" s="238" t="s">
        <v>52</v>
      </c>
      <c r="C20" s="704"/>
      <c r="D20" s="102"/>
      <c r="E20" s="61"/>
      <c r="F20" s="102"/>
      <c r="G20" s="703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7"/>
        <v>0</v>
      </c>
      <c r="AD20" s="102"/>
      <c r="AE20" s="393"/>
      <c r="AF20" s="393"/>
      <c r="AG20" s="393"/>
    </row>
    <row r="21" spans="1:33" s="1" customFormat="1" ht="15.75" thickBot="1">
      <c r="A21" s="8">
        <v>5599</v>
      </c>
      <c r="B21" s="245" t="s">
        <v>107</v>
      </c>
      <c r="C21" s="76">
        <f>SUM(C17:C20)</f>
        <v>374289.16819500003</v>
      </c>
      <c r="D21" s="23">
        <f>C21/C12</f>
        <v>0.5595</v>
      </c>
      <c r="E21" s="116">
        <f>SUM(E17:E20)</f>
        <v>249560.69946500004</v>
      </c>
      <c r="F21" s="23">
        <f>E21/E12</f>
        <v>0.47950000000000004</v>
      </c>
      <c r="G21" s="76">
        <f>SUM(G17:G20)</f>
        <v>516615.38029246399</v>
      </c>
      <c r="H21" s="23">
        <f>G21/G12</f>
        <v>0.59840000000000004</v>
      </c>
      <c r="I21" s="76">
        <f>SUM(I17:I20)</f>
        <v>396403.03753391228</v>
      </c>
      <c r="J21" s="23">
        <f>I21/I12</f>
        <v>0.52</v>
      </c>
      <c r="K21" s="28">
        <f>SUM(K17:K20)</f>
        <v>311375.4973538089</v>
      </c>
      <c r="L21" s="23">
        <f>K21/K12</f>
        <v>0.44659999999999994</v>
      </c>
      <c r="M21" s="376">
        <f>SUM(M17:M20)</f>
        <v>569851.47673155437</v>
      </c>
      <c r="N21" s="23">
        <f>M21/M12</f>
        <v>0.57640000000000002</v>
      </c>
      <c r="O21" s="28">
        <f>SUM(O17:O20)</f>
        <v>297874.23598950589</v>
      </c>
      <c r="P21" s="23">
        <f>O21/O12</f>
        <v>0.4759000000000001</v>
      </c>
      <c r="Q21" s="301">
        <f>SUM(Q17:Q20)</f>
        <v>381851.35486679192</v>
      </c>
      <c r="R21" s="23">
        <f>Q21/Q12</f>
        <v>0.49129999999999996</v>
      </c>
      <c r="S21" s="28">
        <f>SUM(S17:S20)</f>
        <v>412699.17441683222</v>
      </c>
      <c r="T21" s="23">
        <f>S21/S12</f>
        <v>0.52710000000000001</v>
      </c>
      <c r="U21" s="76">
        <f>SUM(U17:U20)</f>
        <v>289844.23401384632</v>
      </c>
      <c r="V21" s="23">
        <f>U21/U12</f>
        <v>0.4667</v>
      </c>
      <c r="W21" s="76">
        <f>SUM(W17:W20)</f>
        <v>284347.1230422642</v>
      </c>
      <c r="X21" s="23">
        <f>W21/W12</f>
        <v>0.45</v>
      </c>
      <c r="Y21" s="76">
        <f>SUM(Y17:Y20)</f>
        <v>503435.89925403061</v>
      </c>
      <c r="Z21" s="23">
        <f>Y21/Y12</f>
        <v>0.52739999999999998</v>
      </c>
      <c r="AA21" s="196">
        <f>SUM(AA17:AA20)</f>
        <v>4588147.2811550107</v>
      </c>
      <c r="AB21" s="23">
        <f>AA21/AA12</f>
        <v>0.5158394672865112</v>
      </c>
      <c r="AC21" s="52">
        <f>AA21/12</f>
        <v>382345.60676291754</v>
      </c>
      <c r="AD21" s="23">
        <f>AC21/AC12</f>
        <v>0.51583946728651109</v>
      </c>
      <c r="AE21" s="575"/>
      <c r="AF21" s="575"/>
      <c r="AG21" s="575"/>
    </row>
    <row r="22" spans="1:33" s="1" customFormat="1" ht="15.75" thickTop="1">
      <c r="A22" s="187">
        <v>5601</v>
      </c>
      <c r="B22" s="3" t="s">
        <v>53</v>
      </c>
      <c r="C22" s="26"/>
      <c r="D22" s="702">
        <f>C22/C12</f>
        <v>0</v>
      </c>
      <c r="E22" s="26"/>
      <c r="F22" s="702">
        <f>E22/E12</f>
        <v>0</v>
      </c>
      <c r="G22" s="26"/>
      <c r="H22" s="702">
        <f>G22/G12</f>
        <v>0</v>
      </c>
      <c r="I22" s="26"/>
      <c r="J22" s="702">
        <f>I22/I12</f>
        <v>0</v>
      </c>
      <c r="K22" s="26"/>
      <c r="L22" s="702">
        <f>K22/K12</f>
        <v>0</v>
      </c>
      <c r="M22" s="26"/>
      <c r="N22" s="702">
        <f>M22/M12</f>
        <v>0</v>
      </c>
      <c r="O22" s="26"/>
      <c r="P22" s="702">
        <f>O22/O12</f>
        <v>0</v>
      </c>
      <c r="Q22" s="26"/>
      <c r="R22" s="677">
        <f>Q22/Q12</f>
        <v>0</v>
      </c>
      <c r="S22" s="26"/>
      <c r="T22" s="677">
        <f>S22/S12</f>
        <v>0</v>
      </c>
      <c r="U22" s="26"/>
      <c r="V22" s="677">
        <f>U22/U12</f>
        <v>0</v>
      </c>
      <c r="W22" s="26"/>
      <c r="X22" s="677">
        <f>W22/W12</f>
        <v>0</v>
      </c>
      <c r="Y22" s="26"/>
      <c r="Z22" s="677">
        <f>Y22/Y12</f>
        <v>0</v>
      </c>
      <c r="AA22" s="144">
        <f t="shared" ref="AA22:AA34" si="18">C22+E22+G22+I22+K22+M22+O22+Q22+S22+U22+W22+Y22</f>
        <v>0</v>
      </c>
      <c r="AB22" s="68">
        <f>AA22/AA12</f>
        <v>0</v>
      </c>
      <c r="AC22" s="128">
        <f>AA22/12</f>
        <v>0</v>
      </c>
      <c r="AD22" s="68">
        <f>AC22/AC12</f>
        <v>0</v>
      </c>
      <c r="AE22" s="393"/>
      <c r="AF22" s="393"/>
      <c r="AG22" s="393"/>
    </row>
    <row r="23" spans="1:33" s="1" customFormat="1">
      <c r="A23" s="3">
        <v>5602</v>
      </c>
      <c r="B23" s="3" t="s">
        <v>54</v>
      </c>
      <c r="C23" s="26"/>
      <c r="D23" s="702">
        <f>C23/C12</f>
        <v>0</v>
      </c>
      <c r="E23" s="26"/>
      <c r="F23" s="702">
        <f>E23/E12</f>
        <v>0</v>
      </c>
      <c r="G23" s="26"/>
      <c r="H23" s="702">
        <f>G23/G12</f>
        <v>0</v>
      </c>
      <c r="I23" s="26"/>
      <c r="J23" s="702">
        <f>I23/I12</f>
        <v>0</v>
      </c>
      <c r="K23" s="26"/>
      <c r="L23" s="702">
        <f>K23/K12</f>
        <v>0</v>
      </c>
      <c r="M23" s="26"/>
      <c r="N23" s="702">
        <f>M23/M12</f>
        <v>0</v>
      </c>
      <c r="O23" s="26"/>
      <c r="P23" s="702">
        <f>O23/O12</f>
        <v>0</v>
      </c>
      <c r="Q23" s="26"/>
      <c r="R23" s="677">
        <f>Q23/Q12</f>
        <v>0</v>
      </c>
      <c r="S23" s="26"/>
      <c r="T23" s="677">
        <f>S23/S12</f>
        <v>0</v>
      </c>
      <c r="U23" s="26"/>
      <c r="V23" s="677">
        <f>U23/U12</f>
        <v>0</v>
      </c>
      <c r="W23" s="26"/>
      <c r="X23" s="677">
        <f>W23/W12</f>
        <v>0</v>
      </c>
      <c r="Y23" s="26"/>
      <c r="Z23" s="677">
        <f>Y23/Y12</f>
        <v>0</v>
      </c>
      <c r="AA23" s="144">
        <f t="shared" si="18"/>
        <v>0</v>
      </c>
      <c r="AB23" s="68">
        <f>AA23/AA12</f>
        <v>0</v>
      </c>
      <c r="AC23" s="128">
        <f t="shared" ref="AC23:AC34" si="19">AA23/12</f>
        <v>0</v>
      </c>
      <c r="AD23" s="68">
        <f>AC23/AC12</f>
        <v>0</v>
      </c>
      <c r="AE23" s="393"/>
      <c r="AF23" s="393"/>
      <c r="AG23" s="393"/>
    </row>
    <row r="24" spans="1:33" s="1" customFormat="1">
      <c r="A24" s="3">
        <v>5603</v>
      </c>
      <c r="B24" s="3" t="s">
        <v>55</v>
      </c>
      <c r="C24" s="26"/>
      <c r="D24" s="702">
        <f>C24/C12</f>
        <v>0</v>
      </c>
      <c r="E24" s="26"/>
      <c r="F24" s="702">
        <f>E24/E12</f>
        <v>0</v>
      </c>
      <c r="G24" s="26"/>
      <c r="H24" s="702">
        <f>G24/G12</f>
        <v>0</v>
      </c>
      <c r="I24" s="26"/>
      <c r="J24" s="702">
        <f>I24/I12</f>
        <v>0</v>
      </c>
      <c r="K24" s="26"/>
      <c r="L24" s="702">
        <f>K24/K12</f>
        <v>0</v>
      </c>
      <c r="M24" s="26"/>
      <c r="N24" s="702">
        <f>M24/M12</f>
        <v>0</v>
      </c>
      <c r="O24" s="26"/>
      <c r="P24" s="702">
        <f>O24/O12</f>
        <v>0</v>
      </c>
      <c r="Q24" s="26"/>
      <c r="R24" s="677">
        <f>Q24/Q12</f>
        <v>0</v>
      </c>
      <c r="S24" s="26"/>
      <c r="T24" s="677">
        <f>S24/S12</f>
        <v>0</v>
      </c>
      <c r="U24" s="26"/>
      <c r="V24" s="677">
        <f>U24/U12</f>
        <v>0</v>
      </c>
      <c r="W24" s="26"/>
      <c r="X24" s="677">
        <f>W24/W12</f>
        <v>0</v>
      </c>
      <c r="Y24" s="26"/>
      <c r="Z24" s="677">
        <f>Y24/Y12</f>
        <v>0</v>
      </c>
      <c r="AA24" s="144">
        <f t="shared" si="18"/>
        <v>0</v>
      </c>
      <c r="AB24" s="68">
        <f>AA24/AA12</f>
        <v>0</v>
      </c>
      <c r="AC24" s="128">
        <f t="shared" si="19"/>
        <v>0</v>
      </c>
      <c r="AD24" s="68">
        <f>AC24/AC12</f>
        <v>0</v>
      </c>
      <c r="AE24" s="393"/>
      <c r="AF24" s="393"/>
      <c r="AG24" s="393"/>
    </row>
    <row r="25" spans="1:33" s="1" customFormat="1">
      <c r="A25" s="187">
        <v>5604</v>
      </c>
      <c r="B25" s="187" t="s">
        <v>56</v>
      </c>
      <c r="C25" s="26">
        <v>250</v>
      </c>
      <c r="D25" s="702">
        <f>C25/C12</f>
        <v>3.7370838347939277E-4</v>
      </c>
      <c r="E25" s="26">
        <v>250</v>
      </c>
      <c r="F25" s="702">
        <f>E25/E12</f>
        <v>4.8034406161300263E-4</v>
      </c>
      <c r="G25" s="26">
        <v>250</v>
      </c>
      <c r="H25" s="702">
        <f>G25/G12</f>
        <v>2.8957713166671329E-4</v>
      </c>
      <c r="I25" s="26">
        <v>250</v>
      </c>
      <c r="J25" s="702">
        <f>I25/I12</f>
        <v>3.2794905106870803E-4</v>
      </c>
      <c r="K25" s="26">
        <v>250</v>
      </c>
      <c r="L25" s="702">
        <f>K25/K12</f>
        <v>3.5857028234027876E-4</v>
      </c>
      <c r="M25" s="26">
        <v>250</v>
      </c>
      <c r="N25" s="702">
        <f>M25/M12</f>
        <v>2.5287290791365736E-4</v>
      </c>
      <c r="O25" s="26">
        <v>250</v>
      </c>
      <c r="P25" s="702">
        <f>O25/O12</f>
        <v>3.9941352968905812E-4</v>
      </c>
      <c r="Q25" s="26">
        <v>250</v>
      </c>
      <c r="R25" s="702">
        <f>Q25/Q12</f>
        <v>3.2165657770900734E-4</v>
      </c>
      <c r="S25" s="26">
        <v>250</v>
      </c>
      <c r="T25" s="702">
        <f>S25/S12</f>
        <v>3.193003722050224E-4</v>
      </c>
      <c r="U25" s="26">
        <v>250</v>
      </c>
      <c r="V25" s="702">
        <f>U25/U12</f>
        <v>4.0254380218040234E-4</v>
      </c>
      <c r="W25" s="26">
        <v>250</v>
      </c>
      <c r="X25" s="702">
        <f>W25/W12</f>
        <v>3.9564318005523997E-4</v>
      </c>
      <c r="Y25" s="26">
        <v>250</v>
      </c>
      <c r="Z25" s="702">
        <f>Y25/Y12</f>
        <v>2.6190027408726631E-4</v>
      </c>
      <c r="AA25" s="144">
        <f t="shared" si="18"/>
        <v>3000</v>
      </c>
      <c r="AB25" s="68">
        <f>AA25/AA12</f>
        <v>3.3728612161507696E-4</v>
      </c>
      <c r="AC25" s="128">
        <f t="shared" si="19"/>
        <v>250</v>
      </c>
      <c r="AD25" s="68">
        <f>AC25/AC12</f>
        <v>3.3728612161507691E-4</v>
      </c>
      <c r="AE25" s="393" t="s">
        <v>252</v>
      </c>
      <c r="AF25" s="393" t="s">
        <v>251</v>
      </c>
      <c r="AG25" s="393"/>
    </row>
    <row r="26" spans="1:33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8"/>
        <v>0</v>
      </c>
      <c r="AB26" s="68">
        <f>AA26/AA12</f>
        <v>0</v>
      </c>
      <c r="AC26" s="128">
        <f t="shared" si="19"/>
        <v>0</v>
      </c>
      <c r="AD26" s="68">
        <f>AC26/AC12</f>
        <v>0</v>
      </c>
      <c r="AE26" s="393"/>
      <c r="AF26" s="393"/>
      <c r="AG26" s="393"/>
    </row>
    <row r="27" spans="1:33" s="1" customFormat="1">
      <c r="A27" s="187">
        <v>5606</v>
      </c>
      <c r="B27" s="187" t="s">
        <v>77</v>
      </c>
      <c r="C27" s="26">
        <f>C16*0.3%</f>
        <v>2006.9124300000003</v>
      </c>
      <c r="D27" s="702">
        <f>C27/C12</f>
        <v>3.0000000000000001E-3</v>
      </c>
      <c r="E27" s="26">
        <f>E16*0.3%</f>
        <v>1561.3808100000001</v>
      </c>
      <c r="F27" s="702">
        <f>E27/E12</f>
        <v>3.0000000000000001E-3</v>
      </c>
      <c r="G27" s="26">
        <f>G16*0.3%</f>
        <v>2589.9835241935025</v>
      </c>
      <c r="H27" s="702">
        <f>G27/G12</f>
        <v>3.0000000000000001E-3</v>
      </c>
      <c r="I27" s="26">
        <f>I16*0.3%</f>
        <v>2286.9406011571864</v>
      </c>
      <c r="J27" s="702">
        <f>I27/I12</f>
        <v>3.0000000000000001E-3</v>
      </c>
      <c r="K27" s="26">
        <f>K16*0.3%</f>
        <v>2091.6401523990749</v>
      </c>
      <c r="L27" s="702">
        <f>K27/K12</f>
        <v>3.0000000000000001E-3</v>
      </c>
      <c r="M27" s="26">
        <f>M16*0.3%</f>
        <v>2965.9167768817888</v>
      </c>
      <c r="N27" s="702">
        <f>M27/M12</f>
        <v>3.0000000000000001E-3</v>
      </c>
      <c r="O27" s="26">
        <f>O16*0.3%</f>
        <v>1877.753116134729</v>
      </c>
      <c r="P27" s="702">
        <f>O27/O12</f>
        <v>3.0000000000000001E-3</v>
      </c>
      <c r="Q27" s="26">
        <f>Q16*0.3%</f>
        <v>2331.6793498888169</v>
      </c>
      <c r="R27" s="702">
        <f>Q27/Q12</f>
        <v>2.9999999999999996E-3</v>
      </c>
      <c r="S27" s="26">
        <f>S16*0.3%</f>
        <v>2348.88545484822</v>
      </c>
      <c r="T27" s="702">
        <f>S27/S12</f>
        <v>3.0000000000000001E-3</v>
      </c>
      <c r="U27" s="26">
        <f>U16*0.3%</f>
        <v>1863.1512792833489</v>
      </c>
      <c r="V27" s="702">
        <f>U27/U12</f>
        <v>3.0000000000000001E-3</v>
      </c>
      <c r="W27" s="26">
        <f>W16*0.3%</f>
        <v>1895.647486948428</v>
      </c>
      <c r="X27" s="702">
        <f>W27/W12</f>
        <v>3.0000000000000001E-3</v>
      </c>
      <c r="Y27" s="26">
        <f>Y16*0.3%</f>
        <v>2863.6854337544405</v>
      </c>
      <c r="Z27" s="702">
        <f>Y27/Y12</f>
        <v>3.0000000000000001E-3</v>
      </c>
      <c r="AA27" s="144">
        <f t="shared" si="18"/>
        <v>26683.576415489533</v>
      </c>
      <c r="AB27" s="702">
        <f>AA27/AA12</f>
        <v>3.0000000000000005E-3</v>
      </c>
      <c r="AC27" s="128">
        <f t="shared" si="19"/>
        <v>2223.631367957461</v>
      </c>
      <c r="AD27" s="702">
        <f>AC27/AC12</f>
        <v>3.0000000000000001E-3</v>
      </c>
      <c r="AE27" s="645"/>
      <c r="AF27" s="226"/>
      <c r="AG27" s="226"/>
    </row>
    <row r="28" spans="1:33" s="1" customFormat="1">
      <c r="A28" s="3">
        <v>5607</v>
      </c>
      <c r="B28" s="238" t="s">
        <v>57</v>
      </c>
      <c r="C28" s="26"/>
      <c r="D28" s="24">
        <f>C28/C12</f>
        <v>0</v>
      </c>
      <c r="E28" s="26"/>
      <c r="F28" s="24">
        <f>E28/E12</f>
        <v>0</v>
      </c>
      <c r="G28" s="26"/>
      <c r="H28" s="24">
        <f>G28/G12</f>
        <v>0</v>
      </c>
      <c r="I28" s="26"/>
      <c r="J28" s="24">
        <f>I28/I12</f>
        <v>0</v>
      </c>
      <c r="K28" s="26"/>
      <c r="L28" s="24">
        <f>K28/K12</f>
        <v>0</v>
      </c>
      <c r="M28" s="26"/>
      <c r="N28" s="24">
        <f>M28/M12</f>
        <v>0</v>
      </c>
      <c r="O28" s="26"/>
      <c r="P28" s="24">
        <f>O28/O12</f>
        <v>0</v>
      </c>
      <c r="Q28" s="26"/>
      <c r="R28" s="24">
        <f>Q28/Q12</f>
        <v>0</v>
      </c>
      <c r="S28" s="26"/>
      <c r="T28" s="24">
        <f>S28/S12</f>
        <v>0</v>
      </c>
      <c r="U28" s="26"/>
      <c r="V28" s="24">
        <f>U28/U12</f>
        <v>0</v>
      </c>
      <c r="W28" s="26"/>
      <c r="X28" s="24">
        <f>W28/W12</f>
        <v>0</v>
      </c>
      <c r="Y28" s="26"/>
      <c r="Z28" s="24">
        <f>Y28/Y12</f>
        <v>0</v>
      </c>
      <c r="AA28" s="144">
        <f t="shared" si="18"/>
        <v>0</v>
      </c>
      <c r="AB28" s="24">
        <f>AA28/AA12</f>
        <v>0</v>
      </c>
      <c r="AC28" s="128">
        <f t="shared" si="19"/>
        <v>0</v>
      </c>
      <c r="AD28" s="24">
        <f>AC28/AC12</f>
        <v>0</v>
      </c>
      <c r="AE28" s="579"/>
      <c r="AF28" s="579"/>
      <c r="AG28" s="579"/>
    </row>
    <row r="29" spans="1:33" s="1" customFormat="1">
      <c r="A29" s="3">
        <v>5608</v>
      </c>
      <c r="B29" s="238" t="s">
        <v>58</v>
      </c>
      <c r="C29" s="26"/>
      <c r="D29" s="24">
        <f>C29/C12</f>
        <v>0</v>
      </c>
      <c r="E29" s="26"/>
      <c r="F29" s="24">
        <f>E29/E12</f>
        <v>0</v>
      </c>
      <c r="G29" s="26"/>
      <c r="H29" s="24">
        <f>G29/G12</f>
        <v>0</v>
      </c>
      <c r="I29" s="26"/>
      <c r="J29" s="24">
        <f>I29/I12</f>
        <v>0</v>
      </c>
      <c r="K29" s="26"/>
      <c r="L29" s="24">
        <f>K29/K12</f>
        <v>0</v>
      </c>
      <c r="M29" s="26"/>
      <c r="N29" s="24">
        <f>M29/M12</f>
        <v>0</v>
      </c>
      <c r="O29" s="26"/>
      <c r="P29" s="24">
        <f>O29/O12</f>
        <v>0</v>
      </c>
      <c r="Q29" s="26"/>
      <c r="R29" s="24">
        <f>Q29/Q12</f>
        <v>0</v>
      </c>
      <c r="S29" s="26"/>
      <c r="T29" s="24">
        <f>S29/S12</f>
        <v>0</v>
      </c>
      <c r="U29" s="26"/>
      <c r="V29" s="24">
        <f>U29/U12</f>
        <v>0</v>
      </c>
      <c r="W29" s="26"/>
      <c r="X29" s="24">
        <f>W29/W12</f>
        <v>0</v>
      </c>
      <c r="Y29" s="26"/>
      <c r="Z29" s="24">
        <f>Y29/Y12</f>
        <v>0</v>
      </c>
      <c r="AA29" s="144">
        <f t="shared" si="18"/>
        <v>0</v>
      </c>
      <c r="AB29" s="24">
        <f>AA29/AA12</f>
        <v>0</v>
      </c>
      <c r="AC29" s="128">
        <f t="shared" si="19"/>
        <v>0</v>
      </c>
      <c r="AD29" s="24">
        <f>AC29/AC12</f>
        <v>0</v>
      </c>
      <c r="AE29" s="579"/>
      <c r="AF29" s="579"/>
      <c r="AG29" s="579"/>
    </row>
    <row r="30" spans="1:33" s="1" customFormat="1">
      <c r="A30" s="3">
        <v>5609</v>
      </c>
      <c r="B30" s="238" t="s">
        <v>59</v>
      </c>
      <c r="C30" s="26"/>
      <c r="D30" s="24">
        <f>C30/C12</f>
        <v>0</v>
      </c>
      <c r="E30" s="26"/>
      <c r="F30" s="24">
        <f>E30/E12</f>
        <v>0</v>
      </c>
      <c r="G30" s="26"/>
      <c r="H30" s="24">
        <f>G30/G12</f>
        <v>0</v>
      </c>
      <c r="I30" s="26"/>
      <c r="J30" s="24">
        <f>I30/I12</f>
        <v>0</v>
      </c>
      <c r="K30" s="26"/>
      <c r="L30" s="24">
        <f>K30/K12</f>
        <v>0</v>
      </c>
      <c r="M30" s="26"/>
      <c r="N30" s="24">
        <f>M30/M12</f>
        <v>0</v>
      </c>
      <c r="O30" s="26"/>
      <c r="P30" s="24">
        <f>O30/O12</f>
        <v>0</v>
      </c>
      <c r="Q30" s="26"/>
      <c r="R30" s="24">
        <f>Q30/Q12</f>
        <v>0</v>
      </c>
      <c r="S30" s="26"/>
      <c r="T30" s="24">
        <f>S30/S12</f>
        <v>0</v>
      </c>
      <c r="U30" s="26"/>
      <c r="V30" s="24">
        <f>U30/U12</f>
        <v>0</v>
      </c>
      <c r="W30" s="26"/>
      <c r="X30" s="24">
        <f>W30/W12</f>
        <v>0</v>
      </c>
      <c r="Y30" s="26"/>
      <c r="Z30" s="24">
        <f>Y30/Y12</f>
        <v>0</v>
      </c>
      <c r="AA30" s="144">
        <f t="shared" si="18"/>
        <v>0</v>
      </c>
      <c r="AB30" s="24">
        <f>AA30/AA12</f>
        <v>0</v>
      </c>
      <c r="AC30" s="128">
        <f t="shared" si="19"/>
        <v>0</v>
      </c>
      <c r="AD30" s="24">
        <f>AC30/AC12</f>
        <v>0</v>
      </c>
      <c r="AE30" s="579"/>
      <c r="AF30" s="579"/>
      <c r="AG30" s="579"/>
    </row>
    <row r="31" spans="1:33" s="1" customFormat="1">
      <c r="A31" s="3">
        <v>5610</v>
      </c>
      <c r="B31" s="238" t="s">
        <v>60</v>
      </c>
      <c r="C31" s="26"/>
      <c r="D31" s="24">
        <f>C31/C12</f>
        <v>0</v>
      </c>
      <c r="E31" s="26"/>
      <c r="F31" s="24">
        <f>E31/E12</f>
        <v>0</v>
      </c>
      <c r="G31" s="26"/>
      <c r="H31" s="24">
        <f>G31/G12</f>
        <v>0</v>
      </c>
      <c r="I31" s="26"/>
      <c r="J31" s="24">
        <f>I31/I12</f>
        <v>0</v>
      </c>
      <c r="K31" s="26"/>
      <c r="L31" s="24">
        <f>K31/K12</f>
        <v>0</v>
      </c>
      <c r="M31" s="26"/>
      <c r="N31" s="24">
        <f>M31/M12</f>
        <v>0</v>
      </c>
      <c r="O31" s="26"/>
      <c r="P31" s="24">
        <f>O31/O12</f>
        <v>0</v>
      </c>
      <c r="Q31" s="26"/>
      <c r="R31" s="24">
        <f>Q31/Q12</f>
        <v>0</v>
      </c>
      <c r="S31" s="26"/>
      <c r="T31" s="24">
        <f>S31/S12</f>
        <v>0</v>
      </c>
      <c r="U31" s="26"/>
      <c r="V31" s="24">
        <f>U31/U12</f>
        <v>0</v>
      </c>
      <c r="W31" s="26"/>
      <c r="X31" s="24">
        <f>W31/W12</f>
        <v>0</v>
      </c>
      <c r="Y31" s="26"/>
      <c r="Z31" s="24">
        <f>Y31/Y12</f>
        <v>0</v>
      </c>
      <c r="AA31" s="144">
        <f t="shared" si="18"/>
        <v>0</v>
      </c>
      <c r="AB31" s="24">
        <f>AA31/AA12</f>
        <v>0</v>
      </c>
      <c r="AC31" s="128">
        <f t="shared" si="19"/>
        <v>0</v>
      </c>
      <c r="AD31" s="24">
        <f>AC31/AC12</f>
        <v>0</v>
      </c>
      <c r="AE31" s="579"/>
      <c r="AF31" s="579"/>
      <c r="AG31" s="579"/>
    </row>
    <row r="32" spans="1:33" s="1" customFormat="1">
      <c r="A32" s="3">
        <v>5611</v>
      </c>
      <c r="B32" s="238" t="s">
        <v>108</v>
      </c>
      <c r="C32" s="26"/>
      <c r="D32" s="24">
        <f>C32/C12</f>
        <v>0</v>
      </c>
      <c r="E32" s="26"/>
      <c r="F32" s="24">
        <f>E32/E12</f>
        <v>0</v>
      </c>
      <c r="G32" s="26"/>
      <c r="H32" s="24">
        <f>G32/G12</f>
        <v>0</v>
      </c>
      <c r="I32" s="26"/>
      <c r="J32" s="24">
        <f>I32/I12</f>
        <v>0</v>
      </c>
      <c r="K32" s="26"/>
      <c r="L32" s="24">
        <f>K32/K12</f>
        <v>0</v>
      </c>
      <c r="M32" s="26"/>
      <c r="N32" s="24">
        <f>M32/M12</f>
        <v>0</v>
      </c>
      <c r="O32" s="26"/>
      <c r="P32" s="24">
        <f>O32/O12</f>
        <v>0</v>
      </c>
      <c r="Q32" s="26"/>
      <c r="R32" s="24">
        <f>Q32/Q12</f>
        <v>0</v>
      </c>
      <c r="S32" s="26"/>
      <c r="T32" s="24">
        <f>S32/S12</f>
        <v>0</v>
      </c>
      <c r="U32" s="26"/>
      <c r="V32" s="24">
        <f>U32/U12</f>
        <v>0</v>
      </c>
      <c r="W32" s="26"/>
      <c r="X32" s="24">
        <f>W32/W12</f>
        <v>0</v>
      </c>
      <c r="Y32" s="26"/>
      <c r="Z32" s="24">
        <f>Y32/Y12</f>
        <v>0</v>
      </c>
      <c r="AA32" s="144">
        <f t="shared" si="18"/>
        <v>0</v>
      </c>
      <c r="AB32" s="24">
        <f>AA32/AA12</f>
        <v>0</v>
      </c>
      <c r="AC32" s="128">
        <f t="shared" si="19"/>
        <v>0</v>
      </c>
      <c r="AD32" s="24">
        <f>AC32/AC12</f>
        <v>0</v>
      </c>
      <c r="AE32" s="579"/>
      <c r="AF32" s="579"/>
      <c r="AG32" s="579"/>
    </row>
    <row r="33" spans="1:36" s="1" customFormat="1">
      <c r="A33" s="3">
        <v>5612</v>
      </c>
      <c r="B33" s="238" t="s">
        <v>61</v>
      </c>
      <c r="C33" s="26"/>
      <c r="D33" s="24">
        <f>C33/C12</f>
        <v>0</v>
      </c>
      <c r="E33" s="26"/>
      <c r="F33" s="24">
        <f>E33/E12</f>
        <v>0</v>
      </c>
      <c r="G33" s="26"/>
      <c r="H33" s="24">
        <f>G33/G12</f>
        <v>0</v>
      </c>
      <c r="I33" s="26"/>
      <c r="J33" s="24">
        <f>I33/I12</f>
        <v>0</v>
      </c>
      <c r="K33" s="26"/>
      <c r="L33" s="24">
        <f>K33/K12</f>
        <v>0</v>
      </c>
      <c r="M33" s="26"/>
      <c r="N33" s="24">
        <f>M33/M12</f>
        <v>0</v>
      </c>
      <c r="O33" s="26"/>
      <c r="P33" s="24">
        <f>O33/O12</f>
        <v>0</v>
      </c>
      <c r="Q33" s="26"/>
      <c r="R33" s="24">
        <f>Q33/Q12</f>
        <v>0</v>
      </c>
      <c r="S33" s="26"/>
      <c r="T33" s="24">
        <f>S33/S12</f>
        <v>0</v>
      </c>
      <c r="U33" s="26"/>
      <c r="V33" s="24">
        <f>U33/U12</f>
        <v>0</v>
      </c>
      <c r="W33" s="26"/>
      <c r="X33" s="24">
        <f>W33/W12</f>
        <v>0</v>
      </c>
      <c r="Y33" s="26"/>
      <c r="Z33" s="24">
        <f>Y33/Y12</f>
        <v>0</v>
      </c>
      <c r="AA33" s="144">
        <f t="shared" si="18"/>
        <v>0</v>
      </c>
      <c r="AB33" s="24">
        <f>AA33/AA12</f>
        <v>0</v>
      </c>
      <c r="AC33" s="128">
        <f t="shared" si="19"/>
        <v>0</v>
      </c>
      <c r="AD33" s="24">
        <f>AC33/AC12</f>
        <v>0</v>
      </c>
      <c r="AE33" s="579"/>
      <c r="AF33" s="579"/>
      <c r="AG33" s="579"/>
    </row>
    <row r="34" spans="1:36" s="1" customFormat="1">
      <c r="A34" s="211">
        <v>5613</v>
      </c>
      <c r="B34" s="249" t="s">
        <v>62</v>
      </c>
      <c r="C34" s="26"/>
      <c r="D34" s="212">
        <f>C34/C12</f>
        <v>0</v>
      </c>
      <c r="E34" s="26"/>
      <c r="F34" s="212">
        <f>E34/E12</f>
        <v>0</v>
      </c>
      <c r="G34" s="26"/>
      <c r="H34" s="212">
        <f>G34/G12</f>
        <v>0</v>
      </c>
      <c r="I34" s="26"/>
      <c r="J34" s="212">
        <f>I34/I12</f>
        <v>0</v>
      </c>
      <c r="K34" s="26"/>
      <c r="L34" s="212">
        <f>K34/K12</f>
        <v>0</v>
      </c>
      <c r="M34" s="26"/>
      <c r="N34" s="212">
        <f>M34/M12</f>
        <v>0</v>
      </c>
      <c r="O34" s="26"/>
      <c r="P34" s="212">
        <f>O34/O12</f>
        <v>0</v>
      </c>
      <c r="Q34" s="26"/>
      <c r="R34" s="212">
        <f>Q34/Q12</f>
        <v>0</v>
      </c>
      <c r="S34" s="26"/>
      <c r="T34" s="212">
        <f>S34/S12</f>
        <v>0</v>
      </c>
      <c r="U34" s="26"/>
      <c r="V34" s="212">
        <f>U34/U12</f>
        <v>0</v>
      </c>
      <c r="W34" s="26"/>
      <c r="X34" s="212">
        <f>W34/W12</f>
        <v>0</v>
      </c>
      <c r="Y34" s="26"/>
      <c r="Z34" s="212">
        <f>Y34/Y12</f>
        <v>0</v>
      </c>
      <c r="AA34" s="166">
        <f t="shared" si="18"/>
        <v>0</v>
      </c>
      <c r="AB34" s="212">
        <f>AA34/AA12</f>
        <v>0</v>
      </c>
      <c r="AC34" s="128">
        <f t="shared" si="19"/>
        <v>0</v>
      </c>
      <c r="AD34" s="212">
        <f>AC34/AC12</f>
        <v>0</v>
      </c>
      <c r="AE34" s="579"/>
      <c r="AF34" s="579"/>
      <c r="AG34" s="579"/>
    </row>
    <row r="35" spans="1:36" s="1" customFormat="1">
      <c r="A35" s="206">
        <v>5699</v>
      </c>
      <c r="B35" s="250" t="s">
        <v>109</v>
      </c>
      <c r="C35" s="303">
        <f>SUM(C22:C34)</f>
        <v>2256.9124300000003</v>
      </c>
      <c r="D35" s="207">
        <f>C35/C12</f>
        <v>3.3737083834793928E-3</v>
      </c>
      <c r="E35" s="280">
        <f>SUM(E22:E34)</f>
        <v>1811.3808100000001</v>
      </c>
      <c r="F35" s="207">
        <f>E35/E12</f>
        <v>3.4803440616130027E-3</v>
      </c>
      <c r="G35" s="208">
        <f>SUM(G22:G34)</f>
        <v>2839.9835241935025</v>
      </c>
      <c r="H35" s="207">
        <f>G35/G12</f>
        <v>3.2895771316667132E-3</v>
      </c>
      <c r="I35" s="208">
        <f>SUM(I22:I34)</f>
        <v>2536.9406011571864</v>
      </c>
      <c r="J35" s="207">
        <f>I35/I12</f>
        <v>3.327949051068708E-3</v>
      </c>
      <c r="K35" s="297">
        <f>SUM(K22:K34)</f>
        <v>2341.6401523990749</v>
      </c>
      <c r="L35" s="207">
        <f>K35/K12</f>
        <v>3.3585702823402787E-3</v>
      </c>
      <c r="M35" s="297">
        <f>SUM(M22:M34)</f>
        <v>3215.9167768817888</v>
      </c>
      <c r="N35" s="207">
        <f>M35/M12</f>
        <v>3.2528729079136574E-3</v>
      </c>
      <c r="O35" s="297">
        <f>SUM(O22:O34)</f>
        <v>2127.7531161347288</v>
      </c>
      <c r="P35" s="207">
        <f>O35/O12</f>
        <v>3.3994135296890578E-3</v>
      </c>
      <c r="Q35" s="297">
        <f>SUM(Q22:Q34)</f>
        <v>2581.6793498888169</v>
      </c>
      <c r="R35" s="207">
        <f>Q35/Q12</f>
        <v>3.321656577709007E-3</v>
      </c>
      <c r="S35" s="297">
        <f>SUM(S22:S34)</f>
        <v>2598.88545484822</v>
      </c>
      <c r="T35" s="207">
        <f>S35/S12</f>
        <v>3.3193003722050227E-3</v>
      </c>
      <c r="U35" s="208">
        <f>SUM(U22:U34)</f>
        <v>2113.1512792833491</v>
      </c>
      <c r="V35" s="207">
        <f>U35/U12</f>
        <v>3.4025438021804029E-3</v>
      </c>
      <c r="W35" s="208">
        <f>SUM(W22:W34)</f>
        <v>2145.6474869484282</v>
      </c>
      <c r="X35" s="207">
        <f>W35/W12</f>
        <v>3.3956431800552405E-3</v>
      </c>
      <c r="Y35" s="208">
        <f>SUM(Y22:Y34)</f>
        <v>3113.6854337544405</v>
      </c>
      <c r="Z35" s="207">
        <f>Y35/Y12</f>
        <v>3.2619002740872662E-3</v>
      </c>
      <c r="AA35" s="209">
        <f>SUM(AA22:AA34)</f>
        <v>29683.576415489533</v>
      </c>
      <c r="AB35" s="207">
        <f>AA35/AA12</f>
        <v>3.3372861216150775E-3</v>
      </c>
      <c r="AC35" s="210">
        <f>AA35/12</f>
        <v>2473.631367957461</v>
      </c>
      <c r="AD35" s="207">
        <f>AC35/AC12</f>
        <v>3.337286121615077E-3</v>
      </c>
      <c r="AE35" s="580"/>
      <c r="AF35" s="580"/>
      <c r="AG35" s="580"/>
    </row>
    <row r="36" spans="1:36" s="1" customFormat="1">
      <c r="A36" s="205">
        <v>5999</v>
      </c>
      <c r="B36" s="251" t="s">
        <v>110</v>
      </c>
      <c r="C36" s="203">
        <f>C21+C35</f>
        <v>376546.08062500006</v>
      </c>
      <c r="D36" s="204">
        <f>C36/C12</f>
        <v>0.56287370838347939</v>
      </c>
      <c r="E36" s="281">
        <f>E21+E35</f>
        <v>251372.08027500004</v>
      </c>
      <c r="F36" s="204">
        <f>E36/E12</f>
        <v>0.48298034406161305</v>
      </c>
      <c r="G36" s="203">
        <f>G21+G35</f>
        <v>519455.36381665751</v>
      </c>
      <c r="H36" s="204">
        <f>G36/G12</f>
        <v>0.60168957713166682</v>
      </c>
      <c r="I36" s="203">
        <f>I21+I35</f>
        <v>398939.97813506948</v>
      </c>
      <c r="J36" s="204">
        <f>I36/I12</f>
        <v>0.52332794905106872</v>
      </c>
      <c r="K36" s="298">
        <f>K21+K35</f>
        <v>313717.13750620798</v>
      </c>
      <c r="L36" s="204">
        <f>K36/K12</f>
        <v>0.44995857028234021</v>
      </c>
      <c r="M36" s="298">
        <f>M21+M35</f>
        <v>573067.39350843616</v>
      </c>
      <c r="N36" s="204">
        <f>M36/M12</f>
        <v>0.57965287290791367</v>
      </c>
      <c r="O36" s="298">
        <f>O21+O35</f>
        <v>300001.98910564062</v>
      </c>
      <c r="P36" s="204">
        <f>O36/O12</f>
        <v>0.47929941352968913</v>
      </c>
      <c r="Q36" s="298">
        <f>Q21+Q35</f>
        <v>384433.03421668074</v>
      </c>
      <c r="R36" s="204">
        <f>Q36/Q12</f>
        <v>0.49462165657770896</v>
      </c>
      <c r="S36" s="298">
        <f>S21+S35</f>
        <v>415298.05987168045</v>
      </c>
      <c r="T36" s="204">
        <f>S36/S12</f>
        <v>0.53041930037220497</v>
      </c>
      <c r="U36" s="203">
        <f>U21+U35</f>
        <v>291957.38529312966</v>
      </c>
      <c r="V36" s="204">
        <f>U36/U12</f>
        <v>0.47010254380218036</v>
      </c>
      <c r="W36" s="203">
        <f>W21+W35</f>
        <v>286492.7705292126</v>
      </c>
      <c r="X36" s="204">
        <f>W36/W12</f>
        <v>0.45339564318005526</v>
      </c>
      <c r="Y36" s="203">
        <f>Y21+Y35</f>
        <v>506549.58468778507</v>
      </c>
      <c r="Z36" s="204">
        <f>Y36/Y12</f>
        <v>0.53066190027408733</v>
      </c>
      <c r="AA36" s="154">
        <f>AA21+AA35</f>
        <v>4617830.8575705001</v>
      </c>
      <c r="AB36" s="204">
        <f>AA36/AA12</f>
        <v>0.5191767534081263</v>
      </c>
      <c r="AC36" s="139">
        <f>AA36/12</f>
        <v>384819.23813087499</v>
      </c>
      <c r="AD36" s="204">
        <f>AC36/AC12</f>
        <v>0.51917675340812619</v>
      </c>
      <c r="AE36" s="756">
        <f>AE37/Z37</f>
        <v>-446663.01758235897</v>
      </c>
      <c r="AF36" s="581"/>
      <c r="AG36" s="581"/>
    </row>
    <row r="37" spans="1:36" s="1" customFormat="1" ht="15.75" thickBot="1">
      <c r="A37" s="10"/>
      <c r="B37" s="240" t="s">
        <v>68</v>
      </c>
      <c r="C37" s="80">
        <f>(C16-C36)</f>
        <v>292424.729375</v>
      </c>
      <c r="D37" s="88">
        <f>C37/C12</f>
        <v>0.43712629161652056</v>
      </c>
      <c r="E37" s="120">
        <f>(E16-E36)</f>
        <v>269088.18972499995</v>
      </c>
      <c r="F37" s="88">
        <f>E37/E12</f>
        <v>0.51701965593838684</v>
      </c>
      <c r="G37" s="80">
        <f>(G16-G36)</f>
        <v>343872.47758117662</v>
      </c>
      <c r="H37" s="88">
        <f>G37/G12</f>
        <v>0.39831042286833324</v>
      </c>
      <c r="I37" s="80">
        <f>(I16-I36)</f>
        <v>363373.55558399262</v>
      </c>
      <c r="J37" s="88">
        <f>I37/I12</f>
        <v>0.47667205094893128</v>
      </c>
      <c r="K37" s="30">
        <f>(K16-K36)</f>
        <v>383496.24662681698</v>
      </c>
      <c r="L37" s="88">
        <f>K37/K12</f>
        <v>0.55004142971765979</v>
      </c>
      <c r="M37" s="30">
        <f>(M16-M36)</f>
        <v>415571.53211882676</v>
      </c>
      <c r="N37" s="88">
        <f>M37/M12</f>
        <v>0.42034712709208633</v>
      </c>
      <c r="O37" s="30">
        <f>(O16-O36)</f>
        <v>325915.71627260238</v>
      </c>
      <c r="P37" s="88">
        <f>O37/O12</f>
        <v>0.52070058647031092</v>
      </c>
      <c r="Q37" s="30">
        <f>(Q16-Q36)</f>
        <v>392793.41574625828</v>
      </c>
      <c r="R37" s="88">
        <f>Q37/Q12</f>
        <v>0.50537834342229104</v>
      </c>
      <c r="S37" s="30">
        <f>(S16-S36)</f>
        <v>367663.75841105951</v>
      </c>
      <c r="T37" s="88">
        <f>S37/S12</f>
        <v>0.46958069962779497</v>
      </c>
      <c r="U37" s="80">
        <f>(U16-U36)</f>
        <v>329093.04113465332</v>
      </c>
      <c r="V37" s="88">
        <f>U37/U12</f>
        <v>0.52989745619781958</v>
      </c>
      <c r="W37" s="80">
        <f>(W16-W36)</f>
        <v>345389.72512026335</v>
      </c>
      <c r="X37" s="88">
        <f>W37/W12</f>
        <v>0.54660435681994479</v>
      </c>
      <c r="Y37" s="80">
        <f>(Y16-Y36)</f>
        <v>448012.22656369506</v>
      </c>
      <c r="Z37" s="88">
        <f>Y37/Y12</f>
        <v>0.46933809972591273</v>
      </c>
      <c r="AA37" s="195">
        <f>(AA16-AA36)</f>
        <v>4276694.6142593427</v>
      </c>
      <c r="AB37" s="88">
        <f>AA37/AA12</f>
        <v>0.48082324659187375</v>
      </c>
      <c r="AC37" s="59">
        <f>AA37/12</f>
        <v>356391.21785494522</v>
      </c>
      <c r="AD37" s="88">
        <f>AC37/AC12</f>
        <v>0.4808232465918737</v>
      </c>
      <c r="AE37" s="64">
        <v>-209635.97188994629</v>
      </c>
      <c r="AF37" s="564"/>
      <c r="AG37" s="564"/>
    </row>
    <row r="38" spans="1:36" s="1" customFormat="1" ht="15.75" thickTop="1">
      <c r="A38" s="2">
        <v>6002</v>
      </c>
      <c r="B38" s="228" t="s">
        <v>45</v>
      </c>
      <c r="C38" s="61"/>
      <c r="D38" s="24">
        <f>C38/C12</f>
        <v>0</v>
      </c>
      <c r="E38" s="703"/>
      <c r="F38" s="24">
        <f>E38/E12</f>
        <v>0</v>
      </c>
      <c r="G38" s="61"/>
      <c r="H38" s="24">
        <f>G38/G12</f>
        <v>0</v>
      </c>
      <c r="I38" s="61"/>
      <c r="J38" s="24">
        <f>I38/I12</f>
        <v>0</v>
      </c>
      <c r="K38" s="26"/>
      <c r="L38" s="24">
        <f>K38/K12</f>
        <v>0</v>
      </c>
      <c r="M38" s="26"/>
      <c r="N38" s="24">
        <f>M38/M12</f>
        <v>0</v>
      </c>
      <c r="O38" s="26"/>
      <c r="P38" s="24">
        <f>O38/O12</f>
        <v>0</v>
      </c>
      <c r="Q38" s="26"/>
      <c r="R38" s="24">
        <f>Q38/Q12</f>
        <v>0</v>
      </c>
      <c r="S38" s="26"/>
      <c r="T38" s="24">
        <f>S38/S12</f>
        <v>0</v>
      </c>
      <c r="U38" s="61"/>
      <c r="V38" s="24">
        <f>U38/U12</f>
        <v>0</v>
      </c>
      <c r="W38" s="61"/>
      <c r="X38" s="24">
        <f>W38/W12</f>
        <v>0</v>
      </c>
      <c r="Y38" s="61"/>
      <c r="Z38" s="24">
        <f>Y38/Y12</f>
        <v>0</v>
      </c>
      <c r="AA38" s="144">
        <f>C38+E38+G38+I38+K38+M38+O38+Q38+S38+U38+W38+Y38</f>
        <v>0</v>
      </c>
      <c r="AB38" s="24">
        <f>AA38/AA12</f>
        <v>0</v>
      </c>
      <c r="AC38" s="128">
        <f>AA38/12</f>
        <v>0</v>
      </c>
      <c r="AD38" s="24">
        <f>AC38/AC12</f>
        <v>0</v>
      </c>
      <c r="AE38" s="579"/>
      <c r="AF38" s="579"/>
      <c r="AG38" s="579"/>
    </row>
    <row r="39" spans="1:36" s="1" customFormat="1">
      <c r="A39" s="2">
        <v>6003</v>
      </c>
      <c r="B39" s="2" t="s">
        <v>0</v>
      </c>
      <c r="C39" s="61"/>
      <c r="D39" s="702">
        <f>C39/C12</f>
        <v>0</v>
      </c>
      <c r="E39" s="61"/>
      <c r="F39" s="702">
        <f>E39/E12</f>
        <v>0</v>
      </c>
      <c r="G39" s="61">
        <v>0</v>
      </c>
      <c r="H39" s="702">
        <f>G39/G12</f>
        <v>0</v>
      </c>
      <c r="I39" s="61"/>
      <c r="J39" s="702">
        <f>I39/I12</f>
        <v>0</v>
      </c>
      <c r="K39" s="26">
        <v>0</v>
      </c>
      <c r="L39" s="702">
        <f>K39/K12</f>
        <v>0</v>
      </c>
      <c r="M39" s="26">
        <v>0</v>
      </c>
      <c r="N39" s="702">
        <f>M39/M12</f>
        <v>0</v>
      </c>
      <c r="O39" s="26"/>
      <c r="P39" s="702">
        <f>O39/O12</f>
        <v>0</v>
      </c>
      <c r="Q39" s="26"/>
      <c r="R39" s="677">
        <f>Q39/Q12</f>
        <v>0</v>
      </c>
      <c r="S39" s="26">
        <v>0</v>
      </c>
      <c r="T39" s="677">
        <f>S39/S12</f>
        <v>0</v>
      </c>
      <c r="U39" s="26"/>
      <c r="V39" s="677">
        <f>U39/U12</f>
        <v>0</v>
      </c>
      <c r="W39" s="26"/>
      <c r="X39" s="677">
        <f>W39/W12</f>
        <v>0</v>
      </c>
      <c r="Y39" s="26"/>
      <c r="Z39" s="677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ref="AC39:AC40" si="20">AA39/12</f>
        <v>0</v>
      </c>
      <c r="AD39" s="68">
        <f>AC39/AC12</f>
        <v>0</v>
      </c>
      <c r="AE39" s="393"/>
      <c r="AF39" s="393"/>
      <c r="AG39" s="393"/>
    </row>
    <row r="40" spans="1:36" s="1" customFormat="1">
      <c r="A40" s="2">
        <v>6004</v>
      </c>
      <c r="B40" s="228" t="s">
        <v>1</v>
      </c>
      <c r="C40" s="61"/>
      <c r="D40" s="24">
        <f>C40/C12</f>
        <v>0</v>
      </c>
      <c r="E40" s="703"/>
      <c r="F40" s="24">
        <f>E40/E12</f>
        <v>0</v>
      </c>
      <c r="G40" s="61"/>
      <c r="H40" s="24">
        <f>G40/G12</f>
        <v>0</v>
      </c>
      <c r="I40" s="61"/>
      <c r="J40" s="24">
        <f>I40/I12</f>
        <v>0</v>
      </c>
      <c r="K40" s="26"/>
      <c r="L40" s="24">
        <f>K40/K12</f>
        <v>0</v>
      </c>
      <c r="M40" s="26"/>
      <c r="N40" s="24">
        <f>M40/M12</f>
        <v>0</v>
      </c>
      <c r="O40" s="26"/>
      <c r="P40" s="24">
        <f>O40/O12</f>
        <v>0</v>
      </c>
      <c r="Q40" s="26"/>
      <c r="R40" s="24">
        <f>Q40/Q12</f>
        <v>0</v>
      </c>
      <c r="S40" s="26"/>
      <c r="T40" s="24">
        <f>S40/S12</f>
        <v>0</v>
      </c>
      <c r="U40" s="61"/>
      <c r="V40" s="24">
        <f>U40/U12</f>
        <v>0</v>
      </c>
      <c r="W40" s="61"/>
      <c r="X40" s="24">
        <f>W40/W12</f>
        <v>0</v>
      </c>
      <c r="Y40" s="61"/>
      <c r="Z40" s="24">
        <f>Y40/Y12</f>
        <v>0</v>
      </c>
      <c r="AA40" s="144">
        <f>C40+E40+G40+I40+K40+M40+O40+Q40+S40+U40+W40+Y40</f>
        <v>0</v>
      </c>
      <c r="AB40" s="24">
        <f>AA40/AA12</f>
        <v>0</v>
      </c>
      <c r="AC40" s="128">
        <f t="shared" si="20"/>
        <v>0</v>
      </c>
      <c r="AD40" s="24">
        <f>AC40/AC12</f>
        <v>0</v>
      </c>
      <c r="AE40" s="579"/>
      <c r="AF40" s="579"/>
      <c r="AG40" s="579"/>
    </row>
    <row r="41" spans="1:36" s="1" customFormat="1" ht="15.75" thickBot="1">
      <c r="A41" s="4">
        <v>6099</v>
      </c>
      <c r="B41" s="229" t="s">
        <v>111</v>
      </c>
      <c r="C41" s="76">
        <f>SUM(C38:C40)</f>
        <v>0</v>
      </c>
      <c r="D41" s="92">
        <f>C41/C12</f>
        <v>0</v>
      </c>
      <c r="E41" s="116">
        <f>SUM(E38:E40)</f>
        <v>0</v>
      </c>
      <c r="F41" s="92">
        <f>E41/E12</f>
        <v>0</v>
      </c>
      <c r="G41" s="76">
        <f>SUM(G38:G40)</f>
        <v>0</v>
      </c>
      <c r="H41" s="92">
        <f>G41/G12</f>
        <v>0</v>
      </c>
      <c r="I41" s="76">
        <f>SUM(I38:I40)</f>
        <v>0</v>
      </c>
      <c r="J41" s="92">
        <f>I41/I12</f>
        <v>0</v>
      </c>
      <c r="K41" s="28">
        <f>SUM(K38:K40)</f>
        <v>0</v>
      </c>
      <c r="L41" s="92">
        <f>K41/K12</f>
        <v>0</v>
      </c>
      <c r="M41" s="28">
        <f>SUM(M38:M40)</f>
        <v>0</v>
      </c>
      <c r="N41" s="92">
        <f>M41/M12</f>
        <v>0</v>
      </c>
      <c r="O41" s="28">
        <f>SUM(O38:O40)</f>
        <v>0</v>
      </c>
      <c r="P41" s="92">
        <f>O41/O12</f>
        <v>0</v>
      </c>
      <c r="Q41" s="28">
        <f>SUM(Q38:Q40)</f>
        <v>0</v>
      </c>
      <c r="R41" s="92">
        <f>Q41/Q12</f>
        <v>0</v>
      </c>
      <c r="S41" s="28">
        <f>SUM(S38:S40)</f>
        <v>0</v>
      </c>
      <c r="T41" s="92">
        <f>S41/S12</f>
        <v>0</v>
      </c>
      <c r="U41" s="76">
        <f>SUM(U38:U40)</f>
        <v>0</v>
      </c>
      <c r="V41" s="92">
        <f>U41/U12</f>
        <v>0</v>
      </c>
      <c r="W41" s="76">
        <f>SUM(W38:W40)</f>
        <v>0</v>
      </c>
      <c r="X41" s="92">
        <f>W41/W12</f>
        <v>0</v>
      </c>
      <c r="Y41" s="76">
        <f>SUM(Y38:Y40)</f>
        <v>0</v>
      </c>
      <c r="Z41" s="92">
        <f>Y41/Y12</f>
        <v>0</v>
      </c>
      <c r="AA41" s="196">
        <f>SUM(AA38:AA40)</f>
        <v>0</v>
      </c>
      <c r="AB41" s="92">
        <f>AA41/AA12</f>
        <v>0</v>
      </c>
      <c r="AC41" s="52">
        <f>AA41/12</f>
        <v>0</v>
      </c>
      <c r="AD41" s="92">
        <f>AC41/AC12</f>
        <v>0</v>
      </c>
      <c r="AE41" s="582"/>
      <c r="AF41" s="582"/>
      <c r="AG41" s="582"/>
    </row>
    <row r="42" spans="1:36" s="1" customFormat="1" ht="15.75" thickTop="1">
      <c r="A42" s="188">
        <v>6101</v>
      </c>
      <c r="B42" s="227" t="s">
        <v>2</v>
      </c>
      <c r="C42" s="26">
        <f>C12*6%</f>
        <v>40138.248599999999</v>
      </c>
      <c r="D42" s="24">
        <f>C42/C12</f>
        <v>5.9999999999999991E-2</v>
      </c>
      <c r="E42" s="26">
        <f>E12*6%</f>
        <v>31227.6162</v>
      </c>
      <c r="F42" s="24">
        <f>E42/E12</f>
        <v>0.06</v>
      </c>
      <c r="G42" s="26">
        <f>G12*6%</f>
        <v>51799.670483870046</v>
      </c>
      <c r="H42" s="24">
        <f>G42/G12</f>
        <v>0.06</v>
      </c>
      <c r="I42" s="26">
        <f>I12*6%</f>
        <v>45738.812023143728</v>
      </c>
      <c r="J42" s="24">
        <f>I42/I12</f>
        <v>6.0000000000000005E-2</v>
      </c>
      <c r="K42" s="26">
        <f>K12*6%</f>
        <v>41832.803047981499</v>
      </c>
      <c r="L42" s="24">
        <f>K42/K12</f>
        <v>6.0000000000000005E-2</v>
      </c>
      <c r="M42" s="26">
        <f>M12*6%</f>
        <v>59318.335537635772</v>
      </c>
      <c r="N42" s="24">
        <f>M42/M12</f>
        <v>0.06</v>
      </c>
      <c r="O42" s="26">
        <f>O12*6%</f>
        <v>37555.062322694575</v>
      </c>
      <c r="P42" s="24">
        <f>O42/O12</f>
        <v>5.9999999999999991E-2</v>
      </c>
      <c r="Q42" s="26">
        <f>Q12*6%</f>
        <v>46633.586997776336</v>
      </c>
      <c r="R42" s="24">
        <f>Q42/Q12</f>
        <v>5.9999999999999991E-2</v>
      </c>
      <c r="S42" s="26">
        <f>S12*6%</f>
        <v>46977.709096964398</v>
      </c>
      <c r="T42" s="24">
        <f>S42/S12</f>
        <v>0.06</v>
      </c>
      <c r="U42" s="26">
        <f>U12*6%</f>
        <v>37263.025585666976</v>
      </c>
      <c r="V42" s="24">
        <f>U42/U12</f>
        <v>0.06</v>
      </c>
      <c r="W42" s="26">
        <f>W12*6%</f>
        <v>37912.949738968557</v>
      </c>
      <c r="X42" s="24">
        <f>W42/W12</f>
        <v>0.06</v>
      </c>
      <c r="Y42" s="26">
        <f>Y12*6%</f>
        <v>57273.708675088805</v>
      </c>
      <c r="Z42" s="24">
        <f>Y42/Y12</f>
        <v>0.06</v>
      </c>
      <c r="AA42" s="144">
        <f t="shared" ref="AA42:AA74" si="21">C42+E42+G42+I42+K42+M42+O42+Q42+S42+U42+W42+Y42</f>
        <v>533671.52830979065</v>
      </c>
      <c r="AB42" s="68">
        <f>AA42/AA12</f>
        <v>6.0000000000000012E-2</v>
      </c>
      <c r="AC42" s="128">
        <f>AA42/12</f>
        <v>44472.627359149221</v>
      </c>
      <c r="AD42" s="68">
        <f>AC42/AC12</f>
        <v>6.0000000000000005E-2</v>
      </c>
      <c r="AE42" s="393"/>
      <c r="AF42" s="393"/>
      <c r="AG42" s="393"/>
    </row>
    <row r="43" spans="1:36" s="1" customFormat="1">
      <c r="A43" s="188">
        <v>6102</v>
      </c>
      <c r="B43" s="227" t="s">
        <v>3</v>
      </c>
      <c r="C43" s="692">
        <v>28000</v>
      </c>
      <c r="D43" s="24">
        <f>C43/C12</f>
        <v>4.1855338949691984E-2</v>
      </c>
      <c r="E43" s="692">
        <v>28000</v>
      </c>
      <c r="F43" s="24">
        <f>E43/E12</f>
        <v>5.3798534900656295E-2</v>
      </c>
      <c r="G43" s="692">
        <v>28000</v>
      </c>
      <c r="H43" s="24">
        <f>G43/G12</f>
        <v>3.2432638746671891E-2</v>
      </c>
      <c r="I43" s="692">
        <v>28000</v>
      </c>
      <c r="J43" s="24">
        <f>I43/I12</f>
        <v>3.6730293719695301E-2</v>
      </c>
      <c r="K43" s="692">
        <v>28000</v>
      </c>
      <c r="L43" s="24">
        <f>K43/K12</f>
        <v>4.0159871622111223E-2</v>
      </c>
      <c r="M43" s="692">
        <v>28000</v>
      </c>
      <c r="N43" s="24">
        <f>M43/M12</f>
        <v>2.8321765686329624E-2</v>
      </c>
      <c r="O43" s="692">
        <v>28000</v>
      </c>
      <c r="P43" s="24">
        <f>O43/O12</f>
        <v>4.4734315325174509E-2</v>
      </c>
      <c r="Q43" s="692">
        <v>28000</v>
      </c>
      <c r="R43" s="24">
        <f>Q43/Q12</f>
        <v>3.6025536703408821E-2</v>
      </c>
      <c r="S43" s="692">
        <v>28000</v>
      </c>
      <c r="T43" s="24">
        <f>S43/S12</f>
        <v>3.5761641686962511E-2</v>
      </c>
      <c r="U43" s="692">
        <v>28000</v>
      </c>
      <c r="V43" s="24">
        <f>U43/U12</f>
        <v>4.5084905844205062E-2</v>
      </c>
      <c r="W43" s="692">
        <v>28000</v>
      </c>
      <c r="X43" s="24">
        <f>W43/W12</f>
        <v>4.4312036166186876E-2</v>
      </c>
      <c r="Y43" s="692">
        <v>28000</v>
      </c>
      <c r="Z43" s="24">
        <f>Y43/Y12</f>
        <v>2.9332830697773826E-2</v>
      </c>
      <c r="AA43" s="144">
        <f t="shared" si="21"/>
        <v>336000</v>
      </c>
      <c r="AB43" s="68">
        <f>AA43/AA12</f>
        <v>3.7776045620888619E-2</v>
      </c>
      <c r="AC43" s="128">
        <f t="shared" ref="AC43:AC74" si="22">AA43/12</f>
        <v>28000</v>
      </c>
      <c r="AD43" s="68">
        <f>AC43/AC12</f>
        <v>3.7776045620888613E-2</v>
      </c>
      <c r="AE43" s="393" t="s">
        <v>345</v>
      </c>
      <c r="AF43" s="735" t="s">
        <v>344</v>
      </c>
      <c r="AG43" s="393"/>
    </row>
    <row r="44" spans="1:36" s="1" customFormat="1">
      <c r="A44" s="188">
        <v>6103</v>
      </c>
      <c r="B44" s="227" t="s">
        <v>4</v>
      </c>
      <c r="C44" s="61"/>
      <c r="D44" s="24">
        <f>C44/C12</f>
        <v>0</v>
      </c>
      <c r="E44" s="703"/>
      <c r="F44" s="24">
        <f>E44/E12</f>
        <v>0</v>
      </c>
      <c r="G44" s="61"/>
      <c r="H44" s="24">
        <f>G44/G12</f>
        <v>0</v>
      </c>
      <c r="I44" s="61"/>
      <c r="J44" s="24">
        <f>I44/I12</f>
        <v>0</v>
      </c>
      <c r="K44" s="26">
        <v>0</v>
      </c>
      <c r="L44" s="24">
        <f>K44/K12</f>
        <v>0</v>
      </c>
      <c r="M44" s="26"/>
      <c r="N44" s="24">
        <f>M44/M12</f>
        <v>0</v>
      </c>
      <c r="O44" s="26"/>
      <c r="P44" s="24">
        <f>O44/O12</f>
        <v>0</v>
      </c>
      <c r="Q44" s="26">
        <v>0</v>
      </c>
      <c r="R44" s="24">
        <f>Q44/Q12</f>
        <v>0</v>
      </c>
      <c r="S44" s="26"/>
      <c r="T44" s="24">
        <f>S44/S12</f>
        <v>0</v>
      </c>
      <c r="U44" s="51">
        <v>0</v>
      </c>
      <c r="V44" s="24">
        <f>U44/U12</f>
        <v>0</v>
      </c>
      <c r="W44" s="51"/>
      <c r="X44" s="24">
        <f>W44/W12</f>
        <v>0</v>
      </c>
      <c r="Y44" s="51"/>
      <c r="Z44" s="24">
        <f>Y44/Y12</f>
        <v>0</v>
      </c>
      <c r="AA44" s="144">
        <f t="shared" si="21"/>
        <v>0</v>
      </c>
      <c r="AB44" s="68">
        <f>AA44/AA12</f>
        <v>0</v>
      </c>
      <c r="AC44" s="128">
        <f t="shared" si="22"/>
        <v>0</v>
      </c>
      <c r="AD44" s="68">
        <f>AC44/AC12</f>
        <v>0</v>
      </c>
      <c r="AE44" s="393"/>
      <c r="AF44" s="393"/>
      <c r="AG44" s="393"/>
    </row>
    <row r="45" spans="1:36" s="1" customFormat="1">
      <c r="A45" s="188">
        <v>6104</v>
      </c>
      <c r="B45" s="227" t="s">
        <v>5</v>
      </c>
      <c r="C45" s="692">
        <v>2750</v>
      </c>
      <c r="D45" s="702">
        <f>C45/C12</f>
        <v>4.1107922182733198E-3</v>
      </c>
      <c r="E45" s="692">
        <v>2750</v>
      </c>
      <c r="F45" s="702">
        <f>E45/E12</f>
        <v>5.2837846777430289E-3</v>
      </c>
      <c r="G45" s="692">
        <v>2750</v>
      </c>
      <c r="H45" s="702">
        <f>G45/G12</f>
        <v>3.1853484483338463E-3</v>
      </c>
      <c r="I45" s="692">
        <v>2750</v>
      </c>
      <c r="J45" s="702">
        <f>I45/I12</f>
        <v>3.6074395617557886E-3</v>
      </c>
      <c r="K45" s="692">
        <v>2750</v>
      </c>
      <c r="L45" s="702">
        <f>K45/K12</f>
        <v>3.9442731057430661E-3</v>
      </c>
      <c r="M45" s="692">
        <v>2750</v>
      </c>
      <c r="N45" s="702">
        <f>M45/M12</f>
        <v>2.7816019870502309E-3</v>
      </c>
      <c r="O45" s="692">
        <v>2750</v>
      </c>
      <c r="P45" s="702">
        <f>O45/O12</f>
        <v>4.3935488265796395E-3</v>
      </c>
      <c r="Q45" s="692">
        <v>2750</v>
      </c>
      <c r="R45" s="677">
        <f>Q45/Q12</f>
        <v>3.5382223547990809E-3</v>
      </c>
      <c r="S45" s="692">
        <v>2750</v>
      </c>
      <c r="T45" s="677">
        <f>S45/S12</f>
        <v>3.5123040942552468E-3</v>
      </c>
      <c r="U45" s="692">
        <v>2750</v>
      </c>
      <c r="V45" s="677">
        <f>U45/U12</f>
        <v>4.4279818239844259E-3</v>
      </c>
      <c r="W45" s="692">
        <v>2750</v>
      </c>
      <c r="X45" s="677">
        <f>W45/W12</f>
        <v>4.3520749806076394E-3</v>
      </c>
      <c r="Y45" s="692">
        <v>2750</v>
      </c>
      <c r="Z45" s="677">
        <f t="shared" ref="Z45" si="23">Y45/Y$12</f>
        <v>2.8809030149599293E-3</v>
      </c>
      <c r="AA45" s="144">
        <f t="shared" si="21"/>
        <v>33000</v>
      </c>
      <c r="AB45" s="68">
        <f>AA45/AA12</f>
        <v>3.7101473377658466E-3</v>
      </c>
      <c r="AC45" s="128">
        <f t="shared" si="22"/>
        <v>2750</v>
      </c>
      <c r="AD45" s="68">
        <f>AC45/AC12</f>
        <v>3.7101473377658461E-3</v>
      </c>
      <c r="AE45" s="645"/>
      <c r="AF45" s="694"/>
      <c r="AG45" s="393"/>
    </row>
    <row r="46" spans="1:36" s="1" customFormat="1">
      <c r="A46" s="188">
        <v>6105</v>
      </c>
      <c r="B46" s="188" t="s">
        <v>39</v>
      </c>
      <c r="C46" s="436">
        <f>C12*0.24%</f>
        <v>1605.5299439999999</v>
      </c>
      <c r="D46" s="702">
        <f>C46/C$12</f>
        <v>2.3999999999999998E-3</v>
      </c>
      <c r="E46" s="436">
        <f>E12*0.24%</f>
        <v>1249.104648</v>
      </c>
      <c r="F46" s="702">
        <f>E46/E$12</f>
        <v>2.3999999999999998E-3</v>
      </c>
      <c r="G46" s="436">
        <f>G12*0.24%</f>
        <v>2071.9868193548018</v>
      </c>
      <c r="H46" s="702">
        <f>G46/$G$12</f>
        <v>2.3999999999999998E-3</v>
      </c>
      <c r="I46" s="436">
        <f>I12*0.24%</f>
        <v>1829.5524809257488</v>
      </c>
      <c r="J46" s="226">
        <v>2.282921148507532E-3</v>
      </c>
      <c r="K46" s="436">
        <f>K12*0.24%</f>
        <v>1673.3121219192597</v>
      </c>
      <c r="L46" s="226">
        <v>1.4480363095715567E-3</v>
      </c>
      <c r="M46" s="436">
        <f>M12*0.24%</f>
        <v>2372.7334215054307</v>
      </c>
      <c r="N46" s="702">
        <v>1.4265472348621291E-3</v>
      </c>
      <c r="O46" s="436">
        <f>O12*0.24%</f>
        <v>1502.2024929077832</v>
      </c>
      <c r="P46" s="702">
        <f>O46/O$12</f>
        <v>2.3999999999999998E-3</v>
      </c>
      <c r="Q46" s="436">
        <f>Q12*0.24%</f>
        <v>1865.3434799110535</v>
      </c>
      <c r="R46" s="702">
        <f>Q46/Q$12</f>
        <v>2.3999999999999998E-3</v>
      </c>
      <c r="S46" s="436">
        <f>S12*0.24%</f>
        <v>1879.1083638785758</v>
      </c>
      <c r="T46" s="702">
        <f>S46/S$12</f>
        <v>2.3999999999999998E-3</v>
      </c>
      <c r="U46" s="436">
        <f>U12*0.24%</f>
        <v>1490.521023426679</v>
      </c>
      <c r="V46" s="702">
        <f>U46/U12</f>
        <v>2.3999999999999998E-3</v>
      </c>
      <c r="W46" s="436">
        <f>W12*0.24%</f>
        <v>1516.5179895587421</v>
      </c>
      <c r="X46" s="702">
        <f>W46/W12</f>
        <v>2.3999999999999998E-3</v>
      </c>
      <c r="Y46" s="436">
        <f>Y16*0.24%</f>
        <v>2290.948347003552</v>
      </c>
      <c r="Z46" s="702">
        <f>Y46/Y12</f>
        <v>2.3999999999999998E-3</v>
      </c>
      <c r="AA46" s="144">
        <f t="shared" si="21"/>
        <v>21346.861132391623</v>
      </c>
      <c r="AB46" s="68">
        <f>AA46/AA12</f>
        <v>2.4000000000000002E-3</v>
      </c>
      <c r="AC46" s="128">
        <f t="shared" si="22"/>
        <v>1778.9050943659686</v>
      </c>
      <c r="AD46" s="68">
        <f>AC46/AC12</f>
        <v>2.3999999999999998E-3</v>
      </c>
      <c r="AE46" s="645"/>
      <c r="AF46" s="694"/>
      <c r="AG46" s="393"/>
    </row>
    <row r="47" spans="1:36" s="1" customFormat="1">
      <c r="A47" s="188">
        <v>6106</v>
      </c>
      <c r="B47" s="227" t="s">
        <v>6</v>
      </c>
      <c r="C47" s="75">
        <v>200</v>
      </c>
      <c r="D47" s="24">
        <f>C47/C12</f>
        <v>2.9896670678351421E-4</v>
      </c>
      <c r="E47" s="75">
        <v>200</v>
      </c>
      <c r="F47" s="24">
        <f>E47/E12</f>
        <v>3.8427524929040213E-4</v>
      </c>
      <c r="G47" s="75">
        <v>200</v>
      </c>
      <c r="H47" s="24">
        <f>G47/G12</f>
        <v>2.3166170533337065E-4</v>
      </c>
      <c r="I47" s="75">
        <v>200</v>
      </c>
      <c r="J47" s="24">
        <f>I47/I12</f>
        <v>2.6235924085496644E-4</v>
      </c>
      <c r="K47" s="75">
        <v>200</v>
      </c>
      <c r="L47" s="24">
        <f>K47/K12</f>
        <v>2.8685622587222304E-4</v>
      </c>
      <c r="M47" s="75">
        <v>200</v>
      </c>
      <c r="N47" s="24">
        <f>M47/M12</f>
        <v>2.0229832633092588E-4</v>
      </c>
      <c r="O47" s="75">
        <v>200</v>
      </c>
      <c r="P47" s="24">
        <f>O47/O12</f>
        <v>3.1953082375124652E-4</v>
      </c>
      <c r="Q47" s="75">
        <v>200</v>
      </c>
      <c r="R47" s="24">
        <f>Q47/Q12</f>
        <v>2.5732526216720589E-4</v>
      </c>
      <c r="S47" s="75">
        <v>200</v>
      </c>
      <c r="T47" s="24">
        <f>S47/S12</f>
        <v>2.5544029776401793E-4</v>
      </c>
      <c r="U47" s="75">
        <v>200</v>
      </c>
      <c r="V47" s="24">
        <f>U47/U12</f>
        <v>3.220350417443219E-4</v>
      </c>
      <c r="W47" s="75">
        <v>200</v>
      </c>
      <c r="X47" s="24">
        <f>W47/W12</f>
        <v>3.1651454404419197E-4</v>
      </c>
      <c r="Y47" s="75">
        <v>200</v>
      </c>
      <c r="Z47" s="24">
        <f>Y47/Y12</f>
        <v>2.0952021926981304E-4</v>
      </c>
      <c r="AA47" s="144">
        <f t="shared" si="21"/>
        <v>2400</v>
      </c>
      <c r="AB47" s="702">
        <f>AA47/AA12</f>
        <v>2.6982889729206157E-4</v>
      </c>
      <c r="AC47" s="128">
        <f t="shared" si="22"/>
        <v>200</v>
      </c>
      <c r="AD47" s="702">
        <f>AC47/AC12</f>
        <v>2.6982889729206157E-4</v>
      </c>
      <c r="AE47" s="374" t="s">
        <v>274</v>
      </c>
      <c r="AF47" s="26"/>
      <c r="AG47" s="686"/>
      <c r="AH47" s="686"/>
      <c r="AJ47" s="686"/>
    </row>
    <row r="48" spans="1:36" s="1" customFormat="1">
      <c r="A48" s="188">
        <v>6107</v>
      </c>
      <c r="B48" s="227" t="s">
        <v>7</v>
      </c>
      <c r="C48" s="75"/>
      <c r="D48" s="24">
        <f>C48/C12</f>
        <v>0</v>
      </c>
      <c r="E48" s="113"/>
      <c r="F48" s="24">
        <f>E48/E12</f>
        <v>0</v>
      </c>
      <c r="H48" s="24">
        <f>G48/G12</f>
        <v>0</v>
      </c>
      <c r="I48" s="75">
        <v>0</v>
      </c>
      <c r="J48" s="24">
        <f>I48/I12</f>
        <v>0</v>
      </c>
      <c r="K48" s="31">
        <v>0</v>
      </c>
      <c r="L48" s="24">
        <f>K48/K12</f>
        <v>0</v>
      </c>
      <c r="M48" s="31">
        <v>0</v>
      </c>
      <c r="N48" s="24">
        <f>M48/M12</f>
        <v>0</v>
      </c>
      <c r="O48" s="33"/>
      <c r="P48" s="24">
        <f>O48/O12</f>
        <v>0</v>
      </c>
      <c r="Q48" s="31"/>
      <c r="R48" s="24">
        <f>Q48/Q12</f>
        <v>0</v>
      </c>
      <c r="S48" s="31"/>
      <c r="T48" s="24">
        <f>S48/S12</f>
        <v>0</v>
      </c>
      <c r="U48" s="31"/>
      <c r="V48" s="24">
        <f>U48/U12</f>
        <v>0</v>
      </c>
      <c r="W48" s="31"/>
      <c r="X48" s="24">
        <f>W48/W12</f>
        <v>0</v>
      </c>
      <c r="Y48" s="31"/>
      <c r="Z48" s="24">
        <f>Y48/Y12</f>
        <v>0</v>
      </c>
      <c r="AA48" s="144">
        <f t="shared" si="21"/>
        <v>0</v>
      </c>
      <c r="AB48" s="68">
        <f>AA48/AA12</f>
        <v>0</v>
      </c>
      <c r="AC48" s="128">
        <f t="shared" si="22"/>
        <v>0</v>
      </c>
      <c r="AD48" s="68">
        <f>AC48/AC12</f>
        <v>0</v>
      </c>
      <c r="AE48" s="393"/>
      <c r="AF48" s="393"/>
      <c r="AG48" s="393"/>
    </row>
    <row r="49" spans="1:33" s="1" customFormat="1">
      <c r="A49" s="188">
        <v>6108</v>
      </c>
      <c r="B49" s="227" t="s">
        <v>8</v>
      </c>
      <c r="C49" s="75"/>
      <c r="D49" s="24">
        <f>C49/C12</f>
        <v>0</v>
      </c>
      <c r="E49" s="113"/>
      <c r="F49" s="24">
        <f>E49/E12</f>
        <v>0</v>
      </c>
      <c r="H49" s="24">
        <f>G49/G12</f>
        <v>0</v>
      </c>
      <c r="I49" s="75"/>
      <c r="J49" s="24">
        <f>I49/I12</f>
        <v>0</v>
      </c>
      <c r="K49" s="31">
        <v>0</v>
      </c>
      <c r="L49" s="24">
        <f>K49/K12</f>
        <v>0</v>
      </c>
      <c r="M49" s="31"/>
      <c r="N49" s="24">
        <f>M49/M12</f>
        <v>0</v>
      </c>
      <c r="O49" s="33"/>
      <c r="P49" s="24">
        <f>O49/O12</f>
        <v>0</v>
      </c>
      <c r="Q49" s="31">
        <v>0</v>
      </c>
      <c r="R49" s="24">
        <f>Q49/Q12</f>
        <v>0</v>
      </c>
      <c r="S49" s="31"/>
      <c r="T49" s="24">
        <f>S49/S12</f>
        <v>0</v>
      </c>
      <c r="U49" s="31"/>
      <c r="V49" s="24">
        <f>U49/U12</f>
        <v>0</v>
      </c>
      <c r="W49" s="31"/>
      <c r="X49" s="24">
        <f>W49/W12</f>
        <v>0</v>
      </c>
      <c r="Y49" s="31"/>
      <c r="Z49" s="24">
        <f>Y49/Y12</f>
        <v>0</v>
      </c>
      <c r="AA49" s="144">
        <f t="shared" si="21"/>
        <v>0</v>
      </c>
      <c r="AB49" s="68">
        <f>AA49/AA12</f>
        <v>0</v>
      </c>
      <c r="AC49" s="128">
        <f t="shared" si="22"/>
        <v>0</v>
      </c>
      <c r="AD49" s="68">
        <f>AC49/AC12</f>
        <v>0</v>
      </c>
      <c r="AE49" s="393"/>
      <c r="AF49" s="393"/>
      <c r="AG49" s="393"/>
    </row>
    <row r="50" spans="1:33" s="1" customFormat="1">
      <c r="A50" s="188">
        <v>6109</v>
      </c>
      <c r="B50" s="227" t="s">
        <v>79</v>
      </c>
      <c r="C50" s="113"/>
      <c r="D50" s="24">
        <f>C50/C12</f>
        <v>0</v>
      </c>
      <c r="E50" s="113"/>
      <c r="F50" s="24">
        <f>E50/E12</f>
        <v>0</v>
      </c>
      <c r="H50" s="24">
        <f>G50/G12</f>
        <v>0</v>
      </c>
      <c r="I50" s="113"/>
      <c r="J50" s="24">
        <f>I50/I12</f>
        <v>0</v>
      </c>
      <c r="K50" s="113"/>
      <c r="L50" s="24">
        <f>K50/K12</f>
        <v>0</v>
      </c>
      <c r="M50" s="295"/>
      <c r="N50" s="24">
        <f>M50/M12</f>
        <v>0</v>
      </c>
      <c r="O50" s="33"/>
      <c r="P50" s="24">
        <f>O50/O12</f>
        <v>0</v>
      </c>
      <c r="Q50" s="113"/>
      <c r="R50" s="24">
        <f>Q50/Q12</f>
        <v>0</v>
      </c>
      <c r="S50" s="113"/>
      <c r="T50" s="24">
        <f>S50/S12</f>
        <v>0</v>
      </c>
      <c r="U50" s="113"/>
      <c r="V50" s="24">
        <f>U50/U12</f>
        <v>0</v>
      </c>
      <c r="W50" s="113"/>
      <c r="X50" s="24">
        <f>W50/W12</f>
        <v>0</v>
      </c>
      <c r="Y50" s="113"/>
      <c r="Z50" s="24">
        <f>Y50/Y12</f>
        <v>0</v>
      </c>
      <c r="AA50" s="144">
        <f t="shared" si="21"/>
        <v>0</v>
      </c>
      <c r="AB50" s="68">
        <f>AA50/AA12</f>
        <v>0</v>
      </c>
      <c r="AC50" s="128">
        <f t="shared" si="22"/>
        <v>0</v>
      </c>
      <c r="AD50" s="68">
        <f>AC50/AC12</f>
        <v>0</v>
      </c>
      <c r="AE50" s="393"/>
      <c r="AF50" s="393"/>
      <c r="AG50" s="393"/>
    </row>
    <row r="51" spans="1:33" s="1" customFormat="1">
      <c r="A51" s="188">
        <v>6110</v>
      </c>
      <c r="B51" s="188" t="s">
        <v>9</v>
      </c>
      <c r="C51" s="432">
        <v>250</v>
      </c>
      <c r="D51" s="702">
        <f>C51/C12</f>
        <v>3.7370838347939277E-4</v>
      </c>
      <c r="E51" s="432">
        <v>250</v>
      </c>
      <c r="F51" s="702">
        <f>E51/E12</f>
        <v>4.8034406161300263E-4</v>
      </c>
      <c r="G51" s="432">
        <v>250</v>
      </c>
      <c r="H51" s="702">
        <f>G51/G12</f>
        <v>2.8957713166671329E-4</v>
      </c>
      <c r="I51" s="432">
        <v>250</v>
      </c>
      <c r="J51" s="702">
        <f>I51/I12</f>
        <v>3.2794905106870803E-4</v>
      </c>
      <c r="K51" s="432">
        <v>250</v>
      </c>
      <c r="L51" s="702">
        <f>K51/K12</f>
        <v>3.5857028234027876E-4</v>
      </c>
      <c r="M51" s="432">
        <v>250</v>
      </c>
      <c r="N51" s="702">
        <f>M51/M12</f>
        <v>2.5287290791365736E-4</v>
      </c>
      <c r="O51" s="432">
        <v>250</v>
      </c>
      <c r="P51" s="702">
        <f>O51/O12</f>
        <v>3.9941352968905812E-4</v>
      </c>
      <c r="Q51" s="432">
        <v>250</v>
      </c>
      <c r="R51" s="702">
        <f>Q51/Q12</f>
        <v>3.2165657770900734E-4</v>
      </c>
      <c r="S51" s="432">
        <v>250</v>
      </c>
      <c r="T51" s="702">
        <f>S51/S12</f>
        <v>3.193003722050224E-4</v>
      </c>
      <c r="U51" s="432">
        <v>250</v>
      </c>
      <c r="V51" s="702">
        <f>U51/U12</f>
        <v>4.0254380218040234E-4</v>
      </c>
      <c r="W51" s="432">
        <v>250</v>
      </c>
      <c r="X51" s="702">
        <f>W51/W12</f>
        <v>3.9564318005523997E-4</v>
      </c>
      <c r="Y51" s="432">
        <v>250</v>
      </c>
      <c r="Z51" s="702">
        <f>Y51/Y12</f>
        <v>2.6190027408726631E-4</v>
      </c>
      <c r="AA51" s="144">
        <f t="shared" si="21"/>
        <v>3000</v>
      </c>
      <c r="AB51" s="702">
        <f>AA51/AA12</f>
        <v>3.3728612161507696E-4</v>
      </c>
      <c r="AC51" s="128">
        <f t="shared" si="22"/>
        <v>250</v>
      </c>
      <c r="AD51" s="702">
        <f>AC51/AC12</f>
        <v>3.3728612161507691E-4</v>
      </c>
      <c r="AE51" s="645"/>
      <c r="AF51" s="694"/>
      <c r="AG51" s="226"/>
    </row>
    <row r="52" spans="1:33" s="1" customFormat="1">
      <c r="A52" s="188">
        <v>6111</v>
      </c>
      <c r="B52" s="227" t="s">
        <v>10</v>
      </c>
      <c r="C52" s="61">
        <v>36893.35</v>
      </c>
      <c r="D52" s="24">
        <f>C52/C12</f>
        <v>5.5149416758557814E-2</v>
      </c>
      <c r="E52" s="61">
        <v>36893.35</v>
      </c>
      <c r="F52" s="24">
        <f>E52/E12</f>
        <v>7.0886006342040286E-2</v>
      </c>
      <c r="G52" s="61">
        <v>36893.35</v>
      </c>
      <c r="H52" s="24">
        <f>G52/G12</f>
        <v>4.273388188230455E-2</v>
      </c>
      <c r="I52" s="61">
        <v>36893.35</v>
      </c>
      <c r="J52" s="24">
        <f>I52/I12</f>
        <v>4.8396556492982877E-2</v>
      </c>
      <c r="K52" s="61">
        <v>36893.35</v>
      </c>
      <c r="L52" s="24">
        <f>K52/K12</f>
        <v>5.2915435703914895E-2</v>
      </c>
      <c r="M52" s="61">
        <v>36893.35</v>
      </c>
      <c r="N52" s="24">
        <f>M52/M12</f>
        <v>3.7317314788705321E-2</v>
      </c>
      <c r="O52" s="61">
        <v>36893.35</v>
      </c>
      <c r="P52" s="24">
        <f>O52/O12</f>
        <v>5.8942812582215245E-2</v>
      </c>
      <c r="Q52" s="61">
        <v>36893.35</v>
      </c>
      <c r="R52" s="24">
        <f>Q52/Q12</f>
        <v>4.7467954804882424E-2</v>
      </c>
      <c r="S52" s="61">
        <v>36893.35</v>
      </c>
      <c r="T52" s="24">
        <f>S52/S12</f>
        <v>4.7120241547560657E-2</v>
      </c>
      <c r="U52" s="61">
        <v>36893.35</v>
      </c>
      <c r="V52" s="24">
        <f>U52/U12</f>
        <v>5.940475753668939E-2</v>
      </c>
      <c r="W52" s="61">
        <v>36893.35</v>
      </c>
      <c r="X52" s="24">
        <f>W52/W12</f>
        <v>5.838640926756395E-2</v>
      </c>
      <c r="Y52" s="61">
        <v>36893.35</v>
      </c>
      <c r="Z52" s="24">
        <f>Y52/Y12</f>
        <v>3.8649513907989784E-2</v>
      </c>
      <c r="AA52" s="144">
        <f t="shared" si="21"/>
        <v>442720.1999999999</v>
      </c>
      <c r="AB52" s="68">
        <f>AA52/AA12</f>
        <v>4.9774459739550386E-2</v>
      </c>
      <c r="AC52" s="128">
        <f t="shared" si="22"/>
        <v>36893.349999999991</v>
      </c>
      <c r="AD52" s="68">
        <f>AC52/AC12</f>
        <v>4.9774459739550379E-2</v>
      </c>
      <c r="AE52" s="393"/>
      <c r="AF52" s="393"/>
      <c r="AG52" s="393"/>
    </row>
    <row r="53" spans="1:33" s="1" customFormat="1">
      <c r="A53" s="188">
        <v>6112</v>
      </c>
      <c r="B53" s="188" t="s">
        <v>11</v>
      </c>
      <c r="C53" s="705">
        <v>2650</v>
      </c>
      <c r="D53" s="702">
        <f>C53/C12</f>
        <v>3.9613088648815633E-3</v>
      </c>
      <c r="E53" s="705">
        <v>2650</v>
      </c>
      <c r="F53" s="702">
        <f>E53/E12</f>
        <v>5.0916470530978277E-3</v>
      </c>
      <c r="G53" s="705">
        <v>2650</v>
      </c>
      <c r="H53" s="702">
        <f>G53/G12</f>
        <v>3.0695175956671609E-3</v>
      </c>
      <c r="I53" s="705">
        <v>2650</v>
      </c>
      <c r="J53" s="702">
        <f>I53/I12</f>
        <v>3.4762599413283054E-3</v>
      </c>
      <c r="K53" s="705">
        <v>2650</v>
      </c>
      <c r="L53" s="702">
        <f>K53/K12</f>
        <v>3.800844992806955E-3</v>
      </c>
      <c r="M53" s="705">
        <v>2650</v>
      </c>
      <c r="N53" s="702">
        <f>M53/M12</f>
        <v>2.680452823884768E-3</v>
      </c>
      <c r="O53" s="705">
        <v>2650</v>
      </c>
      <c r="P53" s="702">
        <f>O53/O12</f>
        <v>4.2337834147040164E-3</v>
      </c>
      <c r="Q53" s="705">
        <v>2650</v>
      </c>
      <c r="R53" s="702">
        <f>Q53/Q12</f>
        <v>3.4095597237154777E-3</v>
      </c>
      <c r="S53" s="705">
        <v>2650</v>
      </c>
      <c r="T53" s="702">
        <f>S53/S12</f>
        <v>3.3845839453732376E-3</v>
      </c>
      <c r="U53" s="705">
        <v>2650</v>
      </c>
      <c r="V53" s="702">
        <f>U53/U12</f>
        <v>4.2669643031122651E-3</v>
      </c>
      <c r="W53" s="705">
        <v>2650</v>
      </c>
      <c r="X53" s="702">
        <f>W53/W12</f>
        <v>4.1938177085855434E-3</v>
      </c>
      <c r="Y53" s="705">
        <v>2650</v>
      </c>
      <c r="Z53" s="702">
        <f>Y53/Y12</f>
        <v>2.7761429053250225E-3</v>
      </c>
      <c r="AA53" s="144">
        <f t="shared" si="21"/>
        <v>31800</v>
      </c>
      <c r="AB53" s="702">
        <f>AA53/AA12</f>
        <v>3.5752328891198158E-3</v>
      </c>
      <c r="AC53" s="128">
        <f t="shared" si="22"/>
        <v>2650</v>
      </c>
      <c r="AD53" s="702">
        <f>AC53/AC12</f>
        <v>3.5752328891198153E-3</v>
      </c>
      <c r="AE53" s="645"/>
      <c r="AF53" s="694"/>
      <c r="AG53" s="226"/>
    </row>
    <row r="54" spans="1:33" s="1" customFormat="1">
      <c r="A54" s="188">
        <v>6113</v>
      </c>
      <c r="B54" s="227" t="s">
        <v>12</v>
      </c>
      <c r="C54" s="61"/>
      <c r="D54" s="24">
        <f>C54/C12</f>
        <v>0</v>
      </c>
      <c r="E54" s="703"/>
      <c r="F54" s="24">
        <f>E54/E12</f>
        <v>0</v>
      </c>
      <c r="H54" s="24">
        <f>G54/G12</f>
        <v>0</v>
      </c>
      <c r="I54" s="61"/>
      <c r="J54" s="24">
        <f>I54/I12</f>
        <v>0</v>
      </c>
      <c r="K54" s="26">
        <v>0</v>
      </c>
      <c r="L54" s="24">
        <f>K54/K12</f>
        <v>0</v>
      </c>
      <c r="M54" s="420"/>
      <c r="N54" s="24">
        <f>M54/M12</f>
        <v>0</v>
      </c>
      <c r="O54" s="33"/>
      <c r="P54" s="24">
        <f>O54/O12</f>
        <v>0</v>
      </c>
      <c r="Q54" s="26"/>
      <c r="R54" s="24">
        <f>Q54/Q12</f>
        <v>0</v>
      </c>
      <c r="S54" s="26"/>
      <c r="T54" s="24">
        <f>S54/S12</f>
        <v>0</v>
      </c>
      <c r="U54" s="61"/>
      <c r="V54" s="24">
        <f>U54/U12</f>
        <v>0</v>
      </c>
      <c r="W54" s="61"/>
      <c r="X54" s="24">
        <f>W54/W12</f>
        <v>0</v>
      </c>
      <c r="Y54" s="61"/>
      <c r="Z54" s="24">
        <f>Y54/Y12</f>
        <v>0</v>
      </c>
      <c r="AA54" s="144">
        <f t="shared" si="21"/>
        <v>0</v>
      </c>
      <c r="AB54" s="68">
        <f>AA54/AA12</f>
        <v>0</v>
      </c>
      <c r="AC54" s="128">
        <f t="shared" si="22"/>
        <v>0</v>
      </c>
      <c r="AD54" s="68">
        <f>AC54/AC12</f>
        <v>0</v>
      </c>
      <c r="AE54" s="393"/>
      <c r="AF54" s="393"/>
      <c r="AG54" s="393"/>
    </row>
    <row r="55" spans="1:33" s="1" customFormat="1">
      <c r="A55" s="188">
        <v>6114</v>
      </c>
      <c r="B55" s="227" t="s">
        <v>88</v>
      </c>
      <c r="C55" s="432">
        <v>5219.4799999999996</v>
      </c>
      <c r="D55" s="702">
        <f>C55/C12</f>
        <v>7.8022537336120829E-3</v>
      </c>
      <c r="E55" s="432">
        <v>5209.4799999999996</v>
      </c>
      <c r="F55" s="702">
        <f>E55/E12</f>
        <v>1.0009371128366818E-2</v>
      </c>
      <c r="G55" s="371">
        <v>5263.73</v>
      </c>
      <c r="H55" s="702">
        <f>G55/G12</f>
        <v>6.097023341072115E-3</v>
      </c>
      <c r="I55" s="432">
        <v>6297.31</v>
      </c>
      <c r="J55" s="702">
        <f>I55/I12</f>
        <v>8.260787355141944E-3</v>
      </c>
      <c r="K55" s="432">
        <v>7157.23</v>
      </c>
      <c r="L55" s="702">
        <f>K55/K12</f>
        <v>1.0265479927497254E-2</v>
      </c>
      <c r="M55" s="33">
        <v>7186.73</v>
      </c>
      <c r="N55" s="702">
        <f>M55/M12</f>
        <v>7.2693172539612747E-3</v>
      </c>
      <c r="O55" s="33">
        <v>7139.23</v>
      </c>
      <c r="P55" s="702">
        <f>O55/O12</f>
        <v>1.1406020214248058E-2</v>
      </c>
      <c r="Q55" s="432">
        <v>6289.81</v>
      </c>
      <c r="R55" s="702">
        <f>Q55/Q12</f>
        <v>8.0926350361595657E-3</v>
      </c>
      <c r="S55" s="432">
        <v>6319.06</v>
      </c>
      <c r="T55" s="702">
        <f>S55/S12</f>
        <v>8.0707128399434766E-3</v>
      </c>
      <c r="U55" s="432">
        <v>1200</v>
      </c>
      <c r="V55" s="702">
        <f>U55/U12</f>
        <v>1.9322102504659314E-3</v>
      </c>
      <c r="W55" s="432">
        <v>1200</v>
      </c>
      <c r="X55" s="702">
        <f>W55/W12</f>
        <v>1.8990872642651519E-3</v>
      </c>
      <c r="Y55" s="432">
        <v>1200</v>
      </c>
      <c r="Z55" s="702">
        <f>Y55/Y12</f>
        <v>1.2571213156188782E-3</v>
      </c>
      <c r="AA55" s="144">
        <f>C55+E55+G55+I55+K55+M55+O55+Q55+S55+U55+W55+Y55</f>
        <v>59682.06</v>
      </c>
      <c r="AB55" s="702">
        <f>AA55/AA12</f>
        <v>6.7099768491327731E-3</v>
      </c>
      <c r="AC55" s="128">
        <f t="shared" si="22"/>
        <v>4973.5050000000001</v>
      </c>
      <c r="AD55" s="702">
        <f>AC55/AC12</f>
        <v>6.7099768491327731E-3</v>
      </c>
      <c r="AE55" s="595"/>
      <c r="AF55" s="595"/>
      <c r="AG55" s="555"/>
    </row>
    <row r="56" spans="1:33" s="1" customFormat="1">
      <c r="A56" s="188">
        <v>6115</v>
      </c>
      <c r="B56" s="227" t="s">
        <v>13</v>
      </c>
      <c r="C56" s="437">
        <v>131.16999999999999</v>
      </c>
      <c r="D56" s="702">
        <f>C56/C12</f>
        <v>1.9607731464396777E-4</v>
      </c>
      <c r="E56" s="437">
        <v>168.96</v>
      </c>
      <c r="F56" s="702">
        <f>E56/E12</f>
        <v>3.2463573060053172E-4</v>
      </c>
      <c r="G56" s="1">
        <v>751.82</v>
      </c>
      <c r="H56" s="702">
        <f>G56/G12</f>
        <v>8.7083951651867363E-4</v>
      </c>
      <c r="I56" s="437">
        <v>0</v>
      </c>
      <c r="J56" s="702">
        <f>I56/I12</f>
        <v>0</v>
      </c>
      <c r="K56" s="437">
        <v>159.91999999999999</v>
      </c>
      <c r="L56" s="702">
        <f>K56/K12</f>
        <v>2.2937023820742951E-4</v>
      </c>
      <c r="M56" s="33">
        <v>230.32</v>
      </c>
      <c r="N56" s="702">
        <f>M56/M12</f>
        <v>2.3296675260269425E-4</v>
      </c>
      <c r="O56" s="33">
        <v>184.49</v>
      </c>
      <c r="P56" s="702">
        <f>O56/O12</f>
        <v>2.9475120836933735E-4</v>
      </c>
      <c r="Q56" s="437">
        <v>136.21</v>
      </c>
      <c r="R56" s="702">
        <f>Q56/Q12</f>
        <v>1.7525136979897556E-4</v>
      </c>
      <c r="S56" s="437">
        <v>149.78</v>
      </c>
      <c r="T56" s="702">
        <f>S56/S12</f>
        <v>1.9129923899547304E-4</v>
      </c>
      <c r="U56" s="437">
        <v>250</v>
      </c>
      <c r="V56" s="702">
        <f>U56/U12</f>
        <v>4.0254380218040234E-4</v>
      </c>
      <c r="W56" s="437">
        <v>250</v>
      </c>
      <c r="X56" s="702">
        <f>W56/W12</f>
        <v>3.9564318005523997E-4</v>
      </c>
      <c r="Y56" s="437">
        <v>250</v>
      </c>
      <c r="Z56" s="702">
        <f>Y56/Y12</f>
        <v>2.6190027408726631E-4</v>
      </c>
      <c r="AA56" s="144">
        <f t="shared" si="21"/>
        <v>2662.67</v>
      </c>
      <c r="AB56" s="702">
        <f>AA56/AA12</f>
        <v>2.9936054581360566E-4</v>
      </c>
      <c r="AC56" s="128">
        <f t="shared" si="22"/>
        <v>221.88916666666668</v>
      </c>
      <c r="AD56" s="702">
        <f>AC56/AC12</f>
        <v>2.9936054581360566E-4</v>
      </c>
      <c r="AE56" s="595"/>
      <c r="AF56" s="595"/>
      <c r="AG56" s="555"/>
    </row>
    <row r="57" spans="1:33" s="1" customFormat="1">
      <c r="A57" s="188">
        <v>6116</v>
      </c>
      <c r="B57" s="227" t="s">
        <v>14</v>
      </c>
      <c r="C57" s="432">
        <v>3466.71</v>
      </c>
      <c r="D57" s="702">
        <f>C57/C12</f>
        <v>5.1821543603673822E-3</v>
      </c>
      <c r="E57" s="432">
        <v>3466.71</v>
      </c>
      <c r="F57" s="702">
        <f>E57/E12</f>
        <v>6.6608542473376494E-3</v>
      </c>
      <c r="G57" s="371">
        <v>3466.71</v>
      </c>
      <c r="H57" s="702">
        <f>G57/G12</f>
        <v>4.015519752481247E-3</v>
      </c>
      <c r="I57" s="432">
        <v>3466.71</v>
      </c>
      <c r="J57" s="702">
        <f>I57/I12</f>
        <v>4.5476170193216037E-3</v>
      </c>
      <c r="K57" s="432">
        <v>3466.71</v>
      </c>
      <c r="L57" s="702">
        <f>K57/K12</f>
        <v>4.9722367339674715E-3</v>
      </c>
      <c r="M57" s="432">
        <v>3310.36</v>
      </c>
      <c r="N57" s="702">
        <f>M57/M12</f>
        <v>3.3484014377642194E-3</v>
      </c>
      <c r="O57" s="33">
        <v>3310.36</v>
      </c>
      <c r="P57" s="702">
        <f>O57/O12</f>
        <v>5.2888102885658818E-3</v>
      </c>
      <c r="Q57" s="31">
        <v>3310.36</v>
      </c>
      <c r="R57" s="677">
        <f>Q57/Q12</f>
        <v>4.259196274339158E-3</v>
      </c>
      <c r="S57" s="31">
        <v>3310.36</v>
      </c>
      <c r="T57" s="677">
        <f>S57/S12</f>
        <v>4.2279967205304725E-3</v>
      </c>
      <c r="U57" s="31">
        <f>250+3466.71</f>
        <v>3716.71</v>
      </c>
      <c r="V57" s="677">
        <f>U57/U12</f>
        <v>5.9845543000076927E-3</v>
      </c>
      <c r="W57" s="31">
        <f>250+3466.71</f>
        <v>3716.71</v>
      </c>
      <c r="X57" s="677">
        <f>W57/W12</f>
        <v>5.881963854972444E-3</v>
      </c>
      <c r="Y57" s="31">
        <f>250+3466.71</f>
        <v>3716.71</v>
      </c>
      <c r="Z57" s="677">
        <f>Y57/Y12</f>
        <v>3.8936294708115339E-3</v>
      </c>
      <c r="AA57" s="144">
        <f t="shared" si="21"/>
        <v>41725.120000000003</v>
      </c>
      <c r="AB57" s="68">
        <f>AA57/AA12</f>
        <v>4.6911012995745601E-3</v>
      </c>
      <c r="AC57" s="128">
        <f t="shared" si="22"/>
        <v>3477.0933333333337</v>
      </c>
      <c r="AD57" s="68">
        <f>AC57/AC12</f>
        <v>4.6911012995745601E-3</v>
      </c>
      <c r="AE57" s="393"/>
      <c r="AF57" s="595"/>
      <c r="AG57" s="393"/>
    </row>
    <row r="58" spans="1:33" s="1" customFormat="1">
      <c r="A58" s="188">
        <v>6117</v>
      </c>
      <c r="B58" s="227" t="s">
        <v>15</v>
      </c>
      <c r="C58" s="61"/>
      <c r="D58" s="24">
        <f>C58/C12</f>
        <v>0</v>
      </c>
      <c r="E58" s="703"/>
      <c r="F58" s="24">
        <f>E58/E12</f>
        <v>0</v>
      </c>
      <c r="H58" s="24">
        <f>G58/G12</f>
        <v>0</v>
      </c>
      <c r="I58" s="61"/>
      <c r="J58" s="24">
        <f>I58/I12</f>
        <v>0</v>
      </c>
      <c r="K58" s="26">
        <v>0</v>
      </c>
      <c r="L58" s="24">
        <f>K58/K12</f>
        <v>0</v>
      </c>
      <c r="M58" s="26"/>
      <c r="N58" s="24">
        <f>M58/M12</f>
        <v>0</v>
      </c>
      <c r="O58" s="33"/>
      <c r="P58" s="24">
        <f>O58/O12</f>
        <v>0</v>
      </c>
      <c r="Q58" s="26"/>
      <c r="R58" s="24">
        <f>Q58/Q12</f>
        <v>0</v>
      </c>
      <c r="S58" s="26"/>
      <c r="T58" s="24">
        <f>S58/S12</f>
        <v>0</v>
      </c>
      <c r="U58" s="61"/>
      <c r="V58" s="24">
        <f>U58/U12</f>
        <v>0</v>
      </c>
      <c r="W58" s="61"/>
      <c r="X58" s="24">
        <f>W58/W12</f>
        <v>0</v>
      </c>
      <c r="Y58" s="61"/>
      <c r="Z58" s="24">
        <f>Y58/Y12</f>
        <v>0</v>
      </c>
      <c r="AA58" s="144">
        <f t="shared" si="21"/>
        <v>0</v>
      </c>
      <c r="AB58" s="68">
        <f>AA58/AA12</f>
        <v>0</v>
      </c>
      <c r="AC58" s="128">
        <f t="shared" si="22"/>
        <v>0</v>
      </c>
      <c r="AD58" s="68">
        <f>AC58/AC12</f>
        <v>0</v>
      </c>
      <c r="AE58" s="393"/>
      <c r="AF58" s="393"/>
      <c r="AG58" s="393"/>
    </row>
    <row r="59" spans="1:33" s="1" customFormat="1">
      <c r="A59" s="188">
        <v>6118</v>
      </c>
      <c r="B59" s="227" t="s">
        <v>16</v>
      </c>
      <c r="C59" s="437">
        <v>35452.620000000003</v>
      </c>
      <c r="D59" s="24">
        <f>C59/C12</f>
        <v>5.299576524123676E-2</v>
      </c>
      <c r="E59" s="692">
        <v>35452.620000000003</v>
      </c>
      <c r="F59" s="24">
        <f>E59/E12</f>
        <v>6.8117821942489484E-2</v>
      </c>
      <c r="G59" s="113">
        <v>35452.620000000003</v>
      </c>
      <c r="H59" s="24">
        <f>G59/G12</f>
        <v>4.1065072038679817E-2</v>
      </c>
      <c r="I59" s="692">
        <v>35452.620000000003</v>
      </c>
      <c r="J59" s="24">
        <f>I59/I12</f>
        <v>4.6506612347598009E-2</v>
      </c>
      <c r="K59" s="692">
        <v>35452.620000000003</v>
      </c>
      <c r="L59" s="24">
        <f>K59/K12</f>
        <v>5.0849023852410462E-2</v>
      </c>
      <c r="M59" s="33">
        <v>35452.620000000003</v>
      </c>
      <c r="N59" s="24">
        <f>M59/M12</f>
        <v>3.5860028450231549E-2</v>
      </c>
      <c r="O59" s="705">
        <v>35452.620000000003</v>
      </c>
      <c r="P59" s="24">
        <f>O59/O12</f>
        <v>5.6641024363699589E-2</v>
      </c>
      <c r="Q59" s="113">
        <v>35452.620000000003</v>
      </c>
      <c r="R59" s="24">
        <f>Q59/Q12</f>
        <v>4.5614273680071635E-2</v>
      </c>
      <c r="S59" s="113">
        <v>35452.620000000003</v>
      </c>
      <c r="T59" s="24">
        <f>S59/S12</f>
        <v>4.5280139046572888E-2</v>
      </c>
      <c r="U59" s="113">
        <v>35452.620000000003</v>
      </c>
      <c r="V59" s="24">
        <f>U59/U12</f>
        <v>5.7084929808227908E-2</v>
      </c>
      <c r="W59" s="113">
        <v>35452.620000000003</v>
      </c>
      <c r="X59" s="24">
        <f>W59/W12</f>
        <v>5.6106349272360009E-2</v>
      </c>
      <c r="Y59" s="113">
        <v>35452.620000000003</v>
      </c>
      <c r="Z59" s="24">
        <f>Y59/Y12</f>
        <v>3.7140203580446798E-2</v>
      </c>
      <c r="AA59" s="144">
        <f>C59+E59+G59+I59+K59+M59+O59+Q59+S59+U59+W59+Y59</f>
        <v>425431.44</v>
      </c>
      <c r="AB59" s="68">
        <f>AA59/AA12</f>
        <v>4.7830706803572438E-2</v>
      </c>
      <c r="AC59" s="128">
        <f t="shared" si="22"/>
        <v>35452.620000000003</v>
      </c>
      <c r="AD59" s="68">
        <f>AC59/AC12</f>
        <v>4.7830706803572438E-2</v>
      </c>
      <c r="AE59" s="393"/>
      <c r="AF59" s="393"/>
      <c r="AG59" s="393"/>
    </row>
    <row r="60" spans="1:33" s="1" customFormat="1">
      <c r="A60" s="188">
        <v>6119</v>
      </c>
      <c r="B60" s="227" t="s">
        <v>17</v>
      </c>
      <c r="C60" s="61"/>
      <c r="D60" s="24">
        <f>C60/C12</f>
        <v>0</v>
      </c>
      <c r="E60" s="703"/>
      <c r="F60" s="24">
        <f>E60/E12</f>
        <v>0</v>
      </c>
      <c r="H60" s="24">
        <f>G60/G12</f>
        <v>0</v>
      </c>
      <c r="I60" s="61"/>
      <c r="J60" s="24">
        <f>I60/I12</f>
        <v>0</v>
      </c>
      <c r="K60" s="26">
        <v>0</v>
      </c>
      <c r="L60" s="24">
        <f>K60/K12</f>
        <v>0</v>
      </c>
      <c r="M60" s="26"/>
      <c r="N60" s="24">
        <f>M60/M12</f>
        <v>0</v>
      </c>
      <c r="O60" s="33"/>
      <c r="P60" s="24">
        <f>O60/O12</f>
        <v>0</v>
      </c>
      <c r="Q60" s="26"/>
      <c r="R60" s="24">
        <f>Q60/Q12</f>
        <v>0</v>
      </c>
      <c r="S60" s="26"/>
      <c r="T60" s="24">
        <f>S60/S12</f>
        <v>0</v>
      </c>
      <c r="U60" s="61"/>
      <c r="V60" s="24">
        <f>U60/U12</f>
        <v>0</v>
      </c>
      <c r="W60" s="61"/>
      <c r="X60" s="24">
        <f>W60/W12</f>
        <v>0</v>
      </c>
      <c r="Y60" s="61"/>
      <c r="Z60" s="24">
        <f>Y60/Y12</f>
        <v>0</v>
      </c>
      <c r="AA60" s="144">
        <f t="shared" si="21"/>
        <v>0</v>
      </c>
      <c r="AB60" s="68">
        <f>AA60/AA12</f>
        <v>0</v>
      </c>
      <c r="AC60" s="128">
        <f t="shared" si="22"/>
        <v>0</v>
      </c>
      <c r="AD60" s="68">
        <f>AC60/AC12</f>
        <v>0</v>
      </c>
      <c r="AE60" s="393"/>
      <c r="AF60" s="393"/>
      <c r="AG60" s="393"/>
    </row>
    <row r="61" spans="1:33" s="1" customFormat="1">
      <c r="A61" s="188">
        <v>6120</v>
      </c>
      <c r="B61" s="227" t="s">
        <v>18</v>
      </c>
      <c r="C61" s="61"/>
      <c r="D61" s="24">
        <f>C61/C12</f>
        <v>0</v>
      </c>
      <c r="E61" s="703"/>
      <c r="F61" s="24">
        <f>E61/E12</f>
        <v>0</v>
      </c>
      <c r="H61" s="24">
        <f>G61/G12</f>
        <v>0</v>
      </c>
      <c r="I61" s="61"/>
      <c r="J61" s="24">
        <f>I61/I12</f>
        <v>0</v>
      </c>
      <c r="K61" s="26">
        <v>0</v>
      </c>
      <c r="L61" s="24">
        <f>K61/K12</f>
        <v>0</v>
      </c>
      <c r="M61" s="26"/>
      <c r="N61" s="24">
        <f>M61/M12</f>
        <v>0</v>
      </c>
      <c r="O61" s="33"/>
      <c r="P61" s="24">
        <f>O61/O12</f>
        <v>0</v>
      </c>
      <c r="Q61" s="26"/>
      <c r="R61" s="24">
        <f>Q61/Q12</f>
        <v>0</v>
      </c>
      <c r="S61" s="26"/>
      <c r="T61" s="24">
        <f>S61/S12</f>
        <v>0</v>
      </c>
      <c r="U61" s="61"/>
      <c r="V61" s="24">
        <f>U61/U12</f>
        <v>0</v>
      </c>
      <c r="W61" s="61"/>
      <c r="X61" s="24">
        <f>W61/W12</f>
        <v>0</v>
      </c>
      <c r="Y61" s="61"/>
      <c r="Z61" s="24">
        <f>Y61/Y12</f>
        <v>0</v>
      </c>
      <c r="AA61" s="144">
        <f t="shared" si="21"/>
        <v>0</v>
      </c>
      <c r="AB61" s="68">
        <f>AA61/AA12</f>
        <v>0</v>
      </c>
      <c r="AC61" s="128">
        <f t="shared" si="22"/>
        <v>0</v>
      </c>
      <c r="AD61" s="68">
        <f>AC61/AC12</f>
        <v>0</v>
      </c>
      <c r="AE61" s="393"/>
      <c r="AF61" s="393"/>
      <c r="AG61" s="393"/>
    </row>
    <row r="62" spans="1:33" s="1" customFormat="1">
      <c r="A62" s="188">
        <v>6121</v>
      </c>
      <c r="B62" s="188" t="s">
        <v>19</v>
      </c>
      <c r="C62" s="705">
        <v>250</v>
      </c>
      <c r="D62" s="702">
        <f>C62/C12</f>
        <v>3.7370838347939277E-4</v>
      </c>
      <c r="E62" s="705">
        <v>250</v>
      </c>
      <c r="F62" s="702">
        <f>E62/E12</f>
        <v>4.8034406161300263E-4</v>
      </c>
      <c r="G62" s="705">
        <v>250</v>
      </c>
      <c r="H62" s="702">
        <f>G62/G12</f>
        <v>2.8957713166671329E-4</v>
      </c>
      <c r="I62" s="705">
        <v>250</v>
      </c>
      <c r="J62" s="702">
        <f>I62/I12</f>
        <v>3.2794905106870803E-4</v>
      </c>
      <c r="K62" s="705">
        <v>250</v>
      </c>
      <c r="L62" s="702">
        <f>K62/K12</f>
        <v>3.5857028234027876E-4</v>
      </c>
      <c r="M62" s="705">
        <v>500</v>
      </c>
      <c r="N62" s="702">
        <f>M62/M12</f>
        <v>5.0574581582731471E-4</v>
      </c>
      <c r="O62" s="705">
        <v>250</v>
      </c>
      <c r="P62" s="702">
        <f>O62/O12</f>
        <v>3.9941352968905812E-4</v>
      </c>
      <c r="Q62" s="705">
        <v>250</v>
      </c>
      <c r="R62" s="702">
        <f>Q62/Q12</f>
        <v>3.2165657770900734E-4</v>
      </c>
      <c r="S62" s="705">
        <v>500</v>
      </c>
      <c r="T62" s="702">
        <f>S62/S12</f>
        <v>6.386007444100448E-4</v>
      </c>
      <c r="U62" s="705">
        <v>250</v>
      </c>
      <c r="V62" s="702">
        <f>U62/U12</f>
        <v>4.0254380218040234E-4</v>
      </c>
      <c r="W62" s="705">
        <v>250</v>
      </c>
      <c r="X62" s="702">
        <f>W62/W12</f>
        <v>3.9564318005523997E-4</v>
      </c>
      <c r="Y62" s="705">
        <f>250+250</f>
        <v>500</v>
      </c>
      <c r="Z62" s="702">
        <f>Y62/Y12</f>
        <v>5.2380054817453261E-4</v>
      </c>
      <c r="AA62" s="144">
        <f t="shared" si="21"/>
        <v>3750</v>
      </c>
      <c r="AB62" s="702">
        <f>AA62/AA12</f>
        <v>4.216076520188462E-4</v>
      </c>
      <c r="AC62" s="128">
        <f t="shared" si="22"/>
        <v>312.5</v>
      </c>
      <c r="AD62" s="702">
        <f>AC62/AC12</f>
        <v>4.2160765201884614E-4</v>
      </c>
      <c r="AE62" s="645"/>
      <c r="AF62" s="226"/>
      <c r="AG62" s="226"/>
    </row>
    <row r="63" spans="1:33" s="1" customFormat="1">
      <c r="A63" s="188">
        <v>6122</v>
      </c>
      <c r="B63" s="227" t="s">
        <v>199</v>
      </c>
      <c r="C63" s="61">
        <v>1708.33</v>
      </c>
      <c r="D63" s="24">
        <f>C63/C12</f>
        <v>2.5536689709974038E-3</v>
      </c>
      <c r="E63" s="61">
        <v>1708.33</v>
      </c>
      <c r="F63" s="24">
        <f>E63/E12</f>
        <v>3.2823446831013632E-3</v>
      </c>
      <c r="G63" s="371">
        <v>1708.33</v>
      </c>
      <c r="H63" s="24">
        <f>G63/G12</f>
        <v>1.9787732053607853E-3</v>
      </c>
      <c r="I63" s="61">
        <v>1708.33</v>
      </c>
      <c r="J63" s="24">
        <f>I63/I12</f>
        <v>2.2409808096488242E-3</v>
      </c>
      <c r="K63" s="61">
        <v>1708.33</v>
      </c>
      <c r="L63" s="24">
        <f>K63/K12</f>
        <v>2.4502254817214738E-3</v>
      </c>
      <c r="M63" s="33">
        <v>1708.33</v>
      </c>
      <c r="N63" s="24">
        <f>M63/M12</f>
        <v>1.7279614991045531E-3</v>
      </c>
      <c r="O63" s="33">
        <v>1708.33</v>
      </c>
      <c r="P63" s="24">
        <f>O63/O12</f>
        <v>2.7293204606948346E-3</v>
      </c>
      <c r="Q63" s="61">
        <v>1708.33</v>
      </c>
      <c r="R63" s="24">
        <f>Q63/Q12</f>
        <v>2.197982325590514E-3</v>
      </c>
      <c r="S63" s="61">
        <v>1708.33</v>
      </c>
      <c r="T63" s="24">
        <f>S63/S12</f>
        <v>2.1818816193960237E-3</v>
      </c>
      <c r="U63" s="61">
        <v>1708.33</v>
      </c>
      <c r="V63" s="24">
        <f>U63/U12</f>
        <v>2.7507106143153867E-3</v>
      </c>
      <c r="W63" s="61">
        <v>1708.33</v>
      </c>
      <c r="X63" s="24">
        <f>W63/W12</f>
        <v>2.7035564551350722E-3</v>
      </c>
      <c r="Y63" s="61">
        <v>1708.33</v>
      </c>
      <c r="Z63" s="24">
        <f>Y63/Y12</f>
        <v>1.7896483809259984E-3</v>
      </c>
      <c r="AA63" s="144">
        <f t="shared" si="21"/>
        <v>20499.96</v>
      </c>
      <c r="AB63" s="68">
        <f>AA63/AA12</f>
        <v>2.3047840005547375E-3</v>
      </c>
      <c r="AC63" s="128">
        <f t="shared" si="22"/>
        <v>1708.33</v>
      </c>
      <c r="AD63" s="68">
        <f>AC63/AC12</f>
        <v>2.3047840005547375E-3</v>
      </c>
      <c r="AE63" s="393"/>
      <c r="AF63" s="393"/>
      <c r="AG63" s="393"/>
    </row>
    <row r="64" spans="1:33" s="1" customFormat="1">
      <c r="A64" s="188">
        <v>6123</v>
      </c>
      <c r="B64" s="227" t="s">
        <v>21</v>
      </c>
      <c r="C64" s="61"/>
      <c r="D64" s="24">
        <f>C64/C12</f>
        <v>0</v>
      </c>
      <c r="E64" s="703"/>
      <c r="F64" s="24">
        <f>E64/E12</f>
        <v>0</v>
      </c>
      <c r="H64" s="24">
        <f>G64/G12</f>
        <v>0</v>
      </c>
      <c r="I64" s="61"/>
      <c r="J64" s="24">
        <f>I64/I12</f>
        <v>0</v>
      </c>
      <c r="K64" s="26">
        <v>0</v>
      </c>
      <c r="L64" s="24">
        <f>K64/K12</f>
        <v>0</v>
      </c>
      <c r="M64" s="420"/>
      <c r="N64" s="24">
        <f>M64/M12</f>
        <v>0</v>
      </c>
      <c r="O64" s="33"/>
      <c r="P64" s="24">
        <f>O64/O12</f>
        <v>0</v>
      </c>
      <c r="Q64" s="26"/>
      <c r="R64" s="24">
        <f>Q64/Q12</f>
        <v>0</v>
      </c>
      <c r="S64" s="26"/>
      <c r="T64" s="24">
        <f>S64/S12</f>
        <v>0</v>
      </c>
      <c r="U64" s="61"/>
      <c r="V64" s="24">
        <f>U64/U12</f>
        <v>0</v>
      </c>
      <c r="W64" s="61"/>
      <c r="X64" s="24">
        <f>W64/W12</f>
        <v>0</v>
      </c>
      <c r="Y64" s="61"/>
      <c r="Z64" s="24">
        <f>Y64/Y12</f>
        <v>0</v>
      </c>
      <c r="AA64" s="144">
        <f t="shared" si="21"/>
        <v>0</v>
      </c>
      <c r="AB64" s="68">
        <f>AA64/AA12</f>
        <v>0</v>
      </c>
      <c r="AC64" s="128">
        <f t="shared" si="22"/>
        <v>0</v>
      </c>
      <c r="AD64" s="68">
        <f>AC64/AC12</f>
        <v>0</v>
      </c>
      <c r="AE64" s="393"/>
      <c r="AF64" s="393"/>
      <c r="AG64" s="393"/>
    </row>
    <row r="65" spans="1:33" s="1" customFormat="1">
      <c r="A65" s="188">
        <v>6124</v>
      </c>
      <c r="B65" s="227" t="s">
        <v>22</v>
      </c>
      <c r="C65" s="61">
        <v>10000</v>
      </c>
      <c r="D65" s="24">
        <f>C65/C12</f>
        <v>1.494833533917571E-2</v>
      </c>
      <c r="E65" s="61">
        <v>10000</v>
      </c>
      <c r="F65" s="24">
        <f>E65/E12</f>
        <v>1.9213762464520105E-2</v>
      </c>
      <c r="G65" s="61">
        <v>10000</v>
      </c>
      <c r="H65" s="24">
        <f>G65/G12</f>
        <v>1.1583085266668533E-2</v>
      </c>
      <c r="I65" s="61">
        <v>10000</v>
      </c>
      <c r="J65" s="24">
        <f>I65/I12</f>
        <v>1.3117962042748323E-2</v>
      </c>
      <c r="K65" s="61">
        <v>10000</v>
      </c>
      <c r="L65" s="24">
        <f>K65/K12</f>
        <v>1.4342811293611151E-2</v>
      </c>
      <c r="M65" s="61">
        <v>10000</v>
      </c>
      <c r="N65" s="24">
        <f>M65/M12</f>
        <v>1.0114916316546294E-2</v>
      </c>
      <c r="O65" s="61">
        <v>10000</v>
      </c>
      <c r="P65" s="24">
        <f>O65/O12</f>
        <v>1.5976541187562324E-2</v>
      </c>
      <c r="Q65" s="61">
        <v>10000</v>
      </c>
      <c r="R65" s="24">
        <f>Q65/Q12</f>
        <v>1.2866263108360294E-2</v>
      </c>
      <c r="S65" s="61">
        <v>10000</v>
      </c>
      <c r="T65" s="24">
        <f>S65/S12</f>
        <v>1.2772014888200896E-2</v>
      </c>
      <c r="U65" s="61">
        <v>10000</v>
      </c>
      <c r="V65" s="24">
        <f>U65/U12</f>
        <v>1.6101752087216096E-2</v>
      </c>
      <c r="W65" s="61">
        <v>10000</v>
      </c>
      <c r="X65" s="24">
        <f>W65/W12</f>
        <v>1.5825727202209598E-2</v>
      </c>
      <c r="Y65" s="61">
        <v>10000</v>
      </c>
      <c r="Z65" s="24">
        <f>Y65/Y12</f>
        <v>1.0476010963490651E-2</v>
      </c>
      <c r="AA65" s="144">
        <f t="shared" si="21"/>
        <v>120000</v>
      </c>
      <c r="AB65" s="68">
        <f>AA65/AA12</f>
        <v>1.3491444864603078E-2</v>
      </c>
      <c r="AC65" s="128">
        <f t="shared" si="22"/>
        <v>10000</v>
      </c>
      <c r="AD65" s="68">
        <f>AC65/AC12</f>
        <v>1.3491444864603077E-2</v>
      </c>
      <c r="AE65" s="393"/>
      <c r="AF65" s="393"/>
      <c r="AG65" s="393"/>
    </row>
    <row r="66" spans="1:33" s="1" customFormat="1">
      <c r="A66" s="188">
        <v>6125</v>
      </c>
      <c r="B66" s="227" t="s">
        <v>78</v>
      </c>
      <c r="C66" s="705">
        <v>423.01184433164127</v>
      </c>
      <c r="D66" s="702">
        <f>C66/C12</f>
        <v>6.3233229015125674E-4</v>
      </c>
      <c r="E66" s="705">
        <v>423.01184433164127</v>
      </c>
      <c r="F66" s="702">
        <f>E66/E12</f>
        <v>8.1276490966667109E-4</v>
      </c>
      <c r="G66" s="705">
        <v>423.01184433164127</v>
      </c>
      <c r="H66" s="702">
        <f>G66/G12</f>
        <v>4.8997822617041168E-4</v>
      </c>
      <c r="I66" s="705">
        <v>423.01184433164127</v>
      </c>
      <c r="J66" s="702">
        <f>I66/I12</f>
        <v>5.5490533175754327E-4</v>
      </c>
      <c r="K66" s="705">
        <v>423.01184433164127</v>
      </c>
      <c r="L66" s="702">
        <f>K66/K12</f>
        <v>6.0671790582111462E-4</v>
      </c>
      <c r="M66" s="705">
        <v>423.01184433164127</v>
      </c>
      <c r="N66" s="702">
        <f>M66/M12</f>
        <v>4.2787294063224596E-4</v>
      </c>
      <c r="O66" s="705">
        <v>423.01184433164127</v>
      </c>
      <c r="P66" s="702">
        <f>O66/O12</f>
        <v>6.7582661537911694E-4</v>
      </c>
      <c r="Q66" s="705">
        <v>423.01184433164127</v>
      </c>
      <c r="R66" s="702">
        <f>Q66/Q12</f>
        <v>5.4425816871236433E-4</v>
      </c>
      <c r="S66" s="705">
        <v>423.01184433164127</v>
      </c>
      <c r="T66" s="702">
        <f>S66/S12</f>
        <v>5.4027135736890426E-4</v>
      </c>
      <c r="U66" s="705">
        <v>423.01184433164127</v>
      </c>
      <c r="V66" s="702">
        <f>U66/U12</f>
        <v>6.8112318473841343E-4</v>
      </c>
      <c r="W66" s="705">
        <v>423.01184433164127</v>
      </c>
      <c r="X66" s="702">
        <f>W66/W12</f>
        <v>6.6944700516961071E-4</v>
      </c>
      <c r="Y66" s="705">
        <v>423.01184433164127</v>
      </c>
      <c r="Z66" s="702">
        <f>Y66/Y12</f>
        <v>4.4314767189046749E-4</v>
      </c>
      <c r="AA66" s="144">
        <f t="shared" si="21"/>
        <v>5076.1421319796964</v>
      </c>
      <c r="AB66" s="68">
        <f>AA66/AA12</f>
        <v>5.7070409748744E-4</v>
      </c>
      <c r="AC66" s="128">
        <f t="shared" si="22"/>
        <v>423.01184433164138</v>
      </c>
      <c r="AD66" s="68">
        <f>AC66/AC12</f>
        <v>5.7070409748743989E-4</v>
      </c>
      <c r="AE66" s="658" t="s">
        <v>295</v>
      </c>
      <c r="AF66" s="393" t="s">
        <v>296</v>
      </c>
      <c r="AG66" s="393"/>
    </row>
    <row r="67" spans="1:33" s="1" customFormat="1">
      <c r="A67" s="188">
        <v>6126</v>
      </c>
      <c r="B67" s="227" t="s">
        <v>116</v>
      </c>
      <c r="C67" s="26"/>
      <c r="D67" s="24"/>
      <c r="E67" s="26"/>
      <c r="F67" s="24"/>
      <c r="G67" s="26"/>
      <c r="H67" s="24"/>
      <c r="I67" s="26"/>
      <c r="J67" s="24"/>
      <c r="K67" s="26"/>
      <c r="L67" s="24"/>
      <c r="M67" s="26"/>
      <c r="N67" s="24"/>
      <c r="O67" s="26"/>
      <c r="P67" s="24"/>
      <c r="Q67" s="26"/>
      <c r="R67" s="24"/>
      <c r="S67" s="26"/>
      <c r="T67" s="24"/>
      <c r="U67" s="26"/>
      <c r="V67" s="24"/>
      <c r="W67" s="26"/>
      <c r="X67" s="24"/>
      <c r="Y67" s="26"/>
      <c r="Z67" s="24"/>
      <c r="AA67" s="144">
        <f t="shared" si="21"/>
        <v>0</v>
      </c>
      <c r="AB67" s="68"/>
      <c r="AC67" s="128">
        <f t="shared" si="22"/>
        <v>0</v>
      </c>
      <c r="AD67" s="68"/>
      <c r="AE67" s="393"/>
      <c r="AF67" s="393"/>
      <c r="AG67" s="393"/>
    </row>
    <row r="68" spans="1:33" s="1" customFormat="1">
      <c r="A68" s="188">
        <v>6127</v>
      </c>
      <c r="B68" s="188" t="s">
        <v>76</v>
      </c>
      <c r="C68" s="705">
        <v>382</v>
      </c>
      <c r="D68" s="702">
        <f>C68/C$12</f>
        <v>5.7102640995651207E-4</v>
      </c>
      <c r="E68" s="705">
        <v>382</v>
      </c>
      <c r="F68" s="702">
        <f>E68/E$12</f>
        <v>7.3396572614466799E-4</v>
      </c>
      <c r="G68" s="705">
        <v>382</v>
      </c>
      <c r="H68" s="702">
        <f>G68/G$12</f>
        <v>4.4247385718673796E-4</v>
      </c>
      <c r="I68" s="705">
        <v>382</v>
      </c>
      <c r="J68" s="702">
        <f>I68/I$12</f>
        <v>5.011061500329859E-4</v>
      </c>
      <c r="K68" s="705">
        <v>382</v>
      </c>
      <c r="L68" s="702">
        <f>K68/K$12</f>
        <v>5.4789539141594595E-4</v>
      </c>
      <c r="M68" s="705">
        <v>382</v>
      </c>
      <c r="N68" s="702">
        <f>M68/M$12</f>
        <v>3.8638980329206845E-4</v>
      </c>
      <c r="O68" s="705">
        <v>382</v>
      </c>
      <c r="P68" s="702">
        <f>O68/O$12</f>
        <v>6.1030387336488082E-4</v>
      </c>
      <c r="Q68" s="705">
        <v>382</v>
      </c>
      <c r="R68" s="702">
        <f>Q68/Q$12</f>
        <v>4.9149125073936323E-4</v>
      </c>
      <c r="S68" s="705">
        <v>382</v>
      </c>
      <c r="T68" s="702">
        <f>S68/S$12</f>
        <v>4.8789096872927425E-4</v>
      </c>
      <c r="U68" s="705">
        <v>382</v>
      </c>
      <c r="V68" s="702">
        <f>U68/U$12</f>
        <v>6.1508692973165477E-4</v>
      </c>
      <c r="W68" s="705">
        <v>382</v>
      </c>
      <c r="X68" s="702">
        <f>W68/W$12</f>
        <v>6.0454277912440671E-4</v>
      </c>
      <c r="Y68" s="705">
        <v>382</v>
      </c>
      <c r="Z68" s="702">
        <f>Y68/Y$12</f>
        <v>4.0018361880534288E-4</v>
      </c>
      <c r="AA68" s="144">
        <f t="shared" si="21"/>
        <v>4584</v>
      </c>
      <c r="AB68" s="702">
        <f>AA68/AA12</f>
        <v>5.1537319382783753E-4</v>
      </c>
      <c r="AC68" s="128">
        <f t="shared" si="22"/>
        <v>382</v>
      </c>
      <c r="AD68" s="702">
        <f>AC68/AC12</f>
        <v>5.1537319382783753E-4</v>
      </c>
      <c r="AE68" s="645"/>
      <c r="AF68" s="226"/>
      <c r="AG68" s="226"/>
    </row>
    <row r="69" spans="1:33" s="1" customFormat="1">
      <c r="A69" s="188">
        <v>6128</v>
      </c>
      <c r="B69" s="188" t="s">
        <v>232</v>
      </c>
      <c r="C69" s="678">
        <v>0</v>
      </c>
      <c r="D69" s="684">
        <f>C69/C$12</f>
        <v>0</v>
      </c>
      <c r="E69" s="678">
        <v>0</v>
      </c>
      <c r="F69" s="684">
        <f>E69/E$12</f>
        <v>0</v>
      </c>
      <c r="G69" s="678">
        <v>0</v>
      </c>
      <c r="H69" s="684">
        <f>G69/G$12</f>
        <v>0</v>
      </c>
      <c r="I69" s="678">
        <v>0</v>
      </c>
      <c r="J69" s="684">
        <f>I69/I$12</f>
        <v>0</v>
      </c>
      <c r="K69" s="678">
        <v>0</v>
      </c>
      <c r="L69" s="684">
        <f>K69/K$12</f>
        <v>0</v>
      </c>
      <c r="M69" s="678">
        <v>0</v>
      </c>
      <c r="N69" s="684">
        <f>M69/M$12</f>
        <v>0</v>
      </c>
      <c r="O69" s="678">
        <v>0</v>
      </c>
      <c r="P69" s="684">
        <f>O69/O$12</f>
        <v>0</v>
      </c>
      <c r="Q69" s="678">
        <v>0</v>
      </c>
      <c r="R69" s="684">
        <f>Q69/Q$12</f>
        <v>0</v>
      </c>
      <c r="S69" s="678">
        <v>0</v>
      </c>
      <c r="T69" s="684">
        <f>S69/S$12</f>
        <v>0</v>
      </c>
      <c r="U69" s="678">
        <v>0</v>
      </c>
      <c r="V69" s="684">
        <f>U69/U$12</f>
        <v>0</v>
      </c>
      <c r="W69" s="678">
        <v>0</v>
      </c>
      <c r="X69" s="684">
        <f>W69/W$12</f>
        <v>0</v>
      </c>
      <c r="Y69" s="678">
        <v>0</v>
      </c>
      <c r="Z69" s="684">
        <f>Y69/Y$12</f>
        <v>0</v>
      </c>
      <c r="AA69" s="144">
        <f t="shared" si="21"/>
        <v>0</v>
      </c>
      <c r="AB69" s="68"/>
      <c r="AC69" s="128">
        <f t="shared" si="22"/>
        <v>0</v>
      </c>
      <c r="AD69" s="68"/>
      <c r="AE69" s="393"/>
      <c r="AF69" s="393"/>
      <c r="AG69" s="393"/>
    </row>
    <row r="70" spans="1:33" s="1" customFormat="1">
      <c r="A70" s="188">
        <v>6131</v>
      </c>
      <c r="B70" s="188" t="s">
        <v>314</v>
      </c>
      <c r="C70" s="768">
        <v>676.8189509306261</v>
      </c>
      <c r="D70" s="702">
        <f t="shared" ref="D70:D75" si="24">C70/C$12</f>
        <v>1.0117316642420109E-3</v>
      </c>
      <c r="E70" s="768">
        <v>676.8189509306261</v>
      </c>
      <c r="F70" s="702">
        <f t="shared" ref="F70:F75" si="25">E70/E$12</f>
        <v>1.3004238554666738E-3</v>
      </c>
      <c r="G70" s="768">
        <v>676.8189509306261</v>
      </c>
      <c r="H70" s="702">
        <f t="shared" ref="H70:H75" si="26">G70/G$12</f>
        <v>7.839651618726588E-4</v>
      </c>
      <c r="I70" s="768">
        <v>676.8189509306261</v>
      </c>
      <c r="J70" s="702">
        <f t="shared" ref="J70:J75" si="27">I70/I$12</f>
        <v>8.8784853081206921E-4</v>
      </c>
      <c r="K70" s="768">
        <v>676.8189509306261</v>
      </c>
      <c r="L70" s="702">
        <f t="shared" ref="L70:L75" si="28">K70/K$12</f>
        <v>9.7074864931378352E-4</v>
      </c>
      <c r="M70" s="768">
        <v>676.8189509306261</v>
      </c>
      <c r="N70" s="702">
        <f t="shared" ref="N70:N75" si="29">M70/M$12</f>
        <v>6.8459670501159358E-4</v>
      </c>
      <c r="O70" s="768">
        <v>676.8189509306261</v>
      </c>
      <c r="P70" s="702">
        <f t="shared" ref="P70:P75" si="30">O70/O$12</f>
        <v>1.0813225846065873E-3</v>
      </c>
      <c r="Q70" s="768">
        <v>676.8189509306261</v>
      </c>
      <c r="R70" s="702">
        <f t="shared" ref="R70:R75" si="31">Q70/Q$12</f>
        <v>8.7081306993978304E-4</v>
      </c>
      <c r="S70" s="768">
        <v>676.8189509306261</v>
      </c>
      <c r="T70" s="702">
        <f t="shared" ref="T70:T75" si="32">S70/S$12</f>
        <v>8.6443417179024693E-4</v>
      </c>
      <c r="U70" s="768">
        <v>676.8189509306261</v>
      </c>
      <c r="V70" s="702">
        <f t="shared" ref="V70:V75" si="33">U70/U$12</f>
        <v>1.0897970955814616E-3</v>
      </c>
      <c r="W70" s="768">
        <v>676.8189509306261</v>
      </c>
      <c r="X70" s="702">
        <f t="shared" ref="X70:X75" si="34">W70/W$12</f>
        <v>1.0711152082713772E-3</v>
      </c>
      <c r="Y70" s="768">
        <v>676.8189509306261</v>
      </c>
      <c r="Z70" s="702">
        <f t="shared" ref="Z70:Z75" si="35">Y70/Y$12</f>
        <v>7.09036275024748E-4</v>
      </c>
      <c r="AA70" s="144">
        <f t="shared" si="21"/>
        <v>8121.8274111675119</v>
      </c>
      <c r="AB70" s="702">
        <f t="shared" ref="AB70:AB74" si="36">AA70/AA$12</f>
        <v>9.1312655597990361E-4</v>
      </c>
      <c r="AC70" s="128">
        <f t="shared" si="22"/>
        <v>676.81895093062599</v>
      </c>
      <c r="AD70" s="702">
        <f t="shared" ref="AD70:AD74" si="37">AC70/AC$12</f>
        <v>9.1312655597990361E-4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766">
        <v>46.531302876480538</v>
      </c>
      <c r="D71" s="702">
        <f t="shared" si="24"/>
        <v>6.9556551916638242E-5</v>
      </c>
      <c r="E71" s="766">
        <v>46.531302876480538</v>
      </c>
      <c r="F71" s="702">
        <f t="shared" si="25"/>
        <v>8.9404140063333815E-5</v>
      </c>
      <c r="G71" s="766">
        <v>46.531302876480538</v>
      </c>
      <c r="H71" s="702">
        <f t="shared" si="26"/>
        <v>5.3897604878745279E-5</v>
      </c>
      <c r="I71" s="766">
        <v>46.531302876480538</v>
      </c>
      <c r="J71" s="702">
        <f t="shared" si="27"/>
        <v>6.1039586493329755E-5</v>
      </c>
      <c r="K71" s="766">
        <v>46.531302876480538</v>
      </c>
      <c r="L71" s="702">
        <f t="shared" si="28"/>
        <v>6.6738969640322608E-5</v>
      </c>
      <c r="M71" s="766">
        <v>46.531302876480538</v>
      </c>
      <c r="N71" s="702">
        <f t="shared" si="29"/>
        <v>4.7066023469547052E-5</v>
      </c>
      <c r="O71" s="766">
        <v>46.531302876480538</v>
      </c>
      <c r="P71" s="702">
        <f t="shared" si="30"/>
        <v>7.4340927691702858E-5</v>
      </c>
      <c r="Q71" s="766">
        <v>46.531302876480538</v>
      </c>
      <c r="R71" s="702">
        <f t="shared" si="31"/>
        <v>5.9868398558360079E-5</v>
      </c>
      <c r="S71" s="766">
        <v>46.531302876480538</v>
      </c>
      <c r="T71" s="702">
        <f t="shared" si="32"/>
        <v>5.9429849310579469E-5</v>
      </c>
      <c r="U71" s="766">
        <v>46.531302876480538</v>
      </c>
      <c r="V71" s="702">
        <f t="shared" si="33"/>
        <v>7.492355032122548E-5</v>
      </c>
      <c r="W71" s="766">
        <v>46.531302876480538</v>
      </c>
      <c r="X71" s="702">
        <f t="shared" si="34"/>
        <v>7.3639170568657184E-5</v>
      </c>
      <c r="Y71" s="766">
        <v>46.531302876480538</v>
      </c>
      <c r="Z71" s="702">
        <f t="shared" si="35"/>
        <v>4.8746243907951423E-5</v>
      </c>
      <c r="AA71" s="144">
        <f t="shared" si="21"/>
        <v>558.37563451776646</v>
      </c>
      <c r="AB71" s="702">
        <f t="shared" si="36"/>
        <v>6.277745072361838E-5</v>
      </c>
      <c r="AC71" s="128">
        <f t="shared" si="22"/>
        <v>46.531302876480538</v>
      </c>
      <c r="AD71" s="702">
        <f t="shared" si="37"/>
        <v>6.277745072361838E-5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24"/>
        <v>1.4948335339175711E-4</v>
      </c>
      <c r="E72" s="676">
        <v>100</v>
      </c>
      <c r="F72" s="702">
        <f t="shared" si="25"/>
        <v>1.9213762464520106E-4</v>
      </c>
      <c r="G72" s="676">
        <v>100</v>
      </c>
      <c r="H72" s="702">
        <f t="shared" si="26"/>
        <v>1.1583085266668533E-4</v>
      </c>
      <c r="I72" s="676">
        <v>100</v>
      </c>
      <c r="J72" s="702">
        <f t="shared" si="27"/>
        <v>1.3117962042748322E-4</v>
      </c>
      <c r="K72" s="676">
        <v>100</v>
      </c>
      <c r="L72" s="702">
        <f t="shared" si="28"/>
        <v>1.4342811293611152E-4</v>
      </c>
      <c r="M72" s="676">
        <v>100</v>
      </c>
      <c r="N72" s="702">
        <f t="shared" si="29"/>
        <v>1.0114916316546294E-4</v>
      </c>
      <c r="O72" s="676">
        <v>100</v>
      </c>
      <c r="P72" s="702">
        <f t="shared" si="30"/>
        <v>1.5976541187562326E-4</v>
      </c>
      <c r="Q72" s="676">
        <v>100</v>
      </c>
      <c r="R72" s="702">
        <f t="shared" si="31"/>
        <v>1.2866263108360295E-4</v>
      </c>
      <c r="S72" s="676">
        <v>100</v>
      </c>
      <c r="T72" s="702">
        <f t="shared" si="32"/>
        <v>1.2772014888200897E-4</v>
      </c>
      <c r="U72" s="676">
        <v>100</v>
      </c>
      <c r="V72" s="702">
        <f t="shared" si="33"/>
        <v>1.6101752087216095E-4</v>
      </c>
      <c r="W72" s="676">
        <v>100</v>
      </c>
      <c r="X72" s="702">
        <f t="shared" si="34"/>
        <v>1.5825727202209598E-4</v>
      </c>
      <c r="Y72" s="676">
        <v>100</v>
      </c>
      <c r="Z72" s="702">
        <f t="shared" si="35"/>
        <v>1.0476010963490652E-4</v>
      </c>
      <c r="AA72" s="144">
        <f t="shared" si="21"/>
        <v>1200</v>
      </c>
      <c r="AB72" s="702">
        <f t="shared" si="36"/>
        <v>1.3491444864603078E-4</v>
      </c>
      <c r="AC72" s="128">
        <f t="shared" si="22"/>
        <v>100</v>
      </c>
      <c r="AD72" s="702">
        <f t="shared" si="37"/>
        <v>1.3491444864603078E-4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766">
        <v>118.44331641285957</v>
      </c>
      <c r="D73" s="702">
        <f t="shared" si="24"/>
        <v>1.7705304124235191E-4</v>
      </c>
      <c r="E73" s="766">
        <v>118.44331641285957</v>
      </c>
      <c r="F73" s="702">
        <f t="shared" si="25"/>
        <v>2.2757417470666794E-4</v>
      </c>
      <c r="G73" s="766">
        <v>118.44331641285957</v>
      </c>
      <c r="H73" s="702">
        <f t="shared" si="26"/>
        <v>1.3719390332771528E-4</v>
      </c>
      <c r="I73" s="766">
        <v>118.44331641285957</v>
      </c>
      <c r="J73" s="702">
        <f t="shared" si="27"/>
        <v>1.5537349289211213E-4</v>
      </c>
      <c r="K73" s="766">
        <v>118.44331641285957</v>
      </c>
      <c r="L73" s="702">
        <f t="shared" si="28"/>
        <v>1.6988101362991212E-4</v>
      </c>
      <c r="M73" s="766">
        <v>118.44331641285957</v>
      </c>
      <c r="N73" s="702">
        <f t="shared" si="29"/>
        <v>1.1980442337702888E-4</v>
      </c>
      <c r="O73" s="766">
        <v>118.44331641285957</v>
      </c>
      <c r="P73" s="702">
        <f t="shared" si="30"/>
        <v>1.8923145230615278E-4</v>
      </c>
      <c r="Q73" s="766">
        <v>118.44331641285957</v>
      </c>
      <c r="R73" s="702">
        <f t="shared" si="31"/>
        <v>1.5239228723946203E-4</v>
      </c>
      <c r="S73" s="766">
        <v>118.44331641285957</v>
      </c>
      <c r="T73" s="702">
        <f t="shared" si="32"/>
        <v>1.5127598006329322E-4</v>
      </c>
      <c r="U73" s="766">
        <v>118.44331641285957</v>
      </c>
      <c r="V73" s="702">
        <f t="shared" si="33"/>
        <v>1.9071449172675578E-4</v>
      </c>
      <c r="W73" s="766">
        <v>118.44331641285957</v>
      </c>
      <c r="X73" s="702">
        <f t="shared" si="34"/>
        <v>1.8744516144749104E-4</v>
      </c>
      <c r="Y73" s="766">
        <v>118.44331641285957</v>
      </c>
      <c r="Z73" s="702">
        <f t="shared" si="35"/>
        <v>1.2408134812933093E-4</v>
      </c>
      <c r="AA73" s="144">
        <f t="shared" si="21"/>
        <v>1421.3197969543146</v>
      </c>
      <c r="AB73" s="702">
        <f t="shared" si="36"/>
        <v>1.5979714729648313E-4</v>
      </c>
      <c r="AC73" s="128">
        <f t="shared" si="22"/>
        <v>118.44331641285955</v>
      </c>
      <c r="AD73" s="702">
        <f t="shared" si="37"/>
        <v>1.5979714729648313E-4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766">
        <v>0</v>
      </c>
      <c r="D74" s="702">
        <f t="shared" si="24"/>
        <v>0</v>
      </c>
      <c r="E74" s="766">
        <v>0</v>
      </c>
      <c r="F74" s="702">
        <f t="shared" si="25"/>
        <v>0</v>
      </c>
      <c r="G74" s="766">
        <v>0</v>
      </c>
      <c r="H74" s="702">
        <f t="shared" si="26"/>
        <v>0</v>
      </c>
      <c r="I74" s="766">
        <v>0</v>
      </c>
      <c r="J74" s="702">
        <f t="shared" si="27"/>
        <v>0</v>
      </c>
      <c r="K74" s="766">
        <v>0</v>
      </c>
      <c r="L74" s="702">
        <f t="shared" si="28"/>
        <v>0</v>
      </c>
      <c r="M74" s="766">
        <v>0</v>
      </c>
      <c r="N74" s="702">
        <f t="shared" si="29"/>
        <v>0</v>
      </c>
      <c r="O74" s="766">
        <v>0</v>
      </c>
      <c r="P74" s="702">
        <f t="shared" si="30"/>
        <v>0</v>
      </c>
      <c r="Q74" s="766">
        <v>0</v>
      </c>
      <c r="R74" s="702">
        <f t="shared" si="31"/>
        <v>0</v>
      </c>
      <c r="S74" s="766">
        <v>0</v>
      </c>
      <c r="T74" s="702">
        <f t="shared" si="32"/>
        <v>0</v>
      </c>
      <c r="U74" s="766">
        <v>0</v>
      </c>
      <c r="V74" s="702">
        <f t="shared" si="33"/>
        <v>0</v>
      </c>
      <c r="W74" s="766">
        <v>0</v>
      </c>
      <c r="X74" s="702">
        <f t="shared" si="34"/>
        <v>0</v>
      </c>
      <c r="Y74" s="766">
        <v>0</v>
      </c>
      <c r="Z74" s="702">
        <f t="shared" si="35"/>
        <v>0</v>
      </c>
      <c r="AA74" s="144">
        <f t="shared" si="21"/>
        <v>0</v>
      </c>
      <c r="AB74" s="702">
        <f t="shared" si="36"/>
        <v>0</v>
      </c>
      <c r="AC74" s="128">
        <f t="shared" si="22"/>
        <v>0</v>
      </c>
      <c r="AD74" s="702">
        <f t="shared" si="37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766">
        <v>155</v>
      </c>
      <c r="D75" s="702">
        <f t="shared" si="24"/>
        <v>2.316991977572235E-4</v>
      </c>
      <c r="E75" s="766">
        <v>155</v>
      </c>
      <c r="F75" s="702">
        <f t="shared" si="25"/>
        <v>2.9781331820006164E-4</v>
      </c>
      <c r="G75" s="766">
        <v>155</v>
      </c>
      <c r="H75" s="702">
        <f t="shared" si="26"/>
        <v>1.7953782163336224E-4</v>
      </c>
      <c r="I75" s="766">
        <v>155</v>
      </c>
      <c r="J75" s="702">
        <f t="shared" si="27"/>
        <v>2.0332841166259899E-4</v>
      </c>
      <c r="K75" s="766">
        <v>155</v>
      </c>
      <c r="L75" s="702">
        <f t="shared" si="28"/>
        <v>2.2231357505097285E-4</v>
      </c>
      <c r="M75" s="766">
        <v>155</v>
      </c>
      <c r="N75" s="702">
        <f t="shared" si="29"/>
        <v>1.5678120290646755E-4</v>
      </c>
      <c r="O75" s="766">
        <v>155</v>
      </c>
      <c r="P75" s="702">
        <f t="shared" si="30"/>
        <v>2.4763638840721603E-4</v>
      </c>
      <c r="Q75" s="766">
        <v>155</v>
      </c>
      <c r="R75" s="702">
        <f t="shared" si="31"/>
        <v>1.9942707817958456E-4</v>
      </c>
      <c r="S75" s="766">
        <v>155</v>
      </c>
      <c r="T75" s="702">
        <f t="shared" si="32"/>
        <v>1.9796623076711391E-4</v>
      </c>
      <c r="U75" s="766">
        <v>155</v>
      </c>
      <c r="V75" s="702">
        <f t="shared" si="33"/>
        <v>2.4957715735184944E-4</v>
      </c>
      <c r="W75" s="766">
        <v>155</v>
      </c>
      <c r="X75" s="702">
        <f t="shared" si="34"/>
        <v>2.4529877163424876E-4</v>
      </c>
      <c r="Y75" s="766">
        <v>155</v>
      </c>
      <c r="Z75" s="702">
        <f t="shared" si="35"/>
        <v>1.6237816993410511E-4</v>
      </c>
      <c r="AA75" s="144">
        <f t="shared" ref="AA75" si="38">C75+E75+G75+I75+K75+M75+O75+Q75+S75+U75+W75+Y75</f>
        <v>1860</v>
      </c>
      <c r="AB75" s="702">
        <f t="shared" ref="AB75" si="39">AA75/AA$12</f>
        <v>2.0911739540134771E-4</v>
      </c>
      <c r="AC75" s="128">
        <f t="shared" ref="AC75" si="40">AA75/12</f>
        <v>155</v>
      </c>
      <c r="AD75" s="702">
        <f t="shared" ref="AD75" si="41">AC75/AC$12</f>
        <v>2.0911739540134769E-4</v>
      </c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116">
        <f>SUM(C42:C75)</f>
        <v>170617.24395855158</v>
      </c>
      <c r="D76" s="89">
        <f>C76/C12</f>
        <v>0.25504437773383798</v>
      </c>
      <c r="E76" s="116">
        <f>SUM(E42:E75)</f>
        <v>161377.97626255162</v>
      </c>
      <c r="F76" s="89">
        <f>E76/E12</f>
        <v>0.3100678102913631</v>
      </c>
      <c r="G76" s="116">
        <f>SUM(G42:G75)</f>
        <v>183410.02271777645</v>
      </c>
      <c r="H76" s="89">
        <f>G76/G12</f>
        <v>0.21244539319016173</v>
      </c>
      <c r="I76" s="116">
        <f>SUM(I42:I75)</f>
        <v>177388.48991862108</v>
      </c>
      <c r="J76" s="89">
        <f>I76/I12</f>
        <v>0.23269754775729148</v>
      </c>
      <c r="K76" s="116">
        <f>SUM(K42:K75)</f>
        <v>174346.08058445234</v>
      </c>
      <c r="L76" s="89">
        <f>K76/K12</f>
        <v>0.25006129336035227</v>
      </c>
      <c r="M76" s="45">
        <f>SUM(M42:M75)</f>
        <v>192724.58437369281</v>
      </c>
      <c r="N76" s="89">
        <f>M76/M12</f>
        <v>0.19493930430810683</v>
      </c>
      <c r="O76" s="45">
        <f>SUM(O42:O75)</f>
        <v>169747.45023015398</v>
      </c>
      <c r="P76" s="89">
        <f>O76/O12</f>
        <v>0.27119771300857409</v>
      </c>
      <c r="Q76" s="116">
        <f>SUM(Q42:Q75)</f>
        <v>178291.41589223899</v>
      </c>
      <c r="R76" s="89">
        <f>Q76/Q12</f>
        <v>0.22939442668316368</v>
      </c>
      <c r="S76" s="116">
        <f>SUM(S42:S75)</f>
        <v>178942.12287539456</v>
      </c>
      <c r="T76" s="89">
        <f>S76/S12</f>
        <v>0.22854514574908136</v>
      </c>
      <c r="U76" s="116">
        <f>SUM(U42:U75)</f>
        <v>163976.36202364526</v>
      </c>
      <c r="V76" s="89">
        <f>U76/U12</f>
        <v>0.26403067294683319</v>
      </c>
      <c r="W76" s="116">
        <f>SUM(W42:W75)</f>
        <v>164652.28314307891</v>
      </c>
      <c r="X76" s="89">
        <f>W76/W12</f>
        <v>0.26057421162433408</v>
      </c>
      <c r="Y76" s="116">
        <f>SUM(Y42:Y75)</f>
        <v>185037.47243664393</v>
      </c>
      <c r="Z76" s="89">
        <f>Y76/Y12</f>
        <v>0.1938454589902881</v>
      </c>
      <c r="AA76" s="148">
        <f>SUM(AA42:AA75)</f>
        <v>2100511.5044168015</v>
      </c>
      <c r="AB76" s="89">
        <f>AA76/AA12</f>
        <v>0.23615779291086453</v>
      </c>
      <c r="AC76" s="132">
        <f>AA76/12</f>
        <v>175042.6253680668</v>
      </c>
      <c r="AD76" s="89">
        <f>AC76/AC12</f>
        <v>0.23615779291086453</v>
      </c>
      <c r="AE76" s="562"/>
      <c r="AF76" s="562"/>
      <c r="AG76" s="562"/>
    </row>
    <row r="77" spans="1:33" s="1" customFormat="1" ht="15.75" thickTop="1">
      <c r="A77" s="2">
        <v>6201</v>
      </c>
      <c r="B77" s="228" t="s">
        <v>24</v>
      </c>
      <c r="C77" s="704">
        <v>53400</v>
      </c>
      <c r="D77" s="24">
        <f>C77/C12</f>
        <v>7.9824110711198284E-2</v>
      </c>
      <c r="E77" s="704">
        <v>53400</v>
      </c>
      <c r="F77" s="24">
        <f>E77/E12</f>
        <v>0.10260149156053737</v>
      </c>
      <c r="G77" s="704">
        <v>53400</v>
      </c>
      <c r="H77" s="24">
        <f>G77/G12</f>
        <v>6.1853675324009962E-2</v>
      </c>
      <c r="I77" s="704">
        <v>53400</v>
      </c>
      <c r="J77" s="24">
        <f>I77/I12</f>
        <v>7.0049917308276047E-2</v>
      </c>
      <c r="K77" s="704">
        <v>53400</v>
      </c>
      <c r="L77" s="24">
        <f>K77/K12</f>
        <v>7.659061230788354E-2</v>
      </c>
      <c r="M77" s="704">
        <v>53400</v>
      </c>
      <c r="N77" s="24">
        <f>M77/M12</f>
        <v>5.4013653130357213E-2</v>
      </c>
      <c r="O77" s="704">
        <v>53400</v>
      </c>
      <c r="P77" s="24">
        <f>O77/O12</f>
        <v>8.5314729941582818E-2</v>
      </c>
      <c r="Q77" s="704">
        <v>53400</v>
      </c>
      <c r="R77" s="24">
        <f>Q77/Q12</f>
        <v>6.8705844998643961E-2</v>
      </c>
      <c r="S77" s="704">
        <v>53400</v>
      </c>
      <c r="T77" s="24">
        <f>S77/S12</f>
        <v>6.8202559502992796E-2</v>
      </c>
      <c r="U77" s="704">
        <v>53400</v>
      </c>
      <c r="V77" s="24">
        <f>U77/U12</f>
        <v>8.598335614573395E-2</v>
      </c>
      <c r="W77" s="704">
        <v>53400</v>
      </c>
      <c r="X77" s="24">
        <f>W77/W12</f>
        <v>8.4509383259799259E-2</v>
      </c>
      <c r="Y77" s="704">
        <v>53400</v>
      </c>
      <c r="Z77" s="24">
        <f>Y77/Y12</f>
        <v>5.5941898545040079E-2</v>
      </c>
      <c r="AA77" s="144">
        <f t="shared" ref="AA77:AA92" si="42">C77+E77+G77+I77+K77+M77+O77+Q77+S77+U77+W77+Y77</f>
        <v>640800</v>
      </c>
      <c r="AB77" s="24">
        <f>AA77/AA12</f>
        <v>7.2044315576980433E-2</v>
      </c>
      <c r="AC77" s="128">
        <f>AA77/12</f>
        <v>53400</v>
      </c>
      <c r="AD77" s="24">
        <f>AC77/AC12</f>
        <v>7.2044315576980433E-2</v>
      </c>
      <c r="AE77" s="579"/>
      <c r="AF77" s="579"/>
      <c r="AG77" s="579"/>
    </row>
    <row r="78" spans="1:33" s="1" customFormat="1">
      <c r="A78" s="2">
        <v>6202</v>
      </c>
      <c r="B78" s="228" t="s">
        <v>25</v>
      </c>
      <c r="C78" s="704">
        <v>26700</v>
      </c>
      <c r="D78" s="24">
        <f>C78/C12</f>
        <v>3.9912055355599142E-2</v>
      </c>
      <c r="E78" s="704">
        <v>26700</v>
      </c>
      <c r="F78" s="24">
        <f>E78/E12</f>
        <v>5.1300745780268685E-2</v>
      </c>
      <c r="G78" s="704">
        <v>26700</v>
      </c>
      <c r="H78" s="24">
        <f>G78/G12</f>
        <v>3.0926837662004981E-2</v>
      </c>
      <c r="I78" s="704">
        <v>26700</v>
      </c>
      <c r="J78" s="24">
        <f>I78/I12</f>
        <v>3.5024958654138023E-2</v>
      </c>
      <c r="K78" s="704">
        <v>26700</v>
      </c>
      <c r="L78" s="24">
        <f>K78/K12</f>
        <v>3.829530615394177E-2</v>
      </c>
      <c r="M78" s="704">
        <v>26700</v>
      </c>
      <c r="N78" s="24">
        <f>M78/M12</f>
        <v>2.7006826565178606E-2</v>
      </c>
      <c r="O78" s="704">
        <v>26700</v>
      </c>
      <c r="P78" s="24">
        <f>O78/O12</f>
        <v>4.2657364970791409E-2</v>
      </c>
      <c r="Q78" s="704">
        <v>26700</v>
      </c>
      <c r="R78" s="24">
        <f>Q78/Q12</f>
        <v>3.4352922499321981E-2</v>
      </c>
      <c r="S78" s="704">
        <v>26700</v>
      </c>
      <c r="T78" s="24">
        <f>S78/S12</f>
        <v>3.4101279751496398E-2</v>
      </c>
      <c r="U78" s="704">
        <v>26700</v>
      </c>
      <c r="V78" s="24">
        <f>U78/U12</f>
        <v>4.2991678072866975E-2</v>
      </c>
      <c r="W78" s="704">
        <v>26700</v>
      </c>
      <c r="X78" s="24">
        <f>W78/W12</f>
        <v>4.2254691629899629E-2</v>
      </c>
      <c r="Y78" s="704">
        <v>26700</v>
      </c>
      <c r="Z78" s="24">
        <f>Y78/Y12</f>
        <v>2.797094927252004E-2</v>
      </c>
      <c r="AA78" s="144">
        <f t="shared" si="42"/>
        <v>320400</v>
      </c>
      <c r="AB78" s="24">
        <f>AA78/AA12</f>
        <v>3.6022157788490217E-2</v>
      </c>
      <c r="AC78" s="128">
        <f t="shared" ref="AC78:AC92" si="43">AA78/12</f>
        <v>26700</v>
      </c>
      <c r="AD78" s="24">
        <f>AC78/AC12</f>
        <v>3.6022157788490217E-2</v>
      </c>
      <c r="AE78" s="579"/>
      <c r="AF78" s="579"/>
      <c r="AG78" s="579"/>
    </row>
    <row r="79" spans="1:33" s="1" customFormat="1">
      <c r="A79" s="2">
        <v>6203</v>
      </c>
      <c r="B79" s="228" t="s">
        <v>26</v>
      </c>
      <c r="C79" s="704">
        <v>8900</v>
      </c>
      <c r="D79" s="24">
        <f>C79/C12</f>
        <v>1.3304018451866382E-2</v>
      </c>
      <c r="E79" s="704">
        <v>8900</v>
      </c>
      <c r="F79" s="24">
        <f>E79/E12</f>
        <v>1.7100248593422893E-2</v>
      </c>
      <c r="G79" s="704">
        <v>8900</v>
      </c>
      <c r="H79" s="24">
        <f>G79/G12</f>
        <v>1.0308945887334994E-2</v>
      </c>
      <c r="I79" s="704">
        <v>8900</v>
      </c>
      <c r="J79" s="24">
        <f>I79/I12</f>
        <v>1.1674986218046007E-2</v>
      </c>
      <c r="K79" s="704">
        <v>8900</v>
      </c>
      <c r="L79" s="24">
        <f>K79/K12</f>
        <v>1.2765102051313924E-2</v>
      </c>
      <c r="M79" s="704">
        <v>8900</v>
      </c>
      <c r="N79" s="24">
        <f>M79/M12</f>
        <v>9.0022755217262027E-3</v>
      </c>
      <c r="O79" s="704">
        <v>8900</v>
      </c>
      <c r="P79" s="24">
        <f>O79/O12</f>
        <v>1.421912165693047E-2</v>
      </c>
      <c r="Q79" s="704">
        <v>8900</v>
      </c>
      <c r="R79" s="24">
        <f>Q79/Q12</f>
        <v>1.1450974166440661E-2</v>
      </c>
      <c r="S79" s="704">
        <v>8900</v>
      </c>
      <c r="T79" s="24">
        <f>S79/S12</f>
        <v>1.1367093250498799E-2</v>
      </c>
      <c r="U79" s="704">
        <v>8900</v>
      </c>
      <c r="V79" s="24">
        <f>U79/U12</f>
        <v>1.4330559357622324E-2</v>
      </c>
      <c r="W79" s="704">
        <v>8900</v>
      </c>
      <c r="X79" s="24">
        <f>W79/W12</f>
        <v>1.4084897209966543E-2</v>
      </c>
      <c r="Y79" s="704">
        <v>8900</v>
      </c>
      <c r="Z79" s="24">
        <f>Y79/Y12</f>
        <v>9.3236497575066805E-3</v>
      </c>
      <c r="AA79" s="144">
        <f t="shared" si="42"/>
        <v>106800</v>
      </c>
      <c r="AB79" s="24">
        <f>AA79/AA12</f>
        <v>1.2007385929496739E-2</v>
      </c>
      <c r="AC79" s="128">
        <f t="shared" si="43"/>
        <v>8900</v>
      </c>
      <c r="AD79" s="24">
        <f>AC79/AC12</f>
        <v>1.2007385929496739E-2</v>
      </c>
      <c r="AE79" s="579"/>
      <c r="AF79" s="579"/>
      <c r="AG79" s="579"/>
    </row>
    <row r="80" spans="1:33" s="1" customFormat="1">
      <c r="A80" s="2">
        <v>6204</v>
      </c>
      <c r="B80" s="228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24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42"/>
        <v>0</v>
      </c>
      <c r="AB80" s="24">
        <f>AA80/AA12</f>
        <v>0</v>
      </c>
      <c r="AC80" s="128">
        <f t="shared" si="43"/>
        <v>0</v>
      </c>
      <c r="AD80" s="24">
        <f>AC80/AC12</f>
        <v>0</v>
      </c>
      <c r="AE80" s="579"/>
      <c r="AF80" s="579"/>
      <c r="AG80" s="579"/>
    </row>
    <row r="81" spans="1:33" s="1" customFormat="1">
      <c r="A81" s="2">
        <v>6205</v>
      </c>
      <c r="B81" s="228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24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42"/>
        <v>0</v>
      </c>
      <c r="AB81" s="24">
        <f>AA81/AA12</f>
        <v>0</v>
      </c>
      <c r="AC81" s="128">
        <f t="shared" si="43"/>
        <v>0</v>
      </c>
      <c r="AD81" s="24">
        <f>AC81/AC12</f>
        <v>0</v>
      </c>
      <c r="AE81" s="579"/>
      <c r="AF81" s="579"/>
      <c r="AG81" s="579"/>
    </row>
    <row r="82" spans="1:33" s="1" customFormat="1">
      <c r="A82" s="2">
        <v>6206</v>
      </c>
      <c r="B82" s="2" t="s">
        <v>217</v>
      </c>
      <c r="C82" s="61">
        <v>1484.6333333333332</v>
      </c>
      <c r="D82" s="24">
        <f>C82/C12</f>
        <v>2.2192796922384894E-3</v>
      </c>
      <c r="E82" s="61">
        <v>1484.6333333333332</v>
      </c>
      <c r="F82" s="24">
        <f>E82/E12</f>
        <v>2.8525392213575363E-3</v>
      </c>
      <c r="G82" s="61">
        <v>1484.6333333333332</v>
      </c>
      <c r="H82" s="24">
        <f>G82/G12</f>
        <v>1.7196634489738325E-3</v>
      </c>
      <c r="I82" s="61">
        <v>1484.6333333333332</v>
      </c>
      <c r="J82" s="24">
        <f>I82/I12</f>
        <v>1.9475363714065582E-3</v>
      </c>
      <c r="K82" s="61">
        <v>1484.6333333333332</v>
      </c>
      <c r="L82" s="24">
        <f>K82/K12</f>
        <v>2.1293815740204901E-3</v>
      </c>
      <c r="M82" s="61">
        <v>1484.6333333333332</v>
      </c>
      <c r="N82" s="24">
        <f>M82/M12</f>
        <v>1.5016941927421847E-3</v>
      </c>
      <c r="O82" s="61">
        <v>1484.6333333333332</v>
      </c>
      <c r="P82" s="24">
        <f>O82/O12</f>
        <v>2.3719305598427945E-3</v>
      </c>
      <c r="Q82" s="61">
        <v>1484.6333333333332</v>
      </c>
      <c r="R82" s="24">
        <f>Q82/Q12</f>
        <v>1.9101683086108635E-3</v>
      </c>
      <c r="S82" s="61">
        <v>1484.6333333333332</v>
      </c>
      <c r="T82" s="24">
        <f>S82/S12</f>
        <v>1.8961759036852657E-3</v>
      </c>
      <c r="U82" s="61">
        <v>1484.6333333333332</v>
      </c>
      <c r="V82" s="24">
        <f>U82/U12</f>
        <v>2.3905197873750586E-3</v>
      </c>
      <c r="W82" s="61">
        <v>1484.6333333333332</v>
      </c>
      <c r="X82" s="24">
        <f>W82/W12</f>
        <v>2.3495402128640443E-3</v>
      </c>
      <c r="Y82" s="61">
        <v>1484.6333333333332</v>
      </c>
      <c r="Z82" s="24">
        <f>Y82/Y12</f>
        <v>1.5553035076763669E-3</v>
      </c>
      <c r="AA82" s="144">
        <f t="shared" si="42"/>
        <v>17815.599999999999</v>
      </c>
      <c r="AB82" s="24">
        <f>AA82/AA12</f>
        <v>2.0029848760818548E-3</v>
      </c>
      <c r="AC82" s="128">
        <f t="shared" si="43"/>
        <v>1484.6333333333332</v>
      </c>
      <c r="AD82" s="24">
        <f>AC82/AC12</f>
        <v>2.0029848760818548E-3</v>
      </c>
      <c r="AE82" s="579" t="s">
        <v>269</v>
      </c>
      <c r="AF82" s="579"/>
      <c r="AG82" s="579"/>
    </row>
    <row r="83" spans="1:33" s="1" customFormat="1">
      <c r="A83" s="2">
        <v>6207</v>
      </c>
      <c r="B83" s="2" t="s">
        <v>218</v>
      </c>
      <c r="C83" s="113">
        <v>4833.333333333333</v>
      </c>
      <c r="D83" s="24">
        <f>C83/C$12</f>
        <v>7.2250287472682591E-3</v>
      </c>
      <c r="E83" s="113">
        <v>4833.333333333333</v>
      </c>
      <c r="F83" s="24">
        <f>E83/E$12</f>
        <v>9.2866518578513836E-3</v>
      </c>
      <c r="G83" s="113">
        <v>4833.333333333333</v>
      </c>
      <c r="H83" s="24">
        <f>G83/G$12</f>
        <v>5.5984912122231233E-3</v>
      </c>
      <c r="I83" s="113">
        <v>4833.333333333333</v>
      </c>
      <c r="J83" s="24">
        <f>I83/I$12</f>
        <v>6.340348320661689E-3</v>
      </c>
      <c r="K83" s="113">
        <v>4833.333333333333</v>
      </c>
      <c r="L83" s="24">
        <f>K83/K$12</f>
        <v>6.9323587919120555E-3</v>
      </c>
      <c r="M83" s="113">
        <v>4833.333333333333</v>
      </c>
      <c r="N83" s="24">
        <f>M83/M$12</f>
        <v>4.8888762196640416E-3</v>
      </c>
      <c r="O83" s="113">
        <v>4833.333333333333</v>
      </c>
      <c r="P83" s="24">
        <f>O83/O$12</f>
        <v>7.72199490732179E-3</v>
      </c>
      <c r="Q83" s="113">
        <v>4833.333333333333</v>
      </c>
      <c r="R83" s="24">
        <f>Q83/Q$12</f>
        <v>6.2186938357074745E-3</v>
      </c>
      <c r="S83" s="113">
        <v>4833.333333333333</v>
      </c>
      <c r="T83" s="24">
        <f>S83/S$12</f>
        <v>6.1731405292970998E-3</v>
      </c>
      <c r="U83" s="113">
        <v>4833.333333333333</v>
      </c>
      <c r="V83" s="24">
        <f>U83/U$12</f>
        <v>7.7825135088211116E-3</v>
      </c>
      <c r="W83" s="113">
        <v>4833.333333333333</v>
      </c>
      <c r="X83" s="24">
        <f>W83/W$12</f>
        <v>7.6491014810679721E-3</v>
      </c>
      <c r="Y83" s="113">
        <v>4833.333333333333</v>
      </c>
      <c r="Z83" s="24">
        <f>Y83/Y$12</f>
        <v>5.0634052990204811E-3</v>
      </c>
      <c r="AA83" s="144">
        <f t="shared" si="42"/>
        <v>58000.000000000007</v>
      </c>
      <c r="AB83" s="68">
        <f>AA83/AA$12</f>
        <v>6.5208650178914885E-3</v>
      </c>
      <c r="AC83" s="128">
        <f t="shared" si="43"/>
        <v>4833.3333333333339</v>
      </c>
      <c r="AD83" s="68">
        <f>AC83/AC$12</f>
        <v>6.5208650178914885E-3</v>
      </c>
      <c r="AE83" s="393"/>
      <c r="AF83" s="393"/>
      <c r="AG83" s="393"/>
    </row>
    <row r="84" spans="1:33" s="1" customFormat="1">
      <c r="A84" s="2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24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42"/>
        <v>0</v>
      </c>
      <c r="AB84" s="24">
        <f>AA84/AA12</f>
        <v>0</v>
      </c>
      <c r="AC84" s="128">
        <f t="shared" si="43"/>
        <v>0</v>
      </c>
      <c r="AD84" s="24">
        <f>AC84/AC12</f>
        <v>0</v>
      </c>
      <c r="AE84" s="579"/>
      <c r="AF84" s="579"/>
      <c r="AG84" s="579"/>
    </row>
    <row r="85" spans="1:33" s="1" customFormat="1">
      <c r="A85" s="2">
        <v>6209</v>
      </c>
      <c r="B85" s="228" t="s">
        <v>29</v>
      </c>
      <c r="C85" s="61">
        <v>6675</v>
      </c>
      <c r="D85" s="702">
        <f>C85/C12</f>
        <v>9.9780138388997856E-3</v>
      </c>
      <c r="E85" s="61">
        <v>6675</v>
      </c>
      <c r="F85" s="702">
        <f>E85/E12</f>
        <v>1.2825186445067171E-2</v>
      </c>
      <c r="G85" s="61">
        <v>6675</v>
      </c>
      <c r="H85" s="702">
        <f>G85/G12</f>
        <v>7.7317094155012452E-3</v>
      </c>
      <c r="I85" s="61">
        <v>6675</v>
      </c>
      <c r="J85" s="702">
        <f>I85/I12</f>
        <v>8.7562396635345058E-3</v>
      </c>
      <c r="K85" s="61">
        <v>6675</v>
      </c>
      <c r="L85" s="702">
        <f>K85/K12</f>
        <v>9.5738265384854426E-3</v>
      </c>
      <c r="M85" s="61">
        <v>6675</v>
      </c>
      <c r="N85" s="702">
        <f>M85/M12</f>
        <v>6.7517066412946516E-3</v>
      </c>
      <c r="O85" s="61">
        <v>6675</v>
      </c>
      <c r="P85" s="702">
        <f>O85/O12</f>
        <v>1.0664341242697852E-2</v>
      </c>
      <c r="Q85" s="61">
        <v>6675</v>
      </c>
      <c r="R85" s="677">
        <f>Q85/Q12</f>
        <v>8.5882306248304952E-3</v>
      </c>
      <c r="S85" s="61">
        <v>6675</v>
      </c>
      <c r="T85" s="677">
        <f>S85/S12</f>
        <v>8.5253199378740995E-3</v>
      </c>
      <c r="U85" s="61">
        <v>6675</v>
      </c>
      <c r="V85" s="677">
        <f>U85/U12</f>
        <v>1.0747919518216744E-2</v>
      </c>
      <c r="W85" s="61">
        <v>6675</v>
      </c>
      <c r="X85" s="677">
        <f>W85/W12</f>
        <v>1.0563672907474907E-2</v>
      </c>
      <c r="Y85" s="61">
        <v>6675</v>
      </c>
      <c r="Z85" s="677">
        <f>Y85/Y12</f>
        <v>6.9927373181300099E-3</v>
      </c>
      <c r="AA85" s="144">
        <f t="shared" si="42"/>
        <v>80100</v>
      </c>
      <c r="AB85" s="68">
        <f>AA85/AA12</f>
        <v>9.0055394471225542E-3</v>
      </c>
      <c r="AC85" s="128">
        <f t="shared" si="43"/>
        <v>6675</v>
      </c>
      <c r="AD85" s="68">
        <f>AC85/AC12</f>
        <v>9.0055394471225542E-3</v>
      </c>
      <c r="AE85" s="393"/>
      <c r="AF85" s="393"/>
      <c r="AG85" s="393"/>
    </row>
    <row r="86" spans="1:33" s="1" customFormat="1">
      <c r="A86" s="2">
        <v>6210</v>
      </c>
      <c r="B86" s="228" t="s">
        <v>30</v>
      </c>
      <c r="C86" s="61">
        <v>3072.3287671232874</v>
      </c>
      <c r="D86" s="24">
        <f>C86/C12</f>
        <v>4.5926200683155177E-3</v>
      </c>
      <c r="E86" s="61">
        <v>3072.3287671232874</v>
      </c>
      <c r="F86" s="24">
        <f>E86/E12</f>
        <v>5.9030995144418756E-3</v>
      </c>
      <c r="G86" s="61">
        <v>3072.3287671232874</v>
      </c>
      <c r="H86" s="24">
        <f>G86/G12</f>
        <v>3.5587046076827646E-3</v>
      </c>
      <c r="I86" s="61">
        <v>3072.3287671232874</v>
      </c>
      <c r="J86" s="24">
        <f>I86/I12</f>
        <v>4.0302692149967031E-3</v>
      </c>
      <c r="K86" s="61">
        <v>3072.3287671232874</v>
      </c>
      <c r="L86" s="24">
        <f>K86/K12</f>
        <v>4.4065831738782308E-3</v>
      </c>
      <c r="M86" s="61">
        <v>3072.3287671232874</v>
      </c>
      <c r="N86" s="24">
        <f>M86/M12</f>
        <v>3.1076348376369899E-3</v>
      </c>
      <c r="O86" s="61">
        <v>3072.3287671232874</v>
      </c>
      <c r="P86" s="24">
        <f>O86/O12</f>
        <v>4.9085187089677783E-3</v>
      </c>
      <c r="Q86" s="61">
        <v>3072.3287671232874</v>
      </c>
      <c r="R86" s="24">
        <f>Q86/Q12</f>
        <v>3.9529390273192414E-3</v>
      </c>
      <c r="S86" s="61">
        <v>3072.3287671232874</v>
      </c>
      <c r="T86" s="24">
        <f>S86/S12</f>
        <v>3.9239828755146533E-3</v>
      </c>
      <c r="U86" s="61">
        <v>3072.3287671232874</v>
      </c>
      <c r="V86" s="24">
        <f>U86/U12</f>
        <v>4.9469876138641443E-3</v>
      </c>
      <c r="W86" s="61">
        <v>3072.3287671232874</v>
      </c>
      <c r="X86" s="24">
        <f>W86/W12</f>
        <v>4.8621836943994086E-3</v>
      </c>
      <c r="Y86" s="61">
        <v>3072.3287671232874</v>
      </c>
      <c r="Z86" s="24">
        <f>Y86/Y12</f>
        <v>3.2185749847831275E-3</v>
      </c>
      <c r="AA86" s="144">
        <f t="shared" si="42"/>
        <v>36867.945205479446</v>
      </c>
      <c r="AB86" s="24">
        <f>AA86/AA12</f>
        <v>4.1450154167577778E-3</v>
      </c>
      <c r="AC86" s="128">
        <f t="shared" si="43"/>
        <v>3072.328767123287</v>
      </c>
      <c r="AD86" s="24">
        <f>AC86/AC12</f>
        <v>4.1450154167577778E-3</v>
      </c>
      <c r="AE86" s="579"/>
      <c r="AF86" s="579"/>
      <c r="AG86" s="579"/>
    </row>
    <row r="87" spans="1:33" s="1" customFormat="1">
      <c r="A87" s="2">
        <v>6211</v>
      </c>
      <c r="B87" s="228" t="s">
        <v>31</v>
      </c>
      <c r="C87" s="61">
        <v>3500</v>
      </c>
      <c r="D87" s="24">
        <f>C87/C12</f>
        <v>5.231917368711498E-3</v>
      </c>
      <c r="E87" s="61">
        <v>3500</v>
      </c>
      <c r="F87" s="24">
        <f>E87/E12</f>
        <v>6.7248168625820368E-3</v>
      </c>
      <c r="G87" s="61">
        <v>3500</v>
      </c>
      <c r="H87" s="24">
        <f>G87/G12</f>
        <v>4.0540798433339863E-3</v>
      </c>
      <c r="I87" s="61">
        <v>3500</v>
      </c>
      <c r="J87" s="24">
        <f>I87/I12</f>
        <v>4.5912867149619126E-3</v>
      </c>
      <c r="K87" s="61">
        <v>3500</v>
      </c>
      <c r="L87" s="24">
        <f>K87/K12</f>
        <v>5.0199839527639029E-3</v>
      </c>
      <c r="M87" s="61">
        <v>3500</v>
      </c>
      <c r="N87" s="24">
        <f>M87/M12</f>
        <v>3.540220710791203E-3</v>
      </c>
      <c r="O87" s="61">
        <v>3500</v>
      </c>
      <c r="P87" s="24">
        <f>O87/O12</f>
        <v>5.5917894156468136E-3</v>
      </c>
      <c r="Q87" s="61">
        <v>3500</v>
      </c>
      <c r="R87" s="24">
        <f>Q87/Q12</f>
        <v>4.5031920879261026E-3</v>
      </c>
      <c r="S87" s="61">
        <v>3500</v>
      </c>
      <c r="T87" s="24">
        <f>S87/S12</f>
        <v>4.4702052108703139E-3</v>
      </c>
      <c r="U87" s="61">
        <v>3500</v>
      </c>
      <c r="V87" s="24">
        <f>U87/U12</f>
        <v>5.6356132305256327E-3</v>
      </c>
      <c r="W87" s="61">
        <v>3500</v>
      </c>
      <c r="X87" s="24">
        <f>W87/W12</f>
        <v>5.5390045207733595E-3</v>
      </c>
      <c r="Y87" s="61">
        <v>3500</v>
      </c>
      <c r="Z87" s="24">
        <f>Y87/Y12</f>
        <v>3.6666038372217282E-3</v>
      </c>
      <c r="AA87" s="144">
        <f t="shared" si="42"/>
        <v>42000</v>
      </c>
      <c r="AB87" s="24">
        <f>AA87/AA12</f>
        <v>4.7220057026110774E-3</v>
      </c>
      <c r="AC87" s="128">
        <f t="shared" si="43"/>
        <v>3500</v>
      </c>
      <c r="AD87" s="24">
        <f>AC87/AC12</f>
        <v>4.7220057026110766E-3</v>
      </c>
      <c r="AE87" s="579"/>
      <c r="AF87" s="579"/>
      <c r="AG87" s="579"/>
    </row>
    <row r="88" spans="1:33" s="1" customFormat="1">
      <c r="A88" s="2">
        <v>6212</v>
      </c>
      <c r="B88" s="228" t="s">
        <v>32</v>
      </c>
      <c r="C88" s="75">
        <v>100</v>
      </c>
      <c r="D88" s="702">
        <f>C88/C12</f>
        <v>1.4948335339175711E-4</v>
      </c>
      <c r="E88" s="75">
        <v>100</v>
      </c>
      <c r="F88" s="702">
        <f>E88/E12</f>
        <v>1.9213762464520106E-4</v>
      </c>
      <c r="G88" s="75">
        <v>100</v>
      </c>
      <c r="H88" s="702">
        <f>G88/G12</f>
        <v>1.1583085266668533E-4</v>
      </c>
      <c r="I88" s="75">
        <v>100</v>
      </c>
      <c r="J88" s="702">
        <f>I88/I12</f>
        <v>1.3117962042748322E-4</v>
      </c>
      <c r="K88" s="75">
        <v>100</v>
      </c>
      <c r="L88" s="702">
        <f>K88/K12</f>
        <v>1.4342811293611152E-4</v>
      </c>
      <c r="M88" s="75">
        <v>100</v>
      </c>
      <c r="N88" s="702">
        <f>M88/M12</f>
        <v>1.0114916316546294E-4</v>
      </c>
      <c r="O88" s="75">
        <v>100</v>
      </c>
      <c r="P88" s="702">
        <f>O88/O12</f>
        <v>1.5976541187562326E-4</v>
      </c>
      <c r="Q88" s="75">
        <v>100</v>
      </c>
      <c r="R88" s="702">
        <f>Q88/Q12</f>
        <v>1.2866263108360295E-4</v>
      </c>
      <c r="S88" s="75">
        <v>100</v>
      </c>
      <c r="T88" s="702">
        <f>S88/S12</f>
        <v>1.2772014888200897E-4</v>
      </c>
      <c r="U88" s="75">
        <v>100</v>
      </c>
      <c r="V88" s="702">
        <f>U88/U12</f>
        <v>1.6101752087216095E-4</v>
      </c>
      <c r="W88" s="75">
        <v>100</v>
      </c>
      <c r="X88" s="702">
        <f>W88/W12</f>
        <v>1.5825727202209598E-4</v>
      </c>
      <c r="Y88" s="75">
        <v>100</v>
      </c>
      <c r="Z88" s="702">
        <f>Y88/Y12</f>
        <v>1.0476010963490652E-4</v>
      </c>
      <c r="AA88" s="144">
        <f t="shared" si="42"/>
        <v>1200</v>
      </c>
      <c r="AB88" s="68">
        <f>AA88/AA12</f>
        <v>1.3491444864603078E-4</v>
      </c>
      <c r="AC88" s="128">
        <f t="shared" si="43"/>
        <v>100</v>
      </c>
      <c r="AD88" s="68">
        <f>AC88/AC12</f>
        <v>1.3491444864603078E-4</v>
      </c>
      <c r="AE88" s="393"/>
      <c r="AF88" s="393"/>
      <c r="AG88" s="393"/>
    </row>
    <row r="89" spans="1:33" s="1" customFormat="1">
      <c r="A89" s="2">
        <v>6213</v>
      </c>
      <c r="B89" s="228" t="s">
        <v>33</v>
      </c>
      <c r="C89" s="113"/>
      <c r="D89" s="702">
        <f>C89/C12</f>
        <v>0</v>
      </c>
      <c r="E89" s="113"/>
      <c r="F89" s="702">
        <f>E89/E12</f>
        <v>0</v>
      </c>
      <c r="G89" s="113"/>
      <c r="H89" s="702">
        <f>G89/G12</f>
        <v>0</v>
      </c>
      <c r="I89" s="113"/>
      <c r="J89" s="702">
        <f>I89/I12</f>
        <v>0</v>
      </c>
      <c r="K89" s="113"/>
      <c r="L89" s="702">
        <f>K89/K12</f>
        <v>0</v>
      </c>
      <c r="M89" s="113"/>
      <c r="N89" s="702">
        <f>M89/M12</f>
        <v>0</v>
      </c>
      <c r="O89" s="113"/>
      <c r="P89" s="702">
        <f>O89/O12</f>
        <v>0</v>
      </c>
      <c r="Q89" s="113"/>
      <c r="R89" s="677">
        <f>Q89/Q12</f>
        <v>0</v>
      </c>
      <c r="S89" s="113"/>
      <c r="T89" s="677">
        <f>S89/S12</f>
        <v>0</v>
      </c>
      <c r="U89" s="113"/>
      <c r="V89" s="677">
        <f>U89/U12</f>
        <v>0</v>
      </c>
      <c r="W89" s="113"/>
      <c r="X89" s="677">
        <f>W89/W12</f>
        <v>0</v>
      </c>
      <c r="Y89" s="113"/>
      <c r="Z89" s="677">
        <f>Y89/Y12</f>
        <v>0</v>
      </c>
      <c r="AA89" s="144">
        <f t="shared" si="42"/>
        <v>0</v>
      </c>
      <c r="AB89" s="68">
        <f>AA89/AA12</f>
        <v>0</v>
      </c>
      <c r="AC89" s="128">
        <f t="shared" si="43"/>
        <v>0</v>
      </c>
      <c r="AD89" s="68">
        <f>AC89/AC12</f>
        <v>0</v>
      </c>
      <c r="AE89" s="393"/>
      <c r="AF89" s="393"/>
      <c r="AG89" s="393"/>
    </row>
    <row r="90" spans="1:33" s="1" customFormat="1">
      <c r="A90" s="2">
        <v>6214</v>
      </c>
      <c r="B90" s="228" t="s">
        <v>34</v>
      </c>
      <c r="C90" s="75">
        <v>2373.33</v>
      </c>
      <c r="D90" s="702">
        <f>C90/C12</f>
        <v>3.5477332710525888E-3</v>
      </c>
      <c r="E90" s="75">
        <v>2373.33</v>
      </c>
      <c r="F90" s="702">
        <f>E90/E12</f>
        <v>4.5600598869919504E-3</v>
      </c>
      <c r="G90" s="75">
        <v>2373.33</v>
      </c>
      <c r="H90" s="702">
        <f>G90/G12</f>
        <v>2.7490483755942428E-3</v>
      </c>
      <c r="I90" s="75">
        <v>2373.33</v>
      </c>
      <c r="J90" s="702">
        <f>I90/I12</f>
        <v>3.1133252854915875E-3</v>
      </c>
      <c r="K90" s="75">
        <v>2373.33</v>
      </c>
      <c r="L90" s="702">
        <f>K90/K12</f>
        <v>3.4040224327466151E-3</v>
      </c>
      <c r="M90" s="75">
        <v>2373.33</v>
      </c>
      <c r="N90" s="702">
        <f>M90/M12</f>
        <v>2.4006034341548816E-3</v>
      </c>
      <c r="O90" s="75">
        <v>2373.33</v>
      </c>
      <c r="P90" s="702">
        <f>O90/O12</f>
        <v>3.7917604496677292E-3</v>
      </c>
      <c r="Q90" s="75">
        <v>2373.33</v>
      </c>
      <c r="R90" s="677">
        <f>Q90/Q12</f>
        <v>3.0535888222964734E-3</v>
      </c>
      <c r="S90" s="75">
        <v>2373.33</v>
      </c>
      <c r="T90" s="677">
        <f>S90/S12</f>
        <v>3.0312206094613835E-3</v>
      </c>
      <c r="U90" s="75">
        <v>2373.33</v>
      </c>
      <c r="V90" s="677">
        <f>U90/U12</f>
        <v>3.8214771281152573E-3</v>
      </c>
      <c r="W90" s="75">
        <v>2373.33</v>
      </c>
      <c r="X90" s="677">
        <f>W90/W12</f>
        <v>3.7559673140820106E-3</v>
      </c>
      <c r="Y90" s="75">
        <v>2373.33</v>
      </c>
      <c r="Z90" s="677">
        <f>Y90/Y12</f>
        <v>2.486303109998127E-3</v>
      </c>
      <c r="AA90" s="144">
        <f t="shared" si="42"/>
        <v>28479.960000000006</v>
      </c>
      <c r="AB90" s="68">
        <f>AA90/AA12</f>
        <v>3.2019650840508429E-3</v>
      </c>
      <c r="AC90" s="128">
        <f t="shared" si="43"/>
        <v>2373.3300000000004</v>
      </c>
      <c r="AD90" s="68">
        <f>AC90/AC12</f>
        <v>3.2019650840508424E-3</v>
      </c>
      <c r="AE90" s="393"/>
      <c r="AF90" s="393"/>
      <c r="AG90" s="393"/>
    </row>
    <row r="91" spans="1:33" s="1" customFormat="1">
      <c r="A91" s="2">
        <v>6215</v>
      </c>
      <c r="B91" s="228" t="s">
        <v>35</v>
      </c>
      <c r="C91" s="75"/>
      <c r="D91" s="702" t="e">
        <f>C91/C13</f>
        <v>#DIV/0!</v>
      </c>
      <c r="E91" s="75"/>
      <c r="F91" s="702" t="e">
        <f>E91/E13</f>
        <v>#DIV/0!</v>
      </c>
      <c r="G91" s="75"/>
      <c r="H91" s="702" t="e">
        <f>G91/G13</f>
        <v>#DIV/0!</v>
      </c>
      <c r="I91" s="75"/>
      <c r="J91" s="702" t="e">
        <f>I91/I13</f>
        <v>#DIV/0!</v>
      </c>
      <c r="K91" s="75"/>
      <c r="L91" s="702" t="e">
        <f>K91/K13</f>
        <v>#DIV/0!</v>
      </c>
      <c r="M91" s="31"/>
      <c r="N91" s="702" t="e">
        <f>M91/M13</f>
        <v>#DIV/0!</v>
      </c>
      <c r="O91" s="31"/>
      <c r="P91" s="702" t="e">
        <f>O91/O13</f>
        <v>#DIV/0!</v>
      </c>
      <c r="Q91" s="75"/>
      <c r="R91" s="677" t="e">
        <f>Q91/Q13</f>
        <v>#DIV/0!</v>
      </c>
      <c r="S91" s="75"/>
      <c r="T91" s="677" t="e">
        <f>S91/S13</f>
        <v>#DIV/0!</v>
      </c>
      <c r="U91" s="75"/>
      <c r="V91" s="677" t="e">
        <f>U91/U13</f>
        <v>#DIV/0!</v>
      </c>
      <c r="W91" s="75"/>
      <c r="X91" s="677" t="e">
        <f>W91/W13</f>
        <v>#DIV/0!</v>
      </c>
      <c r="Y91" s="75"/>
      <c r="Z91" s="677" t="e">
        <f>Y91/Y13</f>
        <v>#DIV/0!</v>
      </c>
      <c r="AA91" s="144">
        <f t="shared" si="42"/>
        <v>0</v>
      </c>
      <c r="AB91" s="24">
        <f>AA91/AA12</f>
        <v>0</v>
      </c>
      <c r="AC91" s="128">
        <f t="shared" si="43"/>
        <v>0</v>
      </c>
      <c r="AD91" s="24">
        <f>AC91/AC12</f>
        <v>0</v>
      </c>
      <c r="AE91" s="579"/>
      <c r="AF91" s="579"/>
      <c r="AG91" s="579"/>
    </row>
    <row r="92" spans="1:33" s="1" customFormat="1">
      <c r="A92" s="2">
        <v>6216</v>
      </c>
      <c r="B92" s="228" t="s">
        <v>91</v>
      </c>
      <c r="C92" s="61"/>
      <c r="D92" s="24">
        <f>C92/C12</f>
        <v>0</v>
      </c>
      <c r="E92" s="61"/>
      <c r="F92" s="24">
        <f>E92/E12</f>
        <v>0</v>
      </c>
      <c r="G92" s="61"/>
      <c r="H92" s="24">
        <f>G92/G12</f>
        <v>0</v>
      </c>
      <c r="I92" s="61"/>
      <c r="J92" s="24">
        <f>I92/I12</f>
        <v>0</v>
      </c>
      <c r="K92" s="61"/>
      <c r="L92" s="24">
        <f>K92/K12</f>
        <v>0</v>
      </c>
      <c r="M92" s="26"/>
      <c r="N92" s="24">
        <f>M92/M12</f>
        <v>0</v>
      </c>
      <c r="O92" s="26"/>
      <c r="P92" s="24">
        <f>O92/O12</f>
        <v>0</v>
      </c>
      <c r="Q92" s="61"/>
      <c r="R92" s="24">
        <f>Q92/Q12</f>
        <v>0</v>
      </c>
      <c r="S92" s="61"/>
      <c r="T92" s="24">
        <f>S92/S12</f>
        <v>0</v>
      </c>
      <c r="U92" s="61"/>
      <c r="V92" s="24">
        <f>U92/U12</f>
        <v>0</v>
      </c>
      <c r="W92" s="61"/>
      <c r="X92" s="24">
        <f>W92/W12</f>
        <v>0</v>
      </c>
      <c r="Y92" s="61"/>
      <c r="Z92" s="24">
        <f>Y92/Y12</f>
        <v>0</v>
      </c>
      <c r="AA92" s="144">
        <f t="shared" si="42"/>
        <v>0</v>
      </c>
      <c r="AB92" s="24">
        <f>AA92/AA12</f>
        <v>0</v>
      </c>
      <c r="AC92" s="128">
        <f t="shared" si="43"/>
        <v>0</v>
      </c>
      <c r="AD92" s="24">
        <f>AC92/AC12</f>
        <v>0</v>
      </c>
      <c r="AE92" s="579"/>
      <c r="AF92" s="579"/>
      <c r="AG92" s="579"/>
    </row>
    <row r="93" spans="1:33" s="1" customFormat="1" ht="15.75" thickBot="1">
      <c r="A93" s="4">
        <v>6299</v>
      </c>
      <c r="B93" s="229" t="s">
        <v>112</v>
      </c>
      <c r="C93" s="79">
        <f>SUM(C77:C91)</f>
        <v>111038.62543378994</v>
      </c>
      <c r="D93" s="396">
        <f>C93/C12</f>
        <v>0.1659842608585417</v>
      </c>
      <c r="E93" s="119">
        <f>SUM(E77:E91)</f>
        <v>111038.62543378994</v>
      </c>
      <c r="F93" s="396">
        <f>E93/E12</f>
        <v>0.21334697734716607</v>
      </c>
      <c r="G93" s="79">
        <f>SUM(G77:G92)</f>
        <v>111038.62543378994</v>
      </c>
      <c r="H93" s="396">
        <f>G93/G12</f>
        <v>0.1286169866293258</v>
      </c>
      <c r="I93" s="79">
        <f>SUM(I77:I92)</f>
        <v>111038.62543378994</v>
      </c>
      <c r="J93" s="396">
        <f>I93/I12</f>
        <v>0.14566004737194049</v>
      </c>
      <c r="K93" s="29">
        <f>SUM(K77:K91)</f>
        <v>111038.62543378994</v>
      </c>
      <c r="L93" s="396">
        <f>K93/K12</f>
        <v>0.15926060508988207</v>
      </c>
      <c r="M93" s="29">
        <f>SUM(M77:M91)</f>
        <v>111038.62543378994</v>
      </c>
      <c r="N93" s="396">
        <f>M93/M12</f>
        <v>0.11231464041671142</v>
      </c>
      <c r="O93" s="29">
        <f>SUM(O77:O91)</f>
        <v>111038.62543378994</v>
      </c>
      <c r="P93" s="396">
        <f>O93/O12</f>
        <v>0.17740131726532507</v>
      </c>
      <c r="Q93" s="29">
        <f>SUM(Q77:Q91)</f>
        <v>111038.62543378994</v>
      </c>
      <c r="R93" s="396">
        <f>Q93/Q12</f>
        <v>0.14286521700218086</v>
      </c>
      <c r="S93" s="29">
        <f>SUM(S77:S91)</f>
        <v>111038.62543378994</v>
      </c>
      <c r="T93" s="396">
        <f>S93/S12</f>
        <v>0.14181869772057279</v>
      </c>
      <c r="U93" s="79">
        <f>SUM(U77:U91)</f>
        <v>111038.62543378994</v>
      </c>
      <c r="V93" s="396">
        <f>U93/U12</f>
        <v>0.17879164188401334</v>
      </c>
      <c r="W93" s="79">
        <f>SUM(W77:W91)</f>
        <v>111038.62543378994</v>
      </c>
      <c r="X93" s="396">
        <f>W93/W12</f>
        <v>0.1757266995023492</v>
      </c>
      <c r="Y93" s="79">
        <f>SUM(Y77:Y91)</f>
        <v>111038.62543378994</v>
      </c>
      <c r="Z93" s="396">
        <f>Y93/Y12</f>
        <v>0.11632418574153154</v>
      </c>
      <c r="AA93" s="196">
        <f>SUM(AA77:AA92)</f>
        <v>1332463.5052054795</v>
      </c>
      <c r="AB93" s="89">
        <f>AA93/AA12</f>
        <v>0.14980714928812902</v>
      </c>
      <c r="AC93" s="52">
        <f>AA93/12</f>
        <v>111038.62543378996</v>
      </c>
      <c r="AD93" s="89">
        <f>AC93/AC12</f>
        <v>0.14980714928812902</v>
      </c>
      <c r="AE93" s="562"/>
      <c r="AF93" s="562"/>
      <c r="AG93" s="562"/>
    </row>
    <row r="94" spans="1:33" s="1" customFormat="1" ht="15.75" thickTop="1">
      <c r="A94" s="2">
        <v>6301</v>
      </c>
      <c r="B94" s="231" t="s">
        <v>36</v>
      </c>
      <c r="C94" s="992"/>
      <c r="D94" s="994">
        <f t="shared" ref="D94:D101" si="44">C94/C$12</f>
        <v>0</v>
      </c>
      <c r="E94" s="992"/>
      <c r="F94" s="994">
        <f t="shared" ref="F94:F101" si="45">E94/E$12</f>
        <v>0</v>
      </c>
      <c r="G94" s="992"/>
      <c r="H94" s="994">
        <f t="shared" ref="H94:H101" si="46">G94/G$12</f>
        <v>0</v>
      </c>
      <c r="I94" s="992"/>
      <c r="J94" s="994">
        <f t="shared" ref="J94:J101" si="47">I94/I$12</f>
        <v>0</v>
      </c>
      <c r="K94" s="992"/>
      <c r="L94" s="994">
        <f t="shared" ref="L94:L101" si="48">K94/K$12</f>
        <v>0</v>
      </c>
      <c r="M94" s="992"/>
      <c r="N94" s="994">
        <f t="shared" ref="N94:N101" si="49">M94/M$12</f>
        <v>0</v>
      </c>
      <c r="O94" s="992"/>
      <c r="P94" s="994">
        <f t="shared" ref="P94:P101" si="50">O94/O$12</f>
        <v>0</v>
      </c>
      <c r="Q94" s="992"/>
      <c r="R94" s="994">
        <f t="shared" ref="R94:R101" si="51">Q94/Q$12</f>
        <v>0</v>
      </c>
      <c r="S94" s="992"/>
      <c r="T94" s="994">
        <f t="shared" ref="T94:T101" si="52">S94/S$12</f>
        <v>0</v>
      </c>
      <c r="U94" s="992"/>
      <c r="V94" s="994">
        <f t="shared" ref="V94:V101" si="53">U94/U$12</f>
        <v>0</v>
      </c>
      <c r="W94" s="992"/>
      <c r="X94" s="994">
        <f t="shared" ref="X94:X101" si="54">W94/W$12</f>
        <v>0</v>
      </c>
      <c r="Y94" s="992"/>
      <c r="Z94" s="702">
        <f t="shared" ref="Z94:Z101" si="55">Y94/Y$12</f>
        <v>0</v>
      </c>
      <c r="AA94" s="144">
        <f t="shared" ref="AA94:AA114" si="56">C94+E94+G94+I94+K94+M94+O94+Q94+S94+U94+W94+Y94</f>
        <v>0</v>
      </c>
      <c r="AB94" s="702">
        <f>AA94/AA$12</f>
        <v>0</v>
      </c>
      <c r="AC94" s="128">
        <f t="shared" ref="AC94:AC115" si="57">AA94/12</f>
        <v>0</v>
      </c>
      <c r="AD94" s="702">
        <f>AC94/AC$12</f>
        <v>0</v>
      </c>
      <c r="AE94" s="579"/>
      <c r="AF94" s="579"/>
      <c r="AG94" s="579"/>
    </row>
    <row r="95" spans="1:33" s="1" customFormat="1">
      <c r="A95" s="2">
        <v>6302</v>
      </c>
      <c r="B95" s="231" t="s">
        <v>37</v>
      </c>
      <c r="C95" s="678"/>
      <c r="D95" s="702">
        <f t="shared" si="44"/>
        <v>0</v>
      </c>
      <c r="E95" s="678"/>
      <c r="F95" s="702">
        <f t="shared" si="45"/>
        <v>0</v>
      </c>
      <c r="G95" s="678"/>
      <c r="H95" s="702">
        <f t="shared" si="46"/>
        <v>0</v>
      </c>
      <c r="I95" s="678"/>
      <c r="J95" s="702">
        <f t="shared" si="47"/>
        <v>0</v>
      </c>
      <c r="K95" s="678"/>
      <c r="L95" s="702">
        <f t="shared" si="48"/>
        <v>0</v>
      </c>
      <c r="M95" s="678"/>
      <c r="N95" s="702">
        <f t="shared" si="49"/>
        <v>0</v>
      </c>
      <c r="O95" s="678"/>
      <c r="P95" s="702">
        <f t="shared" si="50"/>
        <v>0</v>
      </c>
      <c r="Q95" s="678"/>
      <c r="R95" s="702">
        <f t="shared" si="51"/>
        <v>0</v>
      </c>
      <c r="S95" s="678"/>
      <c r="T95" s="702">
        <f t="shared" si="52"/>
        <v>0</v>
      </c>
      <c r="U95" s="678"/>
      <c r="V95" s="702">
        <f t="shared" si="53"/>
        <v>0</v>
      </c>
      <c r="W95" s="678"/>
      <c r="X95" s="702">
        <f t="shared" si="54"/>
        <v>0</v>
      </c>
      <c r="Y95" s="678"/>
      <c r="Z95" s="702">
        <f t="shared" si="55"/>
        <v>0</v>
      </c>
      <c r="AA95" s="144">
        <f t="shared" si="56"/>
        <v>0</v>
      </c>
      <c r="AB95" s="702">
        <f t="shared" ref="AB95:AB99" si="58">AA95/AA$12</f>
        <v>0</v>
      </c>
      <c r="AC95" s="128">
        <f t="shared" si="57"/>
        <v>0</v>
      </c>
      <c r="AD95" s="702">
        <f t="shared" ref="AD95:AD99" si="59">AC95/AC$12</f>
        <v>0</v>
      </c>
      <c r="AE95" s="393"/>
      <c r="AF95" s="393"/>
      <c r="AG95" s="393"/>
    </row>
    <row r="96" spans="1:33" s="1" customFormat="1">
      <c r="A96" s="2">
        <v>6303</v>
      </c>
      <c r="B96" s="2" t="s">
        <v>132</v>
      </c>
      <c r="C96" s="678"/>
      <c r="D96" s="702">
        <f t="shared" si="44"/>
        <v>0</v>
      </c>
      <c r="E96" s="678"/>
      <c r="F96" s="702">
        <f t="shared" si="45"/>
        <v>0</v>
      </c>
      <c r="G96" s="678"/>
      <c r="H96" s="702">
        <f t="shared" si="46"/>
        <v>0</v>
      </c>
      <c r="I96" s="678"/>
      <c r="J96" s="702">
        <f t="shared" si="47"/>
        <v>0</v>
      </c>
      <c r="K96" s="678"/>
      <c r="L96" s="702">
        <f t="shared" si="48"/>
        <v>0</v>
      </c>
      <c r="M96" s="678"/>
      <c r="N96" s="702">
        <f t="shared" si="49"/>
        <v>0</v>
      </c>
      <c r="O96" s="678"/>
      <c r="P96" s="702">
        <f t="shared" si="50"/>
        <v>0</v>
      </c>
      <c r="Q96" s="678"/>
      <c r="R96" s="702">
        <f t="shared" si="51"/>
        <v>0</v>
      </c>
      <c r="S96" s="678"/>
      <c r="T96" s="702">
        <f t="shared" si="52"/>
        <v>0</v>
      </c>
      <c r="U96" s="678"/>
      <c r="V96" s="702">
        <f t="shared" si="53"/>
        <v>0</v>
      </c>
      <c r="W96" s="678"/>
      <c r="X96" s="702">
        <f t="shared" si="54"/>
        <v>0</v>
      </c>
      <c r="Y96" s="678"/>
      <c r="Z96" s="702">
        <f t="shared" si="55"/>
        <v>0</v>
      </c>
      <c r="AA96" s="144">
        <f t="shared" si="56"/>
        <v>0</v>
      </c>
      <c r="AB96" s="702">
        <f t="shared" si="58"/>
        <v>0</v>
      </c>
      <c r="AC96" s="128">
        <f t="shared" si="57"/>
        <v>0</v>
      </c>
      <c r="AD96" s="702">
        <f t="shared" si="59"/>
        <v>0</v>
      </c>
      <c r="AE96" s="579"/>
      <c r="AF96" s="579"/>
      <c r="AG96" s="579"/>
    </row>
    <row r="97" spans="1:33" s="1" customFormat="1">
      <c r="A97" s="2">
        <v>6304</v>
      </c>
      <c r="B97" s="2" t="s">
        <v>38</v>
      </c>
      <c r="C97" s="753"/>
      <c r="D97" s="702">
        <f t="shared" si="44"/>
        <v>0</v>
      </c>
      <c r="E97" s="753"/>
      <c r="F97" s="702">
        <f t="shared" si="45"/>
        <v>0</v>
      </c>
      <c r="G97" s="753"/>
      <c r="H97" s="702">
        <f t="shared" si="46"/>
        <v>0</v>
      </c>
      <c r="I97" s="753"/>
      <c r="J97" s="702">
        <f t="shared" si="47"/>
        <v>0</v>
      </c>
      <c r="K97" s="753"/>
      <c r="L97" s="702">
        <f t="shared" si="48"/>
        <v>0</v>
      </c>
      <c r="M97" s="753"/>
      <c r="N97" s="702">
        <f t="shared" si="49"/>
        <v>0</v>
      </c>
      <c r="O97" s="753"/>
      <c r="P97" s="702">
        <f t="shared" si="50"/>
        <v>0</v>
      </c>
      <c r="Q97" s="753"/>
      <c r="R97" s="702">
        <f t="shared" si="51"/>
        <v>0</v>
      </c>
      <c r="S97" s="753"/>
      <c r="T97" s="702">
        <f t="shared" si="52"/>
        <v>0</v>
      </c>
      <c r="U97" s="753"/>
      <c r="V97" s="702">
        <f t="shared" si="53"/>
        <v>0</v>
      </c>
      <c r="W97" s="753"/>
      <c r="X97" s="702">
        <f t="shared" si="54"/>
        <v>0</v>
      </c>
      <c r="Y97" s="753"/>
      <c r="Z97" s="702">
        <f t="shared" si="55"/>
        <v>0</v>
      </c>
      <c r="AA97" s="144">
        <f t="shared" si="56"/>
        <v>0</v>
      </c>
      <c r="AB97" s="702">
        <f t="shared" si="58"/>
        <v>0</v>
      </c>
      <c r="AC97" s="128">
        <f t="shared" si="57"/>
        <v>0</v>
      </c>
      <c r="AD97" s="702">
        <f t="shared" si="59"/>
        <v>0</v>
      </c>
      <c r="AE97" s="393"/>
      <c r="AF97" s="393"/>
      <c r="AG97" s="393"/>
    </row>
    <row r="98" spans="1:33" s="1" customFormat="1">
      <c r="A98" s="188">
        <v>6305</v>
      </c>
      <c r="B98" s="2" t="s">
        <v>39</v>
      </c>
      <c r="C98" s="678"/>
      <c r="D98" s="702">
        <f t="shared" si="44"/>
        <v>0</v>
      </c>
      <c r="E98" s="678"/>
      <c r="F98" s="702">
        <f t="shared" si="45"/>
        <v>0</v>
      </c>
      <c r="G98" s="678"/>
      <c r="H98" s="702">
        <f t="shared" si="46"/>
        <v>0</v>
      </c>
      <c r="I98" s="678"/>
      <c r="J98" s="702">
        <f t="shared" si="47"/>
        <v>0</v>
      </c>
      <c r="K98" s="678"/>
      <c r="L98" s="702">
        <f t="shared" si="48"/>
        <v>0</v>
      </c>
      <c r="M98" s="678"/>
      <c r="N98" s="702">
        <f t="shared" si="49"/>
        <v>0</v>
      </c>
      <c r="O98" s="678"/>
      <c r="P98" s="702">
        <f t="shared" si="50"/>
        <v>0</v>
      </c>
      <c r="Q98" s="678"/>
      <c r="R98" s="702">
        <f t="shared" si="51"/>
        <v>0</v>
      </c>
      <c r="S98" s="678"/>
      <c r="T98" s="702">
        <f t="shared" si="52"/>
        <v>0</v>
      </c>
      <c r="U98" s="678"/>
      <c r="V98" s="702">
        <f t="shared" si="53"/>
        <v>0</v>
      </c>
      <c r="W98" s="678"/>
      <c r="X98" s="702">
        <f t="shared" si="54"/>
        <v>0</v>
      </c>
      <c r="Y98" s="678"/>
      <c r="Z98" s="702">
        <f t="shared" si="55"/>
        <v>0</v>
      </c>
      <c r="AA98" s="144">
        <f t="shared" si="56"/>
        <v>0</v>
      </c>
      <c r="AB98" s="702">
        <f t="shared" si="58"/>
        <v>0</v>
      </c>
      <c r="AC98" s="128">
        <f t="shared" si="57"/>
        <v>0</v>
      </c>
      <c r="AD98" s="702">
        <f t="shared" si="59"/>
        <v>0</v>
      </c>
      <c r="AE98" s="393"/>
      <c r="AF98" s="393"/>
      <c r="AG98" s="393"/>
    </row>
    <row r="99" spans="1:33" s="1" customFormat="1">
      <c r="A99" s="2">
        <v>6306</v>
      </c>
      <c r="B99" s="2" t="s">
        <v>40</v>
      </c>
      <c r="C99" s="678"/>
      <c r="D99" s="702">
        <f t="shared" si="44"/>
        <v>0</v>
      </c>
      <c r="E99" s="678"/>
      <c r="F99" s="702">
        <f t="shared" si="45"/>
        <v>0</v>
      </c>
      <c r="G99" s="678"/>
      <c r="H99" s="702">
        <f t="shared" si="46"/>
        <v>0</v>
      </c>
      <c r="I99" s="678"/>
      <c r="J99" s="702">
        <f t="shared" si="47"/>
        <v>0</v>
      </c>
      <c r="K99" s="678"/>
      <c r="L99" s="702">
        <f t="shared" si="48"/>
        <v>0</v>
      </c>
      <c r="M99" s="678"/>
      <c r="N99" s="702">
        <f t="shared" si="49"/>
        <v>0</v>
      </c>
      <c r="O99" s="678"/>
      <c r="P99" s="702">
        <f t="shared" si="50"/>
        <v>0</v>
      </c>
      <c r="Q99" s="678"/>
      <c r="R99" s="702">
        <f t="shared" si="51"/>
        <v>0</v>
      </c>
      <c r="S99" s="678"/>
      <c r="T99" s="702">
        <f t="shared" si="52"/>
        <v>0</v>
      </c>
      <c r="U99" s="678"/>
      <c r="V99" s="702">
        <f t="shared" si="53"/>
        <v>0</v>
      </c>
      <c r="W99" s="678"/>
      <c r="X99" s="702">
        <f t="shared" si="54"/>
        <v>0</v>
      </c>
      <c r="Y99" s="678"/>
      <c r="Z99" s="702">
        <f t="shared" si="55"/>
        <v>0</v>
      </c>
      <c r="AA99" s="144">
        <f t="shared" si="56"/>
        <v>0</v>
      </c>
      <c r="AB99" s="702">
        <f t="shared" si="58"/>
        <v>0</v>
      </c>
      <c r="AC99" s="128">
        <f t="shared" si="57"/>
        <v>0</v>
      </c>
      <c r="AD99" s="702">
        <f t="shared" si="59"/>
        <v>0</v>
      </c>
      <c r="AE99" s="579"/>
      <c r="AF99" s="579"/>
      <c r="AG99" s="579"/>
    </row>
    <row r="100" spans="1:33" s="1" customFormat="1">
      <c r="A100" s="2">
        <v>6307</v>
      </c>
      <c r="B100" s="2" t="s">
        <v>322</v>
      </c>
      <c r="C100" s="678"/>
      <c r="D100" s="702">
        <f t="shared" si="44"/>
        <v>0</v>
      </c>
      <c r="E100" s="678">
        <v>350</v>
      </c>
      <c r="F100" s="702">
        <f t="shared" si="45"/>
        <v>6.7248168625820375E-4</v>
      </c>
      <c r="G100" s="678">
        <v>350</v>
      </c>
      <c r="H100" s="702">
        <f t="shared" si="46"/>
        <v>4.0540798433339863E-4</v>
      </c>
      <c r="I100" s="678">
        <v>1042</v>
      </c>
      <c r="J100" s="702">
        <f t="shared" si="47"/>
        <v>1.3668916448543753E-3</v>
      </c>
      <c r="K100" s="678">
        <v>350</v>
      </c>
      <c r="L100" s="702">
        <f t="shared" si="48"/>
        <v>5.0199839527639031E-4</v>
      </c>
      <c r="M100" s="678"/>
      <c r="N100" s="702">
        <f t="shared" si="49"/>
        <v>0</v>
      </c>
      <c r="O100" s="678">
        <v>350</v>
      </c>
      <c r="P100" s="702">
        <f t="shared" si="50"/>
        <v>5.5917894156468138E-4</v>
      </c>
      <c r="Q100" s="678">
        <v>350</v>
      </c>
      <c r="R100" s="702">
        <f t="shared" si="51"/>
        <v>4.5031920879261029E-4</v>
      </c>
      <c r="S100" s="678">
        <v>350</v>
      </c>
      <c r="T100" s="702">
        <f t="shared" si="52"/>
        <v>4.4702052108703139E-4</v>
      </c>
      <c r="U100" s="678">
        <v>350</v>
      </c>
      <c r="V100" s="702">
        <f t="shared" si="53"/>
        <v>5.6356132305256329E-4</v>
      </c>
      <c r="W100" s="678">
        <v>350</v>
      </c>
      <c r="X100" s="702">
        <f t="shared" si="54"/>
        <v>5.5390045207733593E-4</v>
      </c>
      <c r="Y100" s="678">
        <v>350</v>
      </c>
      <c r="Z100" s="702">
        <f t="shared" si="55"/>
        <v>3.6666038372217279E-4</v>
      </c>
      <c r="AA100" s="144">
        <f t="shared" si="56"/>
        <v>4192</v>
      </c>
      <c r="AB100" s="226">
        <f>AA100/AA$12</f>
        <v>4.7130114060346754E-4</v>
      </c>
      <c r="AC100" s="128">
        <f t="shared" si="57"/>
        <v>349.33333333333331</v>
      </c>
      <c r="AD100" s="226">
        <f>AC100/AC$12</f>
        <v>4.7130114060346749E-4</v>
      </c>
      <c r="AE100" s="579"/>
      <c r="AF100" s="579"/>
      <c r="AG100" s="579"/>
    </row>
    <row r="101" spans="1:33" s="1" customFormat="1">
      <c r="A101" s="2">
        <v>6308</v>
      </c>
      <c r="B101" s="2" t="s">
        <v>151</v>
      </c>
      <c r="C101" s="678"/>
      <c r="D101" s="702">
        <f t="shared" si="44"/>
        <v>0</v>
      </c>
      <c r="E101" s="678"/>
      <c r="F101" s="702">
        <f t="shared" si="45"/>
        <v>0</v>
      </c>
      <c r="G101" s="678"/>
      <c r="H101" s="702">
        <f t="shared" si="46"/>
        <v>0</v>
      </c>
      <c r="I101" s="678"/>
      <c r="J101" s="702">
        <f t="shared" si="47"/>
        <v>0</v>
      </c>
      <c r="K101" s="678"/>
      <c r="L101" s="702">
        <f t="shared" si="48"/>
        <v>0</v>
      </c>
      <c r="M101" s="678"/>
      <c r="N101" s="702">
        <f t="shared" si="49"/>
        <v>0</v>
      </c>
      <c r="O101" s="678"/>
      <c r="P101" s="702">
        <f t="shared" si="50"/>
        <v>0</v>
      </c>
      <c r="Q101" s="678"/>
      <c r="R101" s="702">
        <f t="shared" si="51"/>
        <v>0</v>
      </c>
      <c r="S101" s="678"/>
      <c r="T101" s="702">
        <f t="shared" si="52"/>
        <v>0</v>
      </c>
      <c r="U101" s="678"/>
      <c r="V101" s="702">
        <f t="shared" si="53"/>
        <v>0</v>
      </c>
      <c r="W101" s="678"/>
      <c r="X101" s="702">
        <f t="shared" si="54"/>
        <v>0</v>
      </c>
      <c r="Y101" s="678"/>
      <c r="Z101" s="702">
        <f t="shared" si="55"/>
        <v>0</v>
      </c>
      <c r="AA101" s="144">
        <f t="shared" si="56"/>
        <v>0</v>
      </c>
      <c r="AB101" s="226">
        <f>AA101/AA$12</f>
        <v>0</v>
      </c>
      <c r="AC101" s="128">
        <f t="shared" si="57"/>
        <v>0</v>
      </c>
      <c r="AD101" s="226">
        <f>AC101/AC$12</f>
        <v>0</v>
      </c>
      <c r="AE101" s="579"/>
      <c r="AF101" s="579"/>
      <c r="AG101" s="579"/>
    </row>
    <row r="102" spans="1:33" s="1" customFormat="1">
      <c r="A102" s="2">
        <v>6309</v>
      </c>
      <c r="B102" s="2" t="s">
        <v>152</v>
      </c>
      <c r="C102" s="753">
        <f>2405.163198312*2</f>
        <v>4810.3263966240002</v>
      </c>
      <c r="D102" s="702">
        <f>C102/C$12</f>
        <v>7.1906372067624289E-3</v>
      </c>
      <c r="E102" s="678">
        <f>2453.26646227824*2</f>
        <v>4906.5329245564799</v>
      </c>
      <c r="F102" s="702">
        <f>E102/E$12</f>
        <v>9.4272958136775355E-3</v>
      </c>
      <c r="G102" s="678">
        <v>2502.3317915238049</v>
      </c>
      <c r="H102" s="702">
        <f>G102/G$12</f>
        <v>2.898472250671566E-3</v>
      </c>
      <c r="I102" s="678">
        <v>2552.378427354281</v>
      </c>
      <c r="J102" s="702">
        <f>I102/I$12</f>
        <v>3.3482003328763115E-3</v>
      </c>
      <c r="K102" s="678">
        <f>2603.42599590137*2</f>
        <v>5206.8519918027396</v>
      </c>
      <c r="L102" s="702">
        <f>K102/K$12</f>
        <v>7.4680895552190051E-3</v>
      </c>
      <c r="M102" s="678">
        <v>2655.4945158193941</v>
      </c>
      <c r="N102" s="702">
        <f>M102/M$12</f>
        <v>2.6860104806560791E-3</v>
      </c>
      <c r="O102" s="678">
        <v>2708.604406135782</v>
      </c>
      <c r="P102" s="702">
        <f>O102/O$12</f>
        <v>4.3274129855441117E-3</v>
      </c>
      <c r="Q102" s="678">
        <v>2762.7764942584981</v>
      </c>
      <c r="R102" s="702">
        <f>Q102/Q$12</f>
        <v>3.5546609284723097E-3</v>
      </c>
      <c r="S102" s="678">
        <f>2818.03202414367*2</f>
        <v>5636.0640482873396</v>
      </c>
      <c r="T102" s="702">
        <f>S102/S$12</f>
        <v>7.1983893935579722E-3</v>
      </c>
      <c r="U102" s="678">
        <f>2874.39266462654*2</f>
        <v>5748.7853292530799</v>
      </c>
      <c r="V102" s="702">
        <f>U102/U$12</f>
        <v>9.2565516174258049E-3</v>
      </c>
      <c r="W102" s="678">
        <v>2931.8805179190722</v>
      </c>
      <c r="X102" s="702">
        <f>W102/W$12</f>
        <v>4.6399141266060227E-3</v>
      </c>
      <c r="Y102" s="678">
        <v>2990.5181282774538</v>
      </c>
      <c r="Z102" s="702">
        <f>Y102/Y$12</f>
        <v>3.1328700698352147E-3</v>
      </c>
      <c r="AA102" s="144">
        <f t="shared" si="56"/>
        <v>45412.544971811934</v>
      </c>
      <c r="AB102" s="226">
        <f>AA102/AA$12</f>
        <v>5.1056737220709037E-3</v>
      </c>
      <c r="AC102" s="128">
        <f t="shared" si="57"/>
        <v>3784.3787476509947</v>
      </c>
      <c r="AD102" s="226">
        <f>AC102/AC$12</f>
        <v>5.1056737220709037E-3</v>
      </c>
      <c r="AE102" s="579"/>
      <c r="AF102" s="579"/>
      <c r="AG102" s="579"/>
    </row>
    <row r="103" spans="1:33" s="1" customFormat="1">
      <c r="A103" s="2">
        <v>6310</v>
      </c>
      <c r="B103" s="2" t="s">
        <v>153</v>
      </c>
      <c r="C103" s="678">
        <v>2000</v>
      </c>
      <c r="D103" s="702">
        <f t="shared" ref="D103:D114" si="60">C103/C$12</f>
        <v>2.9896670678351421E-3</v>
      </c>
      <c r="E103" s="678">
        <v>5500</v>
      </c>
      <c r="F103" s="702">
        <f t="shared" ref="F103:F114" si="61">E103/E$12</f>
        <v>1.0567569355486058E-2</v>
      </c>
      <c r="G103" s="371">
        <v>5500</v>
      </c>
      <c r="H103" s="702">
        <f t="shared" ref="H103:H114" si="62">G103/G$12</f>
        <v>6.3706968966676927E-3</v>
      </c>
      <c r="I103" s="678">
        <v>1000</v>
      </c>
      <c r="J103" s="702">
        <f t="shared" ref="J103:J114" si="63">I103/I$12</f>
        <v>1.3117962042748321E-3</v>
      </c>
      <c r="K103" s="678">
        <v>7500</v>
      </c>
      <c r="L103" s="702">
        <f t="shared" ref="L103:L114" si="64">K103/K$12</f>
        <v>1.0757108470208363E-2</v>
      </c>
      <c r="M103" s="33"/>
      <c r="N103" s="702">
        <f t="shared" ref="N103:P114" si="65">M103/M$12</f>
        <v>0</v>
      </c>
      <c r="O103" s="33">
        <v>5500</v>
      </c>
      <c r="P103" s="702">
        <f t="shared" ref="P103:P114" si="66">O103/O$12</f>
        <v>8.7870976531592791E-3</v>
      </c>
      <c r="Q103" s="678">
        <v>4000</v>
      </c>
      <c r="R103" s="702">
        <f t="shared" ref="R103:R114" si="67">Q103/Q$12</f>
        <v>5.1465052433441174E-3</v>
      </c>
      <c r="S103" s="371">
        <v>5500</v>
      </c>
      <c r="T103" s="702">
        <f t="shared" ref="T103:T114" si="68">S103/S$12</f>
        <v>7.0246081885104936E-3</v>
      </c>
      <c r="U103" s="678">
        <v>7000</v>
      </c>
      <c r="V103" s="702">
        <f t="shared" ref="V103:V114" si="69">U103/U$12</f>
        <v>1.1271226461051265E-2</v>
      </c>
      <c r="W103" s="678">
        <v>5500</v>
      </c>
      <c r="X103" s="702">
        <f t="shared" ref="X103:X114" si="70">W103/W$12</f>
        <v>8.7041499612152788E-3</v>
      </c>
      <c r="Y103" s="678">
        <v>2000</v>
      </c>
      <c r="Z103" s="702">
        <f t="shared" ref="Z103:Z114" si="71">Y103/Y$12</f>
        <v>2.0952021926981305E-3</v>
      </c>
      <c r="AA103" s="144">
        <f t="shared" si="56"/>
        <v>51000</v>
      </c>
      <c r="AB103" s="226">
        <f t="shared" ref="AB103:AB114" si="72">AA103/AA$12</f>
        <v>5.7338640674563079E-3</v>
      </c>
      <c r="AC103" s="128">
        <f t="shared" si="57"/>
        <v>4250</v>
      </c>
      <c r="AD103" s="226">
        <f t="shared" ref="AD103:AD114" si="73">AC103/AC$12</f>
        <v>5.7338640674563079E-3</v>
      </c>
      <c r="AE103" s="393"/>
      <c r="AF103" s="393"/>
      <c r="AG103" s="393"/>
    </row>
    <row r="104" spans="1:33" s="1" customFormat="1">
      <c r="A104" s="2">
        <v>6311</v>
      </c>
      <c r="B104" s="2" t="s">
        <v>154</v>
      </c>
      <c r="C104" s="753">
        <v>10284.905617732022</v>
      </c>
      <c r="D104" s="702">
        <f t="shared" si="60"/>
        <v>1.5374221810563036E-2</v>
      </c>
      <c r="E104" s="678"/>
      <c r="F104" s="702">
        <f t="shared" si="61"/>
        <v>0</v>
      </c>
      <c r="G104" s="678"/>
      <c r="H104" s="702">
        <f t="shared" si="62"/>
        <v>0</v>
      </c>
      <c r="I104" s="678"/>
      <c r="J104" s="702">
        <f t="shared" si="63"/>
        <v>0</v>
      </c>
      <c r="K104" s="678"/>
      <c r="L104" s="702">
        <f t="shared" si="64"/>
        <v>0</v>
      </c>
      <c r="M104" s="678"/>
      <c r="N104" s="702">
        <f t="shared" si="65"/>
        <v>0</v>
      </c>
      <c r="O104" s="678"/>
      <c r="P104" s="702">
        <f t="shared" si="66"/>
        <v>0</v>
      </c>
      <c r="Q104" s="678"/>
      <c r="R104" s="702">
        <f t="shared" si="67"/>
        <v>0</v>
      </c>
      <c r="S104" s="678"/>
      <c r="T104" s="702">
        <f t="shared" si="68"/>
        <v>0</v>
      </c>
      <c r="U104" s="678"/>
      <c r="V104" s="702">
        <f t="shared" si="69"/>
        <v>0</v>
      </c>
      <c r="W104" s="678"/>
      <c r="X104" s="702">
        <f t="shared" si="70"/>
        <v>0</v>
      </c>
      <c r="Y104" s="678"/>
      <c r="Z104" s="702">
        <f t="shared" si="71"/>
        <v>0</v>
      </c>
      <c r="AA104" s="144">
        <f t="shared" si="56"/>
        <v>10284.905617732022</v>
      </c>
      <c r="AB104" s="226">
        <f t="shared" si="72"/>
        <v>1.1563186423273169E-3</v>
      </c>
      <c r="AC104" s="128">
        <f t="shared" si="57"/>
        <v>857.0754681443351</v>
      </c>
      <c r="AD104" s="226">
        <f t="shared" si="73"/>
        <v>1.1563186423273167E-3</v>
      </c>
      <c r="AE104" s="579"/>
      <c r="AF104" s="579"/>
      <c r="AG104" s="579"/>
    </row>
    <row r="105" spans="1:33" s="1" customFormat="1">
      <c r="A105" s="2">
        <v>6312</v>
      </c>
      <c r="B105" s="2" t="s">
        <v>155</v>
      </c>
      <c r="C105" s="678"/>
      <c r="D105" s="702">
        <f t="shared" si="60"/>
        <v>0</v>
      </c>
      <c r="E105" s="678"/>
      <c r="F105" s="702">
        <f t="shared" si="61"/>
        <v>0</v>
      </c>
      <c r="G105" s="678"/>
      <c r="H105" s="702">
        <f t="shared" si="62"/>
        <v>0</v>
      </c>
      <c r="I105" s="678"/>
      <c r="J105" s="702">
        <f t="shared" si="63"/>
        <v>0</v>
      </c>
      <c r="K105" s="678"/>
      <c r="L105" s="702">
        <f t="shared" si="64"/>
        <v>0</v>
      </c>
      <c r="M105" s="678"/>
      <c r="N105" s="702">
        <f t="shared" si="65"/>
        <v>0</v>
      </c>
      <c r="O105" s="678"/>
      <c r="P105" s="702">
        <f t="shared" si="66"/>
        <v>0</v>
      </c>
      <c r="Q105" s="678"/>
      <c r="R105" s="702">
        <f t="shared" si="67"/>
        <v>0</v>
      </c>
      <c r="S105" s="678"/>
      <c r="T105" s="702">
        <f t="shared" si="68"/>
        <v>0</v>
      </c>
      <c r="U105" s="678"/>
      <c r="V105" s="702">
        <f t="shared" si="69"/>
        <v>0</v>
      </c>
      <c r="W105" s="678"/>
      <c r="X105" s="702">
        <f t="shared" si="70"/>
        <v>0</v>
      </c>
      <c r="Y105" s="678"/>
      <c r="Z105" s="702">
        <f t="shared" si="71"/>
        <v>0</v>
      </c>
      <c r="AA105" s="144">
        <f t="shared" si="56"/>
        <v>0</v>
      </c>
      <c r="AB105" s="226">
        <f t="shared" si="72"/>
        <v>0</v>
      </c>
      <c r="AC105" s="128">
        <f t="shared" si="57"/>
        <v>0</v>
      </c>
      <c r="AD105" s="226">
        <f t="shared" si="73"/>
        <v>0</v>
      </c>
      <c r="AE105" s="579"/>
      <c r="AF105" s="579"/>
      <c r="AG105" s="579"/>
    </row>
    <row r="106" spans="1:33" s="1" customFormat="1">
      <c r="A106" s="2">
        <v>6313</v>
      </c>
      <c r="B106" s="2" t="s">
        <v>156</v>
      </c>
      <c r="C106" s="753"/>
      <c r="D106" s="702">
        <f t="shared" si="60"/>
        <v>0</v>
      </c>
      <c r="E106" s="753"/>
      <c r="F106" s="702">
        <f t="shared" si="61"/>
        <v>0</v>
      </c>
      <c r="G106" s="753">
        <f>(27272.7272727273/0.985)/12</f>
        <v>2307.3373327180457</v>
      </c>
      <c r="H106" s="702">
        <f t="shared" si="62"/>
        <v>2.6726085063840666E-3</v>
      </c>
      <c r="I106" s="753"/>
      <c r="J106" s="702">
        <f t="shared" si="63"/>
        <v>0</v>
      </c>
      <c r="K106" s="753">
        <f>(27272.7272727273/0.985)/12</f>
        <v>2307.3373327180457</v>
      </c>
      <c r="L106" s="702">
        <f t="shared" si="64"/>
        <v>3.3093703953879015E-3</v>
      </c>
      <c r="M106" s="753"/>
      <c r="N106" s="702">
        <f t="shared" si="65"/>
        <v>0</v>
      </c>
      <c r="O106" s="753"/>
      <c r="P106" s="702">
        <f t="shared" si="65"/>
        <v>0</v>
      </c>
      <c r="Q106" s="753">
        <f>(27272.7272727273/0.985)/12</f>
        <v>2307.3373327180457</v>
      </c>
      <c r="R106" s="702">
        <f t="shared" si="67"/>
        <v>2.9686809202492631E-3</v>
      </c>
      <c r="S106" s="753"/>
      <c r="T106" s="702">
        <f t="shared" si="68"/>
        <v>0</v>
      </c>
      <c r="U106" s="753"/>
      <c r="V106" s="702">
        <f t="shared" si="69"/>
        <v>0</v>
      </c>
      <c r="W106" s="753"/>
      <c r="X106" s="702">
        <f t="shared" si="70"/>
        <v>0</v>
      </c>
      <c r="Y106" s="753">
        <f>(27272.7272727273/0.985)/12</f>
        <v>2307.3373327180457</v>
      </c>
      <c r="Z106" s="702">
        <f t="shared" si="71"/>
        <v>2.4171691194025523E-3</v>
      </c>
      <c r="AA106" s="144">
        <f t="shared" si="56"/>
        <v>9229.3493308721827</v>
      </c>
      <c r="AB106" s="226">
        <f t="shared" si="72"/>
        <v>1.0376438136135281E-3</v>
      </c>
      <c r="AC106" s="128">
        <f t="shared" si="57"/>
        <v>769.11244423934852</v>
      </c>
      <c r="AD106" s="226">
        <f t="shared" si="73"/>
        <v>1.0376438136135279E-3</v>
      </c>
      <c r="AE106" s="579"/>
      <c r="AF106" s="579"/>
      <c r="AG106" s="579"/>
    </row>
    <row r="107" spans="1:33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60"/>
        <v>1.8685419173969636E-2</v>
      </c>
      <c r="E107" s="678">
        <f>(206850/12)/0.985</f>
        <v>17500</v>
      </c>
      <c r="F107" s="702">
        <f t="shared" si="61"/>
        <v>3.3624084312910182E-2</v>
      </c>
      <c r="G107" s="678">
        <f>(159570/12)/0.985</f>
        <v>13500</v>
      </c>
      <c r="H107" s="702">
        <f t="shared" si="62"/>
        <v>1.5637165110002519E-2</v>
      </c>
      <c r="I107" s="678">
        <f>(159570/12)/0.985</f>
        <v>13500</v>
      </c>
      <c r="J107" s="702">
        <f t="shared" si="63"/>
        <v>1.7709248757710235E-2</v>
      </c>
      <c r="K107" s="678">
        <f>(206850/12)/0.985</f>
        <v>17500</v>
      </c>
      <c r="L107" s="702">
        <f t="shared" si="64"/>
        <v>2.5099919763819513E-2</v>
      </c>
      <c r="M107" s="678">
        <f>(159570/12)/0.985</f>
        <v>13500</v>
      </c>
      <c r="N107" s="702">
        <f t="shared" si="65"/>
        <v>1.3655137027337498E-2</v>
      </c>
      <c r="O107" s="678">
        <f>(159570/12)/0.985</f>
        <v>13500</v>
      </c>
      <c r="P107" s="702">
        <f t="shared" si="65"/>
        <v>2.1568330603209139E-2</v>
      </c>
      <c r="Q107" s="678">
        <f>(206850/12)/0.985</f>
        <v>17500</v>
      </c>
      <c r="R107" s="702">
        <f t="shared" si="67"/>
        <v>2.2515960439630514E-2</v>
      </c>
      <c r="S107" s="678">
        <f>(159570/12)/0.985</f>
        <v>13500</v>
      </c>
      <c r="T107" s="702">
        <f t="shared" si="68"/>
        <v>1.7242220099071212E-2</v>
      </c>
      <c r="U107" s="678">
        <f>(159570/12)/0.985</f>
        <v>13500</v>
      </c>
      <c r="V107" s="702">
        <f t="shared" si="69"/>
        <v>2.1737365317741727E-2</v>
      </c>
      <c r="W107" s="678">
        <f>(206850/12)/0.985</f>
        <v>17500</v>
      </c>
      <c r="X107" s="702">
        <f t="shared" si="70"/>
        <v>2.7695022603866797E-2</v>
      </c>
      <c r="Y107" s="678">
        <f>(159570/12)/0.985</f>
        <v>13500</v>
      </c>
      <c r="Z107" s="702">
        <f t="shared" si="71"/>
        <v>1.414261480071238E-2</v>
      </c>
      <c r="AA107" s="144">
        <f t="shared" si="56"/>
        <v>177000</v>
      </c>
      <c r="AB107" s="226">
        <f t="shared" si="72"/>
        <v>1.9899881175289541E-2</v>
      </c>
      <c r="AC107" s="128">
        <f t="shared" si="57"/>
        <v>14750</v>
      </c>
      <c r="AD107" s="226">
        <f t="shared" si="73"/>
        <v>1.9899881175289538E-2</v>
      </c>
      <c r="AE107" s="579"/>
      <c r="AF107" s="579"/>
      <c r="AG107" s="579"/>
    </row>
    <row r="108" spans="1:33" s="1" customFormat="1">
      <c r="A108" s="2">
        <v>6315</v>
      </c>
      <c r="B108" s="2" t="s">
        <v>323</v>
      </c>
      <c r="C108" s="678"/>
      <c r="D108" s="702">
        <f t="shared" si="60"/>
        <v>0</v>
      </c>
      <c r="E108" s="678">
        <v>2344</v>
      </c>
      <c r="F108" s="702">
        <f t="shared" si="61"/>
        <v>4.5037059216835127E-3</v>
      </c>
      <c r="G108" s="678">
        <v>3594</v>
      </c>
      <c r="H108" s="702">
        <f t="shared" si="62"/>
        <v>4.1629608448406708E-3</v>
      </c>
      <c r="I108" s="678">
        <v>2344</v>
      </c>
      <c r="J108" s="702">
        <f t="shared" si="63"/>
        <v>3.0748503028202069E-3</v>
      </c>
      <c r="K108" s="678">
        <v>1250</v>
      </c>
      <c r="L108" s="702">
        <f t="shared" si="64"/>
        <v>1.7928514117013939E-3</v>
      </c>
      <c r="M108" s="678"/>
      <c r="N108" s="702">
        <f t="shared" si="65"/>
        <v>0</v>
      </c>
      <c r="O108" s="678">
        <v>875</v>
      </c>
      <c r="P108" s="702">
        <f t="shared" si="66"/>
        <v>1.3979473539117034E-3</v>
      </c>
      <c r="Q108" s="678">
        <v>1250</v>
      </c>
      <c r="R108" s="702">
        <f t="shared" si="67"/>
        <v>1.6082828885450368E-3</v>
      </c>
      <c r="S108" s="678"/>
      <c r="T108" s="702">
        <f t="shared" si="68"/>
        <v>0</v>
      </c>
      <c r="U108" s="678">
        <v>875</v>
      </c>
      <c r="V108" s="702">
        <f t="shared" si="69"/>
        <v>1.4089033076314082E-3</v>
      </c>
      <c r="W108" s="678"/>
      <c r="X108" s="702">
        <f t="shared" si="70"/>
        <v>0</v>
      </c>
      <c r="Y108" s="678">
        <v>1250</v>
      </c>
      <c r="Z108" s="702">
        <f t="shared" si="71"/>
        <v>1.3095013704363314E-3</v>
      </c>
      <c r="AA108" s="144">
        <f t="shared" si="56"/>
        <v>13782</v>
      </c>
      <c r="AB108" s="226">
        <f t="shared" si="72"/>
        <v>1.5494924426996636E-3</v>
      </c>
      <c r="AC108" s="128">
        <f t="shared" si="57"/>
        <v>1148.5</v>
      </c>
      <c r="AD108" s="226">
        <f t="shared" si="73"/>
        <v>1.5494924426996634E-3</v>
      </c>
      <c r="AE108" s="579"/>
      <c r="AF108" s="579"/>
      <c r="AG108" s="579"/>
    </row>
    <row r="109" spans="1:33" s="1" customFormat="1">
      <c r="A109" s="2">
        <v>6316</v>
      </c>
      <c r="B109" s="2" t="s">
        <v>324</v>
      </c>
      <c r="C109" s="678"/>
      <c r="D109" s="702">
        <f t="shared" si="60"/>
        <v>0</v>
      </c>
      <c r="E109" s="678"/>
      <c r="F109" s="702">
        <f t="shared" si="61"/>
        <v>0</v>
      </c>
      <c r="G109" s="678"/>
      <c r="H109" s="702">
        <f t="shared" si="62"/>
        <v>0</v>
      </c>
      <c r="I109" s="678"/>
      <c r="J109" s="702">
        <f t="shared" si="63"/>
        <v>0</v>
      </c>
      <c r="K109" s="678"/>
      <c r="L109" s="702">
        <f t="shared" si="64"/>
        <v>0</v>
      </c>
      <c r="M109" s="678">
        <v>950</v>
      </c>
      <c r="N109" s="702">
        <f t="shared" si="65"/>
        <v>9.6091705007189795E-4</v>
      </c>
      <c r="O109" s="678"/>
      <c r="P109" s="702">
        <f t="shared" si="66"/>
        <v>0</v>
      </c>
      <c r="Q109" s="678"/>
      <c r="R109" s="702">
        <f t="shared" si="67"/>
        <v>0</v>
      </c>
      <c r="S109" s="678">
        <v>950</v>
      </c>
      <c r="T109" s="702">
        <f t="shared" si="68"/>
        <v>1.2133414143790852E-3</v>
      </c>
      <c r="U109" s="678"/>
      <c r="V109" s="702">
        <f t="shared" si="69"/>
        <v>0</v>
      </c>
      <c r="W109" s="678"/>
      <c r="X109" s="702">
        <f t="shared" si="70"/>
        <v>0</v>
      </c>
      <c r="Y109" s="678"/>
      <c r="Z109" s="702">
        <f t="shared" si="71"/>
        <v>0</v>
      </c>
      <c r="AA109" s="144">
        <f t="shared" si="56"/>
        <v>1900</v>
      </c>
      <c r="AB109" s="226">
        <f t="shared" si="72"/>
        <v>2.1361454368954872E-4</v>
      </c>
      <c r="AC109" s="128">
        <f t="shared" si="57"/>
        <v>158.33333333333334</v>
      </c>
      <c r="AD109" s="226">
        <f t="shared" si="73"/>
        <v>2.1361454368954872E-4</v>
      </c>
      <c r="AE109" s="579"/>
      <c r="AF109" s="579"/>
      <c r="AG109" s="579"/>
    </row>
    <row r="110" spans="1:33" s="1" customFormat="1">
      <c r="A110" s="2">
        <v>6317</v>
      </c>
      <c r="B110" s="2" t="s">
        <v>325</v>
      </c>
      <c r="C110" s="678"/>
      <c r="D110" s="702">
        <f t="shared" si="60"/>
        <v>0</v>
      </c>
      <c r="E110" s="678">
        <v>2750</v>
      </c>
      <c r="F110" s="702">
        <f t="shared" si="61"/>
        <v>5.2837846777430289E-3</v>
      </c>
      <c r="G110" s="678"/>
      <c r="H110" s="702">
        <f t="shared" si="62"/>
        <v>0</v>
      </c>
      <c r="I110" s="678">
        <v>16120</v>
      </c>
      <c r="J110" s="702">
        <f t="shared" si="63"/>
        <v>2.1146154812910295E-2</v>
      </c>
      <c r="K110" s="678">
        <v>3100</v>
      </c>
      <c r="L110" s="702">
        <f t="shared" si="64"/>
        <v>4.4462715010194567E-3</v>
      </c>
      <c r="M110" s="678"/>
      <c r="N110" s="702">
        <f t="shared" si="65"/>
        <v>0</v>
      </c>
      <c r="O110" s="678"/>
      <c r="P110" s="702">
        <f t="shared" si="66"/>
        <v>0</v>
      </c>
      <c r="Q110" s="678">
        <v>10466</v>
      </c>
      <c r="R110" s="702">
        <f t="shared" si="67"/>
        <v>1.3465830969209884E-2</v>
      </c>
      <c r="S110" s="678"/>
      <c r="T110" s="702">
        <f t="shared" si="68"/>
        <v>0</v>
      </c>
      <c r="U110" s="678">
        <v>2750</v>
      </c>
      <c r="V110" s="702">
        <f t="shared" si="69"/>
        <v>4.4279818239844259E-3</v>
      </c>
      <c r="W110" s="678"/>
      <c r="X110" s="702">
        <f t="shared" si="70"/>
        <v>0</v>
      </c>
      <c r="Y110" s="678"/>
      <c r="Z110" s="702">
        <f t="shared" si="71"/>
        <v>0</v>
      </c>
      <c r="AA110" s="144">
        <f t="shared" si="56"/>
        <v>35186</v>
      </c>
      <c r="AB110" s="226">
        <f t="shared" si="72"/>
        <v>3.9559164917160328E-3</v>
      </c>
      <c r="AC110" s="128">
        <f t="shared" si="57"/>
        <v>2932.1666666666665</v>
      </c>
      <c r="AD110" s="226">
        <f t="shared" si="73"/>
        <v>3.9559164917160319E-3</v>
      </c>
      <c r="AE110" s="579"/>
      <c r="AF110" s="579"/>
      <c r="AG110" s="579"/>
    </row>
    <row r="111" spans="1:33" s="1" customFormat="1">
      <c r="A111" s="2">
        <v>6318</v>
      </c>
      <c r="B111" s="2" t="s">
        <v>326</v>
      </c>
      <c r="C111" s="678">
        <f>(6660/12)</f>
        <v>555</v>
      </c>
      <c r="D111" s="702">
        <f t="shared" si="60"/>
        <v>8.2963261132425192E-4</v>
      </c>
      <c r="E111" s="678">
        <f>(6660/12)</f>
        <v>555</v>
      </c>
      <c r="F111" s="702">
        <f t="shared" si="61"/>
        <v>1.0663638167808659E-3</v>
      </c>
      <c r="G111" s="678">
        <f>(6660/12)</f>
        <v>555</v>
      </c>
      <c r="H111" s="702">
        <f t="shared" si="62"/>
        <v>6.4286123230010352E-4</v>
      </c>
      <c r="I111" s="678">
        <f>(6660/12)</f>
        <v>555</v>
      </c>
      <c r="J111" s="702">
        <f t="shared" si="63"/>
        <v>7.2804689337253186E-4</v>
      </c>
      <c r="K111" s="678">
        <f>(6660/12)</f>
        <v>555</v>
      </c>
      <c r="L111" s="702">
        <f t="shared" si="64"/>
        <v>7.9602602679541888E-4</v>
      </c>
      <c r="M111" s="678">
        <f>(6660/12)</f>
        <v>555</v>
      </c>
      <c r="N111" s="702">
        <f t="shared" si="65"/>
        <v>5.6137785556831937E-4</v>
      </c>
      <c r="O111" s="678">
        <f>(6660/12)</f>
        <v>555</v>
      </c>
      <c r="P111" s="702">
        <f t="shared" si="65"/>
        <v>8.8669803590970902E-4</v>
      </c>
      <c r="Q111" s="678">
        <f>(6660/12)</f>
        <v>555</v>
      </c>
      <c r="R111" s="702">
        <f t="shared" si="67"/>
        <v>7.140776025139963E-4</v>
      </c>
      <c r="S111" s="678">
        <f>(6660/12)</f>
        <v>555</v>
      </c>
      <c r="T111" s="702">
        <f t="shared" si="68"/>
        <v>7.0884682629514977E-4</v>
      </c>
      <c r="U111" s="678">
        <f>(6660/12)</f>
        <v>555</v>
      </c>
      <c r="V111" s="702">
        <f t="shared" si="69"/>
        <v>8.9364724084049318E-4</v>
      </c>
      <c r="W111" s="678">
        <f>(6660/12)</f>
        <v>555</v>
      </c>
      <c r="X111" s="702">
        <f t="shared" si="70"/>
        <v>8.7832785972263275E-4</v>
      </c>
      <c r="Y111" s="678">
        <f>(6660/12)</f>
        <v>555</v>
      </c>
      <c r="Z111" s="702">
        <f t="shared" si="71"/>
        <v>5.8141860847373114E-4</v>
      </c>
      <c r="AA111" s="144">
        <f t="shared" si="56"/>
        <v>6660</v>
      </c>
      <c r="AB111" s="226">
        <f t="shared" si="72"/>
        <v>7.4877518998547085E-4</v>
      </c>
      <c r="AC111" s="128">
        <f t="shared" si="57"/>
        <v>555</v>
      </c>
      <c r="AD111" s="226">
        <f t="shared" si="73"/>
        <v>7.4877518998547074E-4</v>
      </c>
      <c r="AE111" s="579"/>
      <c r="AF111" s="579"/>
      <c r="AG111" s="579"/>
    </row>
    <row r="112" spans="1:33" s="1" customFormat="1">
      <c r="A112" s="2">
        <v>6319</v>
      </c>
      <c r="B112" s="2" t="s">
        <v>327</v>
      </c>
      <c r="C112" s="678"/>
      <c r="D112" s="702">
        <f t="shared" si="60"/>
        <v>0</v>
      </c>
      <c r="E112" s="678">
        <f>(43504.1666666667/12)/0.985</f>
        <v>3680.5555555555584</v>
      </c>
      <c r="F112" s="702">
        <f t="shared" si="61"/>
        <v>7.0717320181914334E-3</v>
      </c>
      <c r="G112" s="678">
        <f>(43504.1666666667/12)/0.985</f>
        <v>3680.5555555555584</v>
      </c>
      <c r="H112" s="702">
        <f t="shared" si="62"/>
        <v>4.2632188828710602E-3</v>
      </c>
      <c r="I112" s="678">
        <f>(43504.1666666667/12)/0.985</f>
        <v>3680.5555555555584</v>
      </c>
      <c r="J112" s="702">
        <f t="shared" si="63"/>
        <v>4.8281388074004278E-3</v>
      </c>
      <c r="K112" s="678">
        <f>(43504.1666666667/12)/0.985</f>
        <v>3680.5555555555584</v>
      </c>
      <c r="L112" s="702">
        <f t="shared" si="64"/>
        <v>5.2789513788985528E-3</v>
      </c>
      <c r="M112" s="678"/>
      <c r="N112" s="702">
        <f t="shared" si="65"/>
        <v>0</v>
      </c>
      <c r="O112" s="678">
        <f>(43504.1666666667/12)/0.985</f>
        <v>3680.5555555555584</v>
      </c>
      <c r="P112" s="702">
        <f t="shared" si="65"/>
        <v>5.8802547426444716E-3</v>
      </c>
      <c r="Q112" s="678">
        <f>(43504.1666666667/12)/0.985</f>
        <v>3680.5555555555584</v>
      </c>
      <c r="R112" s="702">
        <f t="shared" si="67"/>
        <v>4.7354996162715006E-3</v>
      </c>
      <c r="S112" s="678">
        <f>(43504.1666666667/12)/0.985</f>
        <v>3680.5555555555584</v>
      </c>
      <c r="T112" s="702">
        <f t="shared" si="68"/>
        <v>4.7008110352406117E-3</v>
      </c>
      <c r="U112" s="678">
        <f>(43504.1666666667/12)/0.985</f>
        <v>3680.5555555555584</v>
      </c>
      <c r="V112" s="702">
        <f t="shared" si="69"/>
        <v>5.9263393098781501E-3</v>
      </c>
      <c r="W112" s="678">
        <f>(43504.1666666667/12)/0.985</f>
        <v>3680.5555555555584</v>
      </c>
      <c r="X112" s="702">
        <f t="shared" si="70"/>
        <v>5.8247468174799262E-3</v>
      </c>
      <c r="Y112" s="678">
        <f>(43504.1666666667/12)/0.985</f>
        <v>3680.5555555555584</v>
      </c>
      <c r="Z112" s="702">
        <f t="shared" si="71"/>
        <v>3.8557540351736455E-3</v>
      </c>
      <c r="AA112" s="144">
        <f t="shared" si="56"/>
        <v>36805.555555555591</v>
      </c>
      <c r="AB112" s="226">
        <f t="shared" si="72"/>
        <v>4.1380010290738645E-3</v>
      </c>
      <c r="AC112" s="128">
        <f t="shared" si="57"/>
        <v>3067.1296296296327</v>
      </c>
      <c r="AD112" s="226">
        <f t="shared" si="73"/>
        <v>4.1380010290738645E-3</v>
      </c>
      <c r="AE112" s="579"/>
      <c r="AF112" s="579"/>
      <c r="AG112" s="579"/>
    </row>
    <row r="113" spans="1:33" s="1" customFormat="1">
      <c r="A113" s="2">
        <v>6320</v>
      </c>
      <c r="B113" s="2" t="s">
        <v>328</v>
      </c>
      <c r="C113" s="678"/>
      <c r="D113" s="702">
        <f t="shared" si="60"/>
        <v>0</v>
      </c>
      <c r="E113" s="678"/>
      <c r="F113" s="702">
        <f t="shared" si="61"/>
        <v>0</v>
      </c>
      <c r="G113" s="678"/>
      <c r="H113" s="702">
        <f t="shared" si="62"/>
        <v>0</v>
      </c>
      <c r="I113" s="678"/>
      <c r="J113" s="702">
        <f t="shared" si="63"/>
        <v>0</v>
      </c>
      <c r="K113" s="678"/>
      <c r="L113" s="702">
        <f t="shared" si="64"/>
        <v>0</v>
      </c>
      <c r="M113" s="678"/>
      <c r="N113" s="702">
        <f t="shared" si="65"/>
        <v>0</v>
      </c>
      <c r="O113" s="678"/>
      <c r="P113" s="702">
        <f t="shared" si="66"/>
        <v>0</v>
      </c>
      <c r="Q113" s="678"/>
      <c r="R113" s="702">
        <f t="shared" si="67"/>
        <v>0</v>
      </c>
      <c r="S113" s="678"/>
      <c r="T113" s="702">
        <f t="shared" si="68"/>
        <v>0</v>
      </c>
      <c r="U113" s="678"/>
      <c r="V113" s="702">
        <f t="shared" si="69"/>
        <v>0</v>
      </c>
      <c r="W113" s="678"/>
      <c r="X113" s="702">
        <f t="shared" si="70"/>
        <v>0</v>
      </c>
      <c r="Y113" s="678"/>
      <c r="Z113" s="702">
        <f t="shared" si="71"/>
        <v>0</v>
      </c>
      <c r="AA113" s="144">
        <f t="shared" si="56"/>
        <v>0</v>
      </c>
      <c r="AB113" s="226">
        <f t="shared" si="72"/>
        <v>0</v>
      </c>
      <c r="AC113" s="128">
        <f t="shared" si="57"/>
        <v>0</v>
      </c>
      <c r="AD113" s="226">
        <f t="shared" si="73"/>
        <v>0</v>
      </c>
      <c r="AE113" s="579"/>
      <c r="AF113" s="579"/>
      <c r="AG113" s="579"/>
    </row>
    <row r="114" spans="1:33" s="1" customFormat="1">
      <c r="A114" s="2">
        <v>6321</v>
      </c>
      <c r="B114" s="2" t="s">
        <v>329</v>
      </c>
      <c r="C114" s="754"/>
      <c r="D114" s="684">
        <f t="shared" si="60"/>
        <v>0</v>
      </c>
      <c r="E114" s="754"/>
      <c r="F114" s="684">
        <f t="shared" si="61"/>
        <v>0</v>
      </c>
      <c r="G114" s="754"/>
      <c r="H114" s="684">
        <f t="shared" si="62"/>
        <v>0</v>
      </c>
      <c r="I114" s="754"/>
      <c r="J114" s="684">
        <f t="shared" si="63"/>
        <v>0</v>
      </c>
      <c r="K114" s="754"/>
      <c r="L114" s="684">
        <f t="shared" si="64"/>
        <v>0</v>
      </c>
      <c r="M114" s="754"/>
      <c r="N114" s="684">
        <f t="shared" si="65"/>
        <v>0</v>
      </c>
      <c r="O114" s="754"/>
      <c r="P114" s="684">
        <f t="shared" si="66"/>
        <v>0</v>
      </c>
      <c r="Q114" s="754"/>
      <c r="R114" s="684">
        <f t="shared" si="67"/>
        <v>0</v>
      </c>
      <c r="S114" s="754"/>
      <c r="T114" s="684">
        <f t="shared" si="68"/>
        <v>0</v>
      </c>
      <c r="U114" s="754"/>
      <c r="V114" s="684">
        <f t="shared" si="69"/>
        <v>0</v>
      </c>
      <c r="W114" s="754">
        <f>100000/12</f>
        <v>8333.3333333333339</v>
      </c>
      <c r="X114" s="684">
        <f t="shared" si="70"/>
        <v>1.3188106001841332E-2</v>
      </c>
      <c r="Y114" s="754"/>
      <c r="Z114" s="702">
        <f t="shared" si="71"/>
        <v>0</v>
      </c>
      <c r="AA114" s="144">
        <f t="shared" si="56"/>
        <v>8333.3333333333339</v>
      </c>
      <c r="AB114" s="226">
        <f t="shared" si="72"/>
        <v>9.3690589337521379E-4</v>
      </c>
      <c r="AC114" s="128">
        <f t="shared" si="57"/>
        <v>694.44444444444446</v>
      </c>
      <c r="AD114" s="226">
        <f t="shared" si="73"/>
        <v>9.3690589337521368E-4</v>
      </c>
      <c r="AE114" s="579"/>
      <c r="AF114" s="579"/>
      <c r="AG114" s="579"/>
    </row>
    <row r="115" spans="1:33" s="1" customFormat="1" ht="15.75" thickBot="1">
      <c r="A115" s="4">
        <v>6399</v>
      </c>
      <c r="B115" s="229" t="s">
        <v>113</v>
      </c>
      <c r="C115" s="391">
        <f>SUM(C94:C114)</f>
        <v>30150.232014356021</v>
      </c>
      <c r="D115" s="392">
        <f>C115/C12</f>
        <v>4.5069577870454493E-2</v>
      </c>
      <c r="E115" s="391">
        <f>SUM(E94:E114)</f>
        <v>37586.088480112041</v>
      </c>
      <c r="F115" s="392">
        <f>E115/E12</f>
        <v>7.2217017602730832E-2</v>
      </c>
      <c r="G115" s="391">
        <f>SUM(G94:G114)</f>
        <v>31989.224679797408</v>
      </c>
      <c r="H115" s="392">
        <f>G115/G12</f>
        <v>3.7053391708071072E-2</v>
      </c>
      <c r="I115" s="391">
        <f>SUM(I94:I114)</f>
        <v>40793.933982909846</v>
      </c>
      <c r="J115" s="392">
        <f>I115/I12</f>
        <v>5.3513327756219226E-2</v>
      </c>
      <c r="K115" s="391">
        <f>SUM(K94:K114)</f>
        <v>41449.744880076338</v>
      </c>
      <c r="L115" s="392">
        <f>K115/K12</f>
        <v>5.945058689832599E-2</v>
      </c>
      <c r="M115" s="391">
        <f>SUM(M94:M114)</f>
        <v>17660.494515819395</v>
      </c>
      <c r="N115" s="392">
        <f>M115/M12</f>
        <v>1.7863442413633794E-2</v>
      </c>
      <c r="O115" s="391">
        <f>SUM(O94:O114)</f>
        <v>27169.159961691341</v>
      </c>
      <c r="P115" s="392">
        <f>O115/O12</f>
        <v>4.3406920315943093E-2</v>
      </c>
      <c r="Q115" s="391">
        <f>SUM(Q94:Q114)</f>
        <v>42871.669382532098</v>
      </c>
      <c r="R115" s="395">
        <f>Q115/Q12</f>
        <v>5.5159817817029229E-2</v>
      </c>
      <c r="S115" s="391">
        <f>SUM(S94:S114)</f>
        <v>30171.619603842897</v>
      </c>
      <c r="T115" s="392">
        <f>S115/S12</f>
        <v>3.8535237478141554E-2</v>
      </c>
      <c r="U115" s="391">
        <f>SUM(U94:U114)</f>
        <v>34459.34088480864</v>
      </c>
      <c r="V115" s="392">
        <f>U115/U12</f>
        <v>5.5485576401605841E-2</v>
      </c>
      <c r="W115" s="391">
        <f>SUM(W94:W114)</f>
        <v>38850.769406807965</v>
      </c>
      <c r="X115" s="392">
        <f>W115/W12</f>
        <v>6.1484167822809327E-2</v>
      </c>
      <c r="Y115" s="391">
        <f>SUM(Y94:Y114)</f>
        <v>26633.411016551057</v>
      </c>
      <c r="Z115" s="392">
        <f>Y115/Y12</f>
        <v>2.790119058045416E-2</v>
      </c>
      <c r="AA115" s="391">
        <f>SUM(AA94:AA114)</f>
        <v>399785.68880930502</v>
      </c>
      <c r="AB115" s="96">
        <f>AA115/AA12</f>
        <v>4.4947388151900851E-2</v>
      </c>
      <c r="AC115" s="132">
        <f t="shared" si="57"/>
        <v>33315.474067442083</v>
      </c>
      <c r="AD115" s="96">
        <f>AC115/AC12</f>
        <v>4.4947388151900851E-2</v>
      </c>
      <c r="AE115" s="575"/>
      <c r="AF115" s="575"/>
      <c r="AG115" s="575"/>
    </row>
    <row r="116" spans="1:33" s="1" customFormat="1" ht="15.75" thickTop="1">
      <c r="A116" s="21">
        <v>6401</v>
      </c>
      <c r="B116" s="227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144">
        <f t="shared" ref="AA116:AA128" si="74">C116+E116+G116+I116+K116+M116+O116+Q116+S116+U116+W116+Y116</f>
        <v>0</v>
      </c>
      <c r="AB116" s="24">
        <f>AA116/AA12</f>
        <v>0</v>
      </c>
      <c r="AC116" s="128">
        <f>AA116/12</f>
        <v>0</v>
      </c>
      <c r="AD116" s="24">
        <f>AC116/AC12</f>
        <v>0</v>
      </c>
      <c r="AE116" s="579"/>
      <c r="AF116" s="579"/>
      <c r="AG116" s="579"/>
    </row>
    <row r="117" spans="1:33" s="1" customFormat="1">
      <c r="A117" s="188">
        <v>6402</v>
      </c>
      <c r="B117" s="2" t="s">
        <v>75</v>
      </c>
      <c r="C117" s="452">
        <v>500</v>
      </c>
      <c r="D117" s="467">
        <f>C117/C12</f>
        <v>7.4741676695878553E-4</v>
      </c>
      <c r="E117" s="452">
        <v>500</v>
      </c>
      <c r="F117" s="467">
        <f>E117/E12</f>
        <v>9.6068812322600526E-4</v>
      </c>
      <c r="G117" s="452">
        <v>500</v>
      </c>
      <c r="H117" s="467">
        <f>G117/G12</f>
        <v>5.7915426333342659E-4</v>
      </c>
      <c r="I117" s="452">
        <v>500</v>
      </c>
      <c r="J117" s="467">
        <f>I117/I12</f>
        <v>6.5589810213741607E-4</v>
      </c>
      <c r="K117" s="452">
        <v>500</v>
      </c>
      <c r="L117" s="467">
        <f>K117/K12</f>
        <v>7.1714056468055753E-4</v>
      </c>
      <c r="M117" s="452">
        <v>500</v>
      </c>
      <c r="N117" s="467">
        <f>M117/M12</f>
        <v>5.0574581582731471E-4</v>
      </c>
      <c r="O117" s="452">
        <v>500</v>
      </c>
      <c r="P117" s="467">
        <f>O117/O12</f>
        <v>7.9882705937811625E-4</v>
      </c>
      <c r="Q117" s="452">
        <v>500</v>
      </c>
      <c r="R117" s="467">
        <f>Q117/Q12</f>
        <v>6.4331315541801468E-4</v>
      </c>
      <c r="S117" s="452">
        <v>500</v>
      </c>
      <c r="T117" s="467">
        <f>S117/S12</f>
        <v>6.386007444100448E-4</v>
      </c>
      <c r="U117" s="452">
        <v>500</v>
      </c>
      <c r="V117" s="467">
        <f>U117/U12</f>
        <v>8.0508760436080469E-4</v>
      </c>
      <c r="W117" s="452">
        <v>500</v>
      </c>
      <c r="X117" s="467">
        <f>W117/W12</f>
        <v>7.9128636011047994E-4</v>
      </c>
      <c r="Y117" s="452">
        <v>500</v>
      </c>
      <c r="Z117" s="467">
        <f>Y117/Y12</f>
        <v>5.2380054817453261E-4</v>
      </c>
      <c r="AA117" s="144">
        <f t="shared" si="74"/>
        <v>6000</v>
      </c>
      <c r="AB117" s="68">
        <f>AA117/AA12</f>
        <v>6.7457224323015392E-4</v>
      </c>
      <c r="AC117" s="128">
        <f t="shared" ref="AC117:AC128" si="75">AA117/12</f>
        <v>500</v>
      </c>
      <c r="AD117" s="68">
        <f>AC117/AC12</f>
        <v>6.7457224323015381E-4</v>
      </c>
      <c r="AE117" s="393" t="s">
        <v>262</v>
      </c>
      <c r="AF117" s="393"/>
      <c r="AG117" s="393"/>
    </row>
    <row r="118" spans="1:33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144">
        <f t="shared" si="74"/>
        <v>0</v>
      </c>
      <c r="AB118" s="702">
        <f>AA118/AA12</f>
        <v>0</v>
      </c>
      <c r="AC118" s="128">
        <f t="shared" si="75"/>
        <v>0</v>
      </c>
      <c r="AD118" s="702">
        <f>AC118/AC12</f>
        <v>0</v>
      </c>
      <c r="AE118" s="393"/>
      <c r="AF118" s="393"/>
      <c r="AG118" s="393"/>
    </row>
    <row r="119" spans="1:33" s="1" customFormat="1">
      <c r="A119" s="188">
        <v>6404</v>
      </c>
      <c r="B119" s="188" t="s">
        <v>92</v>
      </c>
      <c r="C119" s="707">
        <v>2000</v>
      </c>
      <c r="D119" s="467">
        <f>C119/C12</f>
        <v>2.9896670678351421E-3</v>
      </c>
      <c r="E119" s="707">
        <v>2000</v>
      </c>
      <c r="F119" s="467">
        <f>E119/E12</f>
        <v>3.842752492904021E-3</v>
      </c>
      <c r="G119" s="707">
        <v>2000</v>
      </c>
      <c r="H119" s="467">
        <f>G119/G12</f>
        <v>2.3166170533337064E-3</v>
      </c>
      <c r="I119" s="707">
        <v>2000</v>
      </c>
      <c r="J119" s="467">
        <f>I119/I12</f>
        <v>2.6235924085496643E-3</v>
      </c>
      <c r="K119" s="707">
        <v>2000</v>
      </c>
      <c r="L119" s="467">
        <f>K119/K12</f>
        <v>2.8685622587222301E-3</v>
      </c>
      <c r="M119" s="707">
        <v>2000</v>
      </c>
      <c r="N119" s="467">
        <f>M119/M12</f>
        <v>2.0229832633092588E-3</v>
      </c>
      <c r="O119" s="707">
        <v>2000</v>
      </c>
      <c r="P119" s="467">
        <f>O119/O12</f>
        <v>3.195308237512465E-3</v>
      </c>
      <c r="Q119" s="707">
        <v>2000</v>
      </c>
      <c r="R119" s="467">
        <f>Q119/Q12</f>
        <v>2.5732526216720587E-3</v>
      </c>
      <c r="S119" s="707">
        <v>2000</v>
      </c>
      <c r="T119" s="467">
        <f>S119/S12</f>
        <v>2.5544029776401792E-3</v>
      </c>
      <c r="U119" s="707">
        <v>2000</v>
      </c>
      <c r="V119" s="467">
        <f>U119/U12</f>
        <v>3.2203504174432187E-3</v>
      </c>
      <c r="W119" s="707">
        <v>2000</v>
      </c>
      <c r="X119" s="467">
        <f>W119/W12</f>
        <v>3.1651454404419198E-3</v>
      </c>
      <c r="Y119" s="707">
        <v>2000</v>
      </c>
      <c r="Z119" s="467">
        <f>Y119/Y12</f>
        <v>2.0952021926981305E-3</v>
      </c>
      <c r="AA119" s="144">
        <f t="shared" si="74"/>
        <v>24000</v>
      </c>
      <c r="AB119" s="702">
        <f>AA119/AA12</f>
        <v>2.6982889729206157E-3</v>
      </c>
      <c r="AC119" s="128">
        <f t="shared" si="75"/>
        <v>2000</v>
      </c>
      <c r="AD119" s="702">
        <v>0</v>
      </c>
      <c r="AE119" s="645"/>
      <c r="AF119" s="226"/>
      <c r="AG119" s="226"/>
    </row>
    <row r="120" spans="1:33" s="1" customFormat="1">
      <c r="A120" s="188">
        <v>6406</v>
      </c>
      <c r="B120" s="188" t="s">
        <v>72</v>
      </c>
      <c r="C120" s="452">
        <v>750</v>
      </c>
      <c r="D120" s="467">
        <f>C120/C12</f>
        <v>1.1211251504381781E-3</v>
      </c>
      <c r="E120" s="452">
        <v>750</v>
      </c>
      <c r="F120" s="467">
        <f>E120/E12</f>
        <v>1.4410321848390079E-3</v>
      </c>
      <c r="G120" s="452">
        <v>750</v>
      </c>
      <c r="H120" s="467">
        <f>G120/G12</f>
        <v>8.6873139500013988E-4</v>
      </c>
      <c r="I120" s="452">
        <v>750</v>
      </c>
      <c r="J120" s="467">
        <f>I120/I12</f>
        <v>9.8384715320612415E-4</v>
      </c>
      <c r="K120" s="452">
        <v>750</v>
      </c>
      <c r="L120" s="467">
        <f>K120/K12</f>
        <v>1.0757108470208364E-3</v>
      </c>
      <c r="M120" s="452">
        <v>750</v>
      </c>
      <c r="N120" s="467">
        <f>M120/M12</f>
        <v>7.5861872374097207E-4</v>
      </c>
      <c r="O120" s="452">
        <v>750</v>
      </c>
      <c r="P120" s="467">
        <f>O120/O12</f>
        <v>1.1982405890671743E-3</v>
      </c>
      <c r="Q120" s="452">
        <v>750</v>
      </c>
      <c r="R120" s="467">
        <f>Q120/Q12</f>
        <v>9.6496973312702207E-4</v>
      </c>
      <c r="S120" s="452">
        <v>750</v>
      </c>
      <c r="T120" s="467">
        <f>S120/S12</f>
        <v>9.5790111661506726E-4</v>
      </c>
      <c r="U120" s="452">
        <v>750</v>
      </c>
      <c r="V120" s="467">
        <f>U120/U12</f>
        <v>1.207631406541207E-3</v>
      </c>
      <c r="W120" s="452">
        <v>750</v>
      </c>
      <c r="X120" s="467">
        <f>W120/W12</f>
        <v>1.1869295401657199E-3</v>
      </c>
      <c r="Y120" s="452">
        <v>750</v>
      </c>
      <c r="Z120" s="467">
        <f>Y120/Y12</f>
        <v>7.8570082226179887E-4</v>
      </c>
      <c r="AA120" s="144">
        <f t="shared" si="74"/>
        <v>9000</v>
      </c>
      <c r="AB120" s="68">
        <f>AA120/AA12</f>
        <v>1.0118583648452309E-3</v>
      </c>
      <c r="AC120" s="128">
        <f t="shared" si="75"/>
        <v>750</v>
      </c>
      <c r="AD120" s="68">
        <f>AC120/AC12</f>
        <v>1.0118583648452309E-3</v>
      </c>
      <c r="AE120" s="393"/>
      <c r="AF120" s="393"/>
      <c r="AG120" s="393"/>
    </row>
    <row r="121" spans="1:33" s="1" customFormat="1">
      <c r="A121" s="188">
        <v>6407</v>
      </c>
      <c r="B121" s="227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144">
        <f t="shared" si="74"/>
        <v>0</v>
      </c>
      <c r="AB121" s="68">
        <f>AA121/AA12</f>
        <v>0</v>
      </c>
      <c r="AC121" s="128">
        <f t="shared" si="75"/>
        <v>0</v>
      </c>
      <c r="AD121" s="68">
        <f>AC121/AC12</f>
        <v>0</v>
      </c>
      <c r="AE121" s="393"/>
      <c r="AF121" s="393"/>
      <c r="AG121" s="393"/>
    </row>
    <row r="122" spans="1:33" s="1" customFormat="1">
      <c r="A122" s="188">
        <v>6408</v>
      </c>
      <c r="B122" s="227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144">
        <f t="shared" si="74"/>
        <v>0</v>
      </c>
      <c r="AB122" s="68">
        <f>AA122/AA12</f>
        <v>0</v>
      </c>
      <c r="AC122" s="128">
        <f t="shared" si="75"/>
        <v>0</v>
      </c>
      <c r="AD122" s="68">
        <f>AC122/AC12</f>
        <v>0</v>
      </c>
      <c r="AE122" s="393"/>
      <c r="AF122" s="393"/>
      <c r="AG122" s="393"/>
    </row>
    <row r="123" spans="1:33" s="1" customFormat="1">
      <c r="A123" s="188">
        <v>6410</v>
      </c>
      <c r="B123" s="227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144">
        <f t="shared" si="74"/>
        <v>0</v>
      </c>
      <c r="AB123" s="24"/>
      <c r="AC123" s="128">
        <f t="shared" si="75"/>
        <v>0</v>
      </c>
      <c r="AD123" s="24"/>
      <c r="AE123" s="579"/>
      <c r="AF123" s="579"/>
      <c r="AG123" s="579"/>
    </row>
    <row r="124" spans="1:33" s="1" customFormat="1">
      <c r="A124" s="188">
        <v>6411</v>
      </c>
      <c r="B124" s="227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144">
        <f t="shared" si="74"/>
        <v>0</v>
      </c>
      <c r="AB124" s="24"/>
      <c r="AC124" s="128">
        <f t="shared" si="75"/>
        <v>0</v>
      </c>
      <c r="AD124" s="24"/>
      <c r="AE124" s="579"/>
      <c r="AF124" s="579"/>
      <c r="AG124" s="579"/>
    </row>
    <row r="125" spans="1:33" s="1" customFormat="1">
      <c r="A125" s="188">
        <v>6412</v>
      </c>
      <c r="B125" s="227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144">
        <f t="shared" si="74"/>
        <v>0</v>
      </c>
      <c r="AB125" s="24">
        <f>AA125/AA12</f>
        <v>0</v>
      </c>
      <c r="AC125" s="128">
        <f t="shared" si="75"/>
        <v>0</v>
      </c>
      <c r="AD125" s="24">
        <f>AC125/AC12</f>
        <v>0</v>
      </c>
      <c r="AE125" s="579"/>
      <c r="AF125" s="579"/>
      <c r="AG125" s="579"/>
    </row>
    <row r="126" spans="1:33" s="1" customFormat="1">
      <c r="A126" s="188">
        <v>6413</v>
      </c>
      <c r="B126" s="188" t="s">
        <v>41</v>
      </c>
      <c r="C126" s="452">
        <f>C12*1%</f>
        <v>6689.7081000000007</v>
      </c>
      <c r="D126" s="467">
        <f>C126/C12</f>
        <v>0.01</v>
      </c>
      <c r="E126" s="452">
        <f>E12*1%</f>
        <v>5204.6027000000004</v>
      </c>
      <c r="F126" s="467">
        <f>E126/E12</f>
        <v>0.01</v>
      </c>
      <c r="G126" s="452">
        <f>G12*1%</f>
        <v>8633.2784139783416</v>
      </c>
      <c r="H126" s="467">
        <f>G126/G12</f>
        <v>0.01</v>
      </c>
      <c r="I126" s="452">
        <f>I12*1%</f>
        <v>7623.1353371906216</v>
      </c>
      <c r="J126" s="467">
        <f>I126/I12</f>
        <v>0.01</v>
      </c>
      <c r="K126" s="452">
        <f>K12*1%</f>
        <v>6972.1338413302501</v>
      </c>
      <c r="L126" s="467">
        <f>K126/K12</f>
        <v>0.01</v>
      </c>
      <c r="M126" s="452">
        <f>M12*1%</f>
        <v>9886.3892562726287</v>
      </c>
      <c r="N126" s="467">
        <f>M126/M12</f>
        <v>0.01</v>
      </c>
      <c r="O126" s="452">
        <f>O12*1%</f>
        <v>6259.1770537824304</v>
      </c>
      <c r="P126" s="467">
        <f>O126/O12</f>
        <v>0.01</v>
      </c>
      <c r="Q126" s="452">
        <f>Q12*1%</f>
        <v>7772.2644996293902</v>
      </c>
      <c r="R126" s="467">
        <f>Q126/Q12</f>
        <v>0.01</v>
      </c>
      <c r="S126" s="452">
        <f>S12*1%</f>
        <v>7829.6181828273993</v>
      </c>
      <c r="T126" s="467">
        <f>S126/S12</f>
        <v>0.01</v>
      </c>
      <c r="U126" s="452">
        <f>U12*1%</f>
        <v>6210.5042642778299</v>
      </c>
      <c r="V126" s="467">
        <f>U126/U12</f>
        <v>0.01</v>
      </c>
      <c r="W126" s="452">
        <f>W12*1%</f>
        <v>6318.82495649476</v>
      </c>
      <c r="X126" s="467">
        <f>W126/W12</f>
        <v>0.01</v>
      </c>
      <c r="Y126" s="452">
        <f>Y12*1%</f>
        <v>9545.6181125148014</v>
      </c>
      <c r="Z126" s="467">
        <f>Y126/Y12</f>
        <v>0.01</v>
      </c>
      <c r="AA126" s="144">
        <f t="shared" si="74"/>
        <v>88945.254718298456</v>
      </c>
      <c r="AB126" s="68">
        <f>AA126/AA12</f>
        <v>1.0000000000000004E-2</v>
      </c>
      <c r="AC126" s="128">
        <f t="shared" si="75"/>
        <v>7412.104559858205</v>
      </c>
      <c r="AD126" s="68">
        <f>AC126/AC12</f>
        <v>1.0000000000000004E-2</v>
      </c>
      <c r="AE126" s="595" t="s">
        <v>290</v>
      </c>
      <c r="AF126" s="393"/>
      <c r="AG126" s="393"/>
    </row>
    <row r="127" spans="1:33" s="1" customFormat="1">
      <c r="A127" s="188">
        <v>6414</v>
      </c>
      <c r="B127" s="188" t="s">
        <v>43</v>
      </c>
      <c r="C127" s="486">
        <v>250</v>
      </c>
      <c r="D127" s="467">
        <f>C127/C12</f>
        <v>3.7370838347939277E-4</v>
      </c>
      <c r="E127" s="486">
        <v>250</v>
      </c>
      <c r="F127" s="467">
        <f>E127/E12</f>
        <v>4.8034406161300263E-4</v>
      </c>
      <c r="G127" s="486">
        <v>250</v>
      </c>
      <c r="H127" s="467">
        <f>G127/G12</f>
        <v>2.8957713166671329E-4</v>
      </c>
      <c r="I127" s="486">
        <v>250</v>
      </c>
      <c r="J127" s="467">
        <f>I127/I12</f>
        <v>3.2794905106870803E-4</v>
      </c>
      <c r="K127" s="486">
        <v>250</v>
      </c>
      <c r="L127" s="467">
        <f>K127/K12</f>
        <v>3.5857028234027876E-4</v>
      </c>
      <c r="M127" s="486">
        <v>250</v>
      </c>
      <c r="N127" s="467">
        <f>M127/M12</f>
        <v>2.5287290791365736E-4</v>
      </c>
      <c r="O127" s="486">
        <v>250</v>
      </c>
      <c r="P127" s="467">
        <f>O127/O12</f>
        <v>3.9941352968905812E-4</v>
      </c>
      <c r="Q127" s="486">
        <v>250</v>
      </c>
      <c r="R127" s="467">
        <f>Q127/Q12</f>
        <v>3.2165657770900734E-4</v>
      </c>
      <c r="S127" s="486">
        <v>250</v>
      </c>
      <c r="T127" s="467">
        <f>S127/S12</f>
        <v>3.193003722050224E-4</v>
      </c>
      <c r="U127" s="486">
        <v>250</v>
      </c>
      <c r="V127" s="467">
        <f>U127/U12</f>
        <v>4.0254380218040234E-4</v>
      </c>
      <c r="W127" s="486">
        <v>250</v>
      </c>
      <c r="X127" s="467">
        <f>W127/W12</f>
        <v>3.9564318005523997E-4</v>
      </c>
      <c r="Y127" s="486">
        <v>250</v>
      </c>
      <c r="Z127" s="467">
        <f>Y127/Y12</f>
        <v>2.6190027408726631E-4</v>
      </c>
      <c r="AA127" s="144">
        <f t="shared" si="74"/>
        <v>3000</v>
      </c>
      <c r="AB127" s="68">
        <f>AA127/AA12</f>
        <v>3.3728612161507696E-4</v>
      </c>
      <c r="AC127" s="128">
        <f t="shared" si="75"/>
        <v>250</v>
      </c>
      <c r="AD127" s="68">
        <f>AC127/AC12</f>
        <v>3.3728612161507691E-4</v>
      </c>
      <c r="AE127" s="645" t="s">
        <v>284</v>
      </c>
      <c r="AF127" s="393"/>
      <c r="AG127" s="393"/>
    </row>
    <row r="128" spans="1:33" s="1" customFormat="1">
      <c r="A128" s="2">
        <v>6415</v>
      </c>
      <c r="B128" s="228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144">
        <f t="shared" si="74"/>
        <v>0</v>
      </c>
      <c r="AB128" s="68">
        <f>AA128/AA12</f>
        <v>0</v>
      </c>
      <c r="AC128" s="128">
        <f t="shared" si="75"/>
        <v>0</v>
      </c>
      <c r="AD128" s="68">
        <f>AC128/AC12</f>
        <v>0</v>
      </c>
      <c r="AE128" s="393"/>
      <c r="AF128" s="393"/>
      <c r="AG128" s="393"/>
    </row>
    <row r="129" spans="1:35" s="1" customFormat="1" ht="15.75" thickBot="1">
      <c r="A129" s="4">
        <v>6499</v>
      </c>
      <c r="B129" s="229" t="s">
        <v>114</v>
      </c>
      <c r="C129" s="76">
        <f>SUM(C116:C128)</f>
        <v>10189.7081</v>
      </c>
      <c r="D129" s="23">
        <f>C129/C12</f>
        <v>1.5231917368711496E-2</v>
      </c>
      <c r="E129" s="116">
        <f>SUM(E116:E128)</f>
        <v>8704.6026999999995</v>
      </c>
      <c r="F129" s="23">
        <f>E129/E12</f>
        <v>1.6724816862582037E-2</v>
      </c>
      <c r="G129" s="76">
        <f>SUM(G116:G128)</f>
        <v>12133.278413978342</v>
      </c>
      <c r="H129" s="23">
        <f>G129/G12</f>
        <v>1.4054079843333987E-2</v>
      </c>
      <c r="I129" s="76">
        <f>SUM(I116:I128)</f>
        <v>11123.135337190623</v>
      </c>
      <c r="J129" s="23">
        <f>I129/I12</f>
        <v>1.4591286714961915E-2</v>
      </c>
      <c r="K129" s="28">
        <f>SUM(K116:K128)</f>
        <v>10472.133841330251</v>
      </c>
      <c r="L129" s="23">
        <f>K129/K12</f>
        <v>1.5019983952763905E-2</v>
      </c>
      <c r="M129" s="28">
        <f>SUM(M116:M128)</f>
        <v>13386.389256272629</v>
      </c>
      <c r="N129" s="23">
        <f>M129/M12</f>
        <v>1.3540220710791202E-2</v>
      </c>
      <c r="O129" s="28">
        <f>SUM(O116:O128)</f>
        <v>9759.1770537824304</v>
      </c>
      <c r="P129" s="23">
        <f>O129/O12</f>
        <v>1.5591789415646814E-2</v>
      </c>
      <c r="Q129" s="28">
        <f>SUM(Q116:Q128)</f>
        <v>11272.264499629389</v>
      </c>
      <c r="R129" s="23">
        <f>Q129/Q12</f>
        <v>1.4503192087926102E-2</v>
      </c>
      <c r="S129" s="28">
        <f>SUM(S116:S128)</f>
        <v>11329.618182827398</v>
      </c>
      <c r="T129" s="23">
        <f>S129/S12</f>
        <v>1.4470205210870312E-2</v>
      </c>
      <c r="U129" s="76">
        <f>SUM(U116:U128)</f>
        <v>9710.5042642778299</v>
      </c>
      <c r="V129" s="23">
        <f>U129/U12</f>
        <v>1.5635613230525633E-2</v>
      </c>
      <c r="W129" s="76">
        <f>SUM(W116:W128)</f>
        <v>9818.82495649476</v>
      </c>
      <c r="X129" s="23">
        <f>W129/W12</f>
        <v>1.5539004520773361E-2</v>
      </c>
      <c r="Y129" s="76">
        <f>SUM(Y116:Y128)</f>
        <v>13045.618112514801</v>
      </c>
      <c r="Z129" s="23">
        <f>Y129/Y12</f>
        <v>1.3666603837221729E-2</v>
      </c>
      <c r="AA129" s="196">
        <f>SUM(AA116:AA128)</f>
        <v>130945.25471829846</v>
      </c>
      <c r="AB129" s="23">
        <f>AA129/AA12</f>
        <v>1.472200570261108E-2</v>
      </c>
      <c r="AC129" s="52">
        <f t="shared" ref="AC129:AC136" si="76">AA129/12</f>
        <v>10912.104559858204</v>
      </c>
      <c r="AD129" s="23">
        <f>AC129/AC12</f>
        <v>1.4722005702611079E-2</v>
      </c>
      <c r="AE129" s="575"/>
      <c r="AF129" s="575"/>
      <c r="AG129" s="575"/>
    </row>
    <row r="130" spans="1:35" s="1" customFormat="1" ht="15.75" thickTop="1">
      <c r="A130" s="222"/>
      <c r="B130" s="230"/>
      <c r="C130" s="82"/>
      <c r="D130" s="233"/>
      <c r="E130" s="703"/>
      <c r="F130" s="233"/>
      <c r="G130" s="82"/>
      <c r="H130" s="233"/>
      <c r="I130" s="82"/>
      <c r="J130" s="233"/>
      <c r="K130" s="32"/>
      <c r="L130" s="233"/>
      <c r="M130" s="32"/>
      <c r="N130" s="233"/>
      <c r="O130" s="32"/>
      <c r="P130" s="233"/>
      <c r="Q130" s="32"/>
      <c r="R130" s="233"/>
      <c r="S130" s="32"/>
      <c r="T130" s="233"/>
      <c r="U130" s="82"/>
      <c r="V130" s="233"/>
      <c r="W130" s="82"/>
      <c r="X130" s="233"/>
      <c r="Y130" s="82"/>
      <c r="Z130" s="233"/>
      <c r="AA130" s="201"/>
      <c r="AB130" s="233"/>
      <c r="AC130" s="201">
        <f t="shared" si="76"/>
        <v>0</v>
      </c>
      <c r="AD130" s="233"/>
      <c r="AE130" s="574"/>
      <c r="AF130" s="574"/>
      <c r="AG130" s="574"/>
    </row>
    <row r="131" spans="1:35" s="1" customFormat="1" ht="15.75" thickBot="1">
      <c r="A131" s="4"/>
      <c r="B131" s="229" t="s">
        <v>133</v>
      </c>
      <c r="C131" s="278">
        <f>C37-C41-C76-C93-C115-C129</f>
        <v>-29571.080131697552</v>
      </c>
      <c r="D131" s="259">
        <f>C131/C12</f>
        <v>-4.4203842215025123E-2</v>
      </c>
      <c r="E131" s="278">
        <f>E37-E41-E76-E93-E115-E129</f>
        <v>-49619.103151453659</v>
      </c>
      <c r="F131" s="259">
        <f>E131/E12</f>
        <v>-9.5336966165455159E-2</v>
      </c>
      <c r="G131" s="278">
        <f>G37-G41-G76-G93-G115-G129</f>
        <v>5301.3263358344757</v>
      </c>
      <c r="H131" s="259">
        <f>G131/G12</f>
        <v>6.1405714974406191E-3</v>
      </c>
      <c r="I131" s="278">
        <f>I37-I41-I76-I93-I115-I129</f>
        <v>23029.370911481128</v>
      </c>
      <c r="J131" s="259">
        <f>I131/I12</f>
        <v>3.0209841348518177E-2</v>
      </c>
      <c r="K131" s="287">
        <f>K37-K41-K76-K93-K115-K129</f>
        <v>46189.661887168106</v>
      </c>
      <c r="L131" s="259">
        <f>K131/K12</f>
        <v>6.6248960416335531E-2</v>
      </c>
      <c r="M131" s="287">
        <f>M37-M41-M76-M93-M115-M129</f>
        <v>80761.438539251991</v>
      </c>
      <c r="N131" s="259">
        <f>M131/M12</f>
        <v>8.1689519242843067E-2</v>
      </c>
      <c r="O131" s="287">
        <f>O37-O41-O76-O93-O115-O129</f>
        <v>8201.3035931846898</v>
      </c>
      <c r="P131" s="259">
        <f>O131/O12</f>
        <v>1.3102846464821809E-2</v>
      </c>
      <c r="Q131" s="287">
        <f>Q37-Q41-Q76-Q93-Q115-Q129</f>
        <v>49319.440538067858</v>
      </c>
      <c r="R131" s="259">
        <f>Q131/Q12</f>
        <v>6.3455689831991166E-2</v>
      </c>
      <c r="S131" s="287">
        <f>S37-S41-S76-S93-S115-S129</f>
        <v>36181.772315204704</v>
      </c>
      <c r="T131" s="259">
        <f>S131/S12</f>
        <v>4.6211413469128951E-2</v>
      </c>
      <c r="U131" s="252">
        <f>U37-U41-U76-U93-U115-U129</f>
        <v>9908.2085281316522</v>
      </c>
      <c r="V131" s="259">
        <f>U131/U12</f>
        <v>1.5953951734841612E-2</v>
      </c>
      <c r="W131" s="252">
        <f>W37-W41-W76-W93-W115-W129</f>
        <v>21029.222180091769</v>
      </c>
      <c r="X131" s="259">
        <f>W131/W12</f>
        <v>3.3280273349678771E-2</v>
      </c>
      <c r="Y131" s="252">
        <f>Y37-Y41-Y76-Y93-Y115-Y129</f>
        <v>112257.0995641953</v>
      </c>
      <c r="Z131" s="259">
        <f>Y131/Y12</f>
        <v>0.11760066057641717</v>
      </c>
      <c r="AA131" s="256">
        <f>AA37-AA41-AA76-AA93-AA115-AA129</f>
        <v>312988.66110945825</v>
      </c>
      <c r="AB131" s="259">
        <f>AA131/AA12</f>
        <v>3.5188910538368277E-2</v>
      </c>
      <c r="AC131" s="274">
        <f t="shared" si="76"/>
        <v>26082.388425788187</v>
      </c>
      <c r="AD131" s="259">
        <f>AC131/AC12</f>
        <v>3.5188910538368277E-2</v>
      </c>
      <c r="AE131" s="565"/>
      <c r="AF131" s="565"/>
      <c r="AG131" s="565"/>
    </row>
    <row r="132" spans="1:35" s="1" customFormat="1" ht="15.75" thickTop="1">
      <c r="A132" s="222"/>
      <c r="B132" s="230"/>
      <c r="C132" s="82"/>
      <c r="D132" s="233"/>
      <c r="E132" s="703"/>
      <c r="F132" s="233"/>
      <c r="G132" s="82"/>
      <c r="H132" s="233"/>
      <c r="I132" s="82"/>
      <c r="J132" s="233"/>
      <c r="K132" s="32"/>
      <c r="L132" s="233"/>
      <c r="M132" s="32"/>
      <c r="N132" s="233"/>
      <c r="O132" s="32"/>
      <c r="P132" s="233"/>
      <c r="Q132" s="32"/>
      <c r="R132" s="233"/>
      <c r="S132" s="32"/>
      <c r="T132" s="233"/>
      <c r="U132" s="82"/>
      <c r="V132" s="233"/>
      <c r="W132" s="82"/>
      <c r="X132" s="233"/>
      <c r="Y132" s="82"/>
      <c r="Z132" s="233"/>
      <c r="AA132" s="201"/>
      <c r="AB132" s="233"/>
      <c r="AC132" s="201">
        <f t="shared" si="76"/>
        <v>0</v>
      </c>
      <c r="AD132" s="233"/>
      <c r="AE132" s="574"/>
      <c r="AF132" s="574"/>
      <c r="AG132" s="574"/>
    </row>
    <row r="133" spans="1:35" s="1" customFormat="1" ht="15.75" thickBot="1">
      <c r="A133" s="72"/>
      <c r="B133" s="4" t="s">
        <v>149</v>
      </c>
      <c r="C133" s="76"/>
      <c r="D133" s="107"/>
      <c r="E133" s="274"/>
      <c r="F133" s="107"/>
      <c r="G133" s="274"/>
      <c r="H133" s="107"/>
      <c r="I133" s="274"/>
      <c r="J133" s="107"/>
      <c r="K133" s="28"/>
      <c r="L133" s="107"/>
      <c r="M133" s="28"/>
      <c r="N133" s="107"/>
      <c r="O133" s="28"/>
      <c r="P133" s="107"/>
      <c r="Q133" s="28"/>
      <c r="R133" s="107"/>
      <c r="S133" s="28"/>
      <c r="T133" s="107"/>
      <c r="U133" s="28"/>
      <c r="V133" s="107"/>
      <c r="W133" s="28"/>
      <c r="X133" s="107"/>
      <c r="Y133" s="28"/>
      <c r="Z133" s="107"/>
      <c r="AA133" s="197">
        <f>C133+E133+G133+I133+K133+M133+O133+Q133+S133+U133+W133+Y133</f>
        <v>0</v>
      </c>
      <c r="AB133" s="107"/>
      <c r="AC133" s="264">
        <f t="shared" si="76"/>
        <v>0</v>
      </c>
      <c r="AD133" s="107"/>
      <c r="AE133" s="583"/>
      <c r="AF133" s="583"/>
      <c r="AG133" s="583"/>
    </row>
    <row r="134" spans="1:35" s="1" customFormat="1" ht="15.75" thickTop="1">
      <c r="A134" s="222"/>
      <c r="B134" s="222"/>
      <c r="C134" s="82"/>
      <c r="D134" s="233"/>
      <c r="E134" s="703"/>
      <c r="F134" s="233"/>
      <c r="G134" s="82"/>
      <c r="H134" s="233"/>
      <c r="I134" s="82"/>
      <c r="J134" s="233"/>
      <c r="K134" s="32"/>
      <c r="L134" s="233"/>
      <c r="M134" s="32"/>
      <c r="N134" s="233"/>
      <c r="O134" s="32"/>
      <c r="P134" s="233"/>
      <c r="Q134" s="32"/>
      <c r="R134" s="233"/>
      <c r="S134" s="32"/>
      <c r="T134" s="233"/>
      <c r="U134" s="82"/>
      <c r="V134" s="233"/>
      <c r="W134" s="82"/>
      <c r="X134" s="233"/>
      <c r="Y134" s="82"/>
      <c r="Z134" s="233"/>
      <c r="AA134" s="201"/>
      <c r="AB134" s="233"/>
      <c r="AC134" s="201">
        <f t="shared" si="76"/>
        <v>0</v>
      </c>
      <c r="AD134" s="233"/>
      <c r="AE134" s="574"/>
      <c r="AF134" s="574"/>
      <c r="AG134" s="574"/>
    </row>
    <row r="135" spans="1:35" s="1" customFormat="1" ht="15.75" thickBot="1">
      <c r="A135" s="4"/>
      <c r="B135" s="4" t="s">
        <v>140</v>
      </c>
      <c r="C135" s="76">
        <f>C131-C133</f>
        <v>-29571.080131697552</v>
      </c>
      <c r="D135" s="89">
        <f>C135/C12</f>
        <v>-4.4203842215025123E-2</v>
      </c>
      <c r="E135" s="76">
        <f>E131-E133</f>
        <v>-49619.103151453659</v>
      </c>
      <c r="F135" s="89">
        <f>E135/E12</f>
        <v>-9.5336966165455159E-2</v>
      </c>
      <c r="G135" s="76">
        <f>G131-G133</f>
        <v>5301.3263358344757</v>
      </c>
      <c r="H135" s="89">
        <f>G135/G12</f>
        <v>6.1405714974406191E-3</v>
      </c>
      <c r="I135" s="76">
        <f>I131-I133</f>
        <v>23029.370911481128</v>
      </c>
      <c r="J135" s="89">
        <f>I135/I12</f>
        <v>3.0209841348518177E-2</v>
      </c>
      <c r="K135" s="28">
        <f>K131-K133</f>
        <v>46189.661887168106</v>
      </c>
      <c r="L135" s="89">
        <f>K135/K12</f>
        <v>6.6248960416335531E-2</v>
      </c>
      <c r="M135" s="28">
        <f>M131-M133</f>
        <v>80761.438539251991</v>
      </c>
      <c r="N135" s="89">
        <f>M135/M12</f>
        <v>8.1689519242843067E-2</v>
      </c>
      <c r="O135" s="28">
        <f>O131-O133</f>
        <v>8201.3035931846898</v>
      </c>
      <c r="P135" s="89">
        <f>O135/O12</f>
        <v>1.3102846464821809E-2</v>
      </c>
      <c r="Q135" s="28">
        <f>Q131-Q133</f>
        <v>49319.440538067858</v>
      </c>
      <c r="R135" s="89">
        <f>Q135/Q12</f>
        <v>6.3455689831991166E-2</v>
      </c>
      <c r="S135" s="28">
        <f>S131-S133</f>
        <v>36181.772315204704</v>
      </c>
      <c r="T135" s="89">
        <f>S135/S12</f>
        <v>4.6211413469128951E-2</v>
      </c>
      <c r="U135" s="52">
        <f>U131-U133</f>
        <v>9908.2085281316522</v>
      </c>
      <c r="V135" s="89">
        <f>U135/U12</f>
        <v>1.5953951734841612E-2</v>
      </c>
      <c r="W135" s="52">
        <f>W131-W133</f>
        <v>21029.222180091769</v>
      </c>
      <c r="X135" s="89">
        <f>W135/W12</f>
        <v>3.3280273349678771E-2</v>
      </c>
      <c r="Y135" s="52">
        <f>Y131-Y133</f>
        <v>112257.0995641953</v>
      </c>
      <c r="Z135" s="89">
        <f>Y135/Y12</f>
        <v>0.11760066057641717</v>
      </c>
      <c r="AA135" s="52">
        <f>AA131-AA133</f>
        <v>312988.66110945825</v>
      </c>
      <c r="AB135" s="89">
        <f>AA135/AA12</f>
        <v>3.5188910538368277E-2</v>
      </c>
      <c r="AC135" s="52">
        <f t="shared" si="76"/>
        <v>26082.388425788187</v>
      </c>
      <c r="AD135" s="89">
        <f>AC135/AC12</f>
        <v>3.5188910538368277E-2</v>
      </c>
      <c r="AE135" s="562"/>
      <c r="AF135" s="562"/>
      <c r="AG135" s="562"/>
    </row>
    <row r="136" spans="1:35" s="1" customFormat="1" ht="15.75" thickTop="1">
      <c r="A136" s="21">
        <v>6501</v>
      </c>
      <c r="B136" s="21" t="s">
        <v>148</v>
      </c>
      <c r="C136" s="82"/>
      <c r="D136" s="24">
        <f>C136/C12</f>
        <v>0</v>
      </c>
      <c r="E136" s="703"/>
      <c r="F136" s="24">
        <f>E136/E12</f>
        <v>0</v>
      </c>
      <c r="G136" s="82"/>
      <c r="H136" s="24">
        <f>G136/G12</f>
        <v>0</v>
      </c>
      <c r="I136" s="82"/>
      <c r="J136" s="24">
        <f>I136/I12</f>
        <v>0</v>
      </c>
      <c r="K136" s="32"/>
      <c r="L136" s="24">
        <f>K136/K12</f>
        <v>0</v>
      </c>
      <c r="M136" s="32"/>
      <c r="N136" s="24">
        <f>M136/M12</f>
        <v>0</v>
      </c>
      <c r="O136" s="32"/>
      <c r="P136" s="24">
        <f>O136/O12</f>
        <v>0</v>
      </c>
      <c r="Q136" s="32"/>
      <c r="R136" s="24">
        <f>Q136/Q12</f>
        <v>0</v>
      </c>
      <c r="S136" s="32"/>
      <c r="T136" s="24">
        <f>S136/S12</f>
        <v>0</v>
      </c>
      <c r="U136" s="82"/>
      <c r="V136" s="24">
        <f>U136/U12</f>
        <v>0</v>
      </c>
      <c r="W136" s="82"/>
      <c r="X136" s="24">
        <f>W136/W12</f>
        <v>0</v>
      </c>
      <c r="Y136" s="82"/>
      <c r="Z136" s="24">
        <f>Y136/Y12</f>
        <v>0</v>
      </c>
      <c r="AA136" s="144">
        <f t="shared" ref="AA136:AA143" si="77">C136+E136+G136+I136+K136+M136+O136+Q136+S136+U136+W136+Y136</f>
        <v>0</v>
      </c>
      <c r="AB136" s="24">
        <f>AA136/AA12</f>
        <v>0</v>
      </c>
      <c r="AC136" s="128">
        <f t="shared" si="76"/>
        <v>0</v>
      </c>
      <c r="AD136" s="24">
        <f>AC136/AC12</f>
        <v>0</v>
      </c>
      <c r="AE136" s="579"/>
      <c r="AF136" s="579"/>
      <c r="AG136" s="579"/>
    </row>
    <row r="137" spans="1:35" s="1" customFormat="1">
      <c r="A137" s="188">
        <v>6502</v>
      </c>
      <c r="B137" s="21" t="s">
        <v>136</v>
      </c>
      <c r="C137" s="33">
        <v>54758.18</v>
      </c>
      <c r="D137" s="24">
        <f>C137/C12</f>
        <v>8.1854363720294462E-2</v>
      </c>
      <c r="E137" s="33">
        <v>54758.18</v>
      </c>
      <c r="F137" s="24">
        <f>E137/E12</f>
        <v>0.10521106635094356</v>
      </c>
      <c r="G137" s="371">
        <v>53252.75</v>
      </c>
      <c r="H137" s="24">
        <f>G137/G12</f>
        <v>6.168311439345827E-2</v>
      </c>
      <c r="I137" s="371">
        <v>53252.75</v>
      </c>
      <c r="J137" s="24">
        <f>I137/I12</f>
        <v>6.9856755317196567E-2</v>
      </c>
      <c r="K137" s="33">
        <v>51908.31</v>
      </c>
      <c r="L137" s="24">
        <f>K137/K12</f>
        <v>7.4451109490026868E-2</v>
      </c>
      <c r="M137" s="33">
        <v>51908.31</v>
      </c>
      <c r="N137" s="24">
        <f>M137/M12</f>
        <v>5.2504821178334313E-2</v>
      </c>
      <c r="O137" s="33">
        <v>51908.31</v>
      </c>
      <c r="P137" s="24">
        <f>O137/O12</f>
        <v>8.2931525269175327E-2</v>
      </c>
      <c r="Q137" s="33">
        <v>51908.31</v>
      </c>
      <c r="R137" s="24">
        <f>Q137/Q12</f>
        <v>6.6786597397032965E-2</v>
      </c>
      <c r="S137" s="33">
        <v>51908.31</v>
      </c>
      <c r="T137" s="24">
        <f>S137/S12</f>
        <v>6.6297370814134754E-2</v>
      </c>
      <c r="U137" s="33">
        <v>51908.31</v>
      </c>
      <c r="V137" s="24">
        <f>U137/U12</f>
        <v>8.3581473888636001E-2</v>
      </c>
      <c r="W137" s="33">
        <v>51908.31</v>
      </c>
      <c r="X137" s="24">
        <f>W137/W12</f>
        <v>8.2148675358772849E-2</v>
      </c>
      <c r="Y137" s="33">
        <v>51908.31</v>
      </c>
      <c r="Z137" s="24">
        <f>Y137/Y12</f>
        <v>5.4379202465627142E-2</v>
      </c>
      <c r="AA137" s="144">
        <f t="shared" si="77"/>
        <v>631288.34000000008</v>
      </c>
      <c r="AB137" s="24">
        <f>AA137/AA12</f>
        <v>7.0974931939806696E-2</v>
      </c>
      <c r="AC137" s="128">
        <f t="shared" ref="AC137:AC143" si="78">AA137/12</f>
        <v>52607.361666666671</v>
      </c>
      <c r="AD137" s="24">
        <f>AC137/AC12</f>
        <v>7.0974931939806682E-2</v>
      </c>
      <c r="AE137" s="579"/>
      <c r="AF137" s="579"/>
      <c r="AG137" s="579"/>
    </row>
    <row r="138" spans="1:35" s="1" customFormat="1">
      <c r="A138" s="188">
        <v>6503</v>
      </c>
      <c r="B138" s="21" t="s">
        <v>137</v>
      </c>
      <c r="C138" s="33">
        <v>6309.74</v>
      </c>
      <c r="D138" s="24">
        <f>C138/C12</f>
        <v>9.4320109423010542E-3</v>
      </c>
      <c r="E138" s="33">
        <v>6309.74</v>
      </c>
      <c r="F138" s="24">
        <f>E138/E12</f>
        <v>1.2123384557288109E-2</v>
      </c>
      <c r="G138" s="33">
        <v>0</v>
      </c>
      <c r="H138" s="24">
        <f>G138/G12</f>
        <v>0</v>
      </c>
      <c r="I138" s="33">
        <v>0</v>
      </c>
      <c r="J138" s="24">
        <f>I138/I12</f>
        <v>0</v>
      </c>
      <c r="K138" s="33">
        <v>0</v>
      </c>
      <c r="L138" s="24">
        <f>K138/K12</f>
        <v>0</v>
      </c>
      <c r="M138" s="33">
        <v>0</v>
      </c>
      <c r="N138" s="702">
        <f>M138/M12</f>
        <v>0</v>
      </c>
      <c r="O138" s="33">
        <v>0</v>
      </c>
      <c r="P138" s="24">
        <f>O138/O12</f>
        <v>0</v>
      </c>
      <c r="Q138" s="33">
        <v>0</v>
      </c>
      <c r="R138" s="24">
        <f>Q138/Q12</f>
        <v>0</v>
      </c>
      <c r="S138" s="33">
        <v>0</v>
      </c>
      <c r="T138" s="24">
        <f>S138/S12</f>
        <v>0</v>
      </c>
      <c r="U138" s="33">
        <v>0</v>
      </c>
      <c r="V138" s="24">
        <f>U138/U12</f>
        <v>0</v>
      </c>
      <c r="W138" s="33">
        <v>0</v>
      </c>
      <c r="X138" s="24">
        <f>W138/W12</f>
        <v>0</v>
      </c>
      <c r="Y138" s="33">
        <v>0</v>
      </c>
      <c r="Z138" s="24">
        <f>Y138/Y12</f>
        <v>0</v>
      </c>
      <c r="AA138" s="144">
        <f t="shared" si="77"/>
        <v>12619.48</v>
      </c>
      <c r="AB138" s="326">
        <f>AA138/AA12</f>
        <v>1.4187918219996771E-3</v>
      </c>
      <c r="AC138" s="128">
        <f t="shared" si="78"/>
        <v>1051.6233333333332</v>
      </c>
      <c r="AD138" s="326">
        <f>AC138/AC12</f>
        <v>1.4187918219996769E-3</v>
      </c>
      <c r="AE138" s="584"/>
      <c r="AF138" s="584"/>
      <c r="AG138" s="584"/>
      <c r="AI138" s="686" t="e">
        <f>#REF!+#REF!</f>
        <v>#REF!</v>
      </c>
    </row>
    <row r="139" spans="1:35" s="1" customFormat="1">
      <c r="A139" s="188">
        <v>6504</v>
      </c>
      <c r="B139" s="21" t="s">
        <v>138</v>
      </c>
      <c r="C139" s="83"/>
      <c r="D139" s="24">
        <f>C139/C12</f>
        <v>0</v>
      </c>
      <c r="E139" s="83"/>
      <c r="F139" s="24">
        <f>E139/E12</f>
        <v>0</v>
      </c>
      <c r="G139" s="83"/>
      <c r="H139" s="24">
        <f>G139/G12</f>
        <v>0</v>
      </c>
      <c r="I139" s="83"/>
      <c r="J139" s="24">
        <f>I139/I12</f>
        <v>0</v>
      </c>
      <c r="K139" s="83"/>
      <c r="L139" s="24">
        <f>K139/K12</f>
        <v>0</v>
      </c>
      <c r="M139" s="33"/>
      <c r="N139" s="24">
        <f>M139/M12</f>
        <v>0</v>
      </c>
      <c r="O139" s="33"/>
      <c r="P139" s="24">
        <f>O139/O12</f>
        <v>0</v>
      </c>
      <c r="Q139" s="83"/>
      <c r="R139" s="24">
        <f>Q139/Q12</f>
        <v>0</v>
      </c>
      <c r="S139" s="83"/>
      <c r="T139" s="24">
        <f>S139/S12</f>
        <v>0</v>
      </c>
      <c r="U139" s="83"/>
      <c r="V139" s="24">
        <f>U139/U12</f>
        <v>0</v>
      </c>
      <c r="W139" s="83"/>
      <c r="X139" s="24">
        <f>W139/W12</f>
        <v>0</v>
      </c>
      <c r="Y139" s="83"/>
      <c r="Z139" s="24">
        <f>Y139/Y12</f>
        <v>0</v>
      </c>
      <c r="AA139" s="144">
        <f t="shared" si="77"/>
        <v>0</v>
      </c>
      <c r="AB139" s="24">
        <f>AA139/AA12</f>
        <v>0</v>
      </c>
      <c r="AC139" s="128">
        <f t="shared" si="78"/>
        <v>0</v>
      </c>
      <c r="AD139" s="24">
        <f>AC139/AC12</f>
        <v>0</v>
      </c>
      <c r="AE139" s="579"/>
      <c r="AF139" s="579"/>
      <c r="AG139" s="579"/>
    </row>
    <row r="140" spans="1:35" s="1" customFormat="1">
      <c r="A140" s="188">
        <v>6505</v>
      </c>
      <c r="B140" s="188" t="s">
        <v>139</v>
      </c>
      <c r="C140" s="83"/>
      <c r="D140" s="24">
        <f>C140/C12</f>
        <v>0</v>
      </c>
      <c r="E140" s="83"/>
      <c r="F140" s="24">
        <f>E140/E12</f>
        <v>0</v>
      </c>
      <c r="G140" s="83"/>
      <c r="H140" s="24">
        <f>G140/G12</f>
        <v>0</v>
      </c>
      <c r="I140" s="83"/>
      <c r="J140" s="24">
        <f>I140/I12</f>
        <v>0</v>
      </c>
      <c r="K140" s="83"/>
      <c r="L140" s="24">
        <f>K140/K12</f>
        <v>0</v>
      </c>
      <c r="M140" s="33"/>
      <c r="N140" s="24">
        <f>M140/M12</f>
        <v>0</v>
      </c>
      <c r="O140" s="33"/>
      <c r="P140" s="24">
        <f>O140/O12</f>
        <v>0</v>
      </c>
      <c r="Q140" s="83"/>
      <c r="R140" s="24">
        <f>Q140/Q12</f>
        <v>0</v>
      </c>
      <c r="S140" s="83"/>
      <c r="T140" s="24">
        <f>S140/S12</f>
        <v>0</v>
      </c>
      <c r="U140" s="83"/>
      <c r="V140" s="24">
        <f>U140/U12</f>
        <v>0</v>
      </c>
      <c r="W140" s="83"/>
      <c r="X140" s="24">
        <f>W140/W12</f>
        <v>0</v>
      </c>
      <c r="Y140" s="83"/>
      <c r="Z140" s="24">
        <f>Y140/Y12</f>
        <v>0</v>
      </c>
      <c r="AA140" s="144">
        <f t="shared" si="77"/>
        <v>0</v>
      </c>
      <c r="AB140" s="24">
        <f>AA140/AA12</f>
        <v>0</v>
      </c>
      <c r="AC140" s="128">
        <f t="shared" si="78"/>
        <v>0</v>
      </c>
      <c r="AD140" s="24">
        <f>AC140/AC12</f>
        <v>0</v>
      </c>
      <c r="AE140" s="579"/>
      <c r="AF140" s="579"/>
      <c r="AG140" s="579"/>
    </row>
    <row r="141" spans="1:35" s="1" customFormat="1">
      <c r="A141" s="188">
        <v>6506</v>
      </c>
      <c r="B141" s="188" t="s">
        <v>229</v>
      </c>
      <c r="C141" s="33">
        <v>0</v>
      </c>
      <c r="D141" s="106">
        <f>C141/C12</f>
        <v>0</v>
      </c>
      <c r="E141" s="33">
        <v>0</v>
      </c>
      <c r="F141" s="106">
        <f>E141/E12</f>
        <v>0</v>
      </c>
      <c r="G141" s="33">
        <v>0</v>
      </c>
      <c r="H141" s="106">
        <f>G141/G12</f>
        <v>0</v>
      </c>
      <c r="I141" s="33">
        <v>0</v>
      </c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>
        <v>0</v>
      </c>
      <c r="T141" s="106">
        <f>S141/S12</f>
        <v>0</v>
      </c>
      <c r="U141" s="33">
        <v>0</v>
      </c>
      <c r="V141" s="106">
        <f>U141/U12</f>
        <v>0</v>
      </c>
      <c r="W141" s="33">
        <v>0</v>
      </c>
      <c r="X141" s="106">
        <f>W141/W12</f>
        <v>0</v>
      </c>
      <c r="Y141" s="33">
        <v>0</v>
      </c>
      <c r="Z141" s="106">
        <f>Y141/Y12</f>
        <v>0</v>
      </c>
      <c r="AA141" s="144">
        <f t="shared" si="77"/>
        <v>0</v>
      </c>
      <c r="AB141" s="106">
        <f>AA141/AA12</f>
        <v>0</v>
      </c>
      <c r="AC141" s="128">
        <f t="shared" si="78"/>
        <v>0</v>
      </c>
      <c r="AD141" s="106">
        <f>AC141/AC12</f>
        <v>0</v>
      </c>
      <c r="AE141" s="567"/>
      <c r="AF141" s="567"/>
      <c r="AG141" s="567"/>
    </row>
    <row r="142" spans="1:35" s="1" customFormat="1">
      <c r="A142" s="188">
        <v>6604</v>
      </c>
      <c r="B142" s="188" t="s">
        <v>145</v>
      </c>
      <c r="C142" s="26">
        <v>39522</v>
      </c>
      <c r="D142" s="106">
        <f>C142/C12</f>
        <v>5.907881092749024E-2</v>
      </c>
      <c r="E142" s="26">
        <v>39522</v>
      </c>
      <c r="F142" s="106">
        <f>E142/E12</f>
        <v>7.5936632012276364E-2</v>
      </c>
      <c r="G142" s="26">
        <v>39522</v>
      </c>
      <c r="H142" s="106">
        <f>G142/G12</f>
        <v>4.5778669590927371E-2</v>
      </c>
      <c r="I142" s="26">
        <v>39522</v>
      </c>
      <c r="J142" s="106">
        <f>I142/I12</f>
        <v>5.184480958534992E-2</v>
      </c>
      <c r="K142" s="26">
        <v>39522</v>
      </c>
      <c r="L142" s="106">
        <f>K142/K12</f>
        <v>5.6685658794609989E-2</v>
      </c>
      <c r="M142" s="26">
        <v>39522</v>
      </c>
      <c r="N142" s="106">
        <f>M142/M12</f>
        <v>3.9976172266254266E-2</v>
      </c>
      <c r="O142" s="26">
        <v>39522</v>
      </c>
      <c r="P142" s="106">
        <f>O142/O12</f>
        <v>6.3142486081483817E-2</v>
      </c>
      <c r="Q142" s="26">
        <v>39522</v>
      </c>
      <c r="R142" s="106">
        <f>Q142/Q12</f>
        <v>5.0850045056861554E-2</v>
      </c>
      <c r="S142" s="26">
        <v>39522</v>
      </c>
      <c r="T142" s="106">
        <f>S142/S12</f>
        <v>5.0477557241147587E-2</v>
      </c>
      <c r="U142" s="26">
        <v>39522</v>
      </c>
      <c r="V142" s="106">
        <f>U142/U12</f>
        <v>6.3637344599095452E-2</v>
      </c>
      <c r="W142" s="26">
        <v>39522</v>
      </c>
      <c r="X142" s="106">
        <f>W142/W12</f>
        <v>6.254643904857278E-2</v>
      </c>
      <c r="Y142" s="26">
        <v>39522</v>
      </c>
      <c r="Z142" s="106">
        <f>Y142/Y12</f>
        <v>4.1403290529907752E-2</v>
      </c>
      <c r="AA142" s="144">
        <f t="shared" si="77"/>
        <v>474264</v>
      </c>
      <c r="AB142" s="106">
        <f>AA142/AA12</f>
        <v>5.3320888393884283E-2</v>
      </c>
      <c r="AC142" s="128">
        <f t="shared" si="78"/>
        <v>39522</v>
      </c>
      <c r="AD142" s="106">
        <f>AC142/AC12</f>
        <v>5.3320888393884283E-2</v>
      </c>
      <c r="AE142" s="567"/>
      <c r="AF142" s="567"/>
      <c r="AG142" s="567"/>
    </row>
    <row r="143" spans="1:35" s="1" customFormat="1">
      <c r="A143" s="2"/>
      <c r="B143" s="2"/>
      <c r="C143" s="61"/>
      <c r="D143" s="24">
        <f>C143/C12</f>
        <v>0</v>
      </c>
      <c r="E143" s="703"/>
      <c r="F143" s="24">
        <f>E143/E12</f>
        <v>0</v>
      </c>
      <c r="G143" s="61"/>
      <c r="H143" s="24">
        <f>G143/G12</f>
        <v>0</v>
      </c>
      <c r="I143" s="61"/>
      <c r="J143" s="24">
        <f>I143/I12</f>
        <v>0</v>
      </c>
      <c r="K143" s="26"/>
      <c r="L143" s="24">
        <f>K143/K12</f>
        <v>0</v>
      </c>
      <c r="M143" s="26"/>
      <c r="N143" s="24">
        <f>M143/M12</f>
        <v>0</v>
      </c>
      <c r="O143" s="26"/>
      <c r="P143" s="24">
        <f>O143/O12</f>
        <v>0</v>
      </c>
      <c r="Q143" s="26"/>
      <c r="R143" s="24">
        <f>Q143/Q12</f>
        <v>0</v>
      </c>
      <c r="S143" s="26"/>
      <c r="T143" s="24">
        <f>S143/S12</f>
        <v>0</v>
      </c>
      <c r="U143" s="61"/>
      <c r="V143" s="24">
        <f>U143/U12</f>
        <v>0</v>
      </c>
      <c r="W143" s="61"/>
      <c r="X143" s="24">
        <f>W143/W12</f>
        <v>0</v>
      </c>
      <c r="Y143" s="61"/>
      <c r="Z143" s="24">
        <f>Y143/Y12</f>
        <v>0</v>
      </c>
      <c r="AA143" s="144">
        <f t="shared" si="77"/>
        <v>0</v>
      </c>
      <c r="AB143" s="24">
        <f>AA143/AA12</f>
        <v>0</v>
      </c>
      <c r="AC143" s="128">
        <f t="shared" si="78"/>
        <v>0</v>
      </c>
      <c r="AD143" s="24">
        <f>AC143/AC12</f>
        <v>0</v>
      </c>
      <c r="AE143" s="579"/>
      <c r="AF143" s="579"/>
      <c r="AG143" s="579"/>
    </row>
    <row r="144" spans="1:35" s="1" customFormat="1" ht="15" customHeight="1">
      <c r="A144" s="63">
        <v>6798</v>
      </c>
      <c r="B144" s="63" t="s">
        <v>205</v>
      </c>
      <c r="C144" s="79">
        <f>SUM(C136:C143)</f>
        <v>100589.92</v>
      </c>
      <c r="D144" s="87">
        <f>C144/C12</f>
        <v>0.15036518559008574</v>
      </c>
      <c r="E144" s="79">
        <f>SUM(E136:E143)</f>
        <v>100589.92</v>
      </c>
      <c r="F144" s="87">
        <f>E144/E12</f>
        <v>0.19327108292050801</v>
      </c>
      <c r="G144" s="79">
        <f>SUM(G136:G143)</f>
        <v>92774.75</v>
      </c>
      <c r="H144" s="87">
        <f>G144/G12</f>
        <v>0.10746178398438565</v>
      </c>
      <c r="I144" s="79">
        <f>SUM(I136:I143)</f>
        <v>92774.75</v>
      </c>
      <c r="J144" s="87">
        <f>I144/I12</f>
        <v>0.12170156490254649</v>
      </c>
      <c r="K144" s="79">
        <f>SUM(K136:K143)</f>
        <v>91430.31</v>
      </c>
      <c r="L144" s="87">
        <f>K144/K12</f>
        <v>0.13113676828463686</v>
      </c>
      <c r="M144" s="29">
        <f>SUM(M136:M143)</f>
        <v>91430.31</v>
      </c>
      <c r="N144" s="87">
        <f>M144/M12</f>
        <v>9.2480993444588586E-2</v>
      </c>
      <c r="O144" s="29">
        <f>SUM(O136:O143)</f>
        <v>91430.31</v>
      </c>
      <c r="P144" s="87">
        <f>O144/O12</f>
        <v>0.14607401135065914</v>
      </c>
      <c r="Q144" s="79">
        <f>SUM(Q136:Q143)</f>
        <v>91430.31</v>
      </c>
      <c r="R144" s="87">
        <f>Q144/Q12</f>
        <v>0.11763664245389452</v>
      </c>
      <c r="S144" s="79">
        <f>SUM(S136:S143)</f>
        <v>91430.31</v>
      </c>
      <c r="T144" s="87">
        <f t="shared" ref="T144" si="79">S144/S$12</f>
        <v>0.11677492805528233</v>
      </c>
      <c r="U144" s="79">
        <f>SUM(U136:U143)</f>
        <v>91430.31</v>
      </c>
      <c r="V144" s="87">
        <f>U144/U12</f>
        <v>0.14721881848773144</v>
      </c>
      <c r="W144" s="79">
        <f>SUM(W136:W143)</f>
        <v>91430.31</v>
      </c>
      <c r="X144" s="87">
        <f>W144/W12</f>
        <v>0.14469511440734562</v>
      </c>
      <c r="Y144" s="79">
        <f>SUM(Y136:Y143)</f>
        <v>91430.31</v>
      </c>
      <c r="Z144" s="87">
        <f t="shared" ref="Z144" si="80">Y144/Y$12</f>
        <v>9.5782492995534887E-2</v>
      </c>
      <c r="AA144" s="152">
        <f>SUM(AA136:AA143)</f>
        <v>1118171.82</v>
      </c>
      <c r="AB144" s="153">
        <f t="shared" ref="AB144" si="81">AA144/AA$12</f>
        <v>0.12571461215569066</v>
      </c>
      <c r="AC144" s="137">
        <f t="shared" ref="AC144:AC152" si="82">AA144/12</f>
        <v>93180.985000000001</v>
      </c>
      <c r="AD144" s="138">
        <f t="shared" ref="AD144" si="83">AC144/AC$12</f>
        <v>0.12571461215569063</v>
      </c>
      <c r="AE144" s="568"/>
      <c r="AF144" s="568"/>
      <c r="AG144" s="568"/>
    </row>
    <row r="145" spans="1:35" s="1" customFormat="1">
      <c r="A145" s="200">
        <v>6799</v>
      </c>
      <c r="B145" s="63" t="s">
        <v>135</v>
      </c>
      <c r="C145" s="203">
        <f>C41+C76+C93+C115+C129+C144+C133</f>
        <v>422585.72950669751</v>
      </c>
      <c r="D145" s="202">
        <f>C145/C12</f>
        <v>0.63169531942163137</v>
      </c>
      <c r="E145" s="203">
        <f>E41+E76+E93+E115+E129+E144+E133</f>
        <v>419297.21287645353</v>
      </c>
      <c r="F145" s="202">
        <f>E145/E12</f>
        <v>0.80562770502434988</v>
      </c>
      <c r="G145" s="203">
        <f>G41+G76+G93+G115+G129+G144+G133</f>
        <v>431345.90124534216</v>
      </c>
      <c r="H145" s="204">
        <f>G145/G12</f>
        <v>0.49963163535527827</v>
      </c>
      <c r="I145" s="203">
        <f>I41+I76+I93+I115+I129+I144+I133</f>
        <v>433118.93467251153</v>
      </c>
      <c r="J145" s="202">
        <f>I145/I12</f>
        <v>0.56816377450295963</v>
      </c>
      <c r="K145" s="298">
        <f>K41+K76+K93+K115+K129+K144+K133</f>
        <v>428736.89473964885</v>
      </c>
      <c r="L145" s="202">
        <f>K145/K12</f>
        <v>0.61492923758596107</v>
      </c>
      <c r="M145" s="298">
        <f>M41+M76+M93+M115+M129+M144+M133</f>
        <v>426240.40357957484</v>
      </c>
      <c r="N145" s="202">
        <f>M145/M12</f>
        <v>0.43113860129383191</v>
      </c>
      <c r="O145" s="298">
        <f>O41+O76+O93+O115+O129+O144+O133</f>
        <v>409144.7226794177</v>
      </c>
      <c r="P145" s="202">
        <f>O145/O12</f>
        <v>0.65367175135614819</v>
      </c>
      <c r="Q145" s="298">
        <f>Q41+Q76+Q93+Q115+Q129+Q144+Q133</f>
        <v>434904.28520819038</v>
      </c>
      <c r="R145" s="202">
        <f>Q145/Q12</f>
        <v>0.5595592960441943</v>
      </c>
      <c r="S145" s="298">
        <f>S41+S76+S93+S115+S129+S144+S133</f>
        <v>422912.29609585478</v>
      </c>
      <c r="T145" s="202">
        <f>S145/S12</f>
        <v>0.54014421421394831</v>
      </c>
      <c r="U145" s="201">
        <f>U41+U76+U93+U115+U129+U144+U133</f>
        <v>410615.14260652167</v>
      </c>
      <c r="V145" s="202">
        <f>U145/U12</f>
        <v>0.66116232295070942</v>
      </c>
      <c r="W145" s="201">
        <f>W41+W76+W93+W115+W129+W144+W133</f>
        <v>415790.81294017151</v>
      </c>
      <c r="X145" s="202">
        <f>W145/W12</f>
        <v>0.65801919787761154</v>
      </c>
      <c r="Y145" s="201">
        <f>Y41+Y76+Y93+Y115+Y129+Y144+Y133</f>
        <v>427185.43699949974</v>
      </c>
      <c r="Z145" s="202">
        <f>Y145/Y12</f>
        <v>0.44751993214503044</v>
      </c>
      <c r="AA145" s="201">
        <f>AA41+AA76+AA93+AA115+AA129+AA144+AA133</f>
        <v>5081877.7731498843</v>
      </c>
      <c r="AB145" s="204">
        <f>AA145/AA12</f>
        <v>0.57134894820919613</v>
      </c>
      <c r="AC145" s="201">
        <f t="shared" si="82"/>
        <v>423489.81442915701</v>
      </c>
      <c r="AD145" s="204">
        <f>AC145/AC12</f>
        <v>0.57134894820919602</v>
      </c>
      <c r="AE145" s="585"/>
      <c r="AF145" s="585"/>
      <c r="AG145" s="585"/>
      <c r="AI145" s="686" t="e">
        <f>#REF!-#REF!</f>
        <v>#REF!</v>
      </c>
    </row>
    <row r="146" spans="1:35" s="1" customFormat="1" ht="15.75" thickBot="1">
      <c r="A146" s="11">
        <v>6999</v>
      </c>
      <c r="B146" s="11" t="s">
        <v>144</v>
      </c>
      <c r="C146" s="80">
        <f>C135-C144</f>
        <v>-130161.00013169755</v>
      </c>
      <c r="D146" s="88">
        <f>C146/C12</f>
        <v>-0.19456902780511087</v>
      </c>
      <c r="E146" s="80">
        <f>E135-E144</f>
        <v>-150209.02315145364</v>
      </c>
      <c r="F146" s="88">
        <f>E146/E12</f>
        <v>-0.28860804908596316</v>
      </c>
      <c r="G146" s="80">
        <f>G135-G144</f>
        <v>-87473.42366416553</v>
      </c>
      <c r="H146" s="88">
        <f>G146/G12</f>
        <v>-0.10132121248694503</v>
      </c>
      <c r="I146" s="80">
        <f>I135-I144</f>
        <v>-69745.379088518879</v>
      </c>
      <c r="J146" s="88">
        <f>I146/I12</f>
        <v>-9.149172355402832E-2</v>
      </c>
      <c r="K146" s="30">
        <f>K135-K144</f>
        <v>-45240.648112831892</v>
      </c>
      <c r="L146" s="88">
        <f>K146/K12</f>
        <v>-6.4887807868301325E-2</v>
      </c>
      <c r="M146" s="30">
        <f>M135-M144</f>
        <v>-10668.871460748007</v>
      </c>
      <c r="N146" s="88">
        <f>M146/M12</f>
        <v>-1.0791474201745511E-2</v>
      </c>
      <c r="O146" s="30">
        <f>O135-O144</f>
        <v>-83229.006406815315</v>
      </c>
      <c r="P146" s="88">
        <f>O146/O12</f>
        <v>-0.13297116488583735</v>
      </c>
      <c r="Q146" s="300">
        <f>Q135-Q144</f>
        <v>-42110.86946193214</v>
      </c>
      <c r="R146" s="88">
        <f>Q146/Q12</f>
        <v>-5.418095262190336E-2</v>
      </c>
      <c r="S146" s="30">
        <f>S135-S144</f>
        <v>-55248.537684795294</v>
      </c>
      <c r="T146" s="88">
        <f>S146/S12</f>
        <v>-7.0563514586153384E-2</v>
      </c>
      <c r="U146" s="30">
        <f>U135-U144</f>
        <v>-81522.101471868344</v>
      </c>
      <c r="V146" s="88">
        <f>U146/U12</f>
        <v>-0.13126486675288984</v>
      </c>
      <c r="W146" s="300">
        <f>W135-W144</f>
        <v>-70401.087819908222</v>
      </c>
      <c r="X146" s="88">
        <f>W146/W12</f>
        <v>-0.11141484105766684</v>
      </c>
      <c r="Y146" s="30">
        <f>Y135-Y144</f>
        <v>20826.789564195307</v>
      </c>
      <c r="Z146" s="88">
        <f>Y146/Y12</f>
        <v>2.1818167580882272E-2</v>
      </c>
      <c r="AA146" s="389">
        <f>AA135-AA144</f>
        <v>-805183.15889054188</v>
      </c>
      <c r="AB146" s="88">
        <f>AA146/AA12</f>
        <v>-9.0525701617322374E-2</v>
      </c>
      <c r="AC146" s="132">
        <f t="shared" si="82"/>
        <v>-67098.596574211828</v>
      </c>
      <c r="AD146" s="88">
        <f>AC146/AC12</f>
        <v>-9.0525701617322374E-2</v>
      </c>
      <c r="AE146" s="569"/>
      <c r="AF146" s="569"/>
      <c r="AG146" s="569"/>
    </row>
    <row r="147" spans="1:35" s="1" customFormat="1" ht="15.75" thickTop="1">
      <c r="C147" s="83"/>
      <c r="D147" s="19"/>
      <c r="E147" s="83"/>
      <c r="F147" s="19"/>
      <c r="G147" s="83"/>
      <c r="H147" s="19"/>
      <c r="I147" s="83"/>
      <c r="J147" s="19"/>
      <c r="K147" s="3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>
        <f t="shared" si="82"/>
        <v>0</v>
      </c>
      <c r="AD147" s="19"/>
      <c r="AE147" s="586"/>
      <c r="AF147" s="586"/>
      <c r="AG147" s="586"/>
    </row>
    <row r="148" spans="1:35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si="82"/>
        <v>0</v>
      </c>
      <c r="AD148" s="246">
        <f>AC148/AC12</f>
        <v>0</v>
      </c>
      <c r="AE148" s="570"/>
      <c r="AF148" s="570"/>
      <c r="AG148" s="570"/>
    </row>
    <row r="149" spans="1:35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>
        <f t="shared" si="82"/>
        <v>0</v>
      </c>
      <c r="AD149" s="106"/>
      <c r="AE149" s="567"/>
      <c r="AF149" s="567"/>
      <c r="AG149" s="567"/>
    </row>
    <row r="150" spans="1:35" s="1" customFormat="1" ht="15.75" customHeight="1" thickBot="1">
      <c r="A150" s="223"/>
      <c r="B150" s="404" t="s">
        <v>232</v>
      </c>
      <c r="C150" s="685">
        <f>C146*10%</f>
        <v>-13016.100013169756</v>
      </c>
      <c r="D150" s="406"/>
      <c r="E150" s="685">
        <f>E146*10%</f>
        <v>-15020.902315145366</v>
      </c>
      <c r="F150" s="407"/>
      <c r="G150" s="685">
        <f>G146*10%</f>
        <v>-8747.342366416553</v>
      </c>
      <c r="H150" s="407"/>
      <c r="I150" s="685">
        <f>I146*10%</f>
        <v>-6974.5379088518885</v>
      </c>
      <c r="J150" s="407"/>
      <c r="K150" s="685">
        <f>K146*10%</f>
        <v>-4524.0648112831896</v>
      </c>
      <c r="L150" s="407"/>
      <c r="M150" s="685">
        <f>M146*10%</f>
        <v>-1066.8871460748007</v>
      </c>
      <c r="N150" s="407"/>
      <c r="O150" s="685">
        <f>O146*10%</f>
        <v>-8322.9006406815315</v>
      </c>
      <c r="P150" s="407"/>
      <c r="Q150" s="685">
        <f>Q146*10%</f>
        <v>-4211.0869461932143</v>
      </c>
      <c r="R150" s="407"/>
      <c r="S150" s="685">
        <f>S146*10%</f>
        <v>-5524.8537684795301</v>
      </c>
      <c r="T150" s="407"/>
      <c r="U150" s="685">
        <f>U146*10%</f>
        <v>-8152.2101471868345</v>
      </c>
      <c r="V150" s="407"/>
      <c r="W150" s="685">
        <f>W146*10%</f>
        <v>-7040.1087819908225</v>
      </c>
      <c r="X150" s="407"/>
      <c r="Y150" s="685">
        <f>Y146*10%</f>
        <v>2082.678956419531</v>
      </c>
      <c r="Z150" s="407"/>
      <c r="AA150" s="405">
        <f>C150+E150+G150+I150+K150+M150+O150+Q150+S150+U150+W150+Y150</f>
        <v>-80518.315889053963</v>
      </c>
      <c r="AB150" s="407"/>
      <c r="AC150" s="405">
        <f t="shared" si="82"/>
        <v>-6709.8596574211633</v>
      </c>
      <c r="AD150" s="407"/>
      <c r="AE150" s="649"/>
      <c r="AF150" s="363" t="s">
        <v>245</v>
      </c>
      <c r="AG150" s="363"/>
    </row>
    <row r="151" spans="1:35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>
        <f t="shared" si="82"/>
        <v>0</v>
      </c>
      <c r="AD151" s="106"/>
      <c r="AE151" s="567"/>
      <c r="AF151" s="567"/>
      <c r="AG151" s="567"/>
    </row>
    <row r="152" spans="1:35" s="1" customFormat="1" ht="19.5" customHeight="1" thickBot="1">
      <c r="A152" s="224"/>
      <c r="B152" s="232" t="s">
        <v>206</v>
      </c>
      <c r="C152" s="237">
        <f>C146-C148-C150</f>
        <v>-117144.9001185278</v>
      </c>
      <c r="D152" s="246">
        <f>C152/C12</f>
        <v>-0.1751121250245998</v>
      </c>
      <c r="E152" s="237">
        <f>E146-E148-E150</f>
        <v>-135188.12083630828</v>
      </c>
      <c r="F152" s="246">
        <f>E152/E12</f>
        <v>-0.25974724417736683</v>
      </c>
      <c r="G152" s="237">
        <f>G146-G148-G150</f>
        <v>-78726.081297748984</v>
      </c>
      <c r="H152" s="246">
        <f>G152/G12</f>
        <v>-9.118909123825053E-2</v>
      </c>
      <c r="I152" s="237">
        <f>I146-I148-I150</f>
        <v>-62770.84117966699</v>
      </c>
      <c r="J152" s="246">
        <f>I152/I12</f>
        <v>-8.2342551198625491E-2</v>
      </c>
      <c r="K152" s="237">
        <f>K146-K148-K150</f>
        <v>-40716.583301548701</v>
      </c>
      <c r="L152" s="246">
        <f>K152/K12</f>
        <v>-5.839902708147119E-2</v>
      </c>
      <c r="M152" s="237">
        <f>M146-M148-M150</f>
        <v>-9601.9843146732055</v>
      </c>
      <c r="N152" s="246">
        <f>M152/M12</f>
        <v>-9.7123267815709593E-3</v>
      </c>
      <c r="O152" s="237">
        <f>O146-O148-O150</f>
        <v>-74906.105766133784</v>
      </c>
      <c r="P152" s="246">
        <f>O152/O12</f>
        <v>-0.11967404839725362</v>
      </c>
      <c r="Q152" s="237">
        <f>Q146-Q148-Q150</f>
        <v>-37899.782515738923</v>
      </c>
      <c r="R152" s="246">
        <f>Q152/Q12</f>
        <v>-4.8762857359713016E-2</v>
      </c>
      <c r="S152" s="237">
        <f>S146-S148-S150</f>
        <v>-49723.683916315764</v>
      </c>
      <c r="T152" s="246">
        <f>S152/S12</f>
        <v>-6.3507163127538041E-2</v>
      </c>
      <c r="U152" s="237">
        <f>U146-U148-U150</f>
        <v>-73369.891324681506</v>
      </c>
      <c r="V152" s="246">
        <f>U152/U12</f>
        <v>-0.11813838007760084</v>
      </c>
      <c r="W152" s="237">
        <f>W146-W148-W150</f>
        <v>-63360.979037917401</v>
      </c>
      <c r="X152" s="246">
        <f>W152/W12</f>
        <v>-0.10027335695190016</v>
      </c>
      <c r="Y152" s="237">
        <f>Y146-Y148-Y150</f>
        <v>18744.110607775776</v>
      </c>
      <c r="Z152" s="246">
        <f>Y152/Y12</f>
        <v>1.9636350822794045E-2</v>
      </c>
      <c r="AA152" s="270">
        <f>AA146-AA148-AA150</f>
        <v>-724664.8430014879</v>
      </c>
      <c r="AB152" s="246">
        <f>AA152/AA12</f>
        <v>-8.1473131455590167E-2</v>
      </c>
      <c r="AC152" s="271">
        <f t="shared" si="82"/>
        <v>-60388.736916790658</v>
      </c>
      <c r="AD152" s="246">
        <f>AC152/AC12</f>
        <v>-8.1473131455590153E-2</v>
      </c>
      <c r="AE152" s="570"/>
      <c r="AF152" s="570"/>
      <c r="AG152" s="570"/>
    </row>
    <row r="153" spans="1:35" s="1" customFormat="1" ht="15.75" thickTop="1">
      <c r="C153" s="84">
        <f>C151*0.985</f>
        <v>0</v>
      </c>
      <c r="D153" s="20"/>
      <c r="E153" s="84"/>
      <c r="F153" s="20"/>
      <c r="G153" s="84"/>
      <c r="H153" s="20"/>
      <c r="I153" s="84"/>
      <c r="J153" s="20"/>
      <c r="K153" s="33"/>
      <c r="L153" s="20"/>
      <c r="M153" s="33"/>
      <c r="N153" s="20"/>
      <c r="O153" s="33"/>
      <c r="P153" s="93"/>
      <c r="Q153" s="33"/>
      <c r="R153" s="93"/>
      <c r="S153" s="33"/>
      <c r="T153" s="93"/>
      <c r="U153" s="84"/>
      <c r="V153" s="93"/>
      <c r="W153" s="84"/>
      <c r="X153" s="93"/>
      <c r="Y153" s="84"/>
      <c r="Z153" s="93"/>
      <c r="AA153" s="142"/>
      <c r="AB153" s="143"/>
      <c r="AC153" s="126"/>
      <c r="AD153" s="127"/>
      <c r="AE153" s="557"/>
      <c r="AF153" s="557"/>
      <c r="AG153" s="557"/>
    </row>
    <row r="154" spans="1:35" s="1" customFormat="1">
      <c r="B154" s="85" t="s">
        <v>214</v>
      </c>
      <c r="C154" s="84">
        <f>C152</f>
        <v>-117144.9001185278</v>
      </c>
      <c r="D154" s="20"/>
      <c r="E154" s="84">
        <f>E152+C154</f>
        <v>-252333.0209548361</v>
      </c>
      <c r="F154" s="93"/>
      <c r="G154" s="84">
        <f>G152+E154</f>
        <v>-331059.10225258511</v>
      </c>
      <c r="H154" s="93"/>
      <c r="I154" s="84">
        <f>I152+G154</f>
        <v>-393829.9434322521</v>
      </c>
      <c r="J154" s="93"/>
      <c r="K154" s="84">
        <f>K152+I154</f>
        <v>-434546.52673380077</v>
      </c>
      <c r="L154" s="93"/>
      <c r="M154" s="33">
        <f>M152+K154</f>
        <v>-444148.511048474</v>
      </c>
      <c r="N154" s="93"/>
      <c r="O154" s="33">
        <f>O152+M154</f>
        <v>-519054.61681460775</v>
      </c>
      <c r="P154" s="93"/>
      <c r="Q154" s="84">
        <f>Q152+O154</f>
        <v>-556954.39933034673</v>
      </c>
      <c r="R154" s="93"/>
      <c r="S154" s="84">
        <f>S152+Q154</f>
        <v>-606678.08324666251</v>
      </c>
      <c r="T154" s="93"/>
      <c r="U154" s="84">
        <f>U152+S154</f>
        <v>-680047.97457134398</v>
      </c>
      <c r="V154" s="93"/>
      <c r="W154" s="84">
        <f>W152+U154</f>
        <v>-743408.95360926143</v>
      </c>
      <c r="X154" s="93"/>
      <c r="Y154" s="84">
        <f>Y152+W154</f>
        <v>-724664.84300148569</v>
      </c>
      <c r="Z154" s="93"/>
      <c r="AA154" s="142" t="s">
        <v>234</v>
      </c>
      <c r="AB154" s="143"/>
      <c r="AC154" s="126"/>
      <c r="AD154" s="127"/>
      <c r="AE154" s="557"/>
      <c r="AF154" s="557"/>
      <c r="AG154" s="557"/>
    </row>
    <row r="155" spans="1:35" s="1" customFormat="1">
      <c r="C155" s="84"/>
      <c r="D155" s="20"/>
      <c r="E155" s="84"/>
      <c r="F155" s="20"/>
      <c r="G155" s="84"/>
      <c r="H155" s="20"/>
      <c r="I155" s="84"/>
      <c r="J155" s="20"/>
      <c r="K155" s="33"/>
      <c r="L155" s="20"/>
      <c r="M155" s="33"/>
      <c r="N155" s="20"/>
      <c r="O155" s="33"/>
      <c r="P155" s="93"/>
      <c r="Q155" s="33"/>
      <c r="R155" s="93"/>
      <c r="S155" s="33"/>
      <c r="T155" s="93"/>
      <c r="U155" s="84"/>
      <c r="V155" s="93"/>
      <c r="W155" s="84"/>
      <c r="X155" s="93"/>
      <c r="Y155" s="84"/>
      <c r="Z155" s="93"/>
      <c r="AA155" s="142"/>
      <c r="AB155" s="143"/>
      <c r="AC155" s="126"/>
      <c r="AD155" s="127"/>
      <c r="AE155" s="557"/>
      <c r="AF155" s="557"/>
      <c r="AG155" s="557"/>
    </row>
    <row r="156" spans="1:35">
      <c r="C156" s="269">
        <f>C152</f>
        <v>-117144.9001185278</v>
      </c>
      <c r="E156" s="269">
        <f>E152</f>
        <v>-135188.12083630828</v>
      </c>
      <c r="I156" s="269">
        <f>I36*0.985</f>
        <v>392955.87846304342</v>
      </c>
      <c r="K156" s="269">
        <f>K152</f>
        <v>-40716.583301548701</v>
      </c>
      <c r="M156" s="32">
        <f>M36*0.985</f>
        <v>564471.3826058096</v>
      </c>
      <c r="O156" s="32">
        <f>O36*0.985</f>
        <v>295501.95926905598</v>
      </c>
      <c r="Q156" s="269"/>
      <c r="S156" s="269">
        <f>S152</f>
        <v>-49723.683916315764</v>
      </c>
      <c r="AA156" s="269"/>
      <c r="AC156" s="269"/>
      <c r="AE156" s="725"/>
    </row>
    <row r="157" spans="1:35">
      <c r="C157" s="269">
        <f>C150</f>
        <v>-13016.100013169756</v>
      </c>
      <c r="E157" s="269">
        <f>E150+E42</f>
        <v>16206.713884854635</v>
      </c>
      <c r="I157" s="269">
        <f>SUM(I145-I142+I150)*0.985</f>
        <v>380823.06081220479</v>
      </c>
      <c r="K157" s="32">
        <f>K90+K42+K150</f>
        <v>39682.068236698309</v>
      </c>
      <c r="M157" s="32">
        <f>SUM(M145-M142+M150)*0.985</f>
        <v>379866.74368699756</v>
      </c>
      <c r="O157" s="32">
        <f>SUM(O145-O142+O150)*0.985</f>
        <v>355880.32470815512</v>
      </c>
      <c r="S157" s="32">
        <f>S87+S86+S85+S59+S43</f>
        <v>76699.948767123293</v>
      </c>
      <c r="AA157" s="269"/>
    </row>
    <row r="158" spans="1:35">
      <c r="C158" s="269">
        <f>C156+C157</f>
        <v>-130161.00013169755</v>
      </c>
      <c r="E158" s="269">
        <f>E156+E157</f>
        <v>-118981.40695145365</v>
      </c>
      <c r="I158" s="434">
        <f>SUM(I152+I142)*0.985</f>
        <v>-22900.108561971985</v>
      </c>
      <c r="K158" s="32">
        <f>K156+K157</f>
        <v>-1034.5150648503914</v>
      </c>
      <c r="M158" s="431">
        <f>SUM(M152+M142)*0.985</f>
        <v>29471.215450046893</v>
      </c>
      <c r="O158" s="431">
        <f>SUM(O152+O142)*0.985</f>
        <v>-34853.344179641776</v>
      </c>
      <c r="S158" s="32">
        <f>S156+S157</f>
        <v>26976.264850807529</v>
      </c>
      <c r="AA158" s="269"/>
    </row>
    <row r="160" spans="1:35" ht="15" hidden="1" customHeight="1">
      <c r="B160" s="213" t="s">
        <v>144</v>
      </c>
      <c r="C160" s="32">
        <f>C152</f>
        <v>-117144.9001185278</v>
      </c>
      <c r="D160" s="32"/>
      <c r="E160" s="32">
        <f>E152</f>
        <v>-135188.12083630828</v>
      </c>
      <c r="F160" s="32"/>
      <c r="G160" s="32">
        <f>G152</f>
        <v>-78726.081297748984</v>
      </c>
      <c r="H160" s="32"/>
      <c r="I160" s="32">
        <f>I152</f>
        <v>-62770.84117966699</v>
      </c>
      <c r="J160" s="32"/>
      <c r="K160" s="32">
        <f>K152</f>
        <v>-40716.583301548701</v>
      </c>
      <c r="L160" s="32"/>
      <c r="M160" s="32">
        <f>M152</f>
        <v>-9601.9843146732055</v>
      </c>
      <c r="N160" s="32"/>
      <c r="O160" s="32">
        <f>O152</f>
        <v>-74906.105766133784</v>
      </c>
      <c r="P160" s="32"/>
      <c r="Q160" s="32">
        <f>Q152</f>
        <v>-37899.782515738923</v>
      </c>
      <c r="R160" s="32"/>
      <c r="S160" s="32">
        <f>S152</f>
        <v>-49723.683916315764</v>
      </c>
      <c r="T160" s="32"/>
      <c r="U160" s="32">
        <f>U152</f>
        <v>-73369.891324681506</v>
      </c>
      <c r="V160" s="32"/>
      <c r="W160" s="32">
        <f>W152</f>
        <v>-63360.979037917401</v>
      </c>
      <c r="X160" s="32"/>
      <c r="Y160" s="32">
        <f>Y152</f>
        <v>18744.110607775776</v>
      </c>
      <c r="Z160" s="32"/>
      <c r="AA160" s="32"/>
      <c r="AB160" s="32"/>
      <c r="AC160" s="32"/>
      <c r="AD160" s="32"/>
      <c r="AE160" s="721"/>
      <c r="AF160" s="721"/>
      <c r="AG160" s="721"/>
    </row>
    <row r="161" spans="2:33" ht="15" hidden="1" customHeight="1">
      <c r="C161" s="32"/>
      <c r="D161" s="226"/>
      <c r="E161" s="32"/>
      <c r="F161" s="218"/>
      <c r="G161" s="32"/>
      <c r="H161" s="218"/>
      <c r="I161" s="32"/>
      <c r="J161" s="218"/>
      <c r="L161" s="218"/>
      <c r="N161" s="218"/>
      <c r="P161" s="218"/>
      <c r="R161" s="218"/>
      <c r="T161" s="218"/>
      <c r="U161" s="32"/>
      <c r="V161" s="218"/>
      <c r="W161" s="32"/>
      <c r="X161" s="218"/>
      <c r="Y161" s="32"/>
      <c r="Z161" s="218"/>
      <c r="AB161" s="218"/>
      <c r="AD161" s="218"/>
      <c r="AE161" s="393"/>
      <c r="AF161" s="393"/>
      <c r="AG161" s="393"/>
    </row>
    <row r="162" spans="2:33" ht="15" hidden="1" customHeight="1">
      <c r="B162" s="213" t="s">
        <v>237</v>
      </c>
      <c r="C162" s="32">
        <f>C150</f>
        <v>-13016.100013169756</v>
      </c>
      <c r="D162" s="226"/>
      <c r="E162" s="32">
        <f>E150</f>
        <v>-15020.902315145366</v>
      </c>
      <c r="F162" s="218"/>
      <c r="G162" s="32">
        <f>G150</f>
        <v>-8747.342366416553</v>
      </c>
      <c r="H162" s="218"/>
      <c r="I162" s="32">
        <f>I150</f>
        <v>-6974.5379088518885</v>
      </c>
      <c r="J162" s="218"/>
      <c r="K162" s="32">
        <f>K150</f>
        <v>-4524.0648112831896</v>
      </c>
      <c r="L162" s="218"/>
      <c r="M162" s="32">
        <f>M150</f>
        <v>-1066.8871460748007</v>
      </c>
      <c r="N162" s="218"/>
      <c r="O162" s="32">
        <f>O150</f>
        <v>-8322.9006406815315</v>
      </c>
      <c r="P162" s="218"/>
      <c r="Q162" s="32">
        <f>Q150</f>
        <v>-4211.0869461932143</v>
      </c>
      <c r="R162" s="218"/>
      <c r="S162" s="32">
        <f>S150</f>
        <v>-5524.8537684795301</v>
      </c>
      <c r="T162" s="218"/>
      <c r="U162" s="32">
        <f>U150</f>
        <v>-8152.2101471868345</v>
      </c>
      <c r="V162" s="218"/>
      <c r="W162" s="32">
        <f>W150</f>
        <v>-7040.1087819908225</v>
      </c>
      <c r="X162" s="218"/>
      <c r="Y162" s="32">
        <f>Y150</f>
        <v>2082.678956419531</v>
      </c>
      <c r="Z162" s="218"/>
      <c r="AA162" s="32"/>
      <c r="AB162" s="218"/>
      <c r="AC162" s="32"/>
      <c r="AD162" s="218"/>
      <c r="AE162" s="393"/>
      <c r="AF162" s="393"/>
      <c r="AG162" s="393"/>
    </row>
    <row r="163" spans="2:33" ht="15" hidden="1" customHeight="1">
      <c r="C163" s="32"/>
      <c r="D163" s="226"/>
      <c r="E163" s="32"/>
      <c r="F163" s="218"/>
      <c r="G163" s="32"/>
      <c r="H163" s="218"/>
      <c r="I163" s="32"/>
      <c r="J163" s="218"/>
      <c r="L163" s="218"/>
      <c r="N163" s="218"/>
      <c r="P163" s="218"/>
      <c r="R163" s="218"/>
      <c r="T163" s="218"/>
      <c r="U163" s="32"/>
      <c r="V163" s="218"/>
      <c r="W163" s="32"/>
      <c r="X163" s="218"/>
      <c r="Y163" s="32"/>
      <c r="Z163" s="218"/>
      <c r="AB163" s="218"/>
      <c r="AD163" s="218"/>
      <c r="AE163" s="393"/>
      <c r="AF163" s="393"/>
      <c r="AG163" s="393"/>
    </row>
    <row r="164" spans="2:33" ht="15" hidden="1" customHeight="1">
      <c r="B164" s="213" t="s">
        <v>241</v>
      </c>
      <c r="C164" s="32">
        <f>C142</f>
        <v>39522</v>
      </c>
      <c r="D164" s="32"/>
      <c r="E164" s="32">
        <f>E142</f>
        <v>39522</v>
      </c>
      <c r="F164" s="32"/>
      <c r="G164" s="32">
        <f>G142</f>
        <v>39522</v>
      </c>
      <c r="H164" s="32"/>
      <c r="I164" s="32">
        <f>I142</f>
        <v>39522</v>
      </c>
      <c r="J164" s="32"/>
      <c r="K164" s="32">
        <f>K142</f>
        <v>39522</v>
      </c>
      <c r="L164" s="32"/>
      <c r="M164" s="32">
        <f>M142</f>
        <v>39522</v>
      </c>
      <c r="N164" s="32"/>
      <c r="O164" s="32">
        <f>O142</f>
        <v>39522</v>
      </c>
      <c r="P164" s="32"/>
      <c r="Q164" s="32">
        <f>Q142</f>
        <v>39522</v>
      </c>
      <c r="R164" s="32"/>
      <c r="S164" s="32">
        <f>S142</f>
        <v>39522</v>
      </c>
      <c r="T164" s="32"/>
      <c r="U164" s="32">
        <f>U142</f>
        <v>39522</v>
      </c>
      <c r="V164" s="32"/>
      <c r="W164" s="32">
        <f>W142</f>
        <v>39522</v>
      </c>
      <c r="X164" s="32"/>
      <c r="Y164" s="32">
        <f>Y142</f>
        <v>39522</v>
      </c>
      <c r="Z164" s="32"/>
      <c r="AA164" s="32"/>
      <c r="AB164" s="32"/>
      <c r="AC164" s="32"/>
      <c r="AD164" s="32"/>
      <c r="AE164" s="721"/>
      <c r="AF164" s="721"/>
      <c r="AG164" s="721"/>
    </row>
    <row r="165" spans="2:33" ht="15" hidden="1" customHeight="1">
      <c r="C165" s="32"/>
      <c r="D165" s="226"/>
      <c r="E165" s="32"/>
      <c r="F165" s="218"/>
      <c r="G165" s="32"/>
      <c r="H165" s="218"/>
      <c r="I165" s="32"/>
      <c r="J165" s="218"/>
      <c r="L165" s="218"/>
      <c r="N165" s="218"/>
      <c r="P165" s="218"/>
      <c r="R165" s="218"/>
      <c r="T165" s="218"/>
      <c r="U165" s="32"/>
      <c r="V165" s="218"/>
      <c r="W165" s="32"/>
      <c r="X165" s="218"/>
      <c r="Y165" s="32"/>
      <c r="Z165" s="218"/>
      <c r="AA165" s="32"/>
      <c r="AB165" s="218"/>
      <c r="AC165" s="32"/>
      <c r="AD165" s="218"/>
      <c r="AE165" s="393"/>
      <c r="AF165" s="393"/>
      <c r="AG165" s="393"/>
    </row>
    <row r="166" spans="2:33" ht="15" hidden="1" customHeight="1">
      <c r="B166" s="213" t="s">
        <v>238</v>
      </c>
      <c r="C166" s="32">
        <f>C144-C142</f>
        <v>61067.92</v>
      </c>
      <c r="D166" s="32"/>
      <c r="E166" s="32">
        <f>E144-E142</f>
        <v>61067.92</v>
      </c>
      <c r="F166" s="32"/>
      <c r="G166" s="32">
        <f>G144-G142</f>
        <v>53252.75</v>
      </c>
      <c r="H166" s="32"/>
      <c r="I166" s="32">
        <f>I144-I142</f>
        <v>53252.75</v>
      </c>
      <c r="J166" s="32"/>
      <c r="K166" s="32">
        <f>K144-K142</f>
        <v>51908.31</v>
      </c>
      <c r="L166" s="32"/>
      <c r="M166" s="32">
        <f>M144-M142</f>
        <v>51908.31</v>
      </c>
      <c r="N166" s="32"/>
      <c r="O166" s="32">
        <f>O144-O142</f>
        <v>51908.31</v>
      </c>
      <c r="P166" s="32"/>
      <c r="Q166" s="32">
        <f>Q144-Q142</f>
        <v>51908.31</v>
      </c>
      <c r="R166" s="32"/>
      <c r="S166" s="32">
        <f>S144-S142</f>
        <v>51908.31</v>
      </c>
      <c r="T166" s="32"/>
      <c r="U166" s="32">
        <f>U144-U142</f>
        <v>51908.31</v>
      </c>
      <c r="V166" s="32"/>
      <c r="W166" s="32">
        <f>W144-W142</f>
        <v>51908.31</v>
      </c>
      <c r="X166" s="32"/>
      <c r="Y166" s="32">
        <f>Y144-Y142</f>
        <v>51908.31</v>
      </c>
      <c r="Z166" s="32"/>
      <c r="AA166" s="32"/>
      <c r="AB166" s="32"/>
      <c r="AC166" s="32"/>
      <c r="AD166" s="32"/>
      <c r="AE166" s="721"/>
      <c r="AF166" s="721"/>
      <c r="AG166" s="721"/>
    </row>
    <row r="167" spans="2:33" ht="15" hidden="1" customHeight="1">
      <c r="C167" s="32"/>
      <c r="D167" s="226"/>
      <c r="E167" s="32"/>
      <c r="F167" s="218"/>
      <c r="G167" s="32"/>
      <c r="H167" s="218"/>
      <c r="I167" s="32"/>
      <c r="J167" s="218"/>
      <c r="L167" s="218"/>
      <c r="N167" s="218"/>
      <c r="P167" s="218"/>
      <c r="R167" s="218"/>
      <c r="T167" s="218"/>
      <c r="U167" s="32"/>
      <c r="V167" s="218"/>
      <c r="W167" s="32"/>
      <c r="X167" s="218"/>
      <c r="Y167" s="32"/>
      <c r="Z167" s="218"/>
      <c r="AB167" s="218"/>
      <c r="AC167" s="32"/>
      <c r="AD167" s="218"/>
      <c r="AE167" s="393"/>
      <c r="AF167" s="393"/>
      <c r="AG167" s="393"/>
    </row>
    <row r="168" spans="2:33" ht="15" hidden="1" customHeight="1">
      <c r="C168" s="32"/>
      <c r="D168" s="226"/>
      <c r="E168" s="32"/>
      <c r="F168" s="218"/>
      <c r="G168" s="32"/>
      <c r="H168" s="218"/>
      <c r="I168" s="32"/>
      <c r="J168" s="218"/>
      <c r="L168" s="218"/>
      <c r="N168" s="218"/>
      <c r="P168" s="218"/>
      <c r="R168" s="218"/>
      <c r="T168" s="218"/>
      <c r="U168" s="32"/>
      <c r="V168" s="218"/>
      <c r="W168" s="32"/>
      <c r="X168" s="218"/>
      <c r="Y168" s="32"/>
      <c r="Z168" s="218"/>
      <c r="AB168" s="218"/>
      <c r="AD168" s="218"/>
      <c r="AE168" s="393"/>
      <c r="AF168" s="393"/>
      <c r="AG168" s="393"/>
    </row>
    <row r="169" spans="2:33" ht="15" hidden="1" customHeight="1">
      <c r="B169" s="722" t="s">
        <v>239</v>
      </c>
      <c r="C169" s="723">
        <f>C162+C160+C164+C166</f>
        <v>-29571.080131697556</v>
      </c>
      <c r="D169" s="724"/>
      <c r="E169" s="723">
        <f>E162+E160+E164+E166</f>
        <v>-49619.103151453644</v>
      </c>
      <c r="F169" s="723"/>
      <c r="G169" s="723">
        <f>G162+G160+G164+G166</f>
        <v>5301.3263358344557</v>
      </c>
      <c r="H169" s="723"/>
      <c r="I169" s="723">
        <f>I162+I160+I164+I166</f>
        <v>23029.370911481121</v>
      </c>
      <c r="J169" s="723"/>
      <c r="K169" s="723">
        <f>K162+K160+K164+K166</f>
        <v>46189.661887168106</v>
      </c>
      <c r="L169" s="723"/>
      <c r="M169" s="723">
        <f>M162+M160+M164+M166</f>
        <v>80761.438539251991</v>
      </c>
      <c r="N169" s="723"/>
      <c r="O169" s="723">
        <f>O162+O160+O164+O166</f>
        <v>8201.3035931846825</v>
      </c>
      <c r="P169" s="723"/>
      <c r="Q169" s="723">
        <f>Q162+Q160+Q164+Q166</f>
        <v>49319.440538067858</v>
      </c>
      <c r="R169" s="723"/>
      <c r="S169" s="723">
        <f>S162+S160+S164+S166</f>
        <v>36181.772315204704</v>
      </c>
      <c r="T169" s="723"/>
      <c r="U169" s="723">
        <f>U162+U160+U164+U166</f>
        <v>9908.208528131654</v>
      </c>
      <c r="V169" s="723"/>
      <c r="W169" s="723">
        <f>W162+W160+W164+W166</f>
        <v>21029.222180091776</v>
      </c>
      <c r="X169" s="723"/>
      <c r="Y169" s="723">
        <f>Y162+Y160+Y164+Y166</f>
        <v>112257.0995641953</v>
      </c>
      <c r="Z169" s="723"/>
      <c r="AA169" s="723"/>
      <c r="AB169" s="218"/>
      <c r="AC169" s="32"/>
      <c r="AD169" s="218"/>
      <c r="AE169" s="393"/>
      <c r="AF169" s="393"/>
      <c r="AG169" s="393"/>
    </row>
    <row r="170" spans="2:33" ht="15" hidden="1" customHeight="1">
      <c r="C170" s="32"/>
      <c r="D170" s="226"/>
      <c r="E170" s="32"/>
      <c r="F170" s="218"/>
      <c r="G170" s="32"/>
      <c r="H170" s="218"/>
      <c r="I170" s="32"/>
      <c r="J170" s="218"/>
      <c r="L170" s="218"/>
      <c r="N170" s="218"/>
      <c r="P170" s="218"/>
      <c r="R170" s="218"/>
      <c r="T170" s="218"/>
      <c r="U170" s="32"/>
      <c r="V170" s="218"/>
      <c r="W170" s="32"/>
      <c r="X170" s="218"/>
      <c r="Y170" s="32"/>
      <c r="Z170" s="218"/>
      <c r="AB170" s="218"/>
      <c r="AD170" s="218"/>
      <c r="AE170" s="393"/>
      <c r="AF170" s="393"/>
      <c r="AG170" s="393"/>
    </row>
    <row r="171" spans="2:33" ht="15" hidden="1" customHeight="1">
      <c r="B171" s="722"/>
      <c r="C171" s="32"/>
      <c r="D171" s="226"/>
      <c r="E171" s="32"/>
      <c r="F171" s="218"/>
      <c r="G171" s="32"/>
      <c r="H171" s="218"/>
      <c r="I171" s="32"/>
      <c r="J171" s="218"/>
      <c r="L171" s="218"/>
      <c r="N171" s="218"/>
      <c r="P171" s="218"/>
      <c r="R171" s="218"/>
      <c r="T171" s="218"/>
      <c r="U171" s="32"/>
      <c r="V171" s="218"/>
      <c r="W171" s="32"/>
      <c r="X171" s="218"/>
      <c r="Y171" s="32"/>
      <c r="Z171" s="218"/>
      <c r="AB171" s="218"/>
      <c r="AD171" s="218"/>
      <c r="AE171" s="393"/>
      <c r="AF171" s="393"/>
      <c r="AG171" s="393"/>
    </row>
    <row r="172" spans="2:33" ht="15" hidden="1" customHeight="1">
      <c r="B172" s="722" t="s">
        <v>240</v>
      </c>
      <c r="C172" s="32">
        <f>C169</f>
        <v>-29571.080131697556</v>
      </c>
      <c r="D172" s="32"/>
      <c r="E172" s="32">
        <f>C172+E169</f>
        <v>-79190.1832831512</v>
      </c>
      <c r="F172" s="32"/>
      <c r="G172" s="32">
        <f>E172+G169</f>
        <v>-73888.856947316744</v>
      </c>
      <c r="H172" s="32"/>
      <c r="I172" s="32">
        <f>G172+I169</f>
        <v>-50859.486035835624</v>
      </c>
      <c r="J172" s="32"/>
      <c r="K172" s="32">
        <f>I172+K169</f>
        <v>-4669.8241486675179</v>
      </c>
      <c r="L172" s="32"/>
      <c r="M172" s="32">
        <f>K172+M169</f>
        <v>76091.614390584466</v>
      </c>
      <c r="N172" s="32"/>
      <c r="O172" s="32">
        <f>M172+O169</f>
        <v>84292.917983769148</v>
      </c>
      <c r="P172" s="32"/>
      <c r="Q172" s="32">
        <f>O172+Q169</f>
        <v>133612.35852183701</v>
      </c>
      <c r="R172" s="32"/>
      <c r="S172" s="32">
        <f>Q172+S169</f>
        <v>169794.13083704171</v>
      </c>
      <c r="T172" s="32"/>
      <c r="U172" s="32">
        <f>S172+U169</f>
        <v>179702.33936517336</v>
      </c>
      <c r="V172" s="32"/>
      <c r="W172" s="32">
        <f>U172+W169</f>
        <v>200731.56154526514</v>
      </c>
      <c r="X172" s="32"/>
      <c r="Y172" s="32">
        <f>W172+Y169</f>
        <v>312988.66110946046</v>
      </c>
      <c r="Z172" s="32"/>
      <c r="AA172" s="32"/>
      <c r="AB172" s="32"/>
      <c r="AC172" s="32"/>
      <c r="AD172" s="32"/>
      <c r="AE172" s="721"/>
      <c r="AF172" s="721"/>
      <c r="AG172" s="721"/>
    </row>
  </sheetData>
  <mergeCells count="1">
    <mergeCell ref="A1:AD1"/>
  </mergeCells>
  <conditionalFormatting sqref="W146 Q146">
    <cfRule type="cellIs" dxfId="3" priority="2" operator="lessThan">
      <formula>0</formula>
    </cfRule>
  </conditionalFormatting>
  <printOptions horizontalCentered="1" gridLines="1"/>
  <pageMargins left="0.31496062992126" right="0.31496062992126" top="0.74803149606299202" bottom="0.74803149606299202" header="0.31496062992126" footer="0.31496062992126"/>
  <pageSetup paperSize="8" scale="55" fitToHeight="3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175"/>
  <sheetViews>
    <sheetView zoomScale="85" zoomScaleNormal="85" workbookViewId="0">
      <pane xSplit="2" ySplit="4" topLeftCell="M118" activePane="bottomRight" state="frozen"/>
      <selection activeCell="AB5" sqref="AB5"/>
      <selection pane="topRight" activeCell="AB5" sqref="AB5"/>
      <selection pane="bottomLeft" activeCell="AB5" sqref="AB5"/>
      <selection pane="bottomRight" activeCell="AA142" sqref="AA142"/>
    </sheetView>
  </sheetViews>
  <sheetFormatPr defaultColWidth="9.140625" defaultRowHeight="15"/>
  <cols>
    <col min="1" max="1" width="6.42578125" style="213" bestFit="1" customWidth="1"/>
    <col min="2" max="2" width="38.42578125" style="213" bestFit="1" customWidth="1"/>
    <col min="3" max="3" width="13.28515625" style="269" bestFit="1" customWidth="1"/>
    <col min="4" max="4" width="7.140625" style="213" bestFit="1" customWidth="1"/>
    <col min="5" max="5" width="13.28515625" style="269" bestFit="1" customWidth="1"/>
    <col min="6" max="6" width="7.85546875" style="213" bestFit="1" customWidth="1"/>
    <col min="7" max="7" width="13.28515625" style="269" bestFit="1" customWidth="1"/>
    <col min="8" max="8" width="7.85546875" style="213" bestFit="1" customWidth="1"/>
    <col min="9" max="9" width="13.28515625" style="269" bestFit="1" customWidth="1"/>
    <col min="10" max="10" width="7.85546875" style="213" bestFit="1" customWidth="1"/>
    <col min="11" max="11" width="13.28515625" style="32" bestFit="1" customWidth="1"/>
    <col min="12" max="12" width="7.85546875" style="213" bestFit="1" customWidth="1"/>
    <col min="13" max="13" width="13.28515625" style="32" bestFit="1" customWidth="1"/>
    <col min="14" max="14" width="7.85546875" style="213" bestFit="1" customWidth="1"/>
    <col min="15" max="15" width="13.28515625" style="32" bestFit="1" customWidth="1"/>
    <col min="16" max="16" width="7.140625" style="363" bestFit="1" customWidth="1"/>
    <col min="17" max="17" width="13.28515625" style="32" bestFit="1" customWidth="1"/>
    <col min="18" max="18" width="7.85546875" style="363" bestFit="1" customWidth="1"/>
    <col min="19" max="19" width="13.28515625" style="32" bestFit="1" customWidth="1"/>
    <col min="20" max="20" width="7.85546875" style="363" bestFit="1" customWidth="1"/>
    <col min="21" max="21" width="13.28515625" style="269" bestFit="1" customWidth="1"/>
    <col min="22" max="22" width="7.140625" style="363" bestFit="1" customWidth="1"/>
    <col min="23" max="23" width="13.28515625" style="269" bestFit="1" customWidth="1"/>
    <col min="24" max="24" width="7.140625" style="363" bestFit="1" customWidth="1"/>
    <col min="25" max="25" width="14" style="269" bestFit="1" customWidth="1"/>
    <col min="26" max="26" width="7.140625" style="363" bestFit="1" customWidth="1"/>
    <col min="27" max="27" width="13.28515625" style="213" bestFit="1" customWidth="1"/>
    <col min="28" max="28" width="8.140625" style="363" customWidth="1"/>
    <col min="29" max="29" width="12" style="213" bestFit="1" customWidth="1"/>
    <col min="30" max="30" width="7.140625" style="363" bestFit="1" customWidth="1"/>
    <col min="31" max="31" width="26.7109375" style="718" customWidth="1"/>
    <col min="32" max="33" width="14.85546875" style="718" customWidth="1"/>
    <col min="34" max="34" width="21.5703125" style="213" customWidth="1"/>
    <col min="35" max="35" width="11.7109375" style="213" bestFit="1" customWidth="1"/>
    <col min="36" max="56" width="9.140625" style="213" customWidth="1"/>
    <col min="57" max="16384" width="9.140625" style="213"/>
  </cols>
  <sheetData>
    <row r="1" spans="1:33" s="358" customFormat="1">
      <c r="A1" s="995" t="s">
        <v>371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548" t="s">
        <v>267</v>
      </c>
      <c r="AF1" s="548">
        <v>12610.72</v>
      </c>
      <c r="AG1" s="548"/>
    </row>
    <row r="2" spans="1:33" s="1" customFormat="1">
      <c r="A2" s="43"/>
      <c r="B2" s="988" t="s">
        <v>359</v>
      </c>
      <c r="C2" s="324" t="s">
        <v>64</v>
      </c>
      <c r="D2" s="325"/>
      <c r="E2" s="324" t="s">
        <v>65</v>
      </c>
      <c r="F2" s="325"/>
      <c r="G2" s="324" t="s">
        <v>81</v>
      </c>
      <c r="H2" s="325"/>
      <c r="I2" s="324" t="s">
        <v>82</v>
      </c>
      <c r="J2" s="325"/>
      <c r="K2" s="324" t="s">
        <v>83</v>
      </c>
      <c r="L2" s="325"/>
      <c r="M2" s="798" t="s">
        <v>84</v>
      </c>
      <c r="N2" s="589"/>
      <c r="O2" s="798" t="s">
        <v>85</v>
      </c>
      <c r="P2" s="325"/>
      <c r="Q2" s="324" t="s">
        <v>86</v>
      </c>
      <c r="R2" s="589"/>
      <c r="S2" s="808" t="s">
        <v>87</v>
      </c>
      <c r="T2" s="589"/>
      <c r="U2" s="324" t="s">
        <v>123</v>
      </c>
      <c r="V2" s="325"/>
      <c r="W2" s="324" t="s">
        <v>124</v>
      </c>
      <c r="X2" s="589"/>
      <c r="Y2" s="589" t="s">
        <v>125</v>
      </c>
      <c r="Z2" s="589"/>
      <c r="AA2" s="587" t="s">
        <v>120</v>
      </c>
      <c r="AB2" s="587"/>
      <c r="AC2" s="588" t="s">
        <v>121</v>
      </c>
      <c r="AD2" s="588"/>
      <c r="AE2" s="556"/>
      <c r="AF2" s="556"/>
      <c r="AG2" s="556"/>
    </row>
    <row r="3" spans="1:33" s="1" customFormat="1" ht="15.75" thickBot="1">
      <c r="A3" s="65"/>
      <c r="B3" s="42" t="s">
        <v>69</v>
      </c>
      <c r="C3" s="73" t="s">
        <v>115</v>
      </c>
      <c r="D3" s="67" t="s">
        <v>80</v>
      </c>
      <c r="E3" s="111" t="s">
        <v>115</v>
      </c>
      <c r="F3" s="67" t="s">
        <v>80</v>
      </c>
      <c r="G3" s="73" t="s">
        <v>115</v>
      </c>
      <c r="H3" s="67" t="s">
        <v>80</v>
      </c>
      <c r="I3" s="73" t="s">
        <v>115</v>
      </c>
      <c r="J3" s="67" t="s">
        <v>80</v>
      </c>
      <c r="K3" s="70" t="s">
        <v>115</v>
      </c>
      <c r="L3" s="67" t="s">
        <v>80</v>
      </c>
      <c r="M3" s="70" t="s">
        <v>115</v>
      </c>
      <c r="N3" s="67" t="s">
        <v>80</v>
      </c>
      <c r="O3" s="70" t="s">
        <v>115</v>
      </c>
      <c r="P3" s="99" t="s">
        <v>80</v>
      </c>
      <c r="Q3" s="70" t="s">
        <v>115</v>
      </c>
      <c r="R3" s="99" t="s">
        <v>80</v>
      </c>
      <c r="S3" s="70" t="s">
        <v>115</v>
      </c>
      <c r="T3" s="99" t="s">
        <v>80</v>
      </c>
      <c r="U3" s="73" t="s">
        <v>115</v>
      </c>
      <c r="V3" s="99" t="s">
        <v>80</v>
      </c>
      <c r="W3" s="73" t="s">
        <v>115</v>
      </c>
      <c r="X3" s="99" t="s">
        <v>80</v>
      </c>
      <c r="Y3" s="73" t="s">
        <v>115</v>
      </c>
      <c r="Z3" s="99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50" t="s">
        <v>183</v>
      </c>
      <c r="AF3" s="550" t="s">
        <v>181</v>
      </c>
      <c r="AG3" s="550" t="s">
        <v>225</v>
      </c>
    </row>
    <row r="4" spans="1:33" s="1" customFormat="1">
      <c r="B4" s="20"/>
      <c r="C4" s="74" t="s">
        <v>234</v>
      </c>
      <c r="D4" s="17"/>
      <c r="E4" s="112" t="s">
        <v>234</v>
      </c>
      <c r="F4" s="17"/>
      <c r="G4" s="74" t="s">
        <v>234</v>
      </c>
      <c r="H4" s="17"/>
      <c r="I4" s="74" t="s">
        <v>234</v>
      </c>
      <c r="J4" s="17"/>
      <c r="K4" s="26" t="s">
        <v>234</v>
      </c>
      <c r="L4" s="17"/>
      <c r="M4" s="26" t="s">
        <v>234</v>
      </c>
      <c r="N4" s="17"/>
      <c r="O4" s="26" t="s">
        <v>234</v>
      </c>
      <c r="P4" s="91"/>
      <c r="Q4" s="26" t="s">
        <v>234</v>
      </c>
      <c r="R4" s="91"/>
      <c r="S4" s="26" t="s">
        <v>234</v>
      </c>
      <c r="T4" s="91"/>
      <c r="U4" s="74" t="s">
        <v>234</v>
      </c>
      <c r="V4" s="91"/>
      <c r="W4" s="74" t="s">
        <v>234</v>
      </c>
      <c r="X4" s="91"/>
      <c r="Y4" s="74" t="s">
        <v>234</v>
      </c>
      <c r="Z4" s="91"/>
      <c r="AA4" s="142"/>
      <c r="AB4" s="143"/>
      <c r="AC4" s="126"/>
      <c r="AD4" s="127"/>
      <c r="AE4" s="557"/>
      <c r="AF4" s="557"/>
      <c r="AG4" s="557"/>
    </row>
    <row r="5" spans="1:33" s="1" customFormat="1">
      <c r="A5" s="6">
        <v>5004</v>
      </c>
      <c r="B5" s="759" t="s">
        <v>71</v>
      </c>
      <c r="C5" s="962">
        <f>429998.25+C9</f>
        <v>554697.7426764454</v>
      </c>
      <c r="E5" s="963">
        <f>334539.268404757+E9</f>
        <v>391410.94403356564</v>
      </c>
      <c r="G5" s="964">
        <f>554926.242990181+G9</f>
        <v>726953.3783171369</v>
      </c>
      <c r="I5" s="965">
        <f>489996.690668927+I9</f>
        <v>622295.79714953736</v>
      </c>
      <c r="K5" s="966">
        <f>448151.890008513+K9</f>
        <v>528819.23021004535</v>
      </c>
      <c r="M5" s="967">
        <f>635473.175270126+M9</f>
        <v>832469.85960386507</v>
      </c>
      <c r="O5" s="968">
        <f>402324.753136885+O9</f>
        <v>523022.17907795036</v>
      </c>
      <c r="Q5" s="969">
        <f>499582.352321913+Q9</f>
        <v>639465.41097204876</v>
      </c>
      <c r="S5" s="970">
        <f>503268.908275812+S9</f>
        <v>619020.75717924885</v>
      </c>
      <c r="U5" s="971">
        <f>399196.184020904+U9</f>
        <v>522947.00106738415</v>
      </c>
      <c r="W5" s="972">
        <f>406158.775968907+W9</f>
        <v>475205.76788362121</v>
      </c>
      <c r="Y5" s="973">
        <f>613569.230852115+Y9</f>
        <v>785368.61549070722</v>
      </c>
      <c r="Z5" s="299">
        <v>0</v>
      </c>
      <c r="AA5" s="182">
        <f>C5+E5+G5+I5+K5+M5+O5+Q5+S5+U5+W5+Y5</f>
        <v>7221676.6836615568</v>
      </c>
      <c r="AB5" s="299">
        <v>0</v>
      </c>
      <c r="AC5" s="182">
        <f>AA5/12</f>
        <v>601806.39030512969</v>
      </c>
      <c r="AD5" s="299">
        <v>0</v>
      </c>
      <c r="AE5" s="573"/>
      <c r="AF5" s="573"/>
      <c r="AG5" s="573"/>
    </row>
    <row r="6" spans="1:33" s="1" customFormat="1">
      <c r="A6" s="1">
        <v>5005</v>
      </c>
      <c r="B6" s="20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ref="AA6:AA11" si="0">C6+E6+G6+I6+K6+M6+O6+Q6+S6+U6+W6+Y6</f>
        <v>0</v>
      </c>
      <c r="AB6" s="22">
        <f>AA6/AA$5</f>
        <v>0</v>
      </c>
      <c r="AC6" s="128">
        <f t="shared" ref="AC6:AC69" si="1">AA6/12</f>
        <v>0</v>
      </c>
      <c r="AD6" s="22">
        <f>AC6/AC$5</f>
        <v>0</v>
      </c>
      <c r="AE6" s="574"/>
      <c r="AF6" s="574"/>
      <c r="AG6" s="574"/>
    </row>
    <row r="7" spans="1:33" s="1" customFormat="1">
      <c r="A7" s="14">
        <v>5051</v>
      </c>
      <c r="B7" s="241" t="s">
        <v>74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22">
        <f>AA7/AA$5</f>
        <v>0</v>
      </c>
      <c r="AC7" s="128">
        <f t="shared" si="1"/>
        <v>0</v>
      </c>
      <c r="AD7" s="22">
        <f t="shared" ref="AD7:AD11" si="2">AC7/AC$5</f>
        <v>0</v>
      </c>
      <c r="AE7" s="574"/>
      <c r="AF7" s="574"/>
      <c r="AG7" s="574"/>
    </row>
    <row r="8" spans="1:33" s="1" customFormat="1">
      <c r="A8" s="1">
        <v>5052</v>
      </c>
      <c r="B8" s="1" t="s">
        <v>90</v>
      </c>
      <c r="C8" s="31"/>
      <c r="D8" s="702">
        <f t="shared" ref="D8:D11" si="3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4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5">Y8/Y$5</f>
        <v>0</v>
      </c>
      <c r="AA8" s="144"/>
      <c r="AB8" s="677">
        <f t="shared" ref="AB8:AB11" si="6">AA8/AA$5</f>
        <v>0</v>
      </c>
      <c r="AC8" s="128">
        <f t="shared" si="1"/>
        <v>0</v>
      </c>
      <c r="AD8" s="22">
        <f t="shared" si="2"/>
        <v>0</v>
      </c>
      <c r="AE8" s="574" t="s">
        <v>224</v>
      </c>
      <c r="AF8" s="574"/>
      <c r="AG8" s="574"/>
    </row>
    <row r="9" spans="1:33" s="1" customFormat="1">
      <c r="A9" s="1">
        <v>5101</v>
      </c>
      <c r="B9" s="20" t="s">
        <v>46</v>
      </c>
      <c r="C9" s="1">
        <v>124699.49267644536</v>
      </c>
      <c r="D9" s="702">
        <v>0.12481261264555464</v>
      </c>
      <c r="E9" s="1">
        <v>56871.67562880864</v>
      </c>
      <c r="F9" s="702">
        <v>7.3166014309463082E-2</v>
      </c>
      <c r="G9" s="1">
        <v>172027.13532695596</v>
      </c>
      <c r="H9" s="702">
        <v>0.13342037903490325</v>
      </c>
      <c r="I9" s="371">
        <v>132299.10648061038</v>
      </c>
      <c r="J9" s="702">
        <v>0.11620484625620606</v>
      </c>
      <c r="K9" s="371">
        <v>80667.340201532366</v>
      </c>
      <c r="L9" s="702">
        <v>7.7469897504137367E-2</v>
      </c>
      <c r="M9" s="33">
        <v>196996.68433373905</v>
      </c>
      <c r="N9" s="702">
        <v>0.13342037903490322</v>
      </c>
      <c r="O9" s="371">
        <v>120697.42594106536</v>
      </c>
      <c r="P9" s="702">
        <v>0.12911649584022897</v>
      </c>
      <c r="Q9" s="371">
        <v>139883.05865013573</v>
      </c>
      <c r="R9" s="702">
        <v>0.12050872945088037</v>
      </c>
      <c r="S9" s="371">
        <v>115751.84890343682</v>
      </c>
      <c r="T9" s="22">
        <v>9.8989313477508861E-2</v>
      </c>
      <c r="U9" s="1">
        <v>123750.81704648012</v>
      </c>
      <c r="V9" s="22">
        <v>0.13342037903490328</v>
      </c>
      <c r="W9" s="1">
        <v>69046.991914714221</v>
      </c>
      <c r="X9" s="22">
        <v>7.3166014309463095E-2</v>
      </c>
      <c r="Y9" s="1">
        <v>171799.38463859225</v>
      </c>
      <c r="Z9" s="22">
        <f t="shared" si="5"/>
        <v>0.21875000000000006</v>
      </c>
      <c r="AA9" s="144">
        <f t="shared" si="0"/>
        <v>1504490.9617425161</v>
      </c>
      <c r="AB9" s="22">
        <f t="shared" si="6"/>
        <v>0.20832986959196081</v>
      </c>
      <c r="AC9" s="128">
        <f t="shared" si="1"/>
        <v>125374.24681187635</v>
      </c>
      <c r="AD9" s="22">
        <f t="shared" si="2"/>
        <v>0.20832986959196084</v>
      </c>
      <c r="AE9" s="574"/>
      <c r="AF9" s="574"/>
      <c r="AG9" s="574"/>
    </row>
    <row r="10" spans="1:33" s="1" customFormat="1">
      <c r="A10" s="1">
        <v>5102</v>
      </c>
      <c r="B10" s="1" t="s">
        <v>220</v>
      </c>
      <c r="C10" s="31"/>
      <c r="D10" s="702">
        <f t="shared" si="3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4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5"/>
        <v>0</v>
      </c>
      <c r="AA10" s="144">
        <f t="shared" si="0"/>
        <v>0</v>
      </c>
      <c r="AB10" s="22">
        <f t="shared" si="6"/>
        <v>0</v>
      </c>
      <c r="AC10" s="128">
        <f t="shared" si="1"/>
        <v>0</v>
      </c>
      <c r="AD10" s="22">
        <f t="shared" si="2"/>
        <v>0</v>
      </c>
      <c r="AE10" s="574"/>
      <c r="AF10" s="574"/>
      <c r="AG10" s="574"/>
    </row>
    <row r="11" spans="1:33" s="1" customFormat="1">
      <c r="A11" s="1">
        <v>5103</v>
      </c>
      <c r="B11" s="1" t="s">
        <v>63</v>
      </c>
      <c r="C11" s="26"/>
      <c r="D11" s="702">
        <f t="shared" si="3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4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5"/>
        <v>0</v>
      </c>
      <c r="AA11" s="144">
        <f t="shared" si="0"/>
        <v>0</v>
      </c>
      <c r="AB11" s="22">
        <f t="shared" si="6"/>
        <v>0</v>
      </c>
      <c r="AC11" s="128">
        <f t="shared" si="1"/>
        <v>0</v>
      </c>
      <c r="AD11" s="22">
        <f t="shared" si="2"/>
        <v>0</v>
      </c>
      <c r="AE11" s="574"/>
      <c r="AF11" s="574"/>
      <c r="AG11" s="574"/>
    </row>
    <row r="12" spans="1:33" s="1" customFormat="1" ht="15.75" thickBot="1">
      <c r="A12" s="7">
        <v>5149</v>
      </c>
      <c r="B12" s="242" t="s">
        <v>66</v>
      </c>
      <c r="C12" s="116">
        <f>C5+C6-C7-C8-C9-C10+C11</f>
        <v>429998.25000000006</v>
      </c>
      <c r="D12" s="23">
        <v>1</v>
      </c>
      <c r="E12" s="116">
        <f>E5+E6-E7-E8-E9-E10+E11</f>
        <v>334539.26840475702</v>
      </c>
      <c r="F12" s="23">
        <v>1</v>
      </c>
      <c r="G12" s="76">
        <f>G5+G6-G7-G8-G9-G10+G11</f>
        <v>554926.24299018097</v>
      </c>
      <c r="H12" s="23">
        <v>1</v>
      </c>
      <c r="I12" s="116">
        <f>I5+I6-I7-I8-I9-I10+I11</f>
        <v>489996.69066892698</v>
      </c>
      <c r="J12" s="23">
        <v>1</v>
      </c>
      <c r="K12" s="116">
        <f>K5+K6-K7-K8-K9-K10+K11</f>
        <v>448151.890008513</v>
      </c>
      <c r="L12" s="23">
        <v>1</v>
      </c>
      <c r="M12" s="800">
        <f>M5+M6-M7-M8-M9-M10+M11</f>
        <v>635473.17527012597</v>
      </c>
      <c r="N12" s="23">
        <v>1</v>
      </c>
      <c r="O12" s="45">
        <f>O5+O6-O7-O8-O9-O10+O11</f>
        <v>402324.753136885</v>
      </c>
      <c r="P12" s="23">
        <v>1</v>
      </c>
      <c r="Q12" s="116">
        <f>Q5+Q6-Q7-Q8-Q9-Q10+Q11</f>
        <v>499582.352321913</v>
      </c>
      <c r="R12" s="23">
        <v>1</v>
      </c>
      <c r="S12" s="116">
        <f>S5+S6-S7-S8-S9-S10+S11</f>
        <v>503268.90827581205</v>
      </c>
      <c r="T12" s="23">
        <v>1</v>
      </c>
      <c r="U12" s="116">
        <f>U5+U6-U7-U8-U9-U10+U11</f>
        <v>399196.18402090401</v>
      </c>
      <c r="V12" s="23">
        <v>1</v>
      </c>
      <c r="W12" s="116">
        <f>W5+W6-W7-W8-W9-W10+W11</f>
        <v>406158.77596890699</v>
      </c>
      <c r="X12" s="23">
        <v>1</v>
      </c>
      <c r="Y12" s="116">
        <f>Y5+Y6-Y7-Y8-Y9-Y10+Y11</f>
        <v>613569.23085211497</v>
      </c>
      <c r="Z12" s="23">
        <v>1</v>
      </c>
      <c r="AA12" s="52">
        <f>AA5+AA6-AA7-AA8-AA9-AA10+AA11</f>
        <v>5717185.7219190411</v>
      </c>
      <c r="AB12" s="23">
        <v>1</v>
      </c>
      <c r="AC12" s="52">
        <f t="shared" si="1"/>
        <v>476432.14349325345</v>
      </c>
      <c r="AD12" s="23">
        <v>1</v>
      </c>
      <c r="AE12" s="575"/>
      <c r="AF12" s="575"/>
      <c r="AG12" s="575"/>
    </row>
    <row r="13" spans="1:33" s="1" customFormat="1" ht="15.75" thickTop="1">
      <c r="A13" s="1">
        <v>5151</v>
      </c>
      <c r="B13" s="20" t="s">
        <v>47</v>
      </c>
      <c r="C13" s="61"/>
      <c r="D13" s="18"/>
      <c r="E13" s="114"/>
      <c r="F13" s="18"/>
      <c r="G13" s="61"/>
      <c r="H13" s="18"/>
      <c r="I13" s="61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61"/>
      <c r="V13" s="18"/>
      <c r="W13" s="61"/>
      <c r="X13" s="18"/>
      <c r="Y13" s="61"/>
      <c r="Z13" s="18"/>
      <c r="AA13" s="144">
        <f>C13+E13+G13+I13+K13+M13+O13+Q13+S13+U13+W13+Y13</f>
        <v>0</v>
      </c>
      <c r="AB13" s="18"/>
      <c r="AC13" s="128">
        <f t="shared" si="1"/>
        <v>0</v>
      </c>
      <c r="AD13" s="18"/>
      <c r="AE13" s="576"/>
      <c r="AF13" s="576"/>
      <c r="AG13" s="576"/>
    </row>
    <row r="14" spans="1:33" s="1" customFormat="1">
      <c r="A14" s="1">
        <v>5152</v>
      </c>
      <c r="B14" s="20" t="s">
        <v>48</v>
      </c>
      <c r="C14" s="61"/>
      <c r="D14" s="18"/>
      <c r="E14" s="114"/>
      <c r="F14" s="18"/>
      <c r="G14" s="61"/>
      <c r="H14" s="18"/>
      <c r="I14" s="61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61"/>
      <c r="V14" s="18"/>
      <c r="W14" s="61"/>
      <c r="X14" s="18"/>
      <c r="Y14" s="61"/>
      <c r="Z14" s="18"/>
      <c r="AA14" s="144">
        <f>C14+E14+G14+I14+K14+M14+O14+Q14+S14+U14+W14+Y14</f>
        <v>0</v>
      </c>
      <c r="AB14" s="18"/>
      <c r="AC14" s="128">
        <f t="shared" si="1"/>
        <v>0</v>
      </c>
      <c r="AD14" s="18"/>
      <c r="AE14" s="576"/>
      <c r="AF14" s="576"/>
      <c r="AG14" s="576"/>
    </row>
    <row r="15" spans="1:33" s="1" customFormat="1">
      <c r="A15" s="198">
        <v>5198</v>
      </c>
      <c r="B15" s="247" t="s">
        <v>106</v>
      </c>
      <c r="C15" s="79">
        <f>C13+C14</f>
        <v>0</v>
      </c>
      <c r="D15" s="199"/>
      <c r="E15" s="119">
        <f>E13+E14</f>
        <v>0</v>
      </c>
      <c r="F15" s="199"/>
      <c r="G15" s="79">
        <f>G13+G14</f>
        <v>0</v>
      </c>
      <c r="H15" s="199"/>
      <c r="I15" s="79">
        <f>I13+I14</f>
        <v>0</v>
      </c>
      <c r="J15" s="199"/>
      <c r="K15" s="29">
        <f>K13+K14</f>
        <v>0</v>
      </c>
      <c r="L15" s="199"/>
      <c r="M15" s="29">
        <f>M13+M14</f>
        <v>0</v>
      </c>
      <c r="N15" s="199"/>
      <c r="O15" s="29">
        <f>O13+O14</f>
        <v>0</v>
      </c>
      <c r="P15" s="199"/>
      <c r="Q15" s="29">
        <f>Q13+Q14</f>
        <v>0</v>
      </c>
      <c r="R15" s="199"/>
      <c r="S15" s="29">
        <f>S13+S14</f>
        <v>0</v>
      </c>
      <c r="T15" s="199"/>
      <c r="U15" s="79">
        <f>U13+U14</f>
        <v>0</v>
      </c>
      <c r="V15" s="199"/>
      <c r="W15" s="79">
        <f>W13+W14</f>
        <v>0</v>
      </c>
      <c r="X15" s="199"/>
      <c r="Y15" s="79">
        <f>Y13+Y14</f>
        <v>0</v>
      </c>
      <c r="Z15" s="199"/>
      <c r="AA15" s="58">
        <f>AA13+AA14</f>
        <v>0</v>
      </c>
      <c r="AB15" s="199"/>
      <c r="AC15" s="58">
        <f t="shared" si="1"/>
        <v>0</v>
      </c>
      <c r="AD15" s="199"/>
      <c r="AE15" s="577"/>
      <c r="AF15" s="577"/>
      <c r="AG15" s="577"/>
    </row>
    <row r="16" spans="1:33" s="1" customFormat="1" ht="15.75" thickBot="1">
      <c r="A16" s="37">
        <v>5199</v>
      </c>
      <c r="B16" s="248" t="s">
        <v>70</v>
      </c>
      <c r="C16" s="80">
        <f>C12+C15</f>
        <v>429998.25000000006</v>
      </c>
      <c r="D16" s="25">
        <f>C16/C12</f>
        <v>1</v>
      </c>
      <c r="E16" s="120">
        <f>E12+E15</f>
        <v>334539.26840475702</v>
      </c>
      <c r="F16" s="25">
        <f>E16/E12</f>
        <v>1</v>
      </c>
      <c r="G16" s="80">
        <f>G12+G15</f>
        <v>554926.24299018097</v>
      </c>
      <c r="H16" s="25">
        <f>G16/G12</f>
        <v>1</v>
      </c>
      <c r="I16" s="80">
        <f>I12+I15</f>
        <v>489996.69066892698</v>
      </c>
      <c r="J16" s="25">
        <f>I16/I12</f>
        <v>1</v>
      </c>
      <c r="K16" s="30">
        <f>K12+K15</f>
        <v>448151.890008513</v>
      </c>
      <c r="L16" s="25">
        <f>K16/K12</f>
        <v>1</v>
      </c>
      <c r="M16" s="30">
        <f>M12+M15</f>
        <v>635473.17527012597</v>
      </c>
      <c r="N16" s="25">
        <f>M16/M12</f>
        <v>1</v>
      </c>
      <c r="O16" s="30">
        <f>O12+O15</f>
        <v>402324.753136885</v>
      </c>
      <c r="P16" s="25">
        <f>O16/O12</f>
        <v>1</v>
      </c>
      <c r="Q16" s="30">
        <f>Q12+Q15</f>
        <v>499582.352321913</v>
      </c>
      <c r="R16" s="25">
        <f>Q16/Q12</f>
        <v>1</v>
      </c>
      <c r="S16" s="30">
        <f>S12+S15</f>
        <v>503268.90827581205</v>
      </c>
      <c r="T16" s="25">
        <f>S16/S12</f>
        <v>1</v>
      </c>
      <c r="U16" s="80">
        <f>U12+U15</f>
        <v>399196.18402090401</v>
      </c>
      <c r="V16" s="25">
        <f>U16/U12</f>
        <v>1</v>
      </c>
      <c r="W16" s="80">
        <f>W12+W15</f>
        <v>406158.77596890699</v>
      </c>
      <c r="X16" s="25">
        <f>W16/W12</f>
        <v>1</v>
      </c>
      <c r="Y16" s="80">
        <f>Y12+Y15</f>
        <v>613569.23085211497</v>
      </c>
      <c r="Z16" s="25">
        <f>Y16/Y12</f>
        <v>1</v>
      </c>
      <c r="AA16" s="195">
        <f>AA12+AA15</f>
        <v>5717185.7219190411</v>
      </c>
      <c r="AB16" s="25">
        <f>AA16/AA12</f>
        <v>1</v>
      </c>
      <c r="AC16" s="59">
        <f t="shared" si="1"/>
        <v>476432.14349325345</v>
      </c>
      <c r="AD16" s="25">
        <f>AC16/AC12</f>
        <v>1</v>
      </c>
      <c r="AE16" s="578"/>
      <c r="AF16" s="578"/>
      <c r="AG16" s="578"/>
    </row>
    <row r="17" spans="1:40" s="1" customFormat="1" ht="15.75" thickTop="1">
      <c r="A17" s="13">
        <v>5502</v>
      </c>
      <c r="B17" s="17" t="s">
        <v>49</v>
      </c>
      <c r="C17" s="704">
        <f>C12*52%</f>
        <v>223599.09000000003</v>
      </c>
      <c r="D17" s="702">
        <f>C17/C12</f>
        <v>0.52</v>
      </c>
      <c r="E17" s="703">
        <f>E12*47.16%</f>
        <v>157768.71897968341</v>
      </c>
      <c r="F17" s="702">
        <f>E17/E12</f>
        <v>0.47160000000000002</v>
      </c>
      <c r="G17" s="371">
        <f>G12*56.5%</f>
        <v>313533.32728945219</v>
      </c>
      <c r="H17" s="702">
        <f>G17/G12</f>
        <v>0.56499999999999995</v>
      </c>
      <c r="I17" s="703">
        <f>I12*45%</f>
        <v>220498.51080101714</v>
      </c>
      <c r="J17" s="702">
        <f>I17/I12</f>
        <v>0.45</v>
      </c>
      <c r="K17" s="82">
        <f>K12*42.97%</f>
        <v>192570.86713665802</v>
      </c>
      <c r="L17" s="702">
        <f>K17/K12</f>
        <v>0.42969999999999997</v>
      </c>
      <c r="M17" s="82">
        <f>M12*52.35%</f>
        <v>332670.20725391095</v>
      </c>
      <c r="N17" s="702">
        <f>M17/M12</f>
        <v>0.52349999999999997</v>
      </c>
      <c r="O17" s="82">
        <f>O12*41.8%</f>
        <v>168171.74681121792</v>
      </c>
      <c r="P17" s="702">
        <f>O17/O12</f>
        <v>0.41799999999999998</v>
      </c>
      <c r="Q17" s="82">
        <f>Q12*43.39%</f>
        <v>216768.78267247806</v>
      </c>
      <c r="R17" s="702">
        <f>Q17/Q12</f>
        <v>0.43390000000000001</v>
      </c>
      <c r="S17" s="82">
        <f>S12*52.27%</f>
        <v>263058.65835576697</v>
      </c>
      <c r="T17" s="702">
        <f>S17/S12</f>
        <v>0.52270000000000005</v>
      </c>
      <c r="U17" s="82">
        <f>U12*49.72%</f>
        <v>198480.34269519345</v>
      </c>
      <c r="V17" s="702">
        <f>U17/U12</f>
        <v>0.49719999999999998</v>
      </c>
      <c r="W17" s="82">
        <f>W12*48.47%</f>
        <v>196865.1587121292</v>
      </c>
      <c r="X17" s="702">
        <f>W17/W12</f>
        <v>0.48469999999999996</v>
      </c>
      <c r="Y17" s="82">
        <f>Y12*52.28%</f>
        <v>320773.99388948572</v>
      </c>
      <c r="Z17" s="702">
        <f>Y17/Y12</f>
        <v>0.52280000000000004</v>
      </c>
      <c r="AA17" s="144">
        <f>C17+E17+G17+I17+K17+M17+O17+Q17+S17+U17+W17+Y17</f>
        <v>2804759.4045969928</v>
      </c>
      <c r="AB17" s="68">
        <f>AA17/AA12</f>
        <v>0.49058392380780347</v>
      </c>
      <c r="AC17" s="128">
        <f t="shared" si="1"/>
        <v>233729.95038308273</v>
      </c>
      <c r="AD17" s="68">
        <f>AC17/AC12</f>
        <v>0.49058392380780347</v>
      </c>
      <c r="AE17" s="393" t="s">
        <v>246</v>
      </c>
      <c r="AF17" s="393"/>
      <c r="AG17" s="393"/>
    </row>
    <row r="18" spans="1:40" s="1" customFormat="1">
      <c r="A18" s="3">
        <v>5503</v>
      </c>
      <c r="B18" s="238" t="s">
        <v>50</v>
      </c>
      <c r="C18" s="292"/>
      <c r="D18" s="102"/>
      <c r="E18" s="61"/>
      <c r="F18" s="102"/>
      <c r="G18" s="703"/>
      <c r="H18" s="102"/>
      <c r="I18" s="26"/>
      <c r="J18" s="102"/>
      <c r="K18" s="61"/>
      <c r="L18" s="102"/>
      <c r="M18" s="26"/>
      <c r="N18" s="102"/>
      <c r="O18" s="33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1"/>
        <v>0</v>
      </c>
      <c r="AD18" s="102"/>
      <c r="AE18" s="393"/>
      <c r="AF18" s="393"/>
      <c r="AG18" s="393"/>
    </row>
    <row r="19" spans="1:40" s="1" customFormat="1">
      <c r="A19" s="187">
        <v>5504</v>
      </c>
      <c r="B19" s="758" t="s">
        <v>51</v>
      </c>
      <c r="C19" s="26"/>
      <c r="D19" s="677">
        <f>C19/C12</f>
        <v>0</v>
      </c>
      <c r="E19" s="26"/>
      <c r="F19" s="677">
        <f>E19/E12</f>
        <v>0</v>
      </c>
      <c r="H19" s="702">
        <f>G19/G12</f>
        <v>0</v>
      </c>
      <c r="I19" s="26"/>
      <c r="J19" s="702">
        <f>I19/I12</f>
        <v>0</v>
      </c>
      <c r="K19" s="26"/>
      <c r="L19" s="702">
        <f>K19/K12</f>
        <v>0</v>
      </c>
      <c r="M19" s="33"/>
      <c r="N19" s="677">
        <f>M19/M12</f>
        <v>0</v>
      </c>
      <c r="O19" s="33"/>
      <c r="P19" s="677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"/>
        <v>0</v>
      </c>
      <c r="AD19" s="68">
        <f>AC19/AC12</f>
        <v>0</v>
      </c>
      <c r="AE19" s="393"/>
      <c r="AF19" s="393"/>
      <c r="AG19" s="393"/>
    </row>
    <row r="20" spans="1:40" s="1" customFormat="1">
      <c r="A20" s="3">
        <v>5505</v>
      </c>
      <c r="B20" s="238" t="s">
        <v>52</v>
      </c>
      <c r="C20" s="292"/>
      <c r="D20" s="102"/>
      <c r="E20" s="61"/>
      <c r="F20" s="102"/>
      <c r="G20" s="703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"/>
        <v>0</v>
      </c>
      <c r="AD20" s="102"/>
      <c r="AE20" s="393"/>
      <c r="AF20" s="393"/>
      <c r="AG20" s="393"/>
    </row>
    <row r="21" spans="1:40" s="1" customFormat="1" ht="15.75" thickBot="1">
      <c r="A21" s="8">
        <v>5599</v>
      </c>
      <c r="B21" s="245" t="s">
        <v>107</v>
      </c>
      <c r="C21" s="76">
        <f>SUM(C17:C20)</f>
        <v>223599.09000000003</v>
      </c>
      <c r="D21" s="23">
        <f>C21/C12</f>
        <v>0.52</v>
      </c>
      <c r="E21" s="116">
        <f>SUM(E17:E20)</f>
        <v>157768.71897968341</v>
      </c>
      <c r="F21" s="23">
        <f>E21/E12</f>
        <v>0.47160000000000002</v>
      </c>
      <c r="G21" s="76">
        <f>SUM(G17:G20)</f>
        <v>313533.32728945219</v>
      </c>
      <c r="H21" s="23">
        <f>G21/G12</f>
        <v>0.56499999999999995</v>
      </c>
      <c r="I21" s="76">
        <f>SUM(I17:I20)</f>
        <v>220498.51080101714</v>
      </c>
      <c r="J21" s="23">
        <f>I21/I12</f>
        <v>0.45</v>
      </c>
      <c r="K21" s="28">
        <f>SUM(K17:K20)</f>
        <v>192570.86713665802</v>
      </c>
      <c r="L21" s="23">
        <f>K21/K12</f>
        <v>0.42969999999999997</v>
      </c>
      <c r="M21" s="376">
        <f>SUM(M17:M20)</f>
        <v>332670.20725391095</v>
      </c>
      <c r="N21" s="23">
        <f>M21/M12</f>
        <v>0.52349999999999997</v>
      </c>
      <c r="O21" s="28">
        <f>SUM(O17:O20)</f>
        <v>168171.74681121792</v>
      </c>
      <c r="P21" s="23">
        <f>O21/O12</f>
        <v>0.41799999999999998</v>
      </c>
      <c r="Q21" s="301">
        <f>SUM(Q17:Q20)</f>
        <v>216768.78267247806</v>
      </c>
      <c r="R21" s="23">
        <f>Q21/Q12</f>
        <v>0.43390000000000001</v>
      </c>
      <c r="S21" s="28">
        <f>SUM(S17:S20)</f>
        <v>263058.65835576697</v>
      </c>
      <c r="T21" s="23">
        <f>S21/S12</f>
        <v>0.52270000000000005</v>
      </c>
      <c r="U21" s="76">
        <f>SUM(U17:U20)</f>
        <v>198480.34269519345</v>
      </c>
      <c r="V21" s="23">
        <f>U21/U12</f>
        <v>0.49719999999999998</v>
      </c>
      <c r="W21" s="76">
        <f>SUM(W17:W20)</f>
        <v>196865.1587121292</v>
      </c>
      <c r="X21" s="23">
        <f>W21/W12</f>
        <v>0.48469999999999996</v>
      </c>
      <c r="Y21" s="76">
        <f>SUM(Y17:Y20)</f>
        <v>320773.99388948572</v>
      </c>
      <c r="Z21" s="23">
        <f>Y21/Y12</f>
        <v>0.52280000000000004</v>
      </c>
      <c r="AA21" s="196">
        <f>SUM(AA17:AA20)</f>
        <v>2804759.4045969928</v>
      </c>
      <c r="AB21" s="23">
        <f>AA21/AA12</f>
        <v>0.49058392380780347</v>
      </c>
      <c r="AC21" s="52">
        <f t="shared" si="1"/>
        <v>233729.95038308273</v>
      </c>
      <c r="AD21" s="23">
        <f>AC21/AC12</f>
        <v>0.49058392380780347</v>
      </c>
      <c r="AE21" s="575"/>
      <c r="AF21" s="575"/>
      <c r="AG21" s="575"/>
    </row>
    <row r="22" spans="1:40" s="1" customFormat="1" ht="15.75" thickTop="1">
      <c r="A22" s="187">
        <v>5601</v>
      </c>
      <c r="B22" s="3" t="s">
        <v>53</v>
      </c>
      <c r="C22" s="26"/>
      <c r="D22" s="68">
        <f>C22/C12</f>
        <v>0</v>
      </c>
      <c r="E22" s="26"/>
      <c r="F22" s="68">
        <f>E22/E12</f>
        <v>0</v>
      </c>
      <c r="G22" s="26"/>
      <c r="H22" s="702">
        <f>G22/G12</f>
        <v>0</v>
      </c>
      <c r="I22" s="26"/>
      <c r="J22" s="702">
        <f>I22/I12</f>
        <v>0</v>
      </c>
      <c r="K22" s="26"/>
      <c r="L22" s="702">
        <f>K22/K12</f>
        <v>0</v>
      </c>
      <c r="M22" s="26"/>
      <c r="N22" s="677">
        <f>M22/M12</f>
        <v>0</v>
      </c>
      <c r="O22" s="26"/>
      <c r="P22" s="677">
        <f>O22/O12</f>
        <v>0</v>
      </c>
      <c r="Q22" s="26"/>
      <c r="R22" s="677">
        <f>Q22/Q12</f>
        <v>0</v>
      </c>
      <c r="S22" s="26"/>
      <c r="T22" s="677">
        <f>S22/S12</f>
        <v>0</v>
      </c>
      <c r="U22" s="26"/>
      <c r="V22" s="677">
        <f>U22/U12</f>
        <v>0</v>
      </c>
      <c r="W22" s="26"/>
      <c r="X22" s="677">
        <f>W22/W12</f>
        <v>0</v>
      </c>
      <c r="Y22" s="26"/>
      <c r="Z22" s="677">
        <f>Y22/Y12</f>
        <v>0</v>
      </c>
      <c r="AA22" s="144">
        <f t="shared" ref="AA22:AA34" si="16">C22+E22+G22+I22+K22+M22+O22+Q22+S22+U22+W22+Y22</f>
        <v>0</v>
      </c>
      <c r="AB22" s="68">
        <f>AA22/AA12</f>
        <v>0</v>
      </c>
      <c r="AC22" s="128">
        <f t="shared" si="1"/>
        <v>0</v>
      </c>
      <c r="AD22" s="68">
        <f>AC22/AC12</f>
        <v>0</v>
      </c>
      <c r="AE22" s="393"/>
      <c r="AF22" s="393"/>
      <c r="AG22" s="393"/>
    </row>
    <row r="23" spans="1:40" s="1" customFormat="1">
      <c r="A23" s="3">
        <v>5602</v>
      </c>
      <c r="B23" s="3" t="s">
        <v>54</v>
      </c>
      <c r="C23" s="26"/>
      <c r="D23" s="68">
        <f>C23/C12</f>
        <v>0</v>
      </c>
      <c r="E23" s="26"/>
      <c r="F23" s="68">
        <f>E23/E12</f>
        <v>0</v>
      </c>
      <c r="G23" s="26"/>
      <c r="H23" s="702">
        <f>G23/G12</f>
        <v>0</v>
      </c>
      <c r="I23" s="26"/>
      <c r="J23" s="702">
        <f>I23/I12</f>
        <v>0</v>
      </c>
      <c r="K23" s="26"/>
      <c r="L23" s="702">
        <f>K23/K12</f>
        <v>0</v>
      </c>
      <c r="M23" s="26"/>
      <c r="N23" s="677">
        <f>M23/M12</f>
        <v>0</v>
      </c>
      <c r="O23" s="26"/>
      <c r="P23" s="677">
        <f>O23/O12</f>
        <v>0</v>
      </c>
      <c r="Q23" s="26"/>
      <c r="R23" s="677">
        <f>Q23/Q12</f>
        <v>0</v>
      </c>
      <c r="S23" s="26"/>
      <c r="T23" s="677">
        <f>S23/S12</f>
        <v>0</v>
      </c>
      <c r="U23" s="26"/>
      <c r="V23" s="677">
        <f>U23/U12</f>
        <v>0</v>
      </c>
      <c r="W23" s="26"/>
      <c r="X23" s="677">
        <f>W23/W12</f>
        <v>0</v>
      </c>
      <c r="Y23" s="26"/>
      <c r="Z23" s="677">
        <f>Y23/Y12</f>
        <v>0</v>
      </c>
      <c r="AA23" s="144">
        <f t="shared" si="16"/>
        <v>0</v>
      </c>
      <c r="AB23" s="68">
        <f>AA23/AA12</f>
        <v>0</v>
      </c>
      <c r="AC23" s="128">
        <f t="shared" si="1"/>
        <v>0</v>
      </c>
      <c r="AD23" s="68">
        <f>AC23/AC12</f>
        <v>0</v>
      </c>
      <c r="AE23" s="393"/>
      <c r="AF23" s="393"/>
      <c r="AG23" s="393"/>
    </row>
    <row r="24" spans="1:40" s="1" customFormat="1">
      <c r="A24" s="3">
        <v>5603</v>
      </c>
      <c r="B24" s="3" t="s">
        <v>55</v>
      </c>
      <c r="C24" s="26"/>
      <c r="D24" s="68">
        <f>C24/C12</f>
        <v>0</v>
      </c>
      <c r="E24" s="26"/>
      <c r="F24" s="68">
        <f>E24/E12</f>
        <v>0</v>
      </c>
      <c r="G24" s="26"/>
      <c r="H24" s="702">
        <f>G24/G12</f>
        <v>0</v>
      </c>
      <c r="I24" s="26"/>
      <c r="J24" s="702">
        <f>I24/I12</f>
        <v>0</v>
      </c>
      <c r="K24" s="26"/>
      <c r="L24" s="702">
        <f>K24/K12</f>
        <v>0</v>
      </c>
      <c r="M24" s="26"/>
      <c r="N24" s="677">
        <f>M24/M12</f>
        <v>0</v>
      </c>
      <c r="O24" s="26"/>
      <c r="P24" s="677">
        <f>O24/O12</f>
        <v>0</v>
      </c>
      <c r="Q24" s="26"/>
      <c r="R24" s="677">
        <f>Q24/Q12</f>
        <v>0</v>
      </c>
      <c r="S24" s="26"/>
      <c r="T24" s="677">
        <f>S24/S12</f>
        <v>0</v>
      </c>
      <c r="U24" s="26"/>
      <c r="V24" s="677">
        <f>U24/U12</f>
        <v>0</v>
      </c>
      <c r="W24" s="26"/>
      <c r="X24" s="677">
        <f>W24/W12</f>
        <v>0</v>
      </c>
      <c r="Y24" s="26"/>
      <c r="Z24" s="677">
        <f>Y24/Y12</f>
        <v>0</v>
      </c>
      <c r="AA24" s="144">
        <f t="shared" si="16"/>
        <v>0</v>
      </c>
      <c r="AB24" s="68">
        <f>AA24/AA12</f>
        <v>0</v>
      </c>
      <c r="AC24" s="128">
        <f t="shared" si="1"/>
        <v>0</v>
      </c>
      <c r="AD24" s="68">
        <f>AC24/AC12</f>
        <v>0</v>
      </c>
      <c r="AE24" s="393"/>
      <c r="AF24" s="393"/>
      <c r="AG24" s="393"/>
    </row>
    <row r="25" spans="1:40" s="1" customFormat="1">
      <c r="A25" s="187">
        <v>5604</v>
      </c>
      <c r="B25" s="187" t="s">
        <v>56</v>
      </c>
      <c r="C25" s="26">
        <v>250</v>
      </c>
      <c r="D25" s="702">
        <f>C25/C12</f>
        <v>5.8139771499070042E-4</v>
      </c>
      <c r="E25" s="26">
        <v>250</v>
      </c>
      <c r="F25" s="702">
        <f>E25/E12</f>
        <v>7.4729642708946953E-4</v>
      </c>
      <c r="G25" s="26">
        <v>250</v>
      </c>
      <c r="H25" s="702">
        <f>G25/G12</f>
        <v>4.5051032125078931E-4</v>
      </c>
      <c r="I25" s="26">
        <v>250</v>
      </c>
      <c r="J25" s="702">
        <f>I25/I12</f>
        <v>5.1020752744004947E-4</v>
      </c>
      <c r="K25" s="26">
        <v>250</v>
      </c>
      <c r="L25" s="702">
        <f>K25/K12</f>
        <v>5.5784658187038117E-4</v>
      </c>
      <c r="M25" s="26">
        <v>250</v>
      </c>
      <c r="N25" s="702">
        <f>M25/M12</f>
        <v>3.9340763659100227E-4</v>
      </c>
      <c r="O25" s="26">
        <v>250</v>
      </c>
      <c r="P25" s="702">
        <f>O25/O12</f>
        <v>6.2138856247540215E-4</v>
      </c>
      <c r="Q25" s="26">
        <v>250</v>
      </c>
      <c r="R25" s="702">
        <f>Q25/Q12</f>
        <v>5.0041799682889706E-4</v>
      </c>
      <c r="S25" s="26">
        <v>250</v>
      </c>
      <c r="T25" s="702">
        <f>S25/S12</f>
        <v>4.9675232443127551E-4</v>
      </c>
      <c r="U25" s="26">
        <v>250</v>
      </c>
      <c r="V25" s="702">
        <f>U25/U12</f>
        <v>6.2625849145619256E-4</v>
      </c>
      <c r="W25" s="26">
        <v>250</v>
      </c>
      <c r="X25" s="702">
        <f>W25/W12</f>
        <v>6.1552283193589904E-4</v>
      </c>
      <c r="Y25" s="26">
        <v>250</v>
      </c>
      <c r="Z25" s="702">
        <f>Y25/Y12</f>
        <v>4.0745198329584435E-4</v>
      </c>
      <c r="AA25" s="144">
        <f t="shared" si="16"/>
        <v>3000</v>
      </c>
      <c r="AB25" s="68">
        <f>AA25/AA12</f>
        <v>5.2473369694784285E-4</v>
      </c>
      <c r="AC25" s="128">
        <f t="shared" si="1"/>
        <v>250</v>
      </c>
      <c r="AD25" s="68">
        <f>AC25/AC12</f>
        <v>5.2473369694784275E-4</v>
      </c>
      <c r="AE25" s="393" t="s">
        <v>252</v>
      </c>
      <c r="AF25" s="393" t="s">
        <v>251</v>
      </c>
      <c r="AG25" s="393"/>
    </row>
    <row r="26" spans="1:40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6"/>
        <v>0</v>
      </c>
      <c r="AB26" s="68">
        <f>AA26/AA12</f>
        <v>0</v>
      </c>
      <c r="AC26" s="128">
        <f t="shared" si="1"/>
        <v>0</v>
      </c>
      <c r="AD26" s="68">
        <f>AC26/AC12</f>
        <v>0</v>
      </c>
      <c r="AE26" s="393"/>
      <c r="AF26" s="393"/>
      <c r="AG26" s="393"/>
    </row>
    <row r="27" spans="1:40" s="1" customFormat="1">
      <c r="A27" s="187">
        <v>5606</v>
      </c>
      <c r="B27" s="187" t="s">
        <v>77</v>
      </c>
      <c r="C27" s="26">
        <f>C16*0.3%</f>
        <v>1289.9947500000003</v>
      </c>
      <c r="D27" s="702">
        <f>C27/C12</f>
        <v>3.0000000000000001E-3</v>
      </c>
      <c r="E27" s="26">
        <f>E16*0.3%</f>
        <v>1003.6178052142711</v>
      </c>
      <c r="F27" s="702">
        <f>E27/E12</f>
        <v>3.0000000000000001E-3</v>
      </c>
      <c r="G27" s="26">
        <f>G16*0.3%</f>
        <v>1664.7787289705429</v>
      </c>
      <c r="H27" s="702">
        <f>G27/G12</f>
        <v>3.0000000000000001E-3</v>
      </c>
      <c r="I27" s="26">
        <f>I16*0.3%</f>
        <v>1469.990072006781</v>
      </c>
      <c r="J27" s="702">
        <f>I27/I12</f>
        <v>3.0000000000000001E-3</v>
      </c>
      <c r="K27" s="26">
        <f>K16*0.3%</f>
        <v>1344.4556700255391</v>
      </c>
      <c r="L27" s="702">
        <f>K27/K12</f>
        <v>3.0000000000000001E-3</v>
      </c>
      <c r="M27" s="26">
        <f>M16*0.3%</f>
        <v>1906.419525810378</v>
      </c>
      <c r="N27" s="702">
        <f>M27/M12</f>
        <v>3.0000000000000001E-3</v>
      </c>
      <c r="O27" s="26">
        <f>O16*0.3%</f>
        <v>1206.9742594106551</v>
      </c>
      <c r="P27" s="702">
        <f>O27/O12</f>
        <v>3.0000000000000005E-3</v>
      </c>
      <c r="Q27" s="26">
        <f>Q16*0.3%</f>
        <v>1498.7470569657389</v>
      </c>
      <c r="R27" s="702">
        <f>Q27/Q12</f>
        <v>2.9999999999999996E-3</v>
      </c>
      <c r="S27" s="26">
        <f>S16*0.3%</f>
        <v>1509.8067248274363</v>
      </c>
      <c r="T27" s="702">
        <f>S27/S12</f>
        <v>3.0000000000000001E-3</v>
      </c>
      <c r="U27" s="26">
        <f>U16*0.3%</f>
        <v>1197.5885520627121</v>
      </c>
      <c r="V27" s="702">
        <f>U27/U12</f>
        <v>3.0000000000000001E-3</v>
      </c>
      <c r="W27" s="26">
        <f>W16*0.3%</f>
        <v>1218.4763279067211</v>
      </c>
      <c r="X27" s="702">
        <f>W27/W12</f>
        <v>3.0000000000000001E-3</v>
      </c>
      <c r="Y27" s="26">
        <f>Y16*0.3%</f>
        <v>1840.7076925563449</v>
      </c>
      <c r="Z27" s="702">
        <f>Y27/Y12</f>
        <v>3.0000000000000001E-3</v>
      </c>
      <c r="AA27" s="26">
        <f>AA16*0.36%</f>
        <v>20581.868598908546</v>
      </c>
      <c r="AB27" s="702">
        <f>AA27/AA12</f>
        <v>3.5999999999999995E-3</v>
      </c>
      <c r="AC27" s="26">
        <f>AC16*0.36%</f>
        <v>1715.1557165757124</v>
      </c>
      <c r="AD27" s="702">
        <f>AC27/AC12</f>
        <v>3.5999999999999999E-3</v>
      </c>
      <c r="AE27" s="26">
        <f>AE16*0.36%</f>
        <v>0</v>
      </c>
      <c r="AF27" s="702" t="e">
        <f>AE27/AE12</f>
        <v>#DIV/0!</v>
      </c>
      <c r="AG27" s="26">
        <f>AG16*0.36%</f>
        <v>0</v>
      </c>
      <c r="AH27" s="702" t="e">
        <f>AG27/AG12</f>
        <v>#DIV/0!</v>
      </c>
      <c r="AI27" s="26">
        <f>AI16*0.36%</f>
        <v>0</v>
      </c>
      <c r="AJ27" s="702" t="e">
        <f>AI27/AI12</f>
        <v>#DIV/0!</v>
      </c>
      <c r="AK27" s="26">
        <f>AK16*0.36%</f>
        <v>0</v>
      </c>
      <c r="AL27" s="702" t="e">
        <f>AK27/AK12</f>
        <v>#DIV/0!</v>
      </c>
      <c r="AM27" s="26">
        <f>AM16*0.36%</f>
        <v>0</v>
      </c>
      <c r="AN27" s="702" t="e">
        <f>AM27/AM12</f>
        <v>#DIV/0!</v>
      </c>
    </row>
    <row r="28" spans="1:40" s="1" customFormat="1">
      <c r="A28" s="3">
        <v>5607</v>
      </c>
      <c r="B28" s="238" t="s">
        <v>57</v>
      </c>
      <c r="C28" s="26"/>
      <c r="D28" s="24">
        <f>C28/C12</f>
        <v>0</v>
      </c>
      <c r="E28" s="26"/>
      <c r="F28" s="24">
        <f>E28/E12</f>
        <v>0</v>
      </c>
      <c r="G28" s="26"/>
      <c r="H28" s="24">
        <f>G28/G12</f>
        <v>0</v>
      </c>
      <c r="I28" s="26"/>
      <c r="J28" s="24">
        <f>I28/I12</f>
        <v>0</v>
      </c>
      <c r="K28" s="26"/>
      <c r="L28" s="24">
        <f>K28/K12</f>
        <v>0</v>
      </c>
      <c r="M28" s="26"/>
      <c r="N28" s="24">
        <f>M28/M12</f>
        <v>0</v>
      </c>
      <c r="O28" s="26"/>
      <c r="P28" s="24">
        <f>O28/O12</f>
        <v>0</v>
      </c>
      <c r="Q28" s="26"/>
      <c r="R28" s="24">
        <f>Q28/Q12</f>
        <v>0</v>
      </c>
      <c r="S28" s="26"/>
      <c r="T28" s="24">
        <f>S28/S12</f>
        <v>0</v>
      </c>
      <c r="U28" s="26"/>
      <c r="V28" s="24">
        <f>U28/U12</f>
        <v>0</v>
      </c>
      <c r="W28" s="26"/>
      <c r="X28" s="24">
        <f>W28/W12</f>
        <v>0</v>
      </c>
      <c r="Y28" s="26"/>
      <c r="Z28" s="24">
        <f>Y28/Y12</f>
        <v>0</v>
      </c>
      <c r="AA28" s="144">
        <f t="shared" si="16"/>
        <v>0</v>
      </c>
      <c r="AB28" s="24">
        <f>AA28/AA12</f>
        <v>0</v>
      </c>
      <c r="AC28" s="128">
        <f t="shared" si="1"/>
        <v>0</v>
      </c>
      <c r="AD28" s="24">
        <f>AC28/AC12</f>
        <v>0</v>
      </c>
      <c r="AE28" s="579"/>
      <c r="AF28" s="579"/>
      <c r="AG28" s="579"/>
    </row>
    <row r="29" spans="1:40" s="1" customFormat="1">
      <c r="A29" s="3">
        <v>5608</v>
      </c>
      <c r="B29" s="238" t="s">
        <v>58</v>
      </c>
      <c r="C29" s="26"/>
      <c r="D29" s="24">
        <f>C29/C12</f>
        <v>0</v>
      </c>
      <c r="E29" s="26"/>
      <c r="F29" s="24">
        <f>E29/E12</f>
        <v>0</v>
      </c>
      <c r="G29" s="26"/>
      <c r="H29" s="24">
        <f>G29/G12</f>
        <v>0</v>
      </c>
      <c r="I29" s="26"/>
      <c r="J29" s="24">
        <f>I29/I12</f>
        <v>0</v>
      </c>
      <c r="K29" s="26"/>
      <c r="L29" s="24">
        <f>K29/K12</f>
        <v>0</v>
      </c>
      <c r="M29" s="26"/>
      <c r="N29" s="24">
        <f>M29/M12</f>
        <v>0</v>
      </c>
      <c r="O29" s="26"/>
      <c r="P29" s="24">
        <f>O29/O12</f>
        <v>0</v>
      </c>
      <c r="Q29" s="26"/>
      <c r="R29" s="24">
        <f>Q29/Q12</f>
        <v>0</v>
      </c>
      <c r="S29" s="26"/>
      <c r="T29" s="24">
        <f>S29/S12</f>
        <v>0</v>
      </c>
      <c r="U29" s="26"/>
      <c r="V29" s="24">
        <f>U29/U12</f>
        <v>0</v>
      </c>
      <c r="W29" s="26"/>
      <c r="X29" s="24">
        <f>W29/W12</f>
        <v>0</v>
      </c>
      <c r="Y29" s="26"/>
      <c r="Z29" s="24">
        <f>Y29/Y12</f>
        <v>0</v>
      </c>
      <c r="AA29" s="144">
        <f t="shared" si="16"/>
        <v>0</v>
      </c>
      <c r="AB29" s="24">
        <f>AA29/AA12</f>
        <v>0</v>
      </c>
      <c r="AC29" s="128">
        <f t="shared" si="1"/>
        <v>0</v>
      </c>
      <c r="AD29" s="24">
        <f>AC29/AC12</f>
        <v>0</v>
      </c>
      <c r="AE29" s="579"/>
      <c r="AF29" s="579"/>
      <c r="AG29" s="579"/>
    </row>
    <row r="30" spans="1:40" s="1" customFormat="1">
      <c r="A30" s="3">
        <v>5609</v>
      </c>
      <c r="B30" s="238" t="s">
        <v>59</v>
      </c>
      <c r="C30" s="26"/>
      <c r="D30" s="24">
        <f>C30/C12</f>
        <v>0</v>
      </c>
      <c r="E30" s="26"/>
      <c r="F30" s="24">
        <f>E30/E12</f>
        <v>0</v>
      </c>
      <c r="G30" s="26"/>
      <c r="H30" s="24">
        <f>G30/G12</f>
        <v>0</v>
      </c>
      <c r="I30" s="26"/>
      <c r="J30" s="24">
        <f>I30/I12</f>
        <v>0</v>
      </c>
      <c r="K30" s="26"/>
      <c r="L30" s="24">
        <f>K30/K12</f>
        <v>0</v>
      </c>
      <c r="M30" s="26"/>
      <c r="N30" s="24">
        <f>M30/M12</f>
        <v>0</v>
      </c>
      <c r="O30" s="26"/>
      <c r="P30" s="24">
        <f>O30/O12</f>
        <v>0</v>
      </c>
      <c r="Q30" s="26"/>
      <c r="R30" s="24">
        <f>Q30/Q12</f>
        <v>0</v>
      </c>
      <c r="S30" s="26"/>
      <c r="T30" s="24">
        <f>S30/S12</f>
        <v>0</v>
      </c>
      <c r="U30" s="26"/>
      <c r="V30" s="24">
        <f>U30/U12</f>
        <v>0</v>
      </c>
      <c r="W30" s="26"/>
      <c r="X30" s="24">
        <f>W30/W12</f>
        <v>0</v>
      </c>
      <c r="Y30" s="26"/>
      <c r="Z30" s="24">
        <f>Y30/Y12</f>
        <v>0</v>
      </c>
      <c r="AA30" s="144">
        <f t="shared" si="16"/>
        <v>0</v>
      </c>
      <c r="AB30" s="24">
        <f>AA30/AA12</f>
        <v>0</v>
      </c>
      <c r="AC30" s="128">
        <f t="shared" si="1"/>
        <v>0</v>
      </c>
      <c r="AD30" s="24">
        <f>AC30/AC12</f>
        <v>0</v>
      </c>
      <c r="AE30" s="579"/>
      <c r="AF30" s="579"/>
      <c r="AG30" s="579"/>
    </row>
    <row r="31" spans="1:40" s="1" customFormat="1">
      <c r="A31" s="3">
        <v>5610</v>
      </c>
      <c r="B31" s="238" t="s">
        <v>60</v>
      </c>
      <c r="C31" s="26"/>
      <c r="D31" s="24">
        <f>C31/C12</f>
        <v>0</v>
      </c>
      <c r="E31" s="26"/>
      <c r="F31" s="24">
        <f>E31/E12</f>
        <v>0</v>
      </c>
      <c r="G31" s="26"/>
      <c r="H31" s="24">
        <f>G31/G12</f>
        <v>0</v>
      </c>
      <c r="I31" s="26"/>
      <c r="J31" s="24">
        <f>I31/I12</f>
        <v>0</v>
      </c>
      <c r="K31" s="26"/>
      <c r="L31" s="24">
        <f>K31/K12</f>
        <v>0</v>
      </c>
      <c r="M31" s="26"/>
      <c r="N31" s="24">
        <f>M31/M12</f>
        <v>0</v>
      </c>
      <c r="O31" s="26"/>
      <c r="P31" s="24">
        <f>O31/O12</f>
        <v>0</v>
      </c>
      <c r="Q31" s="26"/>
      <c r="R31" s="24">
        <f>Q31/Q12</f>
        <v>0</v>
      </c>
      <c r="S31" s="26"/>
      <c r="T31" s="24">
        <f>S31/S12</f>
        <v>0</v>
      </c>
      <c r="U31" s="26"/>
      <c r="V31" s="24">
        <f>U31/U12</f>
        <v>0</v>
      </c>
      <c r="W31" s="26"/>
      <c r="X31" s="24">
        <f>W31/W12</f>
        <v>0</v>
      </c>
      <c r="Y31" s="26"/>
      <c r="Z31" s="24">
        <f>Y31/Y12</f>
        <v>0</v>
      </c>
      <c r="AA31" s="144">
        <f t="shared" si="16"/>
        <v>0</v>
      </c>
      <c r="AB31" s="24">
        <f>AA31/AA12</f>
        <v>0</v>
      </c>
      <c r="AC31" s="128">
        <f t="shared" si="1"/>
        <v>0</v>
      </c>
      <c r="AD31" s="24">
        <f>AC31/AC12</f>
        <v>0</v>
      </c>
      <c r="AE31" s="579"/>
      <c r="AF31" s="579"/>
      <c r="AG31" s="579"/>
    </row>
    <row r="32" spans="1:40" s="1" customFormat="1">
      <c r="A32" s="3">
        <v>5611</v>
      </c>
      <c r="B32" s="238" t="s">
        <v>108</v>
      </c>
      <c r="C32" s="26"/>
      <c r="D32" s="24">
        <f>C32/C12</f>
        <v>0</v>
      </c>
      <c r="E32" s="26"/>
      <c r="F32" s="24">
        <f>E32/E12</f>
        <v>0</v>
      </c>
      <c r="G32" s="26"/>
      <c r="H32" s="24">
        <f>G32/G12</f>
        <v>0</v>
      </c>
      <c r="I32" s="26"/>
      <c r="J32" s="24">
        <f>I32/I12</f>
        <v>0</v>
      </c>
      <c r="K32" s="26"/>
      <c r="L32" s="24">
        <f>K32/K12</f>
        <v>0</v>
      </c>
      <c r="M32" s="26"/>
      <c r="N32" s="24">
        <f>M32/M12</f>
        <v>0</v>
      </c>
      <c r="O32" s="26"/>
      <c r="P32" s="24">
        <f>O32/O12</f>
        <v>0</v>
      </c>
      <c r="Q32" s="26"/>
      <c r="R32" s="24">
        <f>Q32/Q12</f>
        <v>0</v>
      </c>
      <c r="S32" s="26"/>
      <c r="T32" s="24">
        <f>S32/S12</f>
        <v>0</v>
      </c>
      <c r="U32" s="26"/>
      <c r="V32" s="24">
        <f>U32/U12</f>
        <v>0</v>
      </c>
      <c r="W32" s="26"/>
      <c r="X32" s="24">
        <f>W32/W12</f>
        <v>0</v>
      </c>
      <c r="Y32" s="26"/>
      <c r="Z32" s="24">
        <f>Y32/Y12</f>
        <v>0</v>
      </c>
      <c r="AA32" s="144">
        <f t="shared" si="16"/>
        <v>0</v>
      </c>
      <c r="AB32" s="24">
        <f>AA32/AA12</f>
        <v>0</v>
      </c>
      <c r="AC32" s="128">
        <f t="shared" si="1"/>
        <v>0</v>
      </c>
      <c r="AD32" s="24">
        <f>AC32/AC12</f>
        <v>0</v>
      </c>
      <c r="AE32" s="579"/>
      <c r="AF32" s="579"/>
      <c r="AG32" s="579"/>
    </row>
    <row r="33" spans="1:35" s="1" customFormat="1">
      <c r="A33" s="3">
        <v>5612</v>
      </c>
      <c r="B33" s="238" t="s">
        <v>61</v>
      </c>
      <c r="C33" s="26"/>
      <c r="D33" s="24">
        <f>C33/C12</f>
        <v>0</v>
      </c>
      <c r="E33" s="26"/>
      <c r="F33" s="24">
        <f>E33/E12</f>
        <v>0</v>
      </c>
      <c r="G33" s="26"/>
      <c r="H33" s="24">
        <f>G33/G12</f>
        <v>0</v>
      </c>
      <c r="I33" s="26"/>
      <c r="J33" s="24">
        <f>I33/I12</f>
        <v>0</v>
      </c>
      <c r="K33" s="26"/>
      <c r="L33" s="24">
        <f>K33/K12</f>
        <v>0</v>
      </c>
      <c r="M33" s="26"/>
      <c r="N33" s="24">
        <f>M33/M12</f>
        <v>0</v>
      </c>
      <c r="O33" s="26"/>
      <c r="P33" s="24">
        <f>O33/O12</f>
        <v>0</v>
      </c>
      <c r="Q33" s="26"/>
      <c r="R33" s="24">
        <f>Q33/Q12</f>
        <v>0</v>
      </c>
      <c r="S33" s="26"/>
      <c r="T33" s="24">
        <f>S33/S12</f>
        <v>0</v>
      </c>
      <c r="U33" s="26"/>
      <c r="V33" s="24">
        <f>U33/U12</f>
        <v>0</v>
      </c>
      <c r="W33" s="26"/>
      <c r="X33" s="24">
        <f>W33/W12</f>
        <v>0</v>
      </c>
      <c r="Y33" s="26"/>
      <c r="Z33" s="24">
        <f>Y33/Y12</f>
        <v>0</v>
      </c>
      <c r="AA33" s="144">
        <f t="shared" si="16"/>
        <v>0</v>
      </c>
      <c r="AB33" s="24">
        <f>AA33/AA12</f>
        <v>0</v>
      </c>
      <c r="AC33" s="128">
        <f t="shared" si="1"/>
        <v>0</v>
      </c>
      <c r="AD33" s="24">
        <f>AC33/AC12</f>
        <v>0</v>
      </c>
      <c r="AE33" s="579"/>
      <c r="AF33" s="579"/>
      <c r="AG33" s="579"/>
    </row>
    <row r="34" spans="1:35" s="1" customFormat="1">
      <c r="A34" s="211">
        <v>5613</v>
      </c>
      <c r="B34" s="249" t="s">
        <v>62</v>
      </c>
      <c r="C34" s="26"/>
      <c r="D34" s="212">
        <f>C34/C12</f>
        <v>0</v>
      </c>
      <c r="E34" s="26"/>
      <c r="F34" s="212">
        <f>E34/E12</f>
        <v>0</v>
      </c>
      <c r="G34" s="26"/>
      <c r="H34" s="212">
        <f>G34/G12</f>
        <v>0</v>
      </c>
      <c r="I34" s="26"/>
      <c r="J34" s="212">
        <f>I34/I12</f>
        <v>0</v>
      </c>
      <c r="K34" s="26"/>
      <c r="L34" s="212">
        <f>K34/K12</f>
        <v>0</v>
      </c>
      <c r="M34" s="26"/>
      <c r="N34" s="212">
        <f>M34/M12</f>
        <v>0</v>
      </c>
      <c r="O34" s="26"/>
      <c r="P34" s="212">
        <f>O34/O12</f>
        <v>0</v>
      </c>
      <c r="Q34" s="26"/>
      <c r="R34" s="212">
        <f>Q34/Q12</f>
        <v>0</v>
      </c>
      <c r="S34" s="26"/>
      <c r="T34" s="212">
        <f>S34/S12</f>
        <v>0</v>
      </c>
      <c r="U34" s="26"/>
      <c r="V34" s="212">
        <f>U34/U12</f>
        <v>0</v>
      </c>
      <c r="W34" s="26"/>
      <c r="X34" s="212">
        <f>W34/W12</f>
        <v>0</v>
      </c>
      <c r="Y34" s="26"/>
      <c r="Z34" s="212">
        <f>Y34/Y12</f>
        <v>0</v>
      </c>
      <c r="AA34" s="166">
        <f t="shared" si="16"/>
        <v>0</v>
      </c>
      <c r="AB34" s="212">
        <f>AA34/AA12</f>
        <v>0</v>
      </c>
      <c r="AC34" s="168">
        <f t="shared" si="1"/>
        <v>0</v>
      </c>
      <c r="AD34" s="212">
        <f>AC34/AC12</f>
        <v>0</v>
      </c>
      <c r="AE34" s="579"/>
      <c r="AF34" s="579"/>
      <c r="AG34" s="579"/>
    </row>
    <row r="35" spans="1:35" s="1" customFormat="1">
      <c r="A35" s="206">
        <v>5699</v>
      </c>
      <c r="B35" s="250" t="s">
        <v>109</v>
      </c>
      <c r="C35" s="303">
        <f>SUM(C22:C34)</f>
        <v>1539.9947500000003</v>
      </c>
      <c r="D35" s="207">
        <f>C35/C12</f>
        <v>3.5813977149907008E-3</v>
      </c>
      <c r="E35" s="280">
        <f>SUM(E22:E34)</f>
        <v>1253.6178052142711</v>
      </c>
      <c r="F35" s="207">
        <f>E35/E12</f>
        <v>3.7472964270894699E-3</v>
      </c>
      <c r="G35" s="208">
        <f>SUM(G22:G34)</f>
        <v>1914.7787289705429</v>
      </c>
      <c r="H35" s="207">
        <f>G35/G12</f>
        <v>3.4505103212507894E-3</v>
      </c>
      <c r="I35" s="208">
        <f>SUM(I22:I34)</f>
        <v>1719.990072006781</v>
      </c>
      <c r="J35" s="207">
        <f>I35/I12</f>
        <v>3.5102075274400495E-3</v>
      </c>
      <c r="K35" s="297">
        <f>SUM(K22:K34)</f>
        <v>1594.4556700255391</v>
      </c>
      <c r="L35" s="207">
        <f>K35/K12</f>
        <v>3.5578465818703812E-3</v>
      </c>
      <c r="M35" s="297">
        <f>SUM(M22:M34)</f>
        <v>2156.4195258103782</v>
      </c>
      <c r="N35" s="207">
        <f>M35/M12</f>
        <v>3.3934076365910028E-3</v>
      </c>
      <c r="O35" s="297">
        <f>SUM(O22:O34)</f>
        <v>1456.9742594106551</v>
      </c>
      <c r="P35" s="207">
        <f>O35/O12</f>
        <v>3.6213885624754023E-3</v>
      </c>
      <c r="Q35" s="297">
        <f>SUM(Q22:Q34)</f>
        <v>1748.7470569657389</v>
      </c>
      <c r="R35" s="207">
        <f>Q35/Q12</f>
        <v>3.5004179968288968E-3</v>
      </c>
      <c r="S35" s="297">
        <f>SUM(S22:S34)</f>
        <v>1759.8067248274363</v>
      </c>
      <c r="T35" s="207">
        <f>S35/S12</f>
        <v>3.4967523244312758E-3</v>
      </c>
      <c r="U35" s="208">
        <f>SUM(U22:U34)</f>
        <v>1447.5885520627121</v>
      </c>
      <c r="V35" s="207">
        <f>U35/U12</f>
        <v>3.6262584914561928E-3</v>
      </c>
      <c r="W35" s="208">
        <f>SUM(W22:W34)</f>
        <v>1468.4763279067211</v>
      </c>
      <c r="X35" s="207">
        <f>W35/W12</f>
        <v>3.615522831935899E-3</v>
      </c>
      <c r="Y35" s="208">
        <f>SUM(Y22:Y34)</f>
        <v>2090.7076925563451</v>
      </c>
      <c r="Z35" s="207">
        <f>Y35/Y12</f>
        <v>3.4074519832958446E-3</v>
      </c>
      <c r="AA35" s="209">
        <f>SUM(AA22:AA34)</f>
        <v>23581.868598908546</v>
      </c>
      <c r="AB35" s="207">
        <f>AA35/AA12</f>
        <v>4.1247336969478425E-3</v>
      </c>
      <c r="AC35" s="210">
        <f t="shared" si="1"/>
        <v>1965.1557165757122</v>
      </c>
      <c r="AD35" s="207">
        <f>AC35/AC12</f>
        <v>4.1247336969478425E-3</v>
      </c>
      <c r="AE35" s="580"/>
      <c r="AF35" s="580"/>
      <c r="AG35" s="580"/>
    </row>
    <row r="36" spans="1:35" s="1" customFormat="1">
      <c r="A36" s="205">
        <v>5999</v>
      </c>
      <c r="B36" s="251" t="s">
        <v>110</v>
      </c>
      <c r="C36" s="203">
        <f>C21+C35</f>
        <v>225139.08475000004</v>
      </c>
      <c r="D36" s="204">
        <f>C36/C12</f>
        <v>0.52358139771499068</v>
      </c>
      <c r="E36" s="281">
        <f>E21+E35</f>
        <v>159022.33678489769</v>
      </c>
      <c r="F36" s="204">
        <f>E36/E12</f>
        <v>0.47534729642708951</v>
      </c>
      <c r="G36" s="203">
        <f>G21+G35</f>
        <v>315448.10601842275</v>
      </c>
      <c r="H36" s="204">
        <f>G36/G12</f>
        <v>0.56845051032125071</v>
      </c>
      <c r="I36" s="203">
        <f>I21+I35</f>
        <v>222218.50087302391</v>
      </c>
      <c r="J36" s="204">
        <f>I36/I12</f>
        <v>0.45351020752744003</v>
      </c>
      <c r="K36" s="298">
        <f>K21+K35</f>
        <v>194165.32280668357</v>
      </c>
      <c r="L36" s="204">
        <f>K36/K12</f>
        <v>0.43325784658187039</v>
      </c>
      <c r="M36" s="298">
        <f>M21+M35</f>
        <v>334826.62677972135</v>
      </c>
      <c r="N36" s="204">
        <f>M36/M12</f>
        <v>0.52689340763659109</v>
      </c>
      <c r="O36" s="298">
        <f>O21+O35</f>
        <v>169628.72107062858</v>
      </c>
      <c r="P36" s="204">
        <f>O36/O12</f>
        <v>0.42162138856247539</v>
      </c>
      <c r="Q36" s="298">
        <f>Q21+Q35</f>
        <v>218517.52972944381</v>
      </c>
      <c r="R36" s="204">
        <f>Q36/Q12</f>
        <v>0.43740041799682894</v>
      </c>
      <c r="S36" s="298">
        <f>S21+S35</f>
        <v>264818.46508059441</v>
      </c>
      <c r="T36" s="204">
        <f>S36/S12</f>
        <v>0.5261967523244313</v>
      </c>
      <c r="U36" s="203">
        <f>U21+U35</f>
        <v>199927.93124725617</v>
      </c>
      <c r="V36" s="204">
        <f>U36/U12</f>
        <v>0.50082625849145612</v>
      </c>
      <c r="W36" s="203">
        <f>W21+W35</f>
        <v>198333.63504003591</v>
      </c>
      <c r="X36" s="204">
        <f>W36/W12</f>
        <v>0.4883155228319358</v>
      </c>
      <c r="Y36" s="203">
        <f>Y21+Y35</f>
        <v>322864.70158204203</v>
      </c>
      <c r="Z36" s="204">
        <f>Y36/Y12</f>
        <v>0.52620745198329577</v>
      </c>
      <c r="AA36" s="154">
        <f>AA21+AA35</f>
        <v>2828341.2731959014</v>
      </c>
      <c r="AB36" s="204">
        <f>AA36/AA12</f>
        <v>0.49470865750475135</v>
      </c>
      <c r="AC36" s="139">
        <f t="shared" si="1"/>
        <v>235695.10609965844</v>
      </c>
      <c r="AD36" s="204">
        <f>AC36/AC12</f>
        <v>0.49470865750475129</v>
      </c>
      <c r="AE36" s="581"/>
      <c r="AF36" s="581"/>
      <c r="AG36" s="581"/>
      <c r="AH36" s="33">
        <f>AH37/Z37</f>
        <v>-420642.87633964705</v>
      </c>
    </row>
    <row r="37" spans="1:35" s="1" customFormat="1" ht="15.75" thickBot="1">
      <c r="A37" s="10"/>
      <c r="B37" s="240" t="s">
        <v>68</v>
      </c>
      <c r="C37" s="80">
        <f>(C16-C36)</f>
        <v>204859.16525000002</v>
      </c>
      <c r="D37" s="88">
        <f>C37/C12</f>
        <v>0.47641860228500926</v>
      </c>
      <c r="E37" s="120">
        <f>(E16-E36)</f>
        <v>175516.93161985933</v>
      </c>
      <c r="F37" s="88">
        <f>E37/E12</f>
        <v>0.52465270357291049</v>
      </c>
      <c r="G37" s="80">
        <f>(G16-G36)</f>
        <v>239478.13697175821</v>
      </c>
      <c r="H37" s="88">
        <f>G37/G12</f>
        <v>0.43154948967874929</v>
      </c>
      <c r="I37" s="80">
        <f>(I16-I36)</f>
        <v>267778.18979590305</v>
      </c>
      <c r="J37" s="88">
        <f>I37/I12</f>
        <v>0.54648979247255991</v>
      </c>
      <c r="K37" s="30">
        <f>(K16-K36)</f>
        <v>253986.56720182943</v>
      </c>
      <c r="L37" s="88">
        <f>K37/K12</f>
        <v>0.56674215341812961</v>
      </c>
      <c r="M37" s="30">
        <f>(M16-M36)</f>
        <v>300646.54849040462</v>
      </c>
      <c r="N37" s="88">
        <f>M37/M12</f>
        <v>0.47310659236340896</v>
      </c>
      <c r="O37" s="30">
        <f>(O16-O36)</f>
        <v>232696.03206625642</v>
      </c>
      <c r="P37" s="88">
        <f>O37/O12</f>
        <v>0.57837861143752456</v>
      </c>
      <c r="Q37" s="30">
        <f>(Q16-Q36)</f>
        <v>281064.82259246917</v>
      </c>
      <c r="R37" s="88">
        <f>Q37/Q12</f>
        <v>0.56259958200317106</v>
      </c>
      <c r="S37" s="30">
        <f>(S16-S36)</f>
        <v>238450.44319521764</v>
      </c>
      <c r="T37" s="88">
        <f>S37/S12</f>
        <v>0.4738032476755687</v>
      </c>
      <c r="U37" s="80">
        <f>(U16-U36)</f>
        <v>199268.25277364784</v>
      </c>
      <c r="V37" s="88">
        <f>U37/U12</f>
        <v>0.49917374150854382</v>
      </c>
      <c r="W37" s="80">
        <f>(W16-W36)</f>
        <v>207825.14092887109</v>
      </c>
      <c r="X37" s="88">
        <f>W37/W12</f>
        <v>0.5116844771680642</v>
      </c>
      <c r="Y37" s="80">
        <f>(Y16-Y36)</f>
        <v>290704.52927007293</v>
      </c>
      <c r="Z37" s="88">
        <f>Y37/Y12</f>
        <v>0.47379254801670417</v>
      </c>
      <c r="AA37" s="195">
        <f>(AA16-AA36)</f>
        <v>2888844.4487231397</v>
      </c>
      <c r="AB37" s="88">
        <f>AA37/AA12</f>
        <v>0.50529134249524865</v>
      </c>
      <c r="AC37" s="59">
        <f t="shared" si="1"/>
        <v>240737.03739359498</v>
      </c>
      <c r="AD37" s="88">
        <f>AC37/AC12</f>
        <v>0.50529134249524865</v>
      </c>
      <c r="AE37" s="564"/>
      <c r="AF37" s="564"/>
      <c r="AG37" s="564"/>
      <c r="AH37" s="33">
        <v>-199297.46018603677</v>
      </c>
    </row>
    <row r="38" spans="1:35" s="1" customFormat="1" ht="15.75" thickTop="1">
      <c r="A38" s="2">
        <v>6002</v>
      </c>
      <c r="B38" s="228" t="s">
        <v>45</v>
      </c>
      <c r="C38" s="61"/>
      <c r="D38" s="24">
        <f>C38/C12</f>
        <v>0</v>
      </c>
      <c r="E38" s="114"/>
      <c r="F38" s="24">
        <f>E38/E12</f>
        <v>0</v>
      </c>
      <c r="G38" s="61"/>
      <c r="H38" s="24">
        <f>G38/G12</f>
        <v>0</v>
      </c>
      <c r="I38" s="61"/>
      <c r="J38" s="24">
        <f>I38/I12</f>
        <v>0</v>
      </c>
      <c r="K38" s="26"/>
      <c r="L38" s="24">
        <f>K38/K12</f>
        <v>0</v>
      </c>
      <c r="M38" s="26"/>
      <c r="N38" s="24">
        <f>M38/M12</f>
        <v>0</v>
      </c>
      <c r="O38" s="26"/>
      <c r="P38" s="24">
        <f>O38/O12</f>
        <v>0</v>
      </c>
      <c r="Q38" s="26"/>
      <c r="R38" s="24">
        <f>Q38/Q12</f>
        <v>0</v>
      </c>
      <c r="S38" s="26"/>
      <c r="T38" s="24">
        <f>S38/S12</f>
        <v>0</v>
      </c>
      <c r="U38" s="61"/>
      <c r="V38" s="24">
        <f>U38/U12</f>
        <v>0</v>
      </c>
      <c r="W38" s="61"/>
      <c r="X38" s="24">
        <f>W38/W12</f>
        <v>0</v>
      </c>
      <c r="Y38" s="61"/>
      <c r="Z38" s="24">
        <f>Y38/Y12</f>
        <v>0</v>
      </c>
      <c r="AA38" s="144">
        <f>C38+E38+G38+I38+K38+M38+O38+Q38+S38+U38+W38+Y38</f>
        <v>0</v>
      </c>
      <c r="AB38" s="24">
        <f>AA38/AA12</f>
        <v>0</v>
      </c>
      <c r="AC38" s="128">
        <f t="shared" si="1"/>
        <v>0</v>
      </c>
      <c r="AD38" s="24">
        <f>AC38/AC12</f>
        <v>0</v>
      </c>
      <c r="AE38" s="579"/>
      <c r="AF38" s="579"/>
      <c r="AG38" s="579"/>
    </row>
    <row r="39" spans="1:35" s="1" customFormat="1">
      <c r="A39" s="2">
        <v>6003</v>
      </c>
      <c r="B39" s="2" t="s">
        <v>0</v>
      </c>
      <c r="C39" s="61"/>
      <c r="D39" s="68">
        <f>C39/C12</f>
        <v>0</v>
      </c>
      <c r="E39" s="61"/>
      <c r="F39" s="68">
        <f>E39/E12</f>
        <v>0</v>
      </c>
      <c r="G39" s="61">
        <v>0</v>
      </c>
      <c r="H39" s="702">
        <f>G39/G12</f>
        <v>0</v>
      </c>
      <c r="I39" s="61"/>
      <c r="J39" s="702">
        <f>I39/I12</f>
        <v>0</v>
      </c>
      <c r="K39" s="26">
        <v>0</v>
      </c>
      <c r="L39" s="702">
        <f>K39/K12</f>
        <v>0</v>
      </c>
      <c r="M39" s="26">
        <v>0</v>
      </c>
      <c r="N39" s="677">
        <f>M39/M12</f>
        <v>0</v>
      </c>
      <c r="O39" s="26"/>
      <c r="P39" s="677">
        <f>O39/O12</f>
        <v>0</v>
      </c>
      <c r="Q39" s="26"/>
      <c r="R39" s="677">
        <f>Q39/Q12</f>
        <v>0</v>
      </c>
      <c r="S39" s="26">
        <v>0</v>
      </c>
      <c r="T39" s="677">
        <f>S39/S12</f>
        <v>0</v>
      </c>
      <c r="U39" s="26"/>
      <c r="V39" s="677">
        <f>U39/U12</f>
        <v>0</v>
      </c>
      <c r="W39" s="26"/>
      <c r="X39" s="677">
        <f>W39/W12</f>
        <v>0</v>
      </c>
      <c r="Y39" s="26"/>
      <c r="Z39" s="677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si="1"/>
        <v>0</v>
      </c>
      <c r="AD39" s="68">
        <f>AC39/AC12</f>
        <v>0</v>
      </c>
      <c r="AE39" s="393"/>
      <c r="AF39" s="393"/>
      <c r="AG39" s="393"/>
    </row>
    <row r="40" spans="1:35" s="1" customFormat="1">
      <c r="A40" s="2">
        <v>6004</v>
      </c>
      <c r="B40" s="228" t="s">
        <v>1</v>
      </c>
      <c r="C40" s="61"/>
      <c r="D40" s="24">
        <f>C40/C12</f>
        <v>0</v>
      </c>
      <c r="E40" s="114"/>
      <c r="F40" s="24">
        <f>E40/E12</f>
        <v>0</v>
      </c>
      <c r="G40" s="61"/>
      <c r="H40" s="24">
        <f>G40/G12</f>
        <v>0</v>
      </c>
      <c r="I40" s="61"/>
      <c r="J40" s="24">
        <f>I40/I12</f>
        <v>0</v>
      </c>
      <c r="K40" s="26"/>
      <c r="L40" s="24">
        <f>K40/K12</f>
        <v>0</v>
      </c>
      <c r="M40" s="26"/>
      <c r="N40" s="24">
        <f>M40/M12</f>
        <v>0</v>
      </c>
      <c r="O40" s="26"/>
      <c r="P40" s="24">
        <f>O40/O12</f>
        <v>0</v>
      </c>
      <c r="Q40" s="26"/>
      <c r="R40" s="24">
        <f>Q40/Q12</f>
        <v>0</v>
      </c>
      <c r="S40" s="26"/>
      <c r="T40" s="24">
        <f>S40/S12</f>
        <v>0</v>
      </c>
      <c r="U40" s="61"/>
      <c r="V40" s="24">
        <f>U40/U12</f>
        <v>0</v>
      </c>
      <c r="W40" s="61"/>
      <c r="X40" s="24">
        <f>W40/W12</f>
        <v>0</v>
      </c>
      <c r="Y40" s="61"/>
      <c r="Z40" s="24">
        <f>Y40/Y12</f>
        <v>0</v>
      </c>
      <c r="AA40" s="144">
        <f>C40+E40+G40+I40+K40+M40+O40+Q40+S40+U40+W40+Y40</f>
        <v>0</v>
      </c>
      <c r="AB40" s="24">
        <f>AA40/AA12</f>
        <v>0</v>
      </c>
      <c r="AC40" s="128">
        <f t="shared" si="1"/>
        <v>0</v>
      </c>
      <c r="AD40" s="24">
        <f>AC40/AC12</f>
        <v>0</v>
      </c>
      <c r="AE40" s="579"/>
      <c r="AF40" s="579"/>
      <c r="AG40" s="579"/>
    </row>
    <row r="41" spans="1:35" s="1" customFormat="1" ht="15.75" thickBot="1">
      <c r="A41" s="4">
        <v>6099</v>
      </c>
      <c r="B41" s="229" t="s">
        <v>111</v>
      </c>
      <c r="C41" s="76">
        <f>SUM(C38:C40)</f>
        <v>0</v>
      </c>
      <c r="D41" s="92">
        <f>C41/C12</f>
        <v>0</v>
      </c>
      <c r="E41" s="116">
        <f>SUM(E38:E40)</f>
        <v>0</v>
      </c>
      <c r="F41" s="92">
        <f>E41/E12</f>
        <v>0</v>
      </c>
      <c r="G41" s="76">
        <f>SUM(G38:G40)</f>
        <v>0</v>
      </c>
      <c r="H41" s="92">
        <f>G41/G12</f>
        <v>0</v>
      </c>
      <c r="I41" s="76">
        <f>SUM(I38:I40)</f>
        <v>0</v>
      </c>
      <c r="J41" s="92">
        <f>I41/I12</f>
        <v>0</v>
      </c>
      <c r="K41" s="28">
        <f>SUM(K38:K40)</f>
        <v>0</v>
      </c>
      <c r="L41" s="92">
        <f>K41/K12</f>
        <v>0</v>
      </c>
      <c r="M41" s="28">
        <f>SUM(M38:M40)</f>
        <v>0</v>
      </c>
      <c r="N41" s="92">
        <f>M41/M12</f>
        <v>0</v>
      </c>
      <c r="O41" s="28">
        <f>SUM(O38:O40)</f>
        <v>0</v>
      </c>
      <c r="P41" s="92">
        <f>O41/O12</f>
        <v>0</v>
      </c>
      <c r="Q41" s="28">
        <f>SUM(Q38:Q40)</f>
        <v>0</v>
      </c>
      <c r="R41" s="92">
        <f>Q41/Q12</f>
        <v>0</v>
      </c>
      <c r="S41" s="28">
        <f>SUM(S38:S40)</f>
        <v>0</v>
      </c>
      <c r="T41" s="92">
        <f>S41/S12</f>
        <v>0</v>
      </c>
      <c r="U41" s="76">
        <f>SUM(U38:U40)</f>
        <v>0</v>
      </c>
      <c r="V41" s="92">
        <f>U41/U12</f>
        <v>0</v>
      </c>
      <c r="W41" s="76">
        <f>SUM(W38:W40)</f>
        <v>0</v>
      </c>
      <c r="X41" s="92">
        <f>W41/W12</f>
        <v>0</v>
      </c>
      <c r="Y41" s="76">
        <f>SUM(Y38:Y40)</f>
        <v>0</v>
      </c>
      <c r="Z41" s="92">
        <f>Y41/Y12</f>
        <v>0</v>
      </c>
      <c r="AA41" s="196">
        <f>SUM(AA38:AA40)</f>
        <v>0</v>
      </c>
      <c r="AB41" s="92">
        <f>AA41/AA12</f>
        <v>0</v>
      </c>
      <c r="AC41" s="52">
        <f t="shared" si="1"/>
        <v>0</v>
      </c>
      <c r="AD41" s="92">
        <f>AC41/AC12</f>
        <v>0</v>
      </c>
      <c r="AE41" s="582"/>
      <c r="AF41" s="582"/>
      <c r="AG41" s="582"/>
    </row>
    <row r="42" spans="1:35" s="1" customFormat="1" ht="15.75" thickTop="1">
      <c r="A42" s="188">
        <v>6101</v>
      </c>
      <c r="B42" s="227" t="s">
        <v>2</v>
      </c>
      <c r="C42" s="26">
        <f>C16*6%</f>
        <v>25799.895000000004</v>
      </c>
      <c r="D42" s="24">
        <f>C42/C12</f>
        <v>6.0000000000000005E-2</v>
      </c>
      <c r="E42" s="26">
        <f>E16*6%</f>
        <v>20072.35610428542</v>
      </c>
      <c r="F42" s="24">
        <f>E42/E12</f>
        <v>0.06</v>
      </c>
      <c r="G42" s="26">
        <f>G16*6%</f>
        <v>33295.574579410859</v>
      </c>
      <c r="H42" s="24">
        <f>G42/G12</f>
        <v>6.0000000000000005E-2</v>
      </c>
      <c r="I42" s="26">
        <f>I16*6%</f>
        <v>29399.801440135619</v>
      </c>
      <c r="J42" s="24">
        <f>I42/I12</f>
        <v>0.06</v>
      </c>
      <c r="K42" s="26">
        <f>K16*6%</f>
        <v>26889.113400510778</v>
      </c>
      <c r="L42" s="24">
        <f>K42/K12</f>
        <v>0.06</v>
      </c>
      <c r="M42" s="26">
        <f>M16*6%</f>
        <v>38128.390516207553</v>
      </c>
      <c r="N42" s="24">
        <f>M42/M12</f>
        <v>5.9999999999999991E-2</v>
      </c>
      <c r="O42" s="26">
        <f>O16*6%</f>
        <v>24139.485188213101</v>
      </c>
      <c r="P42" s="24">
        <f>O42/O12</f>
        <v>0.06</v>
      </c>
      <c r="Q42" s="26">
        <f>Q16*6%</f>
        <v>29974.941139314778</v>
      </c>
      <c r="R42" s="24">
        <f>Q42/Q12</f>
        <v>0.06</v>
      </c>
      <c r="S42" s="26">
        <f>S16*6%</f>
        <v>30196.134496548722</v>
      </c>
      <c r="T42" s="24">
        <f>S42/S12</f>
        <v>0.06</v>
      </c>
      <c r="U42" s="26">
        <f>U16*6%</f>
        <v>23951.77104125424</v>
      </c>
      <c r="V42" s="24">
        <f>U42/U12</f>
        <v>0.06</v>
      </c>
      <c r="W42" s="26">
        <f>W16*6%</f>
        <v>24369.526558134417</v>
      </c>
      <c r="X42" s="24">
        <f>W42/W12</f>
        <v>0.06</v>
      </c>
      <c r="Y42" s="26">
        <f>Y16*6%</f>
        <v>36814.153851126895</v>
      </c>
      <c r="Z42" s="24">
        <f>Y42/Y12</f>
        <v>0.06</v>
      </c>
      <c r="AA42" s="144">
        <f t="shared" ref="AA42:AA74" si="17">C42+E42+G42+I42+K42+M42+O42+Q42+S42+U42+W42+Y42</f>
        <v>343031.14331514237</v>
      </c>
      <c r="AB42" s="68">
        <f>AA42/AA12</f>
        <v>5.9999999999999984E-2</v>
      </c>
      <c r="AC42" s="128">
        <f t="shared" si="1"/>
        <v>28585.928609595197</v>
      </c>
      <c r="AD42" s="68">
        <f>AC42/AC12</f>
        <v>5.9999999999999984E-2</v>
      </c>
      <c r="AE42" s="393"/>
      <c r="AF42" s="393"/>
      <c r="AG42" s="393"/>
    </row>
    <row r="43" spans="1:35" s="1" customFormat="1">
      <c r="A43" s="188">
        <v>6102</v>
      </c>
      <c r="B43" s="227" t="s">
        <v>3</v>
      </c>
      <c r="C43" s="692">
        <v>4500</v>
      </c>
      <c r="D43" s="24">
        <f>C43/C12</f>
        <v>1.0465158869832609E-2</v>
      </c>
      <c r="E43" s="692">
        <v>4500</v>
      </c>
      <c r="F43" s="24">
        <f>E43/E12</f>
        <v>1.3451335687610453E-2</v>
      </c>
      <c r="G43" s="692">
        <v>4500</v>
      </c>
      <c r="H43" s="24">
        <f>G43/G12</f>
        <v>8.1091857825142076E-3</v>
      </c>
      <c r="I43" s="692">
        <v>4500</v>
      </c>
      <c r="J43" s="24">
        <f>I43/I12</f>
        <v>9.1837354939208905E-3</v>
      </c>
      <c r="K43" s="692">
        <v>4500</v>
      </c>
      <c r="L43" s="702">
        <f t="shared" ref="L43:L65" si="18">K43/K$12</f>
        <v>1.004123847366686E-2</v>
      </c>
      <c r="M43" s="692">
        <v>4500</v>
      </c>
      <c r="N43" s="677">
        <f t="shared" ref="N43:N65" si="19">M43/M$12</f>
        <v>7.0813374586380408E-3</v>
      </c>
      <c r="O43" s="692">
        <v>4500</v>
      </c>
      <c r="P43" s="677">
        <f t="shared" ref="P43:P65" si="20">O43/O$12</f>
        <v>1.1184994124557238E-2</v>
      </c>
      <c r="Q43" s="692">
        <v>4500</v>
      </c>
      <c r="R43" s="677">
        <f t="shared" ref="R43:R65" si="21">Q43/Q$12</f>
        <v>9.0075239429201481E-3</v>
      </c>
      <c r="S43" s="692">
        <v>4500</v>
      </c>
      <c r="T43" s="677">
        <f t="shared" ref="T43:T65" si="22">S43/S$12</f>
        <v>8.9415418397629579E-3</v>
      </c>
      <c r="U43" s="692">
        <v>4500</v>
      </c>
      <c r="V43" s="677">
        <f t="shared" ref="V43:V65" si="23">U43/U$12</f>
        <v>1.1272652846211467E-2</v>
      </c>
      <c r="W43" s="692">
        <v>4500</v>
      </c>
      <c r="X43" s="677">
        <f t="shared" ref="X43:X65" si="24">W43/W$12</f>
        <v>1.1079410974846183E-2</v>
      </c>
      <c r="Y43" s="692">
        <v>4500</v>
      </c>
      <c r="Z43" s="677">
        <f t="shared" ref="Z43:Z65" si="25">Y43/Y$12</f>
        <v>7.3341356993251979E-3</v>
      </c>
      <c r="AA43" s="144">
        <f t="shared" si="17"/>
        <v>54000</v>
      </c>
      <c r="AB43" s="68">
        <f>AA43/AA12</f>
        <v>9.4452065450611709E-3</v>
      </c>
      <c r="AC43" s="128">
        <f t="shared" si="1"/>
        <v>4500</v>
      </c>
      <c r="AD43" s="68">
        <f>AC43/AC12</f>
        <v>9.4452065450611692E-3</v>
      </c>
      <c r="AE43" s="393" t="s">
        <v>224</v>
      </c>
      <c r="AF43" s="393" t="s">
        <v>344</v>
      </c>
      <c r="AG43" s="393"/>
    </row>
    <row r="44" spans="1:35" s="1" customFormat="1">
      <c r="A44" s="188">
        <v>6103</v>
      </c>
      <c r="B44" s="227" t="s">
        <v>4</v>
      </c>
      <c r="C44" s="61"/>
      <c r="D44" s="24">
        <f>C44/C12</f>
        <v>0</v>
      </c>
      <c r="E44" s="703"/>
      <c r="F44" s="24">
        <f>E44/E12</f>
        <v>0</v>
      </c>
      <c r="H44" s="24">
        <f>G44/G12</f>
        <v>0</v>
      </c>
      <c r="I44" s="61"/>
      <c r="J44" s="24">
        <f>I44/I12</f>
        <v>0</v>
      </c>
      <c r="K44" s="703"/>
      <c r="L44" s="702">
        <f t="shared" si="18"/>
        <v>0</v>
      </c>
      <c r="M44" s="704"/>
      <c r="N44" s="677">
        <f t="shared" si="19"/>
        <v>0</v>
      </c>
      <c r="O44" s="33"/>
      <c r="P44" s="677">
        <f t="shared" si="20"/>
        <v>0</v>
      </c>
      <c r="Q44" s="114"/>
      <c r="R44" s="677">
        <f t="shared" si="21"/>
        <v>0</v>
      </c>
      <c r="S44" s="114"/>
      <c r="T44" s="677">
        <f t="shared" si="22"/>
        <v>0</v>
      </c>
      <c r="U44" s="114"/>
      <c r="V44" s="677">
        <f t="shared" si="23"/>
        <v>0</v>
      </c>
      <c r="W44" s="114"/>
      <c r="X44" s="677">
        <f t="shared" si="24"/>
        <v>0</v>
      </c>
      <c r="Y44" s="114"/>
      <c r="Z44" s="677">
        <f t="shared" si="25"/>
        <v>0</v>
      </c>
      <c r="AA44" s="144">
        <f t="shared" si="17"/>
        <v>0</v>
      </c>
      <c r="AB44" s="68">
        <f>AA44/AA12</f>
        <v>0</v>
      </c>
      <c r="AC44" s="128">
        <f t="shared" si="1"/>
        <v>0</v>
      </c>
      <c r="AD44" s="68">
        <f>AC44/AC12</f>
        <v>0</v>
      </c>
      <c r="AE44" s="393"/>
      <c r="AF44" s="393"/>
      <c r="AG44" s="393"/>
    </row>
    <row r="45" spans="1:35" s="1" customFormat="1">
      <c r="A45" s="188">
        <v>6104</v>
      </c>
      <c r="B45" s="227" t="s">
        <v>5</v>
      </c>
      <c r="C45" s="113">
        <v>2500</v>
      </c>
      <c r="D45" s="702">
        <f>C45/C12</f>
        <v>5.8139771499070049E-3</v>
      </c>
      <c r="E45" s="113">
        <v>2500</v>
      </c>
      <c r="F45" s="702">
        <f>E45/E12</f>
        <v>7.4729642708946959E-3</v>
      </c>
      <c r="G45" s="113">
        <v>2500</v>
      </c>
      <c r="H45" s="702">
        <f>G45/G12</f>
        <v>4.5051032125078931E-3</v>
      </c>
      <c r="I45" s="113">
        <v>2500</v>
      </c>
      <c r="J45" s="702">
        <f>I45/I12</f>
        <v>5.1020752744004947E-3</v>
      </c>
      <c r="K45" s="113">
        <v>2500</v>
      </c>
      <c r="L45" s="702">
        <f t="shared" si="18"/>
        <v>5.5784658187038117E-3</v>
      </c>
      <c r="M45" s="113">
        <v>2500</v>
      </c>
      <c r="N45" s="677">
        <f t="shared" si="19"/>
        <v>3.9340763659100227E-3</v>
      </c>
      <c r="O45" s="113">
        <v>2500</v>
      </c>
      <c r="P45" s="677">
        <f t="shared" si="20"/>
        <v>6.2138856247540208E-3</v>
      </c>
      <c r="Q45" s="113">
        <v>2500</v>
      </c>
      <c r="R45" s="677">
        <f t="shared" si="21"/>
        <v>5.0041799682889708E-3</v>
      </c>
      <c r="S45" s="113">
        <v>2500</v>
      </c>
      <c r="T45" s="677">
        <f t="shared" si="22"/>
        <v>4.9675232443127547E-3</v>
      </c>
      <c r="U45" s="113">
        <v>2500</v>
      </c>
      <c r="V45" s="677">
        <f t="shared" si="23"/>
        <v>6.262584914561926E-3</v>
      </c>
      <c r="W45" s="113">
        <v>2500</v>
      </c>
      <c r="X45" s="677">
        <f t="shared" si="24"/>
        <v>6.1552283193589902E-3</v>
      </c>
      <c r="Y45" s="113">
        <v>2500</v>
      </c>
      <c r="Z45" s="677">
        <f t="shared" si="25"/>
        <v>4.0745198329584431E-3</v>
      </c>
      <c r="AA45" s="144">
        <f t="shared" si="17"/>
        <v>30000</v>
      </c>
      <c r="AB45" s="68">
        <f>AA45/AA12</f>
        <v>5.2473369694784281E-3</v>
      </c>
      <c r="AC45" s="128">
        <f t="shared" si="1"/>
        <v>2500</v>
      </c>
      <c r="AD45" s="68">
        <f>AC45/AC12</f>
        <v>5.2473369694784281E-3</v>
      </c>
      <c r="AE45" s="393" t="s">
        <v>222</v>
      </c>
      <c r="AF45" s="393"/>
      <c r="AG45" s="393"/>
    </row>
    <row r="46" spans="1:35" s="1" customFormat="1">
      <c r="A46" s="188">
        <v>6105</v>
      </c>
      <c r="B46" s="188" t="s">
        <v>39</v>
      </c>
      <c r="C46" s="436">
        <f>C12*0.24%</f>
        <v>1031.9958000000001</v>
      </c>
      <c r="D46" s="702">
        <f>C46/C$12</f>
        <v>2.4000000000000002E-3</v>
      </c>
      <c r="E46" s="436">
        <f>E12*0.24%</f>
        <v>802.89424417141674</v>
      </c>
      <c r="F46" s="702">
        <f>E46/E$12</f>
        <v>2.3999999999999998E-3</v>
      </c>
      <c r="G46" s="436">
        <f>G12*0.24%</f>
        <v>1331.8229831764343</v>
      </c>
      <c r="H46" s="702">
        <f>G46/$G$12</f>
        <v>2.3999999999999998E-3</v>
      </c>
      <c r="I46" s="436">
        <f>I12*0.24%</f>
        <v>1175.9920576054246</v>
      </c>
      <c r="J46" s="226">
        <v>2.282921148507532E-3</v>
      </c>
      <c r="K46" s="436">
        <f>K12*0.24%</f>
        <v>1075.5645360204312</v>
      </c>
      <c r="L46" s="226">
        <v>1.4480363095715567E-3</v>
      </c>
      <c r="M46" s="436">
        <f>M12*0.24%</f>
        <v>1525.1356206483022</v>
      </c>
      <c r="N46" s="702">
        <v>1.4265472348621291E-3</v>
      </c>
      <c r="O46" s="436">
        <f>O12*0.24%</f>
        <v>965.57940752852392</v>
      </c>
      <c r="P46" s="702">
        <f>O46/O$12</f>
        <v>2.3999999999999998E-3</v>
      </c>
      <c r="Q46" s="436">
        <f>Q12*0.24%</f>
        <v>1198.9976455725912</v>
      </c>
      <c r="R46" s="702">
        <f>Q46/Q$12</f>
        <v>2.3999999999999998E-3</v>
      </c>
      <c r="S46" s="436">
        <f>S12*0.24%</f>
        <v>1207.8453798619489</v>
      </c>
      <c r="T46" s="702">
        <f>S46/S$12</f>
        <v>2.3999999999999998E-3</v>
      </c>
      <c r="U46" s="436">
        <f>U12*0.24%</f>
        <v>958.07084165016954</v>
      </c>
      <c r="V46" s="702">
        <f>U46/U12</f>
        <v>2.3999999999999998E-3</v>
      </c>
      <c r="W46" s="436">
        <f>W12*0.24%</f>
        <v>974.78106232537675</v>
      </c>
      <c r="X46" s="702">
        <f>W46/W12</f>
        <v>2.3999999999999998E-3</v>
      </c>
      <c r="Y46" s="436">
        <f>Y16*0.24%</f>
        <v>1472.5661540450758</v>
      </c>
      <c r="Z46" s="702">
        <f>Y46/Y12</f>
        <v>2.3999999999999998E-3</v>
      </c>
      <c r="AA46" s="144">
        <f t="shared" si="17"/>
        <v>13721.245732605696</v>
      </c>
      <c r="AB46" s="68">
        <f>AA46/AA12</f>
        <v>2.3999999999999994E-3</v>
      </c>
      <c r="AC46" s="128">
        <f t="shared" si="1"/>
        <v>1143.4371443838079</v>
      </c>
      <c r="AD46" s="68">
        <f>AC46/AC12</f>
        <v>2.3999999999999994E-3</v>
      </c>
      <c r="AE46" s="393"/>
      <c r="AF46" s="393"/>
      <c r="AG46" s="393"/>
    </row>
    <row r="47" spans="1:35" s="1" customFormat="1">
      <c r="A47" s="188">
        <v>6106</v>
      </c>
      <c r="B47" s="227" t="s">
        <v>6</v>
      </c>
      <c r="C47" s="75">
        <v>200</v>
      </c>
      <c r="D47" s="24">
        <f>C47/C12</f>
        <v>4.6511817199256037E-4</v>
      </c>
      <c r="E47" s="75">
        <v>200</v>
      </c>
      <c r="F47" s="24">
        <f>E47/E12</f>
        <v>5.9783714167157566E-4</v>
      </c>
      <c r="G47" s="75">
        <v>200</v>
      </c>
      <c r="H47" s="24">
        <f>G47/G12</f>
        <v>3.6040825700063144E-4</v>
      </c>
      <c r="I47" s="75">
        <v>200</v>
      </c>
      <c r="J47" s="24">
        <f>I47/I12</f>
        <v>4.0816602195203959E-4</v>
      </c>
      <c r="K47" s="75">
        <v>200</v>
      </c>
      <c r="L47" s="24">
        <f>K47/K12</f>
        <v>4.4627726549630492E-4</v>
      </c>
      <c r="M47" s="75">
        <v>200</v>
      </c>
      <c r="N47" s="24">
        <f>M47/M12</f>
        <v>3.1472610927280178E-4</v>
      </c>
      <c r="O47" s="75">
        <v>200</v>
      </c>
      <c r="P47" s="24">
        <f>O47/O12</f>
        <v>4.9711084998032174E-4</v>
      </c>
      <c r="Q47" s="75">
        <v>200</v>
      </c>
      <c r="R47" s="24">
        <f>Q47/Q12</f>
        <v>4.0033439746311767E-4</v>
      </c>
      <c r="S47" s="75">
        <v>200</v>
      </c>
      <c r="T47" s="24">
        <f>S47/S12</f>
        <v>3.9740185954502036E-4</v>
      </c>
      <c r="U47" s="75">
        <v>200</v>
      </c>
      <c r="V47" s="24">
        <f>U47/U12</f>
        <v>5.0100679316495409E-4</v>
      </c>
      <c r="W47" s="75">
        <v>200</v>
      </c>
      <c r="X47" s="24">
        <f>W47/W12</f>
        <v>4.9241826554871919E-4</v>
      </c>
      <c r="Y47" s="75">
        <v>200</v>
      </c>
      <c r="Z47" s="24">
        <f>Y47/Y12</f>
        <v>3.2596158663667548E-4</v>
      </c>
      <c r="AA47" s="144">
        <f t="shared" si="17"/>
        <v>2400</v>
      </c>
      <c r="AB47" s="702">
        <f>AA47/AA12</f>
        <v>4.1978695755827422E-4</v>
      </c>
      <c r="AC47" s="128">
        <f t="shared" si="1"/>
        <v>200</v>
      </c>
      <c r="AD47" s="702">
        <f>AC47/AC12</f>
        <v>4.1978695755827422E-4</v>
      </c>
      <c r="AE47" s="374" t="s">
        <v>274</v>
      </c>
      <c r="AF47" s="26"/>
      <c r="AG47" s="686">
        <f t="shared" ref="AG47" si="26">C47+E47+G47+I47+K47+M47+O47+Q47+S47+U47+W47+Y47</f>
        <v>2400</v>
      </c>
      <c r="AH47" s="686">
        <f t="shared" ref="AH47" si="27">AA47-AG47</f>
        <v>0</v>
      </c>
      <c r="AI47" s="686"/>
    </row>
    <row r="48" spans="1:35" s="1" customFormat="1">
      <c r="A48" s="188">
        <v>6107</v>
      </c>
      <c r="B48" s="227" t="s">
        <v>7</v>
      </c>
      <c r="C48" s="75"/>
      <c r="D48" s="24">
        <f>C48/C12</f>
        <v>0</v>
      </c>
      <c r="E48" s="113"/>
      <c r="F48" s="24">
        <f>E48/E12</f>
        <v>0</v>
      </c>
      <c r="H48" s="24">
        <f>G48/G12</f>
        <v>0</v>
      </c>
      <c r="I48" s="75">
        <v>0</v>
      </c>
      <c r="J48" s="24">
        <f>I48/I12</f>
        <v>0</v>
      </c>
      <c r="K48" s="31"/>
      <c r="L48" s="702">
        <f t="shared" si="18"/>
        <v>0</v>
      </c>
      <c r="M48" s="31"/>
      <c r="N48" s="677">
        <f t="shared" si="19"/>
        <v>0</v>
      </c>
      <c r="O48" s="33"/>
      <c r="P48" s="677">
        <f t="shared" si="20"/>
        <v>0</v>
      </c>
      <c r="Q48" s="31"/>
      <c r="R48" s="677">
        <f t="shared" si="21"/>
        <v>0</v>
      </c>
      <c r="S48" s="31"/>
      <c r="T48" s="677">
        <f t="shared" si="22"/>
        <v>0</v>
      </c>
      <c r="U48" s="31"/>
      <c r="V48" s="677">
        <f t="shared" si="23"/>
        <v>0</v>
      </c>
      <c r="W48" s="31"/>
      <c r="X48" s="677">
        <f t="shared" si="24"/>
        <v>0</v>
      </c>
      <c r="Y48" s="31"/>
      <c r="Z48" s="677">
        <f t="shared" si="25"/>
        <v>0</v>
      </c>
      <c r="AA48" s="144">
        <f t="shared" si="17"/>
        <v>0</v>
      </c>
      <c r="AB48" s="68">
        <f>AA48/AA12</f>
        <v>0</v>
      </c>
      <c r="AC48" s="128">
        <f t="shared" si="1"/>
        <v>0</v>
      </c>
      <c r="AD48" s="68">
        <f>AC48/AC12</f>
        <v>0</v>
      </c>
      <c r="AE48" s="393"/>
      <c r="AF48" s="393"/>
      <c r="AG48" s="393"/>
    </row>
    <row r="49" spans="1:33" s="1" customFormat="1">
      <c r="A49" s="188">
        <v>6108</v>
      </c>
      <c r="B49" s="227" t="s">
        <v>8</v>
      </c>
      <c r="C49" s="75">
        <v>0</v>
      </c>
      <c r="D49" s="24">
        <f>C49/C12</f>
        <v>0</v>
      </c>
      <c r="E49" s="113"/>
      <c r="F49" s="24">
        <f>E49/E12</f>
        <v>0</v>
      </c>
      <c r="H49" s="24">
        <f>G49/G12</f>
        <v>0</v>
      </c>
      <c r="I49" s="75">
        <v>0</v>
      </c>
      <c r="J49" s="24">
        <f>I49/I12</f>
        <v>0</v>
      </c>
      <c r="K49" s="31"/>
      <c r="L49" s="702">
        <f t="shared" si="18"/>
        <v>0</v>
      </c>
      <c r="M49" s="31"/>
      <c r="N49" s="677">
        <f t="shared" si="19"/>
        <v>0</v>
      </c>
      <c r="O49" s="33"/>
      <c r="P49" s="677">
        <f t="shared" si="20"/>
        <v>0</v>
      </c>
      <c r="Q49" s="31"/>
      <c r="R49" s="677">
        <f t="shared" si="21"/>
        <v>0</v>
      </c>
      <c r="S49" s="31"/>
      <c r="T49" s="677">
        <f t="shared" si="22"/>
        <v>0</v>
      </c>
      <c r="U49" s="31"/>
      <c r="V49" s="677">
        <f t="shared" si="23"/>
        <v>0</v>
      </c>
      <c r="W49" s="31"/>
      <c r="X49" s="677">
        <f t="shared" si="24"/>
        <v>0</v>
      </c>
      <c r="Y49" s="31"/>
      <c r="Z49" s="677">
        <f t="shared" si="25"/>
        <v>0</v>
      </c>
      <c r="AA49" s="144">
        <f t="shared" si="17"/>
        <v>0</v>
      </c>
      <c r="AB49" s="68">
        <f>AA49/AA12</f>
        <v>0</v>
      </c>
      <c r="AC49" s="128">
        <f t="shared" si="1"/>
        <v>0</v>
      </c>
      <c r="AD49" s="68">
        <f>AC49/AC12</f>
        <v>0</v>
      </c>
      <c r="AE49" s="393"/>
      <c r="AF49" s="393"/>
      <c r="AG49" s="393"/>
    </row>
    <row r="50" spans="1:33" s="1" customFormat="1">
      <c r="A50" s="188">
        <v>6109</v>
      </c>
      <c r="B50" s="227" t="s">
        <v>79</v>
      </c>
      <c r="C50" s="113"/>
      <c r="D50" s="24">
        <f>C50/C12</f>
        <v>0</v>
      </c>
      <c r="E50" s="113"/>
      <c r="F50" s="24">
        <f>E50/E12</f>
        <v>0</v>
      </c>
      <c r="H50" s="24">
        <f>G50/G12</f>
        <v>0</v>
      </c>
      <c r="I50" s="113">
        <v>0</v>
      </c>
      <c r="J50" s="24">
        <f>I50/I12</f>
        <v>0</v>
      </c>
      <c r="K50" s="113"/>
      <c r="L50" s="702">
        <f t="shared" si="18"/>
        <v>0</v>
      </c>
      <c r="M50" s="295"/>
      <c r="N50" s="677">
        <f t="shared" si="19"/>
        <v>0</v>
      </c>
      <c r="O50" s="33"/>
      <c r="P50" s="677">
        <f t="shared" si="20"/>
        <v>0</v>
      </c>
      <c r="Q50" s="113"/>
      <c r="R50" s="677">
        <f t="shared" si="21"/>
        <v>0</v>
      </c>
      <c r="S50" s="113"/>
      <c r="T50" s="677">
        <f t="shared" si="22"/>
        <v>0</v>
      </c>
      <c r="U50" s="113"/>
      <c r="V50" s="677">
        <f t="shared" si="23"/>
        <v>0</v>
      </c>
      <c r="W50" s="113"/>
      <c r="X50" s="677">
        <f t="shared" si="24"/>
        <v>0</v>
      </c>
      <c r="Y50" s="113"/>
      <c r="Z50" s="677">
        <f t="shared" si="25"/>
        <v>0</v>
      </c>
      <c r="AA50" s="144">
        <f t="shared" si="17"/>
        <v>0</v>
      </c>
      <c r="AB50" s="68">
        <f>AA50/AA12</f>
        <v>0</v>
      </c>
      <c r="AC50" s="128">
        <f t="shared" si="1"/>
        <v>0</v>
      </c>
      <c r="AD50" s="68">
        <f>AC50/AC12</f>
        <v>0</v>
      </c>
      <c r="AE50" s="393"/>
      <c r="AF50" s="393"/>
      <c r="AG50" s="393"/>
    </row>
    <row r="51" spans="1:33" s="1" customFormat="1">
      <c r="A51" s="188">
        <v>6110</v>
      </c>
      <c r="B51" s="188" t="s">
        <v>9</v>
      </c>
      <c r="C51" s="432">
        <v>250</v>
      </c>
      <c r="D51" s="702">
        <f>C51/C12</f>
        <v>5.8139771499070042E-4</v>
      </c>
      <c r="E51" s="432">
        <v>250</v>
      </c>
      <c r="F51" s="702">
        <f>E51/E12</f>
        <v>7.4729642708946953E-4</v>
      </c>
      <c r="G51" s="432">
        <v>250</v>
      </c>
      <c r="H51" s="702">
        <f>G51/G12</f>
        <v>4.5051032125078931E-4</v>
      </c>
      <c r="I51" s="432">
        <v>250</v>
      </c>
      <c r="J51" s="702">
        <f>I51/I12</f>
        <v>5.1020752744004947E-4</v>
      </c>
      <c r="K51" s="432">
        <v>250</v>
      </c>
      <c r="L51" s="702">
        <f>K51/K12</f>
        <v>5.5784658187038117E-4</v>
      </c>
      <c r="M51" s="432">
        <v>250</v>
      </c>
      <c r="N51" s="702">
        <f>M51/M12</f>
        <v>3.9340763659100227E-4</v>
      </c>
      <c r="O51" s="432">
        <v>250</v>
      </c>
      <c r="P51" s="702">
        <f>O51/O12</f>
        <v>6.2138856247540215E-4</v>
      </c>
      <c r="Q51" s="432">
        <v>250</v>
      </c>
      <c r="R51" s="702">
        <f>Q51/Q12</f>
        <v>5.0041799682889706E-4</v>
      </c>
      <c r="S51" s="432">
        <v>250</v>
      </c>
      <c r="T51" s="702">
        <f>S51/S12</f>
        <v>4.9675232443127551E-4</v>
      </c>
      <c r="U51" s="432">
        <v>250</v>
      </c>
      <c r="V51" s="702">
        <f>U51/U12</f>
        <v>6.2625849145619256E-4</v>
      </c>
      <c r="W51" s="432">
        <v>250</v>
      </c>
      <c r="X51" s="702">
        <f>W51/W12</f>
        <v>6.1552283193589904E-4</v>
      </c>
      <c r="Y51" s="432">
        <v>250</v>
      </c>
      <c r="Z51" s="702">
        <f>Y51/Y12</f>
        <v>4.0745198329584435E-4</v>
      </c>
      <c r="AA51" s="144">
        <f t="shared" si="17"/>
        <v>3000</v>
      </c>
      <c r="AB51" s="702">
        <f>AA51/AA12</f>
        <v>5.2473369694784285E-4</v>
      </c>
      <c r="AC51" s="128">
        <f t="shared" si="1"/>
        <v>250</v>
      </c>
      <c r="AD51" s="702">
        <f>AC51/AC12</f>
        <v>5.2473369694784275E-4</v>
      </c>
      <c r="AE51" s="645"/>
      <c r="AF51" s="694"/>
      <c r="AG51" s="226"/>
    </row>
    <row r="52" spans="1:33" s="1" customFormat="1">
      <c r="A52" s="188">
        <v>6111</v>
      </c>
      <c r="B52" s="227" t="s">
        <v>10</v>
      </c>
      <c r="C52" s="61">
        <v>15763.4</v>
      </c>
      <c r="D52" s="24">
        <f>C52/C12</f>
        <v>3.6659218961937627E-2</v>
      </c>
      <c r="E52" s="61">
        <v>15763.4</v>
      </c>
      <c r="F52" s="24">
        <f>E52/E12</f>
        <v>4.7119729995128576E-2</v>
      </c>
      <c r="G52" s="61">
        <v>15763.4</v>
      </c>
      <c r="H52" s="24">
        <f>G52/G12</f>
        <v>2.8406297592018768E-2</v>
      </c>
      <c r="I52" s="61">
        <v>15763.4</v>
      </c>
      <c r="J52" s="24">
        <f>I52/I12</f>
        <v>3.2170421352193904E-2</v>
      </c>
      <c r="K52" s="61">
        <v>15763.4</v>
      </c>
      <c r="L52" s="702">
        <f t="shared" si="18"/>
        <v>3.5174235234622264E-2</v>
      </c>
      <c r="M52" s="61">
        <v>15763.4</v>
      </c>
      <c r="N52" s="677">
        <f t="shared" si="19"/>
        <v>2.4805767754554418E-2</v>
      </c>
      <c r="O52" s="61">
        <v>15763.4</v>
      </c>
      <c r="P52" s="677">
        <f t="shared" si="20"/>
        <v>3.9180785862899012E-2</v>
      </c>
      <c r="Q52" s="61">
        <v>15763.4</v>
      </c>
      <c r="R52" s="677">
        <f t="shared" si="21"/>
        <v>3.1553156204850545E-2</v>
      </c>
      <c r="S52" s="61">
        <v>15763.4</v>
      </c>
      <c r="T52" s="677">
        <f t="shared" si="22"/>
        <v>3.1322022363759867E-2</v>
      </c>
      <c r="U52" s="61">
        <v>15763.4</v>
      </c>
      <c r="V52" s="677">
        <f t="shared" si="23"/>
        <v>3.9487852416882185E-2</v>
      </c>
      <c r="W52" s="61">
        <v>15763.4</v>
      </c>
      <c r="X52" s="677">
        <f t="shared" si="24"/>
        <v>3.8810930435753399E-2</v>
      </c>
      <c r="Y52" s="61">
        <v>15763.4</v>
      </c>
      <c r="Z52" s="677">
        <f t="shared" si="25"/>
        <v>2.5691314373942849E-2</v>
      </c>
      <c r="AA52" s="144">
        <f t="shared" si="17"/>
        <v>189160.79999999996</v>
      </c>
      <c r="AB52" s="68">
        <f>AA52/AA12</f>
        <v>3.3086348633870492E-2</v>
      </c>
      <c r="AC52" s="305">
        <f t="shared" si="1"/>
        <v>15763.399999999996</v>
      </c>
      <c r="AD52" s="68">
        <f>AC52/AC12</f>
        <v>3.3086348633870492E-2</v>
      </c>
      <c r="AE52" s="393"/>
      <c r="AF52" s="393"/>
      <c r="AG52" s="393"/>
    </row>
    <row r="53" spans="1:33" s="1" customFormat="1">
      <c r="A53" s="188">
        <v>6112</v>
      </c>
      <c r="B53" s="188" t="s">
        <v>11</v>
      </c>
      <c r="C53" s="705">
        <v>2650</v>
      </c>
      <c r="D53" s="702">
        <f>C53/C12</f>
        <v>6.1628157789014246E-3</v>
      </c>
      <c r="E53" s="705">
        <v>2650</v>
      </c>
      <c r="F53" s="702">
        <f>E53/E12</f>
        <v>7.9213421271483783E-3</v>
      </c>
      <c r="G53" s="705">
        <v>2650</v>
      </c>
      <c r="H53" s="702">
        <f>G53/G12</f>
        <v>4.7754094052583664E-3</v>
      </c>
      <c r="I53" s="705">
        <v>2650</v>
      </c>
      <c r="J53" s="702">
        <f>I53/I12</f>
        <v>5.4081997908645247E-3</v>
      </c>
      <c r="K53" s="705">
        <v>2650</v>
      </c>
      <c r="L53" s="702">
        <f>K53/K12</f>
        <v>5.9131737678260405E-3</v>
      </c>
      <c r="M53" s="705">
        <v>2650</v>
      </c>
      <c r="N53" s="702">
        <f>M53/M12</f>
        <v>4.1701209478646238E-3</v>
      </c>
      <c r="O53" s="705">
        <v>2650</v>
      </c>
      <c r="P53" s="702">
        <f>O53/O12</f>
        <v>6.5867187622392622E-3</v>
      </c>
      <c r="Q53" s="705">
        <v>2650</v>
      </c>
      <c r="R53" s="702">
        <f>Q53/Q12</f>
        <v>5.3044307663863092E-3</v>
      </c>
      <c r="S53" s="705">
        <v>2650</v>
      </c>
      <c r="T53" s="702">
        <f>S53/S12</f>
        <v>5.2655746389715201E-3</v>
      </c>
      <c r="U53" s="705">
        <v>2650</v>
      </c>
      <c r="V53" s="702">
        <f>U53/U12</f>
        <v>6.6383400094356419E-3</v>
      </c>
      <c r="W53" s="705">
        <v>2650</v>
      </c>
      <c r="X53" s="702">
        <f>W53/W12</f>
        <v>6.5245420185205292E-3</v>
      </c>
      <c r="Y53" s="705">
        <v>2650</v>
      </c>
      <c r="Z53" s="702">
        <f>Y53/Y12</f>
        <v>4.3189910229359495E-3</v>
      </c>
      <c r="AA53" s="144">
        <f t="shared" si="17"/>
        <v>31800</v>
      </c>
      <c r="AB53" s="702">
        <f>AA53/AA12</f>
        <v>5.5621771876471337E-3</v>
      </c>
      <c r="AC53" s="128">
        <f t="shared" si="1"/>
        <v>2650</v>
      </c>
      <c r="AD53" s="702">
        <f>AC53/AC12</f>
        <v>5.5621771876471337E-3</v>
      </c>
      <c r="AE53" s="645"/>
      <c r="AF53" s="694"/>
      <c r="AG53" s="226"/>
    </row>
    <row r="54" spans="1:33" s="1" customFormat="1">
      <c r="A54" s="188">
        <v>6113</v>
      </c>
      <c r="B54" s="227" t="s">
        <v>12</v>
      </c>
      <c r="C54" s="61"/>
      <c r="D54" s="24">
        <f>C54/C12</f>
        <v>0</v>
      </c>
      <c r="E54" s="703"/>
      <c r="F54" s="24">
        <f>E54/E12</f>
        <v>0</v>
      </c>
      <c r="H54" s="24">
        <f>G54/G12</f>
        <v>0</v>
      </c>
      <c r="I54" s="61">
        <v>0</v>
      </c>
      <c r="J54" s="24">
        <f>I54/I12</f>
        <v>0</v>
      </c>
      <c r="K54" s="61"/>
      <c r="L54" s="702">
        <f t="shared" si="18"/>
        <v>0</v>
      </c>
      <c r="M54" s="26"/>
      <c r="N54" s="677">
        <f t="shared" si="19"/>
        <v>0</v>
      </c>
      <c r="O54" s="33"/>
      <c r="P54" s="677">
        <f t="shared" si="20"/>
        <v>0</v>
      </c>
      <c r="Q54" s="61"/>
      <c r="R54" s="677">
        <f t="shared" si="21"/>
        <v>0</v>
      </c>
      <c r="S54" s="61"/>
      <c r="T54" s="677">
        <f t="shared" si="22"/>
        <v>0</v>
      </c>
      <c r="U54" s="61"/>
      <c r="V54" s="677">
        <f t="shared" si="23"/>
        <v>0</v>
      </c>
      <c r="W54" s="51"/>
      <c r="X54" s="677">
        <f t="shared" si="24"/>
        <v>0</v>
      </c>
      <c r="Y54" s="61"/>
      <c r="Z54" s="677">
        <f t="shared" si="25"/>
        <v>0</v>
      </c>
      <c r="AA54" s="144">
        <f t="shared" si="17"/>
        <v>0</v>
      </c>
      <c r="AB54" s="68">
        <f>AA54/AA12</f>
        <v>0</v>
      </c>
      <c r="AC54" s="128">
        <f t="shared" si="1"/>
        <v>0</v>
      </c>
      <c r="AD54" s="68">
        <f>AC54/AC12</f>
        <v>0</v>
      </c>
      <c r="AE54" s="393"/>
      <c r="AF54" s="393"/>
      <c r="AG54" s="393"/>
    </row>
    <row r="55" spans="1:33" s="1" customFormat="1">
      <c r="A55" s="188">
        <v>6114</v>
      </c>
      <c r="B55" s="227" t="s">
        <v>88</v>
      </c>
      <c r="C55" s="31">
        <v>886</v>
      </c>
      <c r="D55" s="702">
        <f>C55/C12</f>
        <v>2.0604735019270426E-3</v>
      </c>
      <c r="E55" s="31">
        <v>934</v>
      </c>
      <c r="F55" s="702">
        <f>E55/E12</f>
        <v>2.7918994516062585E-3</v>
      </c>
      <c r="G55" s="1">
        <v>921.5</v>
      </c>
      <c r="H55" s="702">
        <f>G55/G12</f>
        <v>1.6605810441304093E-3</v>
      </c>
      <c r="I55" s="31">
        <v>13522.5</v>
      </c>
      <c r="J55" s="702">
        <f>I55/I12</f>
        <v>2.7597125159232277E-2</v>
      </c>
      <c r="K55" s="31">
        <v>13490</v>
      </c>
      <c r="L55" s="702">
        <f>K55/K12</f>
        <v>3.0101401557725768E-2</v>
      </c>
      <c r="M55" s="33">
        <v>13514.75</v>
      </c>
      <c r="N55" s="702">
        <f>M55/M12</f>
        <v>2.1267223426472991E-2</v>
      </c>
      <c r="O55" s="33">
        <v>13486</v>
      </c>
      <c r="P55" s="702">
        <f>O55/O12</f>
        <v>3.3520184614173089E-2</v>
      </c>
      <c r="Q55" s="432">
        <v>13522.5</v>
      </c>
      <c r="R55" s="702">
        <f>Q55/Q12</f>
        <v>2.7067609448475041E-2</v>
      </c>
      <c r="S55" s="432">
        <v>15816.22</v>
      </c>
      <c r="T55" s="702">
        <f>S55/S12</f>
        <v>3.1426976194865709E-2</v>
      </c>
      <c r="U55" s="432">
        <v>1100</v>
      </c>
      <c r="V55" s="702">
        <f>U55/U12</f>
        <v>2.7555373624072476E-3</v>
      </c>
      <c r="W55" s="432">
        <v>1100</v>
      </c>
      <c r="X55" s="702">
        <f>W55/W12</f>
        <v>2.7083004605179557E-3</v>
      </c>
      <c r="Y55" s="432">
        <v>1100</v>
      </c>
      <c r="Z55" s="702">
        <f>Y55/Y12</f>
        <v>1.7927887265017151E-3</v>
      </c>
      <c r="AA55" s="144">
        <f t="shared" si="17"/>
        <v>89393.47</v>
      </c>
      <c r="AB55" s="702">
        <f>AA55/AA12</f>
        <v>1.5635921998698694E-2</v>
      </c>
      <c r="AC55" s="128">
        <f t="shared" si="1"/>
        <v>7449.4558333333334</v>
      </c>
      <c r="AD55" s="702">
        <f>AC55/AC12</f>
        <v>1.563592199869869E-2</v>
      </c>
      <c r="AE55" s="595"/>
      <c r="AF55" s="74"/>
    </row>
    <row r="56" spans="1:33" s="1" customFormat="1">
      <c r="A56" s="188">
        <v>6115</v>
      </c>
      <c r="B56" s="227" t="s">
        <v>13</v>
      </c>
      <c r="C56" s="75">
        <v>107.67</v>
      </c>
      <c r="D56" s="702">
        <f>C56/C12</f>
        <v>2.503963678921949E-4</v>
      </c>
      <c r="E56" s="75">
        <v>200.95</v>
      </c>
      <c r="F56" s="702">
        <f>E56/E12</f>
        <v>6.0067686809451562E-4</v>
      </c>
      <c r="G56" s="1">
        <v>710.82</v>
      </c>
      <c r="H56" s="702">
        <f>G56/G12</f>
        <v>1.2809269862059443E-3</v>
      </c>
      <c r="I56" s="75">
        <v>16.5</v>
      </c>
      <c r="J56" s="702">
        <f>I56/I12</f>
        <v>3.3673696811043268E-5</v>
      </c>
      <c r="K56" s="75">
        <v>149.16999999999999</v>
      </c>
      <c r="L56" s="702">
        <f>K56/K12</f>
        <v>3.3285589847041901E-4</v>
      </c>
      <c r="M56" s="33">
        <v>200.57</v>
      </c>
      <c r="N56" s="702">
        <f>M56/M12</f>
        <v>3.1562307868422928E-4</v>
      </c>
      <c r="O56" s="33">
        <v>182.74</v>
      </c>
      <c r="P56" s="702">
        <f>O56/O12</f>
        <v>4.5421018362701998E-4</v>
      </c>
      <c r="Q56" s="437">
        <v>125.95</v>
      </c>
      <c r="R56" s="702">
        <f>Q56/Q12</f>
        <v>2.5211058680239834E-4</v>
      </c>
      <c r="S56" s="437">
        <v>141.78</v>
      </c>
      <c r="T56" s="702">
        <f>S56/S12</f>
        <v>2.8171817823146493E-4</v>
      </c>
      <c r="U56" s="437">
        <v>250</v>
      </c>
      <c r="V56" s="702">
        <f>U56/U12</f>
        <v>6.2625849145619256E-4</v>
      </c>
      <c r="W56" s="437">
        <v>250</v>
      </c>
      <c r="X56" s="702">
        <f>W56/W12</f>
        <v>6.1552283193589904E-4</v>
      </c>
      <c r="Y56" s="437">
        <v>250</v>
      </c>
      <c r="Z56" s="702">
        <f>Y56/Y12</f>
        <v>4.0745198329584435E-4</v>
      </c>
      <c r="AA56" s="144">
        <f t="shared" si="17"/>
        <v>2586.15</v>
      </c>
      <c r="AB56" s="702">
        <f>AA56/AA12</f>
        <v>4.5234668345388789E-4</v>
      </c>
      <c r="AC56" s="128">
        <f t="shared" si="1"/>
        <v>215.51250000000002</v>
      </c>
      <c r="AD56" s="702">
        <f>AC56/AC12</f>
        <v>4.5234668345388789E-4</v>
      </c>
      <c r="AE56" s="595"/>
      <c r="AF56" s="595"/>
      <c r="AG56" s="555"/>
    </row>
    <row r="57" spans="1:33" s="1" customFormat="1">
      <c r="A57" s="188">
        <v>6116</v>
      </c>
      <c r="B57" s="227" t="s">
        <v>14</v>
      </c>
      <c r="C57" s="31">
        <f>1788.74+250</f>
        <v>2038.74</v>
      </c>
      <c r="D57" s="702">
        <f>C57/C12</f>
        <v>4.7412751098405625E-3</v>
      </c>
      <c r="E57" s="31">
        <f>1788.74+250</f>
        <v>2038.74</v>
      </c>
      <c r="F57" s="702">
        <f>E57/E12</f>
        <v>6.0941724710575412E-3</v>
      </c>
      <c r="G57" s="31">
        <f>1788.74+250</f>
        <v>2038.74</v>
      </c>
      <c r="H57" s="702">
        <f>G57/G12</f>
        <v>3.673893649387337E-3</v>
      </c>
      <c r="I57" s="31">
        <f>1788.74+250</f>
        <v>2038.74</v>
      </c>
      <c r="J57" s="702">
        <f>I57/I12</f>
        <v>4.160721977972506E-3</v>
      </c>
      <c r="K57" s="31">
        <f>1788.74+250</f>
        <v>2038.74</v>
      </c>
      <c r="L57" s="702">
        <f t="shared" si="18"/>
        <v>4.5492165612896832E-3</v>
      </c>
      <c r="M57" s="31">
        <f>1788.74+250</f>
        <v>2038.74</v>
      </c>
      <c r="N57" s="677">
        <f t="shared" si="19"/>
        <v>3.20822354009416E-3</v>
      </c>
      <c r="O57" s="31">
        <f>1788.74+250</f>
        <v>2038.74</v>
      </c>
      <c r="P57" s="677">
        <f t="shared" si="20"/>
        <v>5.0673988714444052E-3</v>
      </c>
      <c r="Q57" s="31">
        <f>1788.74+250</f>
        <v>2038.74</v>
      </c>
      <c r="R57" s="677">
        <f t="shared" si="21"/>
        <v>4.0808887474197827E-3</v>
      </c>
      <c r="S57" s="31">
        <f>1788.74+250</f>
        <v>2038.74</v>
      </c>
      <c r="T57" s="677">
        <f t="shared" si="22"/>
        <v>4.0509953356440741E-3</v>
      </c>
      <c r="U57" s="31">
        <f>1788.74+250</f>
        <v>2038.74</v>
      </c>
      <c r="V57" s="677">
        <f t="shared" si="23"/>
        <v>5.1071129474855922E-3</v>
      </c>
      <c r="W57" s="31">
        <f>1788.74+250</f>
        <v>2038.74</v>
      </c>
      <c r="X57" s="677">
        <f t="shared" si="24"/>
        <v>5.0195640735239792E-3</v>
      </c>
      <c r="Y57" s="31">
        <f>1788.74+250</f>
        <v>2038.74</v>
      </c>
      <c r="Z57" s="677">
        <f t="shared" si="25"/>
        <v>3.3227546256982786E-3</v>
      </c>
      <c r="AA57" s="144">
        <f t="shared" si="17"/>
        <v>24464.880000000005</v>
      </c>
      <c r="AB57" s="68">
        <f>AA57/AA12</f>
        <v>4.2791823092617805E-3</v>
      </c>
      <c r="AC57" s="128">
        <f t="shared" si="1"/>
        <v>2038.7400000000005</v>
      </c>
      <c r="AD57" s="68">
        <f>AC57/AC12</f>
        <v>4.2791823092617805E-3</v>
      </c>
      <c r="AE57" s="393" t="s">
        <v>305</v>
      </c>
      <c r="AF57" s="393"/>
      <c r="AG57" s="393"/>
    </row>
    <row r="58" spans="1:33" s="1" customFormat="1">
      <c r="A58" s="188">
        <v>6117</v>
      </c>
      <c r="B58" s="227" t="s">
        <v>15</v>
      </c>
      <c r="C58" s="61"/>
      <c r="D58" s="24">
        <f>C58/C12</f>
        <v>0</v>
      </c>
      <c r="E58" s="703"/>
      <c r="F58" s="24">
        <f>E58/E12</f>
        <v>0</v>
      </c>
      <c r="H58" s="24">
        <f>G58/G12</f>
        <v>0</v>
      </c>
      <c r="I58" s="61">
        <v>0</v>
      </c>
      <c r="J58" s="24">
        <f>I58/I12</f>
        <v>0</v>
      </c>
      <c r="K58" s="61"/>
      <c r="L58" s="702">
        <f t="shared" si="18"/>
        <v>0</v>
      </c>
      <c r="M58" s="26"/>
      <c r="N58" s="677">
        <f t="shared" si="19"/>
        <v>0</v>
      </c>
      <c r="O58" s="33"/>
      <c r="P58" s="677">
        <f t="shared" si="20"/>
        <v>0</v>
      </c>
      <c r="Q58" s="61"/>
      <c r="R58" s="677">
        <f t="shared" si="21"/>
        <v>0</v>
      </c>
      <c r="S58" s="61"/>
      <c r="T58" s="677">
        <f t="shared" si="22"/>
        <v>0</v>
      </c>
      <c r="U58" s="61"/>
      <c r="V58" s="677">
        <f t="shared" si="23"/>
        <v>0</v>
      </c>
      <c r="W58" s="51"/>
      <c r="X58" s="677">
        <f t="shared" si="24"/>
        <v>0</v>
      </c>
      <c r="Y58" s="61"/>
      <c r="Z58" s="677">
        <f t="shared" si="25"/>
        <v>0</v>
      </c>
      <c r="AA58" s="144">
        <f t="shared" si="17"/>
        <v>0</v>
      </c>
      <c r="AB58" s="68">
        <f>AA58/AA12</f>
        <v>0</v>
      </c>
      <c r="AC58" s="128">
        <f t="shared" si="1"/>
        <v>0</v>
      </c>
      <c r="AD58" s="68">
        <f>AC58/AC12</f>
        <v>0</v>
      </c>
      <c r="AE58" s="393"/>
      <c r="AF58" s="393"/>
      <c r="AG58" s="393"/>
    </row>
    <row r="59" spans="1:33" s="1" customFormat="1">
      <c r="A59" s="188">
        <v>6118</v>
      </c>
      <c r="B59" s="227" t="s">
        <v>16</v>
      </c>
      <c r="C59" s="113">
        <v>9458</v>
      </c>
      <c r="D59" s="24">
        <f>C59/C12</f>
        <v>2.1995438353528182E-2</v>
      </c>
      <c r="E59" s="113">
        <v>9458</v>
      </c>
      <c r="F59" s="24">
        <f>E59/E12</f>
        <v>2.8271718429648814E-2</v>
      </c>
      <c r="G59" s="371">
        <v>9458</v>
      </c>
      <c r="H59" s="24">
        <f>G59/G12</f>
        <v>1.704370647355986E-2</v>
      </c>
      <c r="I59" s="113">
        <v>9458</v>
      </c>
      <c r="J59" s="24">
        <f>I59/I12</f>
        <v>1.9302171178111952E-2</v>
      </c>
      <c r="K59" s="113">
        <v>9458</v>
      </c>
      <c r="L59" s="702">
        <f t="shared" si="18"/>
        <v>2.1104451885320261E-2</v>
      </c>
      <c r="M59" s="295">
        <v>9458</v>
      </c>
      <c r="N59" s="677">
        <f t="shared" si="19"/>
        <v>1.4883397707510798E-2</v>
      </c>
      <c r="O59" s="693">
        <v>9458</v>
      </c>
      <c r="P59" s="677">
        <f t="shared" si="20"/>
        <v>2.3508372095569413E-2</v>
      </c>
      <c r="Q59" s="113">
        <v>9458</v>
      </c>
      <c r="R59" s="677">
        <f t="shared" si="21"/>
        <v>1.8931813656030833E-2</v>
      </c>
      <c r="S59" s="113">
        <v>9458</v>
      </c>
      <c r="T59" s="677">
        <f t="shared" si="22"/>
        <v>1.8793133937884014E-2</v>
      </c>
      <c r="U59" s="113">
        <v>9458</v>
      </c>
      <c r="V59" s="677">
        <f t="shared" si="23"/>
        <v>2.3692611248770677E-2</v>
      </c>
      <c r="W59" s="113">
        <v>9458</v>
      </c>
      <c r="X59" s="677">
        <f t="shared" si="24"/>
        <v>2.3286459777798932E-2</v>
      </c>
      <c r="Y59" s="113">
        <v>9458</v>
      </c>
      <c r="Z59" s="677">
        <f t="shared" si="25"/>
        <v>1.5414723432048383E-2</v>
      </c>
      <c r="AA59" s="144">
        <f t="shared" si="17"/>
        <v>113496</v>
      </c>
      <c r="AB59" s="68">
        <f>AA59/AA12</f>
        <v>1.9851725222930789E-2</v>
      </c>
      <c r="AC59" s="128">
        <f t="shared" si="1"/>
        <v>9458</v>
      </c>
      <c r="AD59" s="68">
        <f>AC59/AC12</f>
        <v>1.9851725222930789E-2</v>
      </c>
      <c r="AE59" s="393" t="s">
        <v>228</v>
      </c>
      <c r="AF59" s="393"/>
      <c r="AG59" s="393"/>
    </row>
    <row r="60" spans="1:33" s="1" customFormat="1">
      <c r="A60" s="188">
        <v>6119</v>
      </c>
      <c r="B60" s="227" t="s">
        <v>17</v>
      </c>
      <c r="C60" s="61"/>
      <c r="D60" s="24">
        <f>C60/C12</f>
        <v>0</v>
      </c>
      <c r="E60" s="703"/>
      <c r="F60" s="24">
        <f>E60/E12</f>
        <v>0</v>
      </c>
      <c r="H60" s="24">
        <f>G60/G12</f>
        <v>0</v>
      </c>
      <c r="I60" s="61"/>
      <c r="J60" s="24">
        <f>I60/I12</f>
        <v>0</v>
      </c>
      <c r="K60" s="61"/>
      <c r="L60" s="702">
        <f t="shared" si="18"/>
        <v>0</v>
      </c>
      <c r="M60" s="26"/>
      <c r="N60" s="677">
        <f t="shared" si="19"/>
        <v>0</v>
      </c>
      <c r="O60" s="33"/>
      <c r="P60" s="677">
        <f t="shared" si="20"/>
        <v>0</v>
      </c>
      <c r="Q60" s="61">
        <v>0</v>
      </c>
      <c r="R60" s="677">
        <f t="shared" si="21"/>
        <v>0</v>
      </c>
      <c r="S60" s="61"/>
      <c r="T60" s="677">
        <f t="shared" si="22"/>
        <v>0</v>
      </c>
      <c r="U60" s="61"/>
      <c r="V60" s="677">
        <f t="shared" si="23"/>
        <v>0</v>
      </c>
      <c r="W60" s="51"/>
      <c r="X60" s="677">
        <f t="shared" si="24"/>
        <v>0</v>
      </c>
      <c r="Y60" s="61"/>
      <c r="Z60" s="677">
        <f t="shared" si="25"/>
        <v>0</v>
      </c>
      <c r="AA60" s="144">
        <f t="shared" si="17"/>
        <v>0</v>
      </c>
      <c r="AB60" s="68">
        <f>AA60/AA12</f>
        <v>0</v>
      </c>
      <c r="AC60" s="128">
        <f t="shared" si="1"/>
        <v>0</v>
      </c>
      <c r="AD60" s="68">
        <f>AC60/AC12</f>
        <v>0</v>
      </c>
      <c r="AE60" s="393"/>
      <c r="AF60" s="393"/>
      <c r="AG60" s="393"/>
    </row>
    <row r="61" spans="1:33" s="1" customFormat="1">
      <c r="A61" s="188">
        <v>6120</v>
      </c>
      <c r="B61" s="227" t="s">
        <v>18</v>
      </c>
      <c r="C61" s="61"/>
      <c r="D61" s="24">
        <f>C61/C12</f>
        <v>0</v>
      </c>
      <c r="E61" s="703"/>
      <c r="F61" s="24">
        <f>E61/E12</f>
        <v>0</v>
      </c>
      <c r="H61" s="24">
        <f>G61/G12</f>
        <v>0</v>
      </c>
      <c r="I61" s="61"/>
      <c r="J61" s="24">
        <f>I61/I12</f>
        <v>0</v>
      </c>
      <c r="K61" s="61"/>
      <c r="L61" s="702">
        <f t="shared" si="18"/>
        <v>0</v>
      </c>
      <c r="M61" s="26"/>
      <c r="N61" s="677">
        <f t="shared" si="19"/>
        <v>0</v>
      </c>
      <c r="O61" s="33"/>
      <c r="P61" s="677">
        <f t="shared" si="20"/>
        <v>0</v>
      </c>
      <c r="Q61" s="61"/>
      <c r="R61" s="677">
        <f t="shared" si="21"/>
        <v>0</v>
      </c>
      <c r="S61" s="61"/>
      <c r="T61" s="677">
        <f t="shared" si="22"/>
        <v>0</v>
      </c>
      <c r="U61" s="61"/>
      <c r="V61" s="677">
        <f t="shared" si="23"/>
        <v>0</v>
      </c>
      <c r="W61" s="51"/>
      <c r="X61" s="677">
        <f t="shared" si="24"/>
        <v>0</v>
      </c>
      <c r="Y61" s="61"/>
      <c r="Z61" s="677">
        <f t="shared" si="25"/>
        <v>0</v>
      </c>
      <c r="AA61" s="144">
        <f t="shared" si="17"/>
        <v>0</v>
      </c>
      <c r="AB61" s="68">
        <f>AA61/AA12</f>
        <v>0</v>
      </c>
      <c r="AC61" s="128">
        <f t="shared" si="1"/>
        <v>0</v>
      </c>
      <c r="AD61" s="68">
        <f>AC61/AC12</f>
        <v>0</v>
      </c>
      <c r="AE61" s="393"/>
      <c r="AF61" s="393"/>
      <c r="AG61" s="393"/>
    </row>
    <row r="62" spans="1:33" s="1" customFormat="1">
      <c r="A62" s="188">
        <v>6121</v>
      </c>
      <c r="B62" s="188" t="s">
        <v>19</v>
      </c>
      <c r="C62" s="705">
        <v>250</v>
      </c>
      <c r="D62" s="702">
        <f>C62/C12</f>
        <v>5.8139771499070042E-4</v>
      </c>
      <c r="E62" s="705">
        <v>250</v>
      </c>
      <c r="F62" s="702">
        <f>E62/E12</f>
        <v>7.4729642708946953E-4</v>
      </c>
      <c r="G62" s="705">
        <v>250</v>
      </c>
      <c r="H62" s="702">
        <f>G62/G12</f>
        <v>4.5051032125078931E-4</v>
      </c>
      <c r="I62" s="705">
        <v>250</v>
      </c>
      <c r="J62" s="702">
        <f>I62/I12</f>
        <v>5.1020752744004947E-4</v>
      </c>
      <c r="K62" s="705">
        <v>250</v>
      </c>
      <c r="L62" s="702">
        <f>K62/K12</f>
        <v>5.5784658187038117E-4</v>
      </c>
      <c r="M62" s="705">
        <v>500</v>
      </c>
      <c r="N62" s="702">
        <f>M62/M12</f>
        <v>7.8681527318200453E-4</v>
      </c>
      <c r="O62" s="705">
        <v>250</v>
      </c>
      <c r="P62" s="702">
        <f>O62/O12</f>
        <v>6.2138856247540215E-4</v>
      </c>
      <c r="Q62" s="705">
        <v>250</v>
      </c>
      <c r="R62" s="702">
        <f>Q62/Q12</f>
        <v>5.0041799682889706E-4</v>
      </c>
      <c r="S62" s="705">
        <v>500</v>
      </c>
      <c r="T62" s="702">
        <f>S62/S12</f>
        <v>9.9350464886255102E-4</v>
      </c>
      <c r="U62" s="705">
        <v>250</v>
      </c>
      <c r="V62" s="702">
        <f>U62/U12</f>
        <v>6.2625849145619256E-4</v>
      </c>
      <c r="W62" s="705">
        <v>250</v>
      </c>
      <c r="X62" s="702">
        <f>W62/W12</f>
        <v>6.1552283193589904E-4</v>
      </c>
      <c r="Y62" s="705">
        <f>250+250</f>
        <v>500</v>
      </c>
      <c r="Z62" s="702">
        <f>Y62/Y12</f>
        <v>8.149039665916887E-4</v>
      </c>
      <c r="AA62" s="144">
        <f t="shared" si="17"/>
        <v>3750</v>
      </c>
      <c r="AB62" s="702">
        <f>AA62/AA12</f>
        <v>6.5591712118480351E-4</v>
      </c>
      <c r="AC62" s="128">
        <f t="shared" si="1"/>
        <v>312.5</v>
      </c>
      <c r="AD62" s="702">
        <f>AC62/AC12</f>
        <v>6.5591712118480351E-4</v>
      </c>
      <c r="AE62" s="645"/>
      <c r="AF62" s="226"/>
      <c r="AG62" s="226"/>
    </row>
    <row r="63" spans="1:33" s="1" customFormat="1">
      <c r="A63" s="188">
        <v>6122</v>
      </c>
      <c r="B63" s="227" t="s">
        <v>199</v>
      </c>
      <c r="C63" s="61">
        <v>1500</v>
      </c>
      <c r="D63" s="24">
        <f>C63/C12</f>
        <v>3.4883862899442028E-3</v>
      </c>
      <c r="E63" s="61">
        <v>1500</v>
      </c>
      <c r="F63" s="24">
        <f>E63/E12</f>
        <v>4.4837785625368174E-3</v>
      </c>
      <c r="G63" s="371">
        <v>1500</v>
      </c>
      <c r="H63" s="24">
        <f>G63/G12</f>
        <v>2.7030619275047359E-3</v>
      </c>
      <c r="I63" s="61">
        <v>1500</v>
      </c>
      <c r="J63" s="24">
        <f>I63/I12</f>
        <v>3.0612451646402968E-3</v>
      </c>
      <c r="K63" s="61">
        <v>1500</v>
      </c>
      <c r="L63" s="702">
        <f t="shared" si="18"/>
        <v>3.347079491222287E-3</v>
      </c>
      <c r="M63" s="33">
        <v>1500</v>
      </c>
      <c r="N63" s="677">
        <f t="shared" si="19"/>
        <v>2.3604458195460136E-3</v>
      </c>
      <c r="O63" s="33">
        <v>1500</v>
      </c>
      <c r="P63" s="677">
        <f t="shared" si="20"/>
        <v>3.7283313748524127E-3</v>
      </c>
      <c r="Q63" s="33">
        <v>1500</v>
      </c>
      <c r="R63" s="677">
        <f t="shared" si="21"/>
        <v>3.0025079809733826E-3</v>
      </c>
      <c r="S63" s="61">
        <v>1500</v>
      </c>
      <c r="T63" s="677">
        <f t="shared" si="22"/>
        <v>2.9805139465876526E-3</v>
      </c>
      <c r="U63" s="61">
        <v>1500</v>
      </c>
      <c r="V63" s="677">
        <f t="shared" si="23"/>
        <v>3.7575509487371554E-3</v>
      </c>
      <c r="W63" s="61">
        <v>1500</v>
      </c>
      <c r="X63" s="677">
        <f t="shared" si="24"/>
        <v>3.693136991615394E-3</v>
      </c>
      <c r="Y63" s="61">
        <v>1500</v>
      </c>
      <c r="Z63" s="677">
        <f t="shared" si="25"/>
        <v>2.4447118997750661E-3</v>
      </c>
      <c r="AA63" s="144">
        <f t="shared" si="17"/>
        <v>18000</v>
      </c>
      <c r="AB63" s="68">
        <f>AA63/AA12</f>
        <v>3.1484021816870567E-3</v>
      </c>
      <c r="AC63" s="128">
        <f t="shared" si="1"/>
        <v>1500</v>
      </c>
      <c r="AD63" s="68">
        <f>AC63/AC12</f>
        <v>3.1484021816870567E-3</v>
      </c>
      <c r="AE63" s="393"/>
      <c r="AF63" s="393"/>
      <c r="AG63" s="393"/>
    </row>
    <row r="64" spans="1:33" s="1" customFormat="1">
      <c r="A64" s="188">
        <v>6123</v>
      </c>
      <c r="B64" s="227" t="s">
        <v>21</v>
      </c>
      <c r="C64" s="61"/>
      <c r="D64" s="24">
        <f>C64/C12</f>
        <v>0</v>
      </c>
      <c r="E64" s="703"/>
      <c r="F64" s="24">
        <f>E64/E12</f>
        <v>0</v>
      </c>
      <c r="H64" s="24">
        <f>G64/G12</f>
        <v>0</v>
      </c>
      <c r="I64" s="61"/>
      <c r="J64" s="24">
        <f>I64/I12</f>
        <v>0</v>
      </c>
      <c r="K64" s="61"/>
      <c r="L64" s="702">
        <f t="shared" si="18"/>
        <v>0</v>
      </c>
      <c r="M64" s="26"/>
      <c r="N64" s="677">
        <f t="shared" si="19"/>
        <v>0</v>
      </c>
      <c r="O64" s="33"/>
      <c r="P64" s="677">
        <f t="shared" si="20"/>
        <v>0</v>
      </c>
      <c r="Q64" s="61"/>
      <c r="R64" s="677">
        <f t="shared" si="21"/>
        <v>0</v>
      </c>
      <c r="S64" s="61"/>
      <c r="T64" s="677">
        <f t="shared" si="22"/>
        <v>0</v>
      </c>
      <c r="U64" s="61"/>
      <c r="V64" s="677">
        <f t="shared" si="23"/>
        <v>0</v>
      </c>
      <c r="W64" s="51"/>
      <c r="X64" s="677">
        <f t="shared" si="24"/>
        <v>0</v>
      </c>
      <c r="Y64" s="61"/>
      <c r="Z64" s="677">
        <f t="shared" si="25"/>
        <v>0</v>
      </c>
      <c r="AA64" s="144">
        <f t="shared" si="17"/>
        <v>0</v>
      </c>
      <c r="AB64" s="68">
        <f>AA64/AA12</f>
        <v>0</v>
      </c>
      <c r="AC64" s="128">
        <f t="shared" si="1"/>
        <v>0</v>
      </c>
      <c r="AD64" s="68">
        <f>AC64/AC12</f>
        <v>0</v>
      </c>
      <c r="AE64" s="393"/>
      <c r="AF64" s="393"/>
      <c r="AG64" s="393"/>
    </row>
    <row r="65" spans="1:33" s="1" customFormat="1">
      <c r="A65" s="188">
        <v>6124</v>
      </c>
      <c r="B65" s="227" t="s">
        <v>22</v>
      </c>
      <c r="C65" s="61">
        <v>2500</v>
      </c>
      <c r="D65" s="24">
        <f>C65/C12</f>
        <v>5.8139771499070049E-3</v>
      </c>
      <c r="E65" s="61">
        <v>2500</v>
      </c>
      <c r="F65" s="24">
        <f>E65/E12</f>
        <v>7.4729642708946959E-3</v>
      </c>
      <c r="G65" s="61">
        <v>2500</v>
      </c>
      <c r="H65" s="24">
        <f>G65/G12</f>
        <v>4.5051032125078931E-3</v>
      </c>
      <c r="I65" s="61">
        <v>2500</v>
      </c>
      <c r="J65" s="24">
        <f>I65/I12</f>
        <v>5.1020752744004947E-3</v>
      </c>
      <c r="K65" s="61">
        <v>2500</v>
      </c>
      <c r="L65" s="702">
        <f t="shared" si="18"/>
        <v>5.5784658187038117E-3</v>
      </c>
      <c r="M65" s="61">
        <v>2500</v>
      </c>
      <c r="N65" s="677">
        <f t="shared" si="19"/>
        <v>3.9340763659100227E-3</v>
      </c>
      <c r="O65" s="61">
        <v>2500</v>
      </c>
      <c r="P65" s="677">
        <f t="shared" si="20"/>
        <v>6.2138856247540208E-3</v>
      </c>
      <c r="Q65" s="61">
        <v>2500</v>
      </c>
      <c r="R65" s="677">
        <f t="shared" si="21"/>
        <v>5.0041799682889708E-3</v>
      </c>
      <c r="S65" s="61">
        <v>2500</v>
      </c>
      <c r="T65" s="677">
        <f t="shared" si="22"/>
        <v>4.9675232443127547E-3</v>
      </c>
      <c r="U65" s="61">
        <v>2500</v>
      </c>
      <c r="V65" s="677">
        <f t="shared" si="23"/>
        <v>6.262584914561926E-3</v>
      </c>
      <c r="W65" s="61">
        <v>2500</v>
      </c>
      <c r="X65" s="677">
        <f t="shared" si="24"/>
        <v>6.1552283193589902E-3</v>
      </c>
      <c r="Y65" s="61">
        <v>2500</v>
      </c>
      <c r="Z65" s="677">
        <f t="shared" si="25"/>
        <v>4.0745198329584431E-3</v>
      </c>
      <c r="AA65" s="144">
        <f t="shared" si="17"/>
        <v>30000</v>
      </c>
      <c r="AB65" s="68">
        <f>AA65/AA12</f>
        <v>5.2473369694784281E-3</v>
      </c>
      <c r="AC65" s="128">
        <f t="shared" si="1"/>
        <v>2500</v>
      </c>
      <c r="AD65" s="68">
        <f>AC65/AC12</f>
        <v>5.2473369694784281E-3</v>
      </c>
      <c r="AE65" s="374"/>
      <c r="AF65" s="393"/>
      <c r="AG65" s="393"/>
    </row>
    <row r="66" spans="1:33" s="1" customFormat="1">
      <c r="A66" s="188">
        <v>6125</v>
      </c>
      <c r="B66" s="227" t="s">
        <v>78</v>
      </c>
      <c r="C66" s="26">
        <v>423.01184433164127</v>
      </c>
      <c r="D66" s="702">
        <f>C66/C12</f>
        <v>9.8375247883367243E-4</v>
      </c>
      <c r="E66" s="26">
        <v>423.01184433164127</v>
      </c>
      <c r="F66" s="702">
        <f>E66/E12</f>
        <v>1.2644609595422497E-3</v>
      </c>
      <c r="G66" s="26">
        <v>423.01184433164127</v>
      </c>
      <c r="H66" s="702">
        <f>G66/G12</f>
        <v>7.6228480753094631E-4</v>
      </c>
      <c r="I66" s="26">
        <v>423.01184433164127</v>
      </c>
      <c r="J66" s="702">
        <f>I66/I12</f>
        <v>8.6329530869720726E-4</v>
      </c>
      <c r="K66" s="26">
        <v>423.01184433164127</v>
      </c>
      <c r="L66" s="702">
        <f>K66/K12</f>
        <v>9.4390284580436745E-4</v>
      </c>
      <c r="M66" s="26">
        <v>423.01184433164127</v>
      </c>
      <c r="N66" s="702">
        <f>M66/M12</f>
        <v>6.6566435971404778E-4</v>
      </c>
      <c r="O66" s="26">
        <v>423.01184433164127</v>
      </c>
      <c r="P66" s="702">
        <f>O66/O12</f>
        <v>1.0514188874372287E-3</v>
      </c>
      <c r="Q66" s="26">
        <v>423.01184433164127</v>
      </c>
      <c r="R66" s="702">
        <f>Q66/Q12</f>
        <v>8.4673095910134865E-4</v>
      </c>
      <c r="S66" s="26">
        <v>423.01184433164127</v>
      </c>
      <c r="T66" s="702">
        <f>S66/S12</f>
        <v>8.4052846773481464E-4</v>
      </c>
      <c r="U66" s="26">
        <v>423.01184433164127</v>
      </c>
      <c r="V66" s="702">
        <f>U66/U12</f>
        <v>1.0596590379969417E-3</v>
      </c>
      <c r="W66" s="26">
        <v>423.01184433164127</v>
      </c>
      <c r="X66" s="702">
        <f>W66/W12</f>
        <v>1.041493793461758E-3</v>
      </c>
      <c r="Y66" s="26">
        <v>423.01184433164127</v>
      </c>
      <c r="Z66" s="702">
        <f>Y66/Y12</f>
        <v>6.8942805972224078E-4</v>
      </c>
      <c r="AA66" s="144">
        <f t="shared" si="17"/>
        <v>5076.1421319796964</v>
      </c>
      <c r="AB66" s="68">
        <f>AA66/AA12</f>
        <v>8.8787427571547018E-4</v>
      </c>
      <c r="AC66" s="128">
        <f t="shared" si="1"/>
        <v>423.01184433164138</v>
      </c>
      <c r="AD66" s="68">
        <f>AC66/AC12</f>
        <v>8.8787427571547018E-4</v>
      </c>
      <c r="AE66" s="393" t="s">
        <v>254</v>
      </c>
      <c r="AF66" s="393" t="s">
        <v>253</v>
      </c>
      <c r="AG66" s="393"/>
    </row>
    <row r="67" spans="1:33" s="1" customFormat="1">
      <c r="A67" s="188">
        <v>6126</v>
      </c>
      <c r="B67" s="227" t="s">
        <v>116</v>
      </c>
      <c r="C67" s="26"/>
      <c r="D67" s="24"/>
      <c r="E67" s="26"/>
      <c r="F67" s="24"/>
      <c r="G67" s="26"/>
      <c r="H67" s="24"/>
      <c r="I67" s="26"/>
      <c r="J67" s="24"/>
      <c r="K67" s="26"/>
      <c r="L67" s="24"/>
      <c r="M67" s="26"/>
      <c r="N67" s="24"/>
      <c r="O67" s="26"/>
      <c r="P67" s="24"/>
      <c r="Q67" s="26"/>
      <c r="R67" s="24"/>
      <c r="S67" s="26"/>
      <c r="T67" s="24"/>
      <c r="U67" s="26"/>
      <c r="V67" s="24"/>
      <c r="W67" s="26"/>
      <c r="X67" s="24"/>
      <c r="Y67" s="26"/>
      <c r="Z67" s="24"/>
      <c r="AA67" s="144">
        <f t="shared" si="17"/>
        <v>0</v>
      </c>
      <c r="AB67" s="68"/>
      <c r="AC67" s="128">
        <f t="shared" si="1"/>
        <v>0</v>
      </c>
      <c r="AD67" s="68"/>
      <c r="AE67" s="393"/>
      <c r="AF67" s="393"/>
      <c r="AG67" s="393"/>
    </row>
    <row r="68" spans="1:33" s="1" customFormat="1">
      <c r="A68" s="188">
        <v>6127</v>
      </c>
      <c r="B68" s="188" t="s">
        <v>76</v>
      </c>
      <c r="C68" s="705">
        <v>382</v>
      </c>
      <c r="D68" s="702">
        <f>C68/C$12</f>
        <v>8.8837570850579034E-4</v>
      </c>
      <c r="E68" s="705">
        <v>382</v>
      </c>
      <c r="F68" s="702">
        <f>E68/E$12</f>
        <v>1.1418689405927095E-3</v>
      </c>
      <c r="G68" s="705">
        <v>382</v>
      </c>
      <c r="H68" s="702">
        <f>G68/G$12</f>
        <v>6.8837977087120609E-4</v>
      </c>
      <c r="I68" s="705">
        <v>382</v>
      </c>
      <c r="J68" s="702">
        <f>I68/I$12</f>
        <v>7.7959710192839556E-4</v>
      </c>
      <c r="K68" s="705">
        <v>382</v>
      </c>
      <c r="L68" s="702">
        <f>K68/K$12</f>
        <v>8.523895770979424E-4</v>
      </c>
      <c r="M68" s="705">
        <v>382</v>
      </c>
      <c r="N68" s="702">
        <f>M68/M$12</f>
        <v>6.0112686871105145E-4</v>
      </c>
      <c r="O68" s="705">
        <v>382</v>
      </c>
      <c r="P68" s="702">
        <f>O68/O$12</f>
        <v>9.4948172346241439E-4</v>
      </c>
      <c r="Q68" s="705">
        <v>382</v>
      </c>
      <c r="R68" s="702">
        <f>Q68/Q$12</f>
        <v>7.6463869915455477E-4</v>
      </c>
      <c r="S68" s="705">
        <v>382</v>
      </c>
      <c r="T68" s="702">
        <f>S68/S$12</f>
        <v>7.5903755173098886E-4</v>
      </c>
      <c r="U68" s="705">
        <v>382</v>
      </c>
      <c r="V68" s="702">
        <f>U68/U$12</f>
        <v>9.5692297494506231E-4</v>
      </c>
      <c r="W68" s="705">
        <v>382</v>
      </c>
      <c r="X68" s="702">
        <f>W68/W$12</f>
        <v>9.4051888719805373E-4</v>
      </c>
      <c r="Y68" s="705">
        <v>382</v>
      </c>
      <c r="Z68" s="702">
        <f>Y68/Y$12</f>
        <v>6.2258663047605012E-4</v>
      </c>
      <c r="AA68" s="144">
        <f t="shared" si="17"/>
        <v>4584</v>
      </c>
      <c r="AB68" s="702">
        <f>AA68/AA12</f>
        <v>8.0179308893630382E-4</v>
      </c>
      <c r="AC68" s="128">
        <f t="shared" si="1"/>
        <v>382</v>
      </c>
      <c r="AD68" s="702">
        <f>AC68/AC12</f>
        <v>8.0179308893630382E-4</v>
      </c>
      <c r="AE68" s="645"/>
      <c r="AF68" s="226"/>
      <c r="AG68" s="226"/>
    </row>
    <row r="69" spans="1:33" s="1" customFormat="1">
      <c r="A69" s="188">
        <v>6128</v>
      </c>
      <c r="B69" s="188" t="s">
        <v>232</v>
      </c>
      <c r="C69" s="753">
        <v>0</v>
      </c>
      <c r="D69" s="684">
        <f>C69/C$12</f>
        <v>0</v>
      </c>
      <c r="E69" s="753">
        <v>0</v>
      </c>
      <c r="F69" s="684">
        <f>E69/E$12</f>
        <v>0</v>
      </c>
      <c r="G69" s="753">
        <v>0</v>
      </c>
      <c r="H69" s="684">
        <f>G69/G$12</f>
        <v>0</v>
      </c>
      <c r="I69" s="753">
        <v>0</v>
      </c>
      <c r="J69" s="684">
        <f>I69/I$12</f>
        <v>0</v>
      </c>
      <c r="K69" s="753">
        <v>0</v>
      </c>
      <c r="L69" s="684">
        <f>K69/K$12</f>
        <v>0</v>
      </c>
      <c r="M69" s="753">
        <v>0</v>
      </c>
      <c r="N69" s="684">
        <f>M69/M$12</f>
        <v>0</v>
      </c>
      <c r="O69" s="753">
        <v>0</v>
      </c>
      <c r="P69" s="684">
        <f>O69/O$12</f>
        <v>0</v>
      </c>
      <c r="Q69" s="753">
        <v>0</v>
      </c>
      <c r="R69" s="684">
        <f>Q69/Q$12</f>
        <v>0</v>
      </c>
      <c r="S69" s="753">
        <v>0</v>
      </c>
      <c r="T69" s="684">
        <f>S69/S$12</f>
        <v>0</v>
      </c>
      <c r="U69" s="753">
        <v>0</v>
      </c>
      <c r="V69" s="684">
        <f>U69/U$12</f>
        <v>0</v>
      </c>
      <c r="W69" s="753">
        <v>0</v>
      </c>
      <c r="X69" s="684">
        <f>W69/W$12</f>
        <v>0</v>
      </c>
      <c r="Y69" s="753">
        <v>0</v>
      </c>
      <c r="Z69" s="684">
        <f>Y69/Y$12</f>
        <v>0</v>
      </c>
      <c r="AA69" s="144">
        <f t="shared" si="17"/>
        <v>0</v>
      </c>
      <c r="AB69" s="68"/>
      <c r="AC69" s="128">
        <f t="shared" si="1"/>
        <v>0</v>
      </c>
      <c r="AD69" s="68"/>
      <c r="AE69" s="393"/>
      <c r="AF69" s="393"/>
      <c r="AG69" s="393"/>
    </row>
    <row r="70" spans="1:33" s="1" customFormat="1">
      <c r="A70" s="2">
        <v>6131</v>
      </c>
      <c r="B70" s="188" t="s">
        <v>314</v>
      </c>
      <c r="C70" s="768">
        <v>676.8189509306261</v>
      </c>
      <c r="D70" s="702">
        <f t="shared" ref="D70:D75" si="28">C70/C$12</f>
        <v>1.5740039661338761E-3</v>
      </c>
      <c r="E70" s="768">
        <v>676.8189509306261</v>
      </c>
      <c r="F70" s="702">
        <f t="shared" ref="F70:F75" si="29">E70/E$12</f>
        <v>2.0231375352675997E-3</v>
      </c>
      <c r="G70" s="768">
        <v>676.8189509306261</v>
      </c>
      <c r="H70" s="702">
        <f t="shared" ref="H70:H75" si="30">G70/G$12</f>
        <v>1.2196556920495143E-3</v>
      </c>
      <c r="I70" s="768">
        <v>676.8189509306261</v>
      </c>
      <c r="J70" s="702">
        <f t="shared" ref="J70:J75" si="31">I70/I$12</f>
        <v>1.3812724939155317E-3</v>
      </c>
      <c r="K70" s="768">
        <v>676.8189509306261</v>
      </c>
      <c r="L70" s="702">
        <f t="shared" ref="L70:L75" si="32">K70/K$12</f>
        <v>1.5102445532869881E-3</v>
      </c>
      <c r="M70" s="768">
        <v>676.8189509306261</v>
      </c>
      <c r="N70" s="702">
        <f t="shared" ref="N70:N75" si="33">M70/M$12</f>
        <v>1.0650629755424765E-3</v>
      </c>
      <c r="O70" s="768">
        <v>676.8189509306261</v>
      </c>
      <c r="P70" s="702">
        <f t="shared" ref="P70:P75" si="34">O70/O$12</f>
        <v>1.6822702198995658E-3</v>
      </c>
      <c r="Q70" s="768">
        <v>676.8189509306261</v>
      </c>
      <c r="R70" s="702">
        <f t="shared" ref="R70:R75" si="35">Q70/Q$12</f>
        <v>1.354769534562158E-3</v>
      </c>
      <c r="S70" s="768">
        <v>676.8189509306261</v>
      </c>
      <c r="T70" s="702">
        <f t="shared" ref="T70:T75" si="36">S70/S$12</f>
        <v>1.3448455483757035E-3</v>
      </c>
      <c r="U70" s="768">
        <v>676.8189509306261</v>
      </c>
      <c r="V70" s="702">
        <f t="shared" ref="V70:V75" si="37">U70/U$12</f>
        <v>1.695454460795107E-3</v>
      </c>
      <c r="W70" s="768">
        <v>676.8189509306261</v>
      </c>
      <c r="X70" s="702">
        <f t="shared" ref="X70:X75" si="38">W70/W$12</f>
        <v>1.6663900695388131E-3</v>
      </c>
      <c r="Y70" s="768">
        <v>676.8189509306261</v>
      </c>
      <c r="Z70" s="702">
        <f t="shared" ref="Z70:Z75" si="39">Y70/Y$12</f>
        <v>1.1030848955555855E-3</v>
      </c>
      <c r="AA70" s="144">
        <f t="shared" si="17"/>
        <v>8121.8274111675119</v>
      </c>
      <c r="AB70" s="702">
        <f t="shared" ref="AB70:AB74" si="40">AA70/AA$12</f>
        <v>1.4205988411447519E-3</v>
      </c>
      <c r="AC70" s="128">
        <f t="shared" ref="AC70:AC143" si="41">AA70/12</f>
        <v>676.81895093062599</v>
      </c>
      <c r="AD70" s="702">
        <f t="shared" ref="AD70:AD74" si="42">AC70/AC$12</f>
        <v>1.4205988411447519E-3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766">
        <v>46.531302876480538</v>
      </c>
      <c r="D71" s="702">
        <f t="shared" si="28"/>
        <v>1.0821277267170398E-4</v>
      </c>
      <c r="E71" s="766">
        <v>46.531302876480538</v>
      </c>
      <c r="F71" s="702">
        <f t="shared" si="29"/>
        <v>1.3909070554964746E-4</v>
      </c>
      <c r="G71" s="766">
        <v>46.531302876480538</v>
      </c>
      <c r="H71" s="702">
        <f t="shared" si="30"/>
        <v>8.3851328828404102E-5</v>
      </c>
      <c r="I71" s="766">
        <v>46.531302876480538</v>
      </c>
      <c r="J71" s="702">
        <f t="shared" si="31"/>
        <v>9.4962483956692785E-5</v>
      </c>
      <c r="K71" s="766">
        <v>46.531302876480538</v>
      </c>
      <c r="L71" s="702">
        <f t="shared" si="32"/>
        <v>1.0382931303848042E-4</v>
      </c>
      <c r="M71" s="766">
        <v>46.531302876480538</v>
      </c>
      <c r="N71" s="702">
        <f t="shared" si="33"/>
        <v>7.3223079568545248E-5</v>
      </c>
      <c r="O71" s="766">
        <v>46.531302876480538</v>
      </c>
      <c r="P71" s="702">
        <f t="shared" si="34"/>
        <v>1.1565607761809514E-4</v>
      </c>
      <c r="Q71" s="766">
        <v>46.531302876480538</v>
      </c>
      <c r="R71" s="702">
        <f t="shared" si="35"/>
        <v>9.3140405501148345E-5</v>
      </c>
      <c r="S71" s="766">
        <v>46.531302876480538</v>
      </c>
      <c r="T71" s="702">
        <f t="shared" si="36"/>
        <v>9.2458131450829606E-5</v>
      </c>
      <c r="U71" s="766">
        <v>46.531302876480538</v>
      </c>
      <c r="V71" s="702">
        <f t="shared" si="37"/>
        <v>1.1656249417966359E-4</v>
      </c>
      <c r="W71" s="766">
        <v>46.531302876480538</v>
      </c>
      <c r="X71" s="702">
        <f t="shared" si="38"/>
        <v>1.1456431728079338E-4</v>
      </c>
      <c r="Y71" s="766">
        <v>46.531302876480538</v>
      </c>
      <c r="Z71" s="702">
        <f t="shared" si="39"/>
        <v>7.5837086569446489E-5</v>
      </c>
      <c r="AA71" s="144">
        <f t="shared" si="17"/>
        <v>558.37563451776646</v>
      </c>
      <c r="AB71" s="702">
        <f t="shared" si="40"/>
        <v>9.7666170328701701E-5</v>
      </c>
      <c r="AC71" s="128">
        <f t="shared" si="41"/>
        <v>46.531302876480538</v>
      </c>
      <c r="AD71" s="702">
        <f t="shared" si="42"/>
        <v>9.7666170328701701E-5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28"/>
        <v>2.3255908599628019E-4</v>
      </c>
      <c r="E72" s="676">
        <v>100</v>
      </c>
      <c r="F72" s="702">
        <f t="shared" si="29"/>
        <v>2.9891857083578783E-4</v>
      </c>
      <c r="G72" s="676">
        <v>100</v>
      </c>
      <c r="H72" s="702">
        <f t="shared" si="30"/>
        <v>1.8020412850031572E-4</v>
      </c>
      <c r="I72" s="676">
        <v>100</v>
      </c>
      <c r="J72" s="702">
        <f t="shared" si="31"/>
        <v>2.0408301097601979E-4</v>
      </c>
      <c r="K72" s="676">
        <v>100</v>
      </c>
      <c r="L72" s="702">
        <f t="shared" si="32"/>
        <v>2.2313863274815246E-4</v>
      </c>
      <c r="M72" s="676">
        <v>100</v>
      </c>
      <c r="N72" s="702">
        <f t="shared" si="33"/>
        <v>1.5736305463640089E-4</v>
      </c>
      <c r="O72" s="676">
        <v>100</v>
      </c>
      <c r="P72" s="702">
        <f t="shared" si="34"/>
        <v>2.4855542499016087E-4</v>
      </c>
      <c r="Q72" s="676">
        <v>100</v>
      </c>
      <c r="R72" s="702">
        <f t="shared" si="35"/>
        <v>2.0016719873155883E-4</v>
      </c>
      <c r="S72" s="676">
        <v>100</v>
      </c>
      <c r="T72" s="702">
        <f t="shared" si="36"/>
        <v>1.9870092977251018E-4</v>
      </c>
      <c r="U72" s="676">
        <v>100</v>
      </c>
      <c r="V72" s="702">
        <f t="shared" si="37"/>
        <v>2.5050339658247705E-4</v>
      </c>
      <c r="W72" s="676">
        <v>100</v>
      </c>
      <c r="X72" s="702">
        <f t="shared" si="38"/>
        <v>2.462091327743596E-4</v>
      </c>
      <c r="Y72" s="676">
        <v>100</v>
      </c>
      <c r="Z72" s="702">
        <f t="shared" si="39"/>
        <v>1.6298079331833774E-4</v>
      </c>
      <c r="AA72" s="144">
        <f t="shared" si="17"/>
        <v>1200</v>
      </c>
      <c r="AB72" s="702">
        <f t="shared" si="40"/>
        <v>2.0989347877913711E-4</v>
      </c>
      <c r="AC72" s="128">
        <f t="shared" si="41"/>
        <v>100</v>
      </c>
      <c r="AD72" s="702">
        <f t="shared" si="42"/>
        <v>2.0989347877913711E-4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766">
        <v>118.44331641285957</v>
      </c>
      <c r="D73" s="702">
        <f t="shared" si="28"/>
        <v>2.7545069407342834E-4</v>
      </c>
      <c r="E73" s="766">
        <v>118.44331641285957</v>
      </c>
      <c r="F73" s="702">
        <f t="shared" si="29"/>
        <v>3.5404906867182994E-4</v>
      </c>
      <c r="G73" s="766">
        <v>118.44331641285957</v>
      </c>
      <c r="H73" s="702">
        <f t="shared" si="30"/>
        <v>2.13439746108665E-4</v>
      </c>
      <c r="I73" s="766">
        <v>118.44331641285957</v>
      </c>
      <c r="J73" s="702">
        <f t="shared" si="31"/>
        <v>2.4172268643521806E-4</v>
      </c>
      <c r="K73" s="766">
        <v>118.44331641285957</v>
      </c>
      <c r="L73" s="702">
        <f t="shared" si="32"/>
        <v>2.6429279682522289E-4</v>
      </c>
      <c r="M73" s="766">
        <v>118.44331641285957</v>
      </c>
      <c r="N73" s="702">
        <f t="shared" si="33"/>
        <v>1.8638602071993342E-4</v>
      </c>
      <c r="O73" s="766">
        <v>118.44331641285957</v>
      </c>
      <c r="P73" s="702">
        <f t="shared" si="34"/>
        <v>2.9439728848242405E-4</v>
      </c>
      <c r="Q73" s="766">
        <v>118.44331641285957</v>
      </c>
      <c r="R73" s="702">
        <f t="shared" si="35"/>
        <v>2.3708466854837766E-4</v>
      </c>
      <c r="S73" s="766">
        <v>118.44331641285957</v>
      </c>
      <c r="T73" s="702">
        <f t="shared" si="36"/>
        <v>2.3534797096574813E-4</v>
      </c>
      <c r="U73" s="766">
        <v>118.44331641285957</v>
      </c>
      <c r="V73" s="702">
        <f t="shared" si="37"/>
        <v>2.9670453063914375E-4</v>
      </c>
      <c r="W73" s="766">
        <v>118.44331641285957</v>
      </c>
      <c r="X73" s="702">
        <f t="shared" si="38"/>
        <v>2.916182621692923E-4</v>
      </c>
      <c r="Y73" s="766">
        <v>118.44331641285957</v>
      </c>
      <c r="Z73" s="702">
        <f t="shared" si="39"/>
        <v>1.9303985672222744E-4</v>
      </c>
      <c r="AA73" s="144">
        <f t="shared" si="17"/>
        <v>1421.3197969543146</v>
      </c>
      <c r="AB73" s="702">
        <f t="shared" si="40"/>
        <v>2.4860479720033161E-4</v>
      </c>
      <c r="AC73" s="128">
        <f t="shared" si="41"/>
        <v>118.44331641285955</v>
      </c>
      <c r="AD73" s="702">
        <f t="shared" si="42"/>
        <v>2.4860479720033155E-4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28"/>
        <v>0</v>
      </c>
      <c r="E74" s="676">
        <v>0</v>
      </c>
      <c r="F74" s="702">
        <f t="shared" si="29"/>
        <v>0</v>
      </c>
      <c r="G74" s="676">
        <v>0</v>
      </c>
      <c r="H74" s="702">
        <f t="shared" si="30"/>
        <v>0</v>
      </c>
      <c r="I74" s="676">
        <v>0</v>
      </c>
      <c r="J74" s="702">
        <f t="shared" si="31"/>
        <v>0</v>
      </c>
      <c r="K74" s="676">
        <v>0</v>
      </c>
      <c r="L74" s="702">
        <f t="shared" si="32"/>
        <v>0</v>
      </c>
      <c r="M74" s="676">
        <v>0</v>
      </c>
      <c r="N74" s="702">
        <f t="shared" si="33"/>
        <v>0</v>
      </c>
      <c r="O74" s="676">
        <v>0</v>
      </c>
      <c r="P74" s="702">
        <f t="shared" si="34"/>
        <v>0</v>
      </c>
      <c r="Q74" s="676">
        <v>0</v>
      </c>
      <c r="R74" s="702">
        <f t="shared" si="35"/>
        <v>0</v>
      </c>
      <c r="S74" s="676">
        <v>0</v>
      </c>
      <c r="T74" s="702">
        <f t="shared" si="36"/>
        <v>0</v>
      </c>
      <c r="U74" s="676">
        <v>0</v>
      </c>
      <c r="V74" s="702">
        <f t="shared" si="37"/>
        <v>0</v>
      </c>
      <c r="W74" s="676">
        <v>0</v>
      </c>
      <c r="X74" s="702">
        <f t="shared" si="38"/>
        <v>0</v>
      </c>
      <c r="Y74" s="676">
        <v>0</v>
      </c>
      <c r="Z74" s="702">
        <f t="shared" si="39"/>
        <v>0</v>
      </c>
      <c r="AA74" s="144">
        <f t="shared" si="17"/>
        <v>0</v>
      </c>
      <c r="AB74" s="702">
        <f t="shared" si="40"/>
        <v>0</v>
      </c>
      <c r="AC74" s="128">
        <f t="shared" si="41"/>
        <v>0</v>
      </c>
      <c r="AD74" s="702">
        <f t="shared" si="42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766">
        <v>155</v>
      </c>
      <c r="D75" s="702">
        <f t="shared" si="28"/>
        <v>3.604665832942343E-4</v>
      </c>
      <c r="E75" s="766">
        <v>155</v>
      </c>
      <c r="F75" s="702">
        <f t="shared" si="29"/>
        <v>4.6332378479547114E-4</v>
      </c>
      <c r="G75" s="766">
        <v>155</v>
      </c>
      <c r="H75" s="702">
        <f t="shared" si="30"/>
        <v>2.7931639917548937E-4</v>
      </c>
      <c r="I75" s="766">
        <v>155</v>
      </c>
      <c r="J75" s="702">
        <f t="shared" si="31"/>
        <v>3.1632866701283065E-4</v>
      </c>
      <c r="K75" s="766">
        <v>155</v>
      </c>
      <c r="L75" s="702">
        <f t="shared" si="32"/>
        <v>3.4586488075963632E-4</v>
      </c>
      <c r="M75" s="766">
        <v>155</v>
      </c>
      <c r="N75" s="702">
        <f t="shared" si="33"/>
        <v>2.4391273468642139E-4</v>
      </c>
      <c r="O75" s="766">
        <v>155</v>
      </c>
      <c r="P75" s="702">
        <f t="shared" si="34"/>
        <v>3.852609087347493E-4</v>
      </c>
      <c r="Q75" s="766">
        <v>155</v>
      </c>
      <c r="R75" s="702">
        <f t="shared" si="35"/>
        <v>3.1025915803391621E-4</v>
      </c>
      <c r="S75" s="766">
        <v>155</v>
      </c>
      <c r="T75" s="702">
        <f t="shared" si="36"/>
        <v>3.0798644114739081E-4</v>
      </c>
      <c r="U75" s="766">
        <v>155</v>
      </c>
      <c r="V75" s="702">
        <f t="shared" si="37"/>
        <v>3.8828026470283942E-4</v>
      </c>
      <c r="W75" s="766">
        <v>155</v>
      </c>
      <c r="X75" s="702">
        <f t="shared" si="38"/>
        <v>3.8162415580025741E-4</v>
      </c>
      <c r="Y75" s="766">
        <v>155</v>
      </c>
      <c r="Z75" s="702">
        <f t="shared" si="39"/>
        <v>2.5262022964342348E-4</v>
      </c>
      <c r="AA75" s="144">
        <f t="shared" ref="AA75" si="43">C75+E75+G75+I75+K75+M75+O75+Q75+S75+U75+W75+Y75</f>
        <v>1860</v>
      </c>
      <c r="AB75" s="702">
        <f t="shared" ref="AB75" si="44">AA75/AA$12</f>
        <v>3.2533489210766252E-4</v>
      </c>
      <c r="AC75" s="128">
        <f t="shared" ref="AC75" si="45">AA75/12</f>
        <v>155</v>
      </c>
      <c r="AD75" s="702">
        <f t="shared" ref="AD75" si="46">AC75/AC$12</f>
        <v>3.2533489210766252E-4</v>
      </c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116">
        <f>SUM(C42:C75)</f>
        <v>71337.506214551599</v>
      </c>
      <c r="D76" s="89">
        <f>C76/C12</f>
        <v>0.16590185242510078</v>
      </c>
      <c r="E76" s="116">
        <f>SUM(E42:E75)</f>
        <v>65522.145763008433</v>
      </c>
      <c r="F76" s="89">
        <f>E76/E12</f>
        <v>0.19585786169572653</v>
      </c>
      <c r="G76" s="116">
        <f>SUM(G42:G75)</f>
        <v>79771.662977138898</v>
      </c>
      <c r="H76" s="89">
        <f>G76/G12</f>
        <v>0.14375183005816217</v>
      </c>
      <c r="I76" s="116">
        <f>SUM(I42:I75)</f>
        <v>87626.738912292654</v>
      </c>
      <c r="J76" s="89">
        <f>I76/I12</f>
        <v>0.17883128719230243</v>
      </c>
      <c r="K76" s="116">
        <f>SUM(K42:K75)</f>
        <v>85115.793351082815</v>
      </c>
      <c r="L76" s="89">
        <f>K76/K12</f>
        <v>0.18992621753634906</v>
      </c>
      <c r="M76" s="45">
        <f>SUM(M42:M75)</f>
        <v>97130.79155140747</v>
      </c>
      <c r="N76" s="89">
        <f>M76/M12</f>
        <v>0.15284798057781002</v>
      </c>
      <c r="O76" s="45">
        <f>SUM(O42:O75)</f>
        <v>82285.750010293224</v>
      </c>
      <c r="P76" s="89">
        <f>O76/O12</f>
        <v>0.20452569564442566</v>
      </c>
      <c r="Q76" s="116">
        <f>SUM(Q42:Q75)</f>
        <v>88334.334199438978</v>
      </c>
      <c r="R76" s="89">
        <f>Q76/Q12</f>
        <v>0.17681636228519035</v>
      </c>
      <c r="S76" s="116">
        <f>SUM(S42:S75)</f>
        <v>91123.925290962288</v>
      </c>
      <c r="T76" s="89">
        <f>S76/S12</f>
        <v>0.18106408679834962</v>
      </c>
      <c r="U76" s="116">
        <f>SUM(U42:U75)</f>
        <v>69771.787297456016</v>
      </c>
      <c r="V76" s="89">
        <f>U76/U12</f>
        <v>0.1747806970364286</v>
      </c>
      <c r="W76" s="116">
        <f>SUM(W42:W75)</f>
        <v>70206.253035011396</v>
      </c>
      <c r="X76" s="89">
        <f>W76/W12</f>
        <v>0.17285420675087407</v>
      </c>
      <c r="Y76" s="116">
        <f>SUM(Y42:Y75)</f>
        <v>83398.665419723577</v>
      </c>
      <c r="Z76" s="89">
        <f>Y76/Y12</f>
        <v>0.13592380651797167</v>
      </c>
      <c r="AA76" s="148">
        <f>SUM(AA42:AA75)</f>
        <v>971625.35402236728</v>
      </c>
      <c r="AB76" s="89">
        <f>AA76/AA12</f>
        <v>0.1699481880214711</v>
      </c>
      <c r="AC76" s="132">
        <f t="shared" si="41"/>
        <v>80968.779501863944</v>
      </c>
      <c r="AD76" s="89">
        <f>AC76/AC12</f>
        <v>0.16994818802147113</v>
      </c>
      <c r="AE76" s="562"/>
      <c r="AF76" s="562"/>
      <c r="AG76" s="562"/>
    </row>
    <row r="77" spans="1:33" s="1" customFormat="1" ht="15.75" thickTop="1">
      <c r="A77" s="2">
        <v>6201</v>
      </c>
      <c r="B77" s="228" t="s">
        <v>24</v>
      </c>
      <c r="C77" s="704">
        <v>28800</v>
      </c>
      <c r="D77" s="24">
        <f>C77/C12</f>
        <v>6.6977016766928688E-2</v>
      </c>
      <c r="E77" s="704">
        <v>28800</v>
      </c>
      <c r="F77" s="24">
        <f>E77/E12</f>
        <v>8.6088548400706899E-2</v>
      </c>
      <c r="G77" s="704">
        <v>28800</v>
      </c>
      <c r="H77" s="24">
        <f>G77/G12</f>
        <v>5.1898789008090931E-2</v>
      </c>
      <c r="I77" s="704">
        <v>28800</v>
      </c>
      <c r="J77" s="24">
        <f>I77/I12</f>
        <v>5.8775907161093703E-2</v>
      </c>
      <c r="K77" s="704">
        <v>28800</v>
      </c>
      <c r="L77" s="24">
        <f>K77/K12</f>
        <v>6.4263926231467913E-2</v>
      </c>
      <c r="M77" s="704">
        <v>28800</v>
      </c>
      <c r="N77" s="24">
        <f>M77/M12</f>
        <v>4.5320559735283462E-2</v>
      </c>
      <c r="O77" s="704">
        <v>28800</v>
      </c>
      <c r="P77" s="24">
        <f>O77/O12</f>
        <v>7.1583962397166329E-2</v>
      </c>
      <c r="Q77" s="704">
        <v>28800</v>
      </c>
      <c r="R77" s="24">
        <f>Q77/Q12</f>
        <v>5.7648153234688942E-2</v>
      </c>
      <c r="S77" s="704">
        <v>28800</v>
      </c>
      <c r="T77" s="24">
        <f>S77/S12</f>
        <v>5.7225867774482936E-2</v>
      </c>
      <c r="U77" s="704">
        <v>28800</v>
      </c>
      <c r="V77" s="24">
        <f>U77/U12</f>
        <v>7.2144978215753386E-2</v>
      </c>
      <c r="W77" s="704">
        <v>28800</v>
      </c>
      <c r="X77" s="24">
        <f>W77/W12</f>
        <v>7.090823023901556E-2</v>
      </c>
      <c r="Y77" s="704">
        <v>28800</v>
      </c>
      <c r="Z77" s="24">
        <f>Y77/Y12</f>
        <v>4.6938468475681269E-2</v>
      </c>
      <c r="AA77" s="144">
        <f t="shared" ref="AA77:AA92" si="47">C77+E77+G77+I77+K77+M77+O77+Q77+S77+U77+W77+Y77</f>
        <v>345600</v>
      </c>
      <c r="AB77" s="24">
        <f>AA77/AA12</f>
        <v>6.0449321888391493E-2</v>
      </c>
      <c r="AC77" s="128">
        <f t="shared" si="41"/>
        <v>28800</v>
      </c>
      <c r="AD77" s="24">
        <f>AC77/AC12</f>
        <v>6.0449321888391486E-2</v>
      </c>
      <c r="AE77" s="579"/>
      <c r="AF77" s="579"/>
      <c r="AG77" s="579"/>
    </row>
    <row r="78" spans="1:33" s="1" customFormat="1">
      <c r="A78" s="2">
        <v>6202</v>
      </c>
      <c r="B78" s="228" t="s">
        <v>25</v>
      </c>
      <c r="C78" s="704">
        <v>14400</v>
      </c>
      <c r="D78" s="24">
        <f>C78/C12</f>
        <v>3.3488508383464344E-2</v>
      </c>
      <c r="E78" s="704">
        <v>14400</v>
      </c>
      <c r="F78" s="24">
        <f>E78/E12</f>
        <v>4.304427420035345E-2</v>
      </c>
      <c r="G78" s="704">
        <v>14400</v>
      </c>
      <c r="H78" s="24">
        <f>G78/G12</f>
        <v>2.5949394504045466E-2</v>
      </c>
      <c r="I78" s="704">
        <v>14400</v>
      </c>
      <c r="J78" s="24">
        <f>I78/I12</f>
        <v>2.9387953580546852E-2</v>
      </c>
      <c r="K78" s="704">
        <v>14400</v>
      </c>
      <c r="L78" s="24">
        <f>K78/K12</f>
        <v>3.2131963115733957E-2</v>
      </c>
      <c r="M78" s="704">
        <v>14400</v>
      </c>
      <c r="N78" s="24">
        <f>M78/M12</f>
        <v>2.2660279867641731E-2</v>
      </c>
      <c r="O78" s="704">
        <v>14400</v>
      </c>
      <c r="P78" s="24">
        <f>O78/O12</f>
        <v>3.5791981198583164E-2</v>
      </c>
      <c r="Q78" s="704">
        <v>14400</v>
      </c>
      <c r="R78" s="24">
        <f>Q78/Q12</f>
        <v>2.8824076617344471E-2</v>
      </c>
      <c r="S78" s="704">
        <v>14400</v>
      </c>
      <c r="T78" s="24">
        <f>S78/S12</f>
        <v>2.8612933887241468E-2</v>
      </c>
      <c r="U78" s="704">
        <v>14400</v>
      </c>
      <c r="V78" s="24">
        <f>U78/U12</f>
        <v>3.6072489107876693E-2</v>
      </c>
      <c r="W78" s="704">
        <v>14400</v>
      </c>
      <c r="X78" s="24">
        <f>W78/W12</f>
        <v>3.545411511950778E-2</v>
      </c>
      <c r="Y78" s="704">
        <v>14400</v>
      </c>
      <c r="Z78" s="24">
        <f>Y78/Y12</f>
        <v>2.3469234237840635E-2</v>
      </c>
      <c r="AA78" s="144">
        <f t="shared" si="47"/>
        <v>172800</v>
      </c>
      <c r="AB78" s="24">
        <f>AA78/AA12</f>
        <v>3.0224660944195746E-2</v>
      </c>
      <c r="AC78" s="128">
        <f t="shared" si="41"/>
        <v>14400</v>
      </c>
      <c r="AD78" s="24">
        <f>AC78/AC12</f>
        <v>3.0224660944195743E-2</v>
      </c>
      <c r="AE78" s="579"/>
      <c r="AF78" s="579"/>
      <c r="AG78" s="579"/>
    </row>
    <row r="79" spans="1:33" s="1" customFormat="1">
      <c r="A79" s="2">
        <v>6203</v>
      </c>
      <c r="B79" s="228" t="s">
        <v>26</v>
      </c>
      <c r="C79" s="704">
        <v>4800</v>
      </c>
      <c r="D79" s="24">
        <f>C79/C12</f>
        <v>1.1162836127821449E-2</v>
      </c>
      <c r="E79" s="704">
        <v>4800</v>
      </c>
      <c r="F79" s="24">
        <f>E79/E12</f>
        <v>1.4348091400117816E-2</v>
      </c>
      <c r="G79" s="704">
        <v>4800</v>
      </c>
      <c r="H79" s="24">
        <f>G79/G12</f>
        <v>8.6497981680151541E-3</v>
      </c>
      <c r="I79" s="704">
        <v>4800</v>
      </c>
      <c r="J79" s="24">
        <f>I79/I12</f>
        <v>9.7959845268489505E-3</v>
      </c>
      <c r="K79" s="704">
        <v>4800</v>
      </c>
      <c r="L79" s="24">
        <f>K79/K12</f>
        <v>1.0710654371911318E-2</v>
      </c>
      <c r="M79" s="704">
        <v>4800</v>
      </c>
      <c r="N79" s="24">
        <f>M79/M12</f>
        <v>7.5534266225472432E-3</v>
      </c>
      <c r="O79" s="704">
        <v>4800</v>
      </c>
      <c r="P79" s="24">
        <f>O79/O12</f>
        <v>1.1930660399527721E-2</v>
      </c>
      <c r="Q79" s="704">
        <v>4800</v>
      </c>
      <c r="R79" s="24">
        <f>Q79/Q12</f>
        <v>9.6080255391148232E-3</v>
      </c>
      <c r="S79" s="704">
        <v>4800</v>
      </c>
      <c r="T79" s="24">
        <f>S79/S12</f>
        <v>9.5376446290804887E-3</v>
      </c>
      <c r="U79" s="704">
        <v>4800</v>
      </c>
      <c r="V79" s="24">
        <f>U79/U12</f>
        <v>1.2024163035958898E-2</v>
      </c>
      <c r="W79" s="704">
        <v>4800</v>
      </c>
      <c r="X79" s="24">
        <f>W79/W12</f>
        <v>1.1818038373169261E-2</v>
      </c>
      <c r="Y79" s="704">
        <v>4800</v>
      </c>
      <c r="Z79" s="24">
        <f>Y79/Y12</f>
        <v>7.8230780792802115E-3</v>
      </c>
      <c r="AA79" s="144">
        <f t="shared" si="47"/>
        <v>57600</v>
      </c>
      <c r="AB79" s="24">
        <f>AA79/AA12</f>
        <v>1.0074886981398582E-2</v>
      </c>
      <c r="AC79" s="128">
        <f t="shared" si="41"/>
        <v>4800</v>
      </c>
      <c r="AD79" s="24">
        <f>AC79/AC12</f>
        <v>1.0074886981398582E-2</v>
      </c>
      <c r="AE79" s="579"/>
      <c r="AF79" s="579"/>
      <c r="AG79" s="579"/>
    </row>
    <row r="80" spans="1:33" s="1" customFormat="1">
      <c r="A80" s="2">
        <v>6204</v>
      </c>
      <c r="B80" s="228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24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47"/>
        <v>0</v>
      </c>
      <c r="AB80" s="24">
        <f>AA80/AA12</f>
        <v>0</v>
      </c>
      <c r="AC80" s="128">
        <f t="shared" si="41"/>
        <v>0</v>
      </c>
      <c r="AD80" s="24">
        <f>AC80/AC12</f>
        <v>0</v>
      </c>
      <c r="AE80" s="579"/>
      <c r="AF80" s="579"/>
      <c r="AG80" s="579"/>
    </row>
    <row r="81" spans="1:33" s="1" customFormat="1">
      <c r="A81" s="2">
        <v>6205</v>
      </c>
      <c r="B81" s="228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24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47"/>
        <v>0</v>
      </c>
      <c r="AB81" s="24">
        <f>AA81/AA12</f>
        <v>0</v>
      </c>
      <c r="AC81" s="128">
        <f t="shared" si="41"/>
        <v>0</v>
      </c>
      <c r="AD81" s="24">
        <f>AC81/AC12</f>
        <v>0</v>
      </c>
      <c r="AE81" s="579"/>
      <c r="AF81" s="579"/>
      <c r="AG81" s="579"/>
    </row>
    <row r="82" spans="1:33" s="1" customFormat="1">
      <c r="A82" s="2">
        <v>6206</v>
      </c>
      <c r="B82" s="2" t="s">
        <v>217</v>
      </c>
      <c r="C82" s="61">
        <v>814.93333333333339</v>
      </c>
      <c r="D82" s="24">
        <f>C82/C12</f>
        <v>1.8952015114790195E-3</v>
      </c>
      <c r="E82" s="61">
        <v>814.93333333333339</v>
      </c>
      <c r="F82" s="24">
        <f>E82/E12</f>
        <v>2.4359870732644472E-3</v>
      </c>
      <c r="G82" s="61">
        <v>814.93333333333339</v>
      </c>
      <c r="H82" s="24">
        <f>G82/G12</f>
        <v>1.4685435111919064E-3</v>
      </c>
      <c r="I82" s="61">
        <v>814.93333333333339</v>
      </c>
      <c r="J82" s="24">
        <f>I82/I12</f>
        <v>1.6631404841139107E-3</v>
      </c>
      <c r="K82" s="61">
        <v>814.93333333333339</v>
      </c>
      <c r="L82" s="24">
        <f>K82/K12</f>
        <v>1.818431097808944E-3</v>
      </c>
      <c r="M82" s="61">
        <v>814.93333333333339</v>
      </c>
      <c r="N82" s="24">
        <f>M82/M12</f>
        <v>1.2824039865835764E-3</v>
      </c>
      <c r="O82" s="61">
        <v>814.93333333333339</v>
      </c>
      <c r="P82" s="24">
        <f>O82/O12</f>
        <v>2.025561010053151E-3</v>
      </c>
      <c r="Q82" s="61">
        <v>814.93333333333339</v>
      </c>
      <c r="R82" s="24">
        <f>Q82/Q12</f>
        <v>1.6312292248630502E-3</v>
      </c>
      <c r="S82" s="61">
        <v>814.93333333333339</v>
      </c>
      <c r="T82" s="24">
        <f>S82/S12</f>
        <v>1.6192801103594432E-3</v>
      </c>
      <c r="U82" s="61">
        <v>814.93333333333339</v>
      </c>
      <c r="V82" s="24">
        <f>U82/U12</f>
        <v>2.0414356798827997E-3</v>
      </c>
      <c r="W82" s="61">
        <v>814.93333333333339</v>
      </c>
      <c r="X82" s="24">
        <f>W82/W12</f>
        <v>2.0064402926891814E-3</v>
      </c>
      <c r="Y82" s="61">
        <v>814.93333333333339</v>
      </c>
      <c r="Z82" s="24">
        <f>Y82/Y12</f>
        <v>1.3281848116822403E-3</v>
      </c>
      <c r="AA82" s="144">
        <f t="shared" si="47"/>
        <v>9779.2000000000007</v>
      </c>
      <c r="AB82" s="24">
        <f>AA82/AA12</f>
        <v>1.7104919230641149E-3</v>
      </c>
      <c r="AC82" s="128">
        <f t="shared" si="41"/>
        <v>814.93333333333339</v>
      </c>
      <c r="AD82" s="24">
        <f>AC82/AC12</f>
        <v>1.7104919230641149E-3</v>
      </c>
      <c r="AE82" s="579" t="s">
        <v>269</v>
      </c>
      <c r="AF82" s="579"/>
      <c r="AG82" s="579"/>
    </row>
    <row r="83" spans="1:33" s="1" customFormat="1">
      <c r="A83" s="2">
        <v>6207</v>
      </c>
      <c r="B83" s="2" t="s">
        <v>218</v>
      </c>
      <c r="C83" s="113">
        <v>2658.3333333333335</v>
      </c>
      <c r="D83" s="24">
        <f>C83/C$12</f>
        <v>6.1821957027344485E-3</v>
      </c>
      <c r="E83" s="113">
        <v>2658.3333333333335</v>
      </c>
      <c r="F83" s="24">
        <f>E83/E$12</f>
        <v>7.9462520080513608E-3</v>
      </c>
      <c r="G83" s="113">
        <v>2658.3333333333335</v>
      </c>
      <c r="H83" s="24">
        <f>G83/G$12</f>
        <v>4.7904264159667267E-3</v>
      </c>
      <c r="I83" s="113">
        <v>2658.3333333333335</v>
      </c>
      <c r="J83" s="24">
        <f>I83/I$12</f>
        <v>5.4252067084458594E-3</v>
      </c>
      <c r="K83" s="113">
        <v>2658.3333333333335</v>
      </c>
      <c r="L83" s="24">
        <f>K83/K$12</f>
        <v>5.9317686538883866E-3</v>
      </c>
      <c r="M83" s="113">
        <v>2658.3333333333335</v>
      </c>
      <c r="N83" s="24">
        <f>M83/M$12</f>
        <v>4.1832345357509905E-3</v>
      </c>
      <c r="O83" s="113">
        <v>2658.3333333333335</v>
      </c>
      <c r="P83" s="24">
        <f>O83/O$12</f>
        <v>6.6074317143217766E-3</v>
      </c>
      <c r="Q83" s="113">
        <v>2658.3333333333335</v>
      </c>
      <c r="R83" s="24">
        <f>Q83/Q$12</f>
        <v>5.3211113662806056E-3</v>
      </c>
      <c r="S83" s="113">
        <v>2658.3333333333335</v>
      </c>
      <c r="T83" s="24">
        <f>S83/S$12</f>
        <v>5.2821330497858964E-3</v>
      </c>
      <c r="U83" s="113">
        <v>2658.3333333333335</v>
      </c>
      <c r="V83" s="24">
        <f>U83/U$12</f>
        <v>6.6592152924841814E-3</v>
      </c>
      <c r="W83" s="113">
        <v>2658.3333333333335</v>
      </c>
      <c r="X83" s="24">
        <f>W83/W$12</f>
        <v>6.5450594462517263E-3</v>
      </c>
      <c r="Y83" s="113">
        <v>2658.3333333333335</v>
      </c>
      <c r="Z83" s="24">
        <f>Y83/Y$12</f>
        <v>4.3325727557124785E-3</v>
      </c>
      <c r="AA83" s="144">
        <f t="shared" si="47"/>
        <v>31899.999999999996</v>
      </c>
      <c r="AB83" s="68">
        <f>AA83/AA$12</f>
        <v>5.5796683108787276E-3</v>
      </c>
      <c r="AC83" s="128">
        <f t="shared" si="41"/>
        <v>2658.333333333333</v>
      </c>
      <c r="AD83" s="68">
        <f>AC83/AC$12</f>
        <v>5.5796683108787276E-3</v>
      </c>
      <c r="AE83" s="393"/>
      <c r="AF83" s="393"/>
      <c r="AG83" s="393"/>
    </row>
    <row r="84" spans="1:33" s="1" customFormat="1">
      <c r="A84" s="2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24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47"/>
        <v>0</v>
      </c>
      <c r="AB84" s="24">
        <f>AA84/AA12</f>
        <v>0</v>
      </c>
      <c r="AC84" s="128">
        <f t="shared" si="41"/>
        <v>0</v>
      </c>
      <c r="AD84" s="24">
        <f>AC84/AC12</f>
        <v>0</v>
      </c>
      <c r="AE84" s="579"/>
      <c r="AF84" s="579"/>
      <c r="AG84" s="579"/>
    </row>
    <row r="85" spans="1:33" s="1" customFormat="1">
      <c r="A85" s="2">
        <v>6209</v>
      </c>
      <c r="B85" s="228" t="s">
        <v>29</v>
      </c>
      <c r="C85" s="61">
        <v>3600</v>
      </c>
      <c r="D85" s="68">
        <f>C85/C12</f>
        <v>8.3721270958660859E-3</v>
      </c>
      <c r="E85" s="61">
        <v>3600</v>
      </c>
      <c r="F85" s="68">
        <f>E85/E12</f>
        <v>1.0761068550088362E-2</v>
      </c>
      <c r="G85" s="61">
        <v>3600</v>
      </c>
      <c r="H85" s="702">
        <f>G85/G12</f>
        <v>6.4873486260113664E-3</v>
      </c>
      <c r="I85" s="61">
        <v>3600</v>
      </c>
      <c r="J85" s="702">
        <f>I85/I12</f>
        <v>7.3469883951367129E-3</v>
      </c>
      <c r="K85" s="61">
        <v>3600</v>
      </c>
      <c r="L85" s="702">
        <f>K85/K12</f>
        <v>8.0329907789334892E-3</v>
      </c>
      <c r="M85" s="61">
        <v>3600</v>
      </c>
      <c r="N85" s="677">
        <f>M85/M12</f>
        <v>5.6650699669104328E-3</v>
      </c>
      <c r="O85" s="61">
        <v>3600</v>
      </c>
      <c r="P85" s="677">
        <f>O85/O12</f>
        <v>8.9479952996457911E-3</v>
      </c>
      <c r="Q85" s="61">
        <v>3600</v>
      </c>
      <c r="R85" s="677">
        <f>Q85/Q12</f>
        <v>7.2060191543361178E-3</v>
      </c>
      <c r="S85" s="61">
        <v>3600</v>
      </c>
      <c r="T85" s="677">
        <f>S85/S12</f>
        <v>7.153233471810367E-3</v>
      </c>
      <c r="U85" s="61">
        <v>3600</v>
      </c>
      <c r="V85" s="677">
        <f>U85/U12</f>
        <v>9.0181222769691732E-3</v>
      </c>
      <c r="W85" s="61">
        <v>3600</v>
      </c>
      <c r="X85" s="677">
        <f>W85/W12</f>
        <v>8.863528779876945E-3</v>
      </c>
      <c r="Y85" s="61">
        <v>3600</v>
      </c>
      <c r="Z85" s="677">
        <f>Y85/Y12</f>
        <v>5.8673085594601587E-3</v>
      </c>
      <c r="AA85" s="144">
        <f t="shared" si="47"/>
        <v>43200</v>
      </c>
      <c r="AB85" s="68">
        <f>AA85/AA12</f>
        <v>7.5561652360489366E-3</v>
      </c>
      <c r="AC85" s="128">
        <f t="shared" si="41"/>
        <v>3600</v>
      </c>
      <c r="AD85" s="68">
        <f>AC85/AC12</f>
        <v>7.5561652360489357E-3</v>
      </c>
      <c r="AE85" s="393"/>
      <c r="AF85" s="393"/>
      <c r="AG85" s="393"/>
    </row>
    <row r="86" spans="1:33" s="1" customFormat="1">
      <c r="A86" s="2">
        <v>6210</v>
      </c>
      <c r="B86" s="228" t="s">
        <v>30</v>
      </c>
      <c r="C86" s="61">
        <v>1656.9863013698632</v>
      </c>
      <c r="D86" s="24">
        <f>C86/C12</f>
        <v>3.8534721975493225E-3</v>
      </c>
      <c r="E86" s="61">
        <v>1656.9863013698632</v>
      </c>
      <c r="F86" s="24">
        <f>E86/E12</f>
        <v>4.9530397709995752E-3</v>
      </c>
      <c r="G86" s="61">
        <v>1656.9863013698632</v>
      </c>
      <c r="H86" s="24">
        <f>G86/G12</f>
        <v>2.9859577237531772E-3</v>
      </c>
      <c r="I86" s="61">
        <v>1656.9863013698632</v>
      </c>
      <c r="J86" s="24">
        <f>I86/I12</f>
        <v>3.3816275352958024E-3</v>
      </c>
      <c r="K86" s="61">
        <v>1656.9863013698632</v>
      </c>
      <c r="L86" s="24">
        <f>K86/K12</f>
        <v>3.6973765777008937E-3</v>
      </c>
      <c r="M86" s="61">
        <v>1656.9863013698632</v>
      </c>
      <c r="N86" s="24">
        <f>M86/M12</f>
        <v>2.6074842587423363E-3</v>
      </c>
      <c r="O86" s="61">
        <v>1656.9863013698632</v>
      </c>
      <c r="P86" s="24">
        <f>O86/O12</f>
        <v>4.1185293433986109E-3</v>
      </c>
      <c r="Q86" s="61">
        <v>1656.9863013698632</v>
      </c>
      <c r="R86" s="24">
        <f>Q86/Q12</f>
        <v>3.3167430628177202E-3</v>
      </c>
      <c r="S86" s="61">
        <v>1656.9863013698632</v>
      </c>
      <c r="T86" s="24">
        <f>S86/S12</f>
        <v>3.2924471870250461E-3</v>
      </c>
      <c r="U86" s="61">
        <v>1656.9863013698632</v>
      </c>
      <c r="V86" s="24">
        <f>U86/U12</f>
        <v>4.1508069658378662E-3</v>
      </c>
      <c r="W86" s="61">
        <v>1656.9863013698632</v>
      </c>
      <c r="X86" s="24">
        <f>W86/W12</f>
        <v>4.079651602792677E-3</v>
      </c>
      <c r="Y86" s="61">
        <v>1656.9863013698632</v>
      </c>
      <c r="Z86" s="24">
        <f>Y86/Y12</f>
        <v>2.7005694191487854E-3</v>
      </c>
      <c r="AA86" s="144">
        <f t="shared" si="47"/>
        <v>19883.835616438359</v>
      </c>
      <c r="AB86" s="24">
        <f>AA86/AA12</f>
        <v>3.4779061908389629E-3</v>
      </c>
      <c r="AC86" s="128">
        <f t="shared" si="41"/>
        <v>1656.9863013698632</v>
      </c>
      <c r="AD86" s="24">
        <f>AC86/AC12</f>
        <v>3.4779061908389629E-3</v>
      </c>
      <c r="AE86" s="579"/>
      <c r="AF86" s="579"/>
      <c r="AG86" s="579"/>
    </row>
    <row r="87" spans="1:33" s="1" customFormat="1">
      <c r="A87" s="2">
        <v>6211</v>
      </c>
      <c r="B87" s="228" t="s">
        <v>31</v>
      </c>
      <c r="C87" s="61">
        <v>2000</v>
      </c>
      <c r="D87" s="24">
        <f>C87/C12</f>
        <v>4.6511817199256034E-3</v>
      </c>
      <c r="E87" s="61">
        <v>2000</v>
      </c>
      <c r="F87" s="24">
        <f>E87/E12</f>
        <v>5.9783714167157562E-3</v>
      </c>
      <c r="G87" s="61">
        <v>2000</v>
      </c>
      <c r="H87" s="24">
        <f>G87/G12</f>
        <v>3.6040825700063145E-3</v>
      </c>
      <c r="I87" s="61">
        <v>2000</v>
      </c>
      <c r="J87" s="24">
        <f>I87/I12</f>
        <v>4.0816602195203958E-3</v>
      </c>
      <c r="K87" s="61">
        <v>2000</v>
      </c>
      <c r="L87" s="24">
        <f>K87/K12</f>
        <v>4.4627726549630493E-3</v>
      </c>
      <c r="M87" s="61">
        <v>2000</v>
      </c>
      <c r="N87" s="24">
        <f>M87/M12</f>
        <v>3.1472610927280181E-3</v>
      </c>
      <c r="O87" s="61">
        <v>2000</v>
      </c>
      <c r="P87" s="24">
        <f>O87/O12</f>
        <v>4.9711084998032172E-3</v>
      </c>
      <c r="Q87" s="61">
        <v>2000</v>
      </c>
      <c r="R87" s="24">
        <f>Q87/Q12</f>
        <v>4.0033439746311765E-3</v>
      </c>
      <c r="S87" s="61">
        <v>2000</v>
      </c>
      <c r="T87" s="24">
        <f>S87/S12</f>
        <v>3.9740185954502041E-3</v>
      </c>
      <c r="U87" s="61">
        <v>2000</v>
      </c>
      <c r="V87" s="24">
        <f>U87/U12</f>
        <v>5.0100679316495405E-3</v>
      </c>
      <c r="W87" s="61">
        <v>2000</v>
      </c>
      <c r="X87" s="24">
        <f>W87/W12</f>
        <v>4.9241826554871923E-3</v>
      </c>
      <c r="Y87" s="61">
        <v>2000</v>
      </c>
      <c r="Z87" s="24">
        <f>Y87/Y12</f>
        <v>3.2596158663667548E-3</v>
      </c>
      <c r="AA87" s="144">
        <f t="shared" si="47"/>
        <v>24000</v>
      </c>
      <c r="AB87" s="24">
        <f>AA87/AA12</f>
        <v>4.1978695755827428E-3</v>
      </c>
      <c r="AC87" s="128">
        <f t="shared" si="41"/>
        <v>2000</v>
      </c>
      <c r="AD87" s="24">
        <f>AC87/AC12</f>
        <v>4.197869575582742E-3</v>
      </c>
      <c r="AE87" s="579"/>
      <c r="AF87" s="579"/>
      <c r="AG87" s="579"/>
    </row>
    <row r="88" spans="1:33" s="1" customFormat="1">
      <c r="A88" s="2">
        <v>6212</v>
      </c>
      <c r="B88" s="228" t="s">
        <v>32</v>
      </c>
      <c r="C88" s="75">
        <v>100</v>
      </c>
      <c r="D88" s="702">
        <f>C88/C12</f>
        <v>2.3255908599628019E-4</v>
      </c>
      <c r="E88" s="75">
        <v>100</v>
      </c>
      <c r="F88" s="702">
        <f>E88/E12</f>
        <v>2.9891857083578783E-4</v>
      </c>
      <c r="G88" s="75">
        <v>100</v>
      </c>
      <c r="H88" s="702">
        <f>G88/G12</f>
        <v>1.8020412850031572E-4</v>
      </c>
      <c r="I88" s="75">
        <v>100</v>
      </c>
      <c r="J88" s="702">
        <f>I88/I12</f>
        <v>2.0408301097601979E-4</v>
      </c>
      <c r="K88" s="75">
        <v>100</v>
      </c>
      <c r="L88" s="702">
        <f>K88/K12</f>
        <v>2.2313863274815246E-4</v>
      </c>
      <c r="M88" s="75">
        <v>100</v>
      </c>
      <c r="N88" s="702">
        <f>M88/M12</f>
        <v>1.5736305463640089E-4</v>
      </c>
      <c r="O88" s="75">
        <v>100</v>
      </c>
      <c r="P88" s="702">
        <f>O88/O12</f>
        <v>2.4855542499016087E-4</v>
      </c>
      <c r="Q88" s="75">
        <v>100</v>
      </c>
      <c r="R88" s="702">
        <f>Q88/Q12</f>
        <v>2.0016719873155883E-4</v>
      </c>
      <c r="S88" s="75">
        <v>100</v>
      </c>
      <c r="T88" s="702">
        <f>S88/S12</f>
        <v>1.9870092977251018E-4</v>
      </c>
      <c r="U88" s="75">
        <v>100</v>
      </c>
      <c r="V88" s="702">
        <f>U88/U12</f>
        <v>2.5050339658247705E-4</v>
      </c>
      <c r="W88" s="75">
        <v>100</v>
      </c>
      <c r="X88" s="702">
        <f>W88/W12</f>
        <v>2.462091327743596E-4</v>
      </c>
      <c r="Y88" s="75">
        <v>100</v>
      </c>
      <c r="Z88" s="702">
        <f>Y88/Y12</f>
        <v>1.6298079331833774E-4</v>
      </c>
      <c r="AA88" s="144">
        <f t="shared" si="47"/>
        <v>1200</v>
      </c>
      <c r="AB88" s="68">
        <f>AA88/AA12</f>
        <v>2.0989347877913711E-4</v>
      </c>
      <c r="AC88" s="128">
        <f t="shared" si="41"/>
        <v>100</v>
      </c>
      <c r="AD88" s="68">
        <f>AC88/AC12</f>
        <v>2.0989347877913711E-4</v>
      </c>
      <c r="AE88" s="393"/>
      <c r="AF88" s="393"/>
      <c r="AG88" s="393"/>
    </row>
    <row r="89" spans="1:33" s="1" customFormat="1">
      <c r="A89" s="2">
        <v>6213</v>
      </c>
      <c r="B89" s="228" t="s">
        <v>33</v>
      </c>
      <c r="C89" s="113"/>
      <c r="D89" s="68">
        <f>C89/C12</f>
        <v>0</v>
      </c>
      <c r="E89" s="113"/>
      <c r="F89" s="68">
        <f>E89/E12</f>
        <v>0</v>
      </c>
      <c r="G89" s="113"/>
      <c r="H89" s="702">
        <f>G89/G12</f>
        <v>0</v>
      </c>
      <c r="I89" s="113"/>
      <c r="J89" s="702">
        <f>I89/I12</f>
        <v>0</v>
      </c>
      <c r="K89" s="113"/>
      <c r="L89" s="702">
        <f>K89/K12</f>
        <v>0</v>
      </c>
      <c r="M89" s="113"/>
      <c r="N89" s="677">
        <f>M89/M12</f>
        <v>0</v>
      </c>
      <c r="O89" s="113"/>
      <c r="P89" s="677">
        <f>O89/O12</f>
        <v>0</v>
      </c>
      <c r="Q89" s="113"/>
      <c r="R89" s="677">
        <f>Q89/Q12</f>
        <v>0</v>
      </c>
      <c r="S89" s="113"/>
      <c r="T89" s="677">
        <f>S89/S12</f>
        <v>0</v>
      </c>
      <c r="U89" s="113"/>
      <c r="V89" s="677">
        <f>U89/U12</f>
        <v>0</v>
      </c>
      <c r="W89" s="113"/>
      <c r="X89" s="677">
        <f>W89/W12</f>
        <v>0</v>
      </c>
      <c r="Y89" s="113"/>
      <c r="Z89" s="677">
        <f>Y89/Y12</f>
        <v>0</v>
      </c>
      <c r="AA89" s="144">
        <f t="shared" si="47"/>
        <v>0</v>
      </c>
      <c r="AB89" s="68">
        <f>AA89/AA12</f>
        <v>0</v>
      </c>
      <c r="AC89" s="128">
        <f t="shared" si="41"/>
        <v>0</v>
      </c>
      <c r="AD89" s="68">
        <f>AC89/AC12</f>
        <v>0</v>
      </c>
      <c r="AE89" s="393"/>
      <c r="AF89" s="393"/>
      <c r="AG89" s="393"/>
    </row>
    <row r="90" spans="1:33" s="1" customFormat="1">
      <c r="A90" s="2">
        <v>6214</v>
      </c>
      <c r="B90" s="228" t="s">
        <v>34</v>
      </c>
      <c r="C90" s="75">
        <v>1280</v>
      </c>
      <c r="D90" s="68">
        <f>C90/C12</f>
        <v>2.9767563007523862E-3</v>
      </c>
      <c r="E90" s="75">
        <v>1280</v>
      </c>
      <c r="F90" s="68">
        <f>E90/E12</f>
        <v>3.8261577066980843E-3</v>
      </c>
      <c r="G90" s="75">
        <v>1280</v>
      </c>
      <c r="H90" s="702">
        <f>G90/G12</f>
        <v>2.3066128448040414E-3</v>
      </c>
      <c r="I90" s="75">
        <v>1280</v>
      </c>
      <c r="J90" s="702">
        <f>I90/I12</f>
        <v>2.6122625404930533E-3</v>
      </c>
      <c r="K90" s="75">
        <v>1280</v>
      </c>
      <c r="L90" s="702">
        <f>K90/K12</f>
        <v>2.8561744991763517E-3</v>
      </c>
      <c r="M90" s="75">
        <v>1280</v>
      </c>
      <c r="N90" s="677">
        <f>M90/M12</f>
        <v>2.0142470993459315E-3</v>
      </c>
      <c r="O90" s="75">
        <v>1280</v>
      </c>
      <c r="P90" s="677">
        <f>O90/O12</f>
        <v>3.181509439874059E-3</v>
      </c>
      <c r="Q90" s="75">
        <v>1280</v>
      </c>
      <c r="R90" s="677">
        <f>Q90/Q12</f>
        <v>2.5621401437639531E-3</v>
      </c>
      <c r="S90" s="75">
        <v>1280</v>
      </c>
      <c r="T90" s="677">
        <f>S90/S12</f>
        <v>2.5433719010881303E-3</v>
      </c>
      <c r="U90" s="75">
        <v>1280</v>
      </c>
      <c r="V90" s="677">
        <f>U90/U12</f>
        <v>3.2064434762557061E-3</v>
      </c>
      <c r="W90" s="75">
        <v>1280</v>
      </c>
      <c r="X90" s="677">
        <f>W90/W12</f>
        <v>3.151476899511803E-3</v>
      </c>
      <c r="Y90" s="75">
        <v>1280</v>
      </c>
      <c r="Z90" s="677">
        <f>Y90/Y12</f>
        <v>2.0861541544747232E-3</v>
      </c>
      <c r="AA90" s="144">
        <f t="shared" si="47"/>
        <v>15360</v>
      </c>
      <c r="AB90" s="68">
        <f>AA90/AA12</f>
        <v>2.6866365283729553E-3</v>
      </c>
      <c r="AC90" s="128">
        <f t="shared" si="41"/>
        <v>1280</v>
      </c>
      <c r="AD90" s="68">
        <f>AC90/AC12</f>
        <v>2.6866365283729548E-3</v>
      </c>
      <c r="AE90" s="393"/>
      <c r="AF90" s="393"/>
      <c r="AG90" s="393"/>
    </row>
    <row r="91" spans="1:33" s="1" customFormat="1">
      <c r="A91" s="2">
        <v>6215</v>
      </c>
      <c r="B91" s="228" t="s">
        <v>35</v>
      </c>
      <c r="C91" s="61"/>
      <c r="D91" s="24">
        <f>C91/C12</f>
        <v>0</v>
      </c>
      <c r="E91" s="61"/>
      <c r="F91" s="24">
        <f>E91/E12</f>
        <v>0</v>
      </c>
      <c r="G91" s="61"/>
      <c r="H91" s="24">
        <f>G91/G12</f>
        <v>0</v>
      </c>
      <c r="I91" s="61">
        <v>0</v>
      </c>
      <c r="J91" s="24">
        <f>I91/I12</f>
        <v>0</v>
      </c>
      <c r="K91" s="61">
        <v>0</v>
      </c>
      <c r="L91" s="24">
        <f>K91/K12</f>
        <v>0</v>
      </c>
      <c r="M91" s="26"/>
      <c r="N91" s="24">
        <f>M91/M12</f>
        <v>0</v>
      </c>
      <c r="O91" s="26">
        <v>0</v>
      </c>
      <c r="P91" s="24">
        <f>O91/O12</f>
        <v>0</v>
      </c>
      <c r="Q91" s="61">
        <v>0</v>
      </c>
      <c r="R91" s="24">
        <f>Q91/Q12</f>
        <v>0</v>
      </c>
      <c r="S91" s="61">
        <v>0</v>
      </c>
      <c r="T91" s="24">
        <f>S91/S12</f>
        <v>0</v>
      </c>
      <c r="U91" s="61">
        <v>0</v>
      </c>
      <c r="V91" s="24">
        <f>U91/U12</f>
        <v>0</v>
      </c>
      <c r="W91" s="61">
        <v>0</v>
      </c>
      <c r="X91" s="24">
        <f>W91/W12</f>
        <v>0</v>
      </c>
      <c r="Y91" s="61">
        <v>0</v>
      </c>
      <c r="Z91" s="24">
        <f>Y91/Y12</f>
        <v>0</v>
      </c>
      <c r="AA91" s="144">
        <f t="shared" si="47"/>
        <v>0</v>
      </c>
      <c r="AB91" s="24">
        <f>AA91/AA12</f>
        <v>0</v>
      </c>
      <c r="AC91" s="128">
        <f t="shared" si="41"/>
        <v>0</v>
      </c>
      <c r="AD91" s="24">
        <f>AC91/AC12</f>
        <v>0</v>
      </c>
      <c r="AE91" s="579"/>
      <c r="AF91" s="579"/>
      <c r="AG91" s="579"/>
    </row>
    <row r="92" spans="1:33" s="1" customFormat="1">
      <c r="A92" s="2">
        <v>6216</v>
      </c>
      <c r="B92" s="228" t="s">
        <v>91</v>
      </c>
      <c r="C92" s="61"/>
      <c r="D92" s="24">
        <f>C92/C12</f>
        <v>0</v>
      </c>
      <c r="E92" s="61"/>
      <c r="F92" s="24">
        <f>E92/E12</f>
        <v>0</v>
      </c>
      <c r="G92" s="61"/>
      <c r="H92" s="24">
        <f>G92/G12</f>
        <v>0</v>
      </c>
      <c r="I92" s="61">
        <v>0</v>
      </c>
      <c r="J92" s="24">
        <f>I92/I12</f>
        <v>0</v>
      </c>
      <c r="K92" s="61">
        <v>0</v>
      </c>
      <c r="L92" s="24">
        <f>K92/K12</f>
        <v>0</v>
      </c>
      <c r="M92" s="26">
        <v>0</v>
      </c>
      <c r="N92" s="24">
        <f>M92/M12</f>
        <v>0</v>
      </c>
      <c r="O92" s="26">
        <v>0</v>
      </c>
      <c r="P92" s="24">
        <f>O92/O12</f>
        <v>0</v>
      </c>
      <c r="Q92" s="61">
        <v>0</v>
      </c>
      <c r="R92" s="24">
        <f>Q92/Q12</f>
        <v>0</v>
      </c>
      <c r="S92" s="61">
        <v>0</v>
      </c>
      <c r="T92" s="24">
        <f>S92/S12</f>
        <v>0</v>
      </c>
      <c r="U92" s="61">
        <v>0</v>
      </c>
      <c r="V92" s="24">
        <f>U92/U12</f>
        <v>0</v>
      </c>
      <c r="W92" s="61">
        <v>0</v>
      </c>
      <c r="X92" s="24">
        <f>W92/W12</f>
        <v>0</v>
      </c>
      <c r="Y92" s="61">
        <v>0</v>
      </c>
      <c r="Z92" s="24">
        <f>Y92/Y12</f>
        <v>0</v>
      </c>
      <c r="AA92" s="144">
        <f t="shared" si="47"/>
        <v>0</v>
      </c>
      <c r="AB92" s="24">
        <f>AA92/AA12</f>
        <v>0</v>
      </c>
      <c r="AC92" s="128">
        <f t="shared" si="41"/>
        <v>0</v>
      </c>
      <c r="AD92" s="24">
        <f>AC92/AC12</f>
        <v>0</v>
      </c>
      <c r="AE92" s="579"/>
      <c r="AF92" s="579"/>
      <c r="AG92" s="579"/>
    </row>
    <row r="93" spans="1:33" s="1" customFormat="1" ht="15.75" thickBot="1">
      <c r="A93" s="4">
        <v>6299</v>
      </c>
      <c r="B93" s="229" t="s">
        <v>112</v>
      </c>
      <c r="C93" s="79">
        <f>SUM(C77:C91)</f>
        <v>60110.252968036533</v>
      </c>
      <c r="D93" s="396">
        <f>C93/C12</f>
        <v>0.13979185489251764</v>
      </c>
      <c r="E93" s="119">
        <f>SUM(E77:E91)</f>
        <v>60110.252968036533</v>
      </c>
      <c r="F93" s="396">
        <f>E93/E12</f>
        <v>0.17968070909783154</v>
      </c>
      <c r="G93" s="79">
        <f>SUM(G77:G92)</f>
        <v>60110.252968036533</v>
      </c>
      <c r="H93" s="396">
        <f>G93/G12</f>
        <v>0.1083211575003854</v>
      </c>
      <c r="I93" s="79">
        <f>SUM(I77:I92)</f>
        <v>60110.252968036533</v>
      </c>
      <c r="J93" s="396">
        <f>I93/I12</f>
        <v>0.12267481416247127</v>
      </c>
      <c r="K93" s="29">
        <f>SUM(K77:K91)</f>
        <v>60110.252968036533</v>
      </c>
      <c r="L93" s="396">
        <f>K93/K12</f>
        <v>0.13412919661433245</v>
      </c>
      <c r="M93" s="29">
        <f>SUM(M77:M92)</f>
        <v>60110.252968036533</v>
      </c>
      <c r="N93" s="396">
        <f>M93/M12</f>
        <v>9.4591330220170119E-2</v>
      </c>
      <c r="O93" s="29">
        <f>SUM(O77:O91)</f>
        <v>60110.252968036533</v>
      </c>
      <c r="P93" s="396">
        <f>O93/O12</f>
        <v>0.14940729472736397</v>
      </c>
      <c r="Q93" s="29">
        <f>SUM(Q77:Q91)</f>
        <v>60110.252968036533</v>
      </c>
      <c r="R93" s="396">
        <f>Q93/Q12</f>
        <v>0.12032100951657243</v>
      </c>
      <c r="S93" s="29">
        <f>SUM(S77:S91)</f>
        <v>60110.252968036533</v>
      </c>
      <c r="T93" s="396">
        <f>S93/S12</f>
        <v>0.11943963153609649</v>
      </c>
      <c r="U93" s="79">
        <f>SUM(U77:U91)</f>
        <v>60110.252968036533</v>
      </c>
      <c r="V93" s="396">
        <f>U93/U12</f>
        <v>0.15057822537925072</v>
      </c>
      <c r="W93" s="79">
        <f>SUM(W77:W91)</f>
        <v>60110.252968036533</v>
      </c>
      <c r="X93" s="396">
        <f>W93/W12</f>
        <v>0.14799693254107651</v>
      </c>
      <c r="Y93" s="79">
        <f>SUM(Y77:Y91)</f>
        <v>60110.252968036533</v>
      </c>
      <c r="Z93" s="396">
        <f>Y93/Y12</f>
        <v>9.7968167152965593E-2</v>
      </c>
      <c r="AA93" s="196">
        <f>SUM(AA77:AA92)</f>
        <v>721323.03561643837</v>
      </c>
      <c r="AB93" s="89">
        <f>AA93/AA12</f>
        <v>0.1261675010575514</v>
      </c>
      <c r="AC93" s="52">
        <f t="shared" si="41"/>
        <v>60110.252968036533</v>
      </c>
      <c r="AD93" s="89">
        <f>AC93/AC12</f>
        <v>0.1261675010575514</v>
      </c>
      <c r="AE93" s="562"/>
      <c r="AF93" s="562"/>
      <c r="AG93" s="562"/>
    </row>
    <row r="94" spans="1:33" s="1" customFormat="1" ht="15.75" thickTop="1">
      <c r="A94" s="2">
        <v>6301</v>
      </c>
      <c r="B94" s="231" t="s">
        <v>36</v>
      </c>
      <c r="C94" s="992"/>
      <c r="D94" s="994">
        <f t="shared" ref="D94:D101" si="48">C94/C$12</f>
        <v>0</v>
      </c>
      <c r="E94" s="992"/>
      <c r="F94" s="994">
        <f t="shared" ref="F94:F101" si="49">E94/E$12</f>
        <v>0</v>
      </c>
      <c r="G94" s="992"/>
      <c r="H94" s="994">
        <f t="shared" ref="H94:H101" si="50">G94/G$12</f>
        <v>0</v>
      </c>
      <c r="I94" s="992"/>
      <c r="J94" s="994">
        <f t="shared" ref="J94:J101" si="51">I94/I$12</f>
        <v>0</v>
      </c>
      <c r="K94" s="992"/>
      <c r="L94" s="994">
        <f t="shared" ref="L94:L101" si="52">K94/K$12</f>
        <v>0</v>
      </c>
      <c r="M94" s="992"/>
      <c r="N94" s="994">
        <f t="shared" ref="N94:N101" si="53">M94/M$12</f>
        <v>0</v>
      </c>
      <c r="O94" s="992"/>
      <c r="P94" s="994">
        <f t="shared" ref="P94:P101" si="54">O94/O$12</f>
        <v>0</v>
      </c>
      <c r="Q94" s="992"/>
      <c r="R94" s="994">
        <f t="shared" ref="R94:R101" si="55">Q94/Q$12</f>
        <v>0</v>
      </c>
      <c r="S94" s="992"/>
      <c r="T94" s="994">
        <f t="shared" ref="T94:T101" si="56">S94/S$12</f>
        <v>0</v>
      </c>
      <c r="U94" s="992"/>
      <c r="V94" s="994">
        <f t="shared" ref="V94:V101" si="57">U94/U$12</f>
        <v>0</v>
      </c>
      <c r="W94" s="992"/>
      <c r="X94" s="994">
        <f t="shared" ref="X94:X101" si="58">W94/W$12</f>
        <v>0</v>
      </c>
      <c r="Y94" s="992"/>
      <c r="Z94" s="702">
        <f t="shared" ref="Z94:Z101" si="59">Y94/Y$12</f>
        <v>0</v>
      </c>
      <c r="AA94" s="144">
        <f t="shared" ref="AA94:AA114" si="60">C94+E94+G94+I94+K94+M94+O94+Q94+S94+U94+W94+Y94</f>
        <v>0</v>
      </c>
      <c r="AB94" s="702">
        <f>AA94/AA$12</f>
        <v>0</v>
      </c>
      <c r="AC94" s="128">
        <f t="shared" si="41"/>
        <v>0</v>
      </c>
      <c r="AD94" s="702">
        <f>AC94/AC$12</f>
        <v>0</v>
      </c>
      <c r="AE94" s="579"/>
      <c r="AF94" s="579"/>
      <c r="AG94" s="579"/>
    </row>
    <row r="95" spans="1:33" s="1" customFormat="1">
      <c r="A95" s="2">
        <v>6302</v>
      </c>
      <c r="B95" s="231" t="s">
        <v>37</v>
      </c>
      <c r="C95" s="678"/>
      <c r="D95" s="702">
        <f t="shared" si="48"/>
        <v>0</v>
      </c>
      <c r="E95" s="678"/>
      <c r="F95" s="702">
        <f t="shared" si="49"/>
        <v>0</v>
      </c>
      <c r="G95" s="678"/>
      <c r="H95" s="702">
        <f t="shared" si="50"/>
        <v>0</v>
      </c>
      <c r="I95" s="678"/>
      <c r="J95" s="702">
        <f t="shared" si="51"/>
        <v>0</v>
      </c>
      <c r="K95" s="678"/>
      <c r="L95" s="702">
        <f t="shared" si="52"/>
        <v>0</v>
      </c>
      <c r="M95" s="678"/>
      <c r="N95" s="702">
        <f t="shared" si="53"/>
        <v>0</v>
      </c>
      <c r="O95" s="678"/>
      <c r="P95" s="702">
        <f t="shared" si="54"/>
        <v>0</v>
      </c>
      <c r="Q95" s="678"/>
      <c r="R95" s="702">
        <f t="shared" si="55"/>
        <v>0</v>
      </c>
      <c r="S95" s="678"/>
      <c r="T95" s="702">
        <f t="shared" si="56"/>
        <v>0</v>
      </c>
      <c r="U95" s="678"/>
      <c r="V95" s="702">
        <f t="shared" si="57"/>
        <v>0</v>
      </c>
      <c r="W95" s="678"/>
      <c r="X95" s="702">
        <f t="shared" si="58"/>
        <v>0</v>
      </c>
      <c r="Y95" s="678"/>
      <c r="Z95" s="702">
        <f t="shared" si="59"/>
        <v>0</v>
      </c>
      <c r="AA95" s="144">
        <f t="shared" si="60"/>
        <v>0</v>
      </c>
      <c r="AB95" s="702">
        <f t="shared" ref="AB95:AB99" si="61">AA95/AA$12</f>
        <v>0</v>
      </c>
      <c r="AC95" s="128">
        <f t="shared" si="41"/>
        <v>0</v>
      </c>
      <c r="AD95" s="702">
        <f t="shared" ref="AD95:AD99" si="62">AC95/AC$12</f>
        <v>0</v>
      </c>
      <c r="AE95" s="393"/>
      <c r="AF95" s="393"/>
      <c r="AG95" s="393"/>
    </row>
    <row r="96" spans="1:33" s="1" customFormat="1">
      <c r="A96" s="2">
        <v>6303</v>
      </c>
      <c r="B96" s="2" t="s">
        <v>132</v>
      </c>
      <c r="C96" s="678"/>
      <c r="D96" s="702">
        <f t="shared" si="48"/>
        <v>0</v>
      </c>
      <c r="E96" s="678"/>
      <c r="F96" s="702">
        <f t="shared" si="49"/>
        <v>0</v>
      </c>
      <c r="G96" s="678"/>
      <c r="H96" s="702">
        <f t="shared" si="50"/>
        <v>0</v>
      </c>
      <c r="I96" s="678"/>
      <c r="J96" s="702">
        <f t="shared" si="51"/>
        <v>0</v>
      </c>
      <c r="K96" s="678"/>
      <c r="L96" s="702">
        <f t="shared" si="52"/>
        <v>0</v>
      </c>
      <c r="M96" s="678"/>
      <c r="N96" s="702">
        <f t="shared" si="53"/>
        <v>0</v>
      </c>
      <c r="O96" s="678"/>
      <c r="P96" s="702">
        <f t="shared" si="54"/>
        <v>0</v>
      </c>
      <c r="Q96" s="678"/>
      <c r="R96" s="702">
        <f t="shared" si="55"/>
        <v>0</v>
      </c>
      <c r="S96" s="678"/>
      <c r="T96" s="702">
        <f t="shared" si="56"/>
        <v>0</v>
      </c>
      <c r="U96" s="678"/>
      <c r="V96" s="702">
        <f t="shared" si="57"/>
        <v>0</v>
      </c>
      <c r="W96" s="678"/>
      <c r="X96" s="702">
        <f t="shared" si="58"/>
        <v>0</v>
      </c>
      <c r="Y96" s="678"/>
      <c r="Z96" s="702">
        <f t="shared" si="59"/>
        <v>0</v>
      </c>
      <c r="AA96" s="144">
        <f t="shared" si="60"/>
        <v>0</v>
      </c>
      <c r="AB96" s="702">
        <f t="shared" si="61"/>
        <v>0</v>
      </c>
      <c r="AC96" s="128">
        <f t="shared" si="41"/>
        <v>0</v>
      </c>
      <c r="AD96" s="702">
        <f t="shared" si="62"/>
        <v>0</v>
      </c>
      <c r="AE96" s="579"/>
      <c r="AF96" s="579"/>
      <c r="AG96" s="579"/>
    </row>
    <row r="97" spans="1:33" s="1" customFormat="1">
      <c r="A97" s="2">
        <v>6304</v>
      </c>
      <c r="B97" s="2" t="s">
        <v>38</v>
      </c>
      <c r="C97" s="753"/>
      <c r="D97" s="702">
        <f t="shared" si="48"/>
        <v>0</v>
      </c>
      <c r="E97" s="753"/>
      <c r="F97" s="702">
        <f t="shared" si="49"/>
        <v>0</v>
      </c>
      <c r="G97" s="753"/>
      <c r="H97" s="702">
        <f t="shared" si="50"/>
        <v>0</v>
      </c>
      <c r="I97" s="753"/>
      <c r="J97" s="702">
        <f t="shared" si="51"/>
        <v>0</v>
      </c>
      <c r="K97" s="753"/>
      <c r="L97" s="702">
        <f t="shared" si="52"/>
        <v>0</v>
      </c>
      <c r="M97" s="753"/>
      <c r="N97" s="702">
        <f t="shared" si="53"/>
        <v>0</v>
      </c>
      <c r="O97" s="753"/>
      <c r="P97" s="702">
        <f t="shared" si="54"/>
        <v>0</v>
      </c>
      <c r="Q97" s="753"/>
      <c r="R97" s="702">
        <f t="shared" si="55"/>
        <v>0</v>
      </c>
      <c r="S97" s="753"/>
      <c r="T97" s="702">
        <f t="shared" si="56"/>
        <v>0</v>
      </c>
      <c r="U97" s="753"/>
      <c r="V97" s="702">
        <f t="shared" si="57"/>
        <v>0</v>
      </c>
      <c r="W97" s="753"/>
      <c r="X97" s="702">
        <f t="shared" si="58"/>
        <v>0</v>
      </c>
      <c r="Y97" s="753"/>
      <c r="Z97" s="702">
        <f t="shared" si="59"/>
        <v>0</v>
      </c>
      <c r="AA97" s="144">
        <f t="shared" si="60"/>
        <v>0</v>
      </c>
      <c r="AB97" s="702">
        <f t="shared" si="61"/>
        <v>0</v>
      </c>
      <c r="AC97" s="128">
        <f t="shared" si="41"/>
        <v>0</v>
      </c>
      <c r="AD97" s="702">
        <f t="shared" si="62"/>
        <v>0</v>
      </c>
      <c r="AE97" s="393"/>
      <c r="AF97" s="393"/>
      <c r="AG97" s="393"/>
    </row>
    <row r="98" spans="1:33" s="1" customFormat="1">
      <c r="A98" s="188">
        <v>6305</v>
      </c>
      <c r="B98" s="2" t="s">
        <v>39</v>
      </c>
      <c r="C98" s="678"/>
      <c r="D98" s="702">
        <f t="shared" si="48"/>
        <v>0</v>
      </c>
      <c r="E98" s="678"/>
      <c r="F98" s="702">
        <f t="shared" si="49"/>
        <v>0</v>
      </c>
      <c r="G98" s="678"/>
      <c r="H98" s="702">
        <f t="shared" si="50"/>
        <v>0</v>
      </c>
      <c r="I98" s="678"/>
      <c r="J98" s="702">
        <f t="shared" si="51"/>
        <v>0</v>
      </c>
      <c r="K98" s="678"/>
      <c r="L98" s="702">
        <f t="shared" si="52"/>
        <v>0</v>
      </c>
      <c r="M98" s="678"/>
      <c r="N98" s="702">
        <f t="shared" si="53"/>
        <v>0</v>
      </c>
      <c r="O98" s="678"/>
      <c r="P98" s="702">
        <f t="shared" si="54"/>
        <v>0</v>
      </c>
      <c r="Q98" s="678"/>
      <c r="R98" s="702">
        <f t="shared" si="55"/>
        <v>0</v>
      </c>
      <c r="S98" s="678"/>
      <c r="T98" s="702">
        <f t="shared" si="56"/>
        <v>0</v>
      </c>
      <c r="U98" s="678"/>
      <c r="V98" s="702">
        <f t="shared" si="57"/>
        <v>0</v>
      </c>
      <c r="W98" s="678"/>
      <c r="X98" s="702">
        <f t="shared" si="58"/>
        <v>0</v>
      </c>
      <c r="Y98" s="678"/>
      <c r="Z98" s="702">
        <f t="shared" si="59"/>
        <v>0</v>
      </c>
      <c r="AA98" s="144">
        <f t="shared" si="60"/>
        <v>0</v>
      </c>
      <c r="AB98" s="702">
        <f t="shared" si="61"/>
        <v>0</v>
      </c>
      <c r="AC98" s="128">
        <f t="shared" si="41"/>
        <v>0</v>
      </c>
      <c r="AD98" s="702">
        <f t="shared" si="62"/>
        <v>0</v>
      </c>
      <c r="AE98" s="393"/>
      <c r="AF98" s="393"/>
      <c r="AG98" s="393"/>
    </row>
    <row r="99" spans="1:33" s="1" customFormat="1">
      <c r="A99" s="2">
        <v>6306</v>
      </c>
      <c r="B99" s="2" t="s">
        <v>40</v>
      </c>
      <c r="C99" s="678"/>
      <c r="D99" s="702">
        <f t="shared" si="48"/>
        <v>0</v>
      </c>
      <c r="E99" s="678"/>
      <c r="F99" s="702">
        <f t="shared" si="49"/>
        <v>0</v>
      </c>
      <c r="G99" s="678"/>
      <c r="H99" s="702">
        <f t="shared" si="50"/>
        <v>0</v>
      </c>
      <c r="I99" s="678"/>
      <c r="J99" s="702">
        <f t="shared" si="51"/>
        <v>0</v>
      </c>
      <c r="K99" s="678"/>
      <c r="L99" s="702">
        <f t="shared" si="52"/>
        <v>0</v>
      </c>
      <c r="M99" s="678"/>
      <c r="N99" s="702">
        <f t="shared" si="53"/>
        <v>0</v>
      </c>
      <c r="O99" s="678"/>
      <c r="P99" s="702">
        <f t="shared" si="54"/>
        <v>0</v>
      </c>
      <c r="Q99" s="678"/>
      <c r="R99" s="702">
        <f t="shared" si="55"/>
        <v>0</v>
      </c>
      <c r="S99" s="678"/>
      <c r="T99" s="702">
        <f t="shared" si="56"/>
        <v>0</v>
      </c>
      <c r="U99" s="678"/>
      <c r="V99" s="702">
        <f t="shared" si="57"/>
        <v>0</v>
      </c>
      <c r="W99" s="678"/>
      <c r="X99" s="702">
        <f t="shared" si="58"/>
        <v>0</v>
      </c>
      <c r="Y99" s="678"/>
      <c r="Z99" s="702">
        <f t="shared" si="59"/>
        <v>0</v>
      </c>
      <c r="AA99" s="144">
        <f t="shared" si="60"/>
        <v>0</v>
      </c>
      <c r="AB99" s="702">
        <f t="shared" si="61"/>
        <v>0</v>
      </c>
      <c r="AC99" s="128">
        <f t="shared" si="41"/>
        <v>0</v>
      </c>
      <c r="AD99" s="702">
        <f t="shared" si="62"/>
        <v>0</v>
      </c>
      <c r="AE99" s="579"/>
      <c r="AF99" s="579"/>
      <c r="AG99" s="579"/>
    </row>
    <row r="100" spans="1:33" s="1" customFormat="1">
      <c r="A100" s="2">
        <v>6307</v>
      </c>
      <c r="B100" s="2" t="s">
        <v>322</v>
      </c>
      <c r="C100" s="678"/>
      <c r="D100" s="702">
        <f t="shared" si="48"/>
        <v>0</v>
      </c>
      <c r="E100" s="678">
        <v>250</v>
      </c>
      <c r="F100" s="702">
        <f t="shared" si="49"/>
        <v>7.4729642708946953E-4</v>
      </c>
      <c r="G100" s="678">
        <v>250</v>
      </c>
      <c r="H100" s="702">
        <f t="shared" si="50"/>
        <v>4.5051032125078931E-4</v>
      </c>
      <c r="I100" s="678">
        <v>690</v>
      </c>
      <c r="J100" s="702">
        <f t="shared" si="51"/>
        <v>1.4081727757345366E-3</v>
      </c>
      <c r="K100" s="678">
        <v>250</v>
      </c>
      <c r="L100" s="702">
        <f t="shared" si="52"/>
        <v>5.5784658187038117E-4</v>
      </c>
      <c r="M100" s="678"/>
      <c r="N100" s="702">
        <f t="shared" si="53"/>
        <v>0</v>
      </c>
      <c r="O100" s="678">
        <v>250</v>
      </c>
      <c r="P100" s="702">
        <f t="shared" si="54"/>
        <v>6.2138856247540215E-4</v>
      </c>
      <c r="Q100" s="678">
        <v>250</v>
      </c>
      <c r="R100" s="702">
        <f t="shared" si="55"/>
        <v>5.0041799682889706E-4</v>
      </c>
      <c r="S100" s="678">
        <v>250</v>
      </c>
      <c r="T100" s="702">
        <f t="shared" si="56"/>
        <v>4.9675232443127551E-4</v>
      </c>
      <c r="U100" s="678">
        <v>250</v>
      </c>
      <c r="V100" s="702">
        <f t="shared" si="57"/>
        <v>6.2625849145619256E-4</v>
      </c>
      <c r="W100" s="678">
        <v>250</v>
      </c>
      <c r="X100" s="702">
        <f t="shared" si="58"/>
        <v>6.1552283193589904E-4</v>
      </c>
      <c r="Y100" s="678">
        <v>250</v>
      </c>
      <c r="Z100" s="702">
        <f t="shared" si="59"/>
        <v>4.0745198329584435E-4</v>
      </c>
      <c r="AA100" s="144">
        <f t="shared" si="60"/>
        <v>2940</v>
      </c>
      <c r="AB100" s="226">
        <f>AA100/AA$12</f>
        <v>5.1423902300888591E-4</v>
      </c>
      <c r="AC100" s="128">
        <f t="shared" si="41"/>
        <v>245</v>
      </c>
      <c r="AD100" s="226">
        <f>AC100/AC$12</f>
        <v>5.1423902300888591E-4</v>
      </c>
      <c r="AE100" s="579"/>
      <c r="AF100" s="579"/>
      <c r="AG100" s="579"/>
    </row>
    <row r="101" spans="1:33" s="1" customFormat="1">
      <c r="A101" s="2">
        <v>6308</v>
      </c>
      <c r="B101" s="2" t="s">
        <v>151</v>
      </c>
      <c r="C101" s="678"/>
      <c r="D101" s="702">
        <f t="shared" si="48"/>
        <v>0</v>
      </c>
      <c r="E101" s="678"/>
      <c r="F101" s="702">
        <f t="shared" si="49"/>
        <v>0</v>
      </c>
      <c r="G101" s="678"/>
      <c r="H101" s="702">
        <f t="shared" si="50"/>
        <v>0</v>
      </c>
      <c r="I101" s="678"/>
      <c r="J101" s="702">
        <f t="shared" si="51"/>
        <v>0</v>
      </c>
      <c r="K101" s="678"/>
      <c r="L101" s="702">
        <f t="shared" si="52"/>
        <v>0</v>
      </c>
      <c r="M101" s="678"/>
      <c r="N101" s="702">
        <f t="shared" si="53"/>
        <v>0</v>
      </c>
      <c r="O101" s="678"/>
      <c r="P101" s="702">
        <f t="shared" si="54"/>
        <v>0</v>
      </c>
      <c r="Q101" s="678"/>
      <c r="R101" s="702">
        <f t="shared" si="55"/>
        <v>0</v>
      </c>
      <c r="S101" s="678"/>
      <c r="T101" s="702">
        <f t="shared" si="56"/>
        <v>0</v>
      </c>
      <c r="U101" s="678"/>
      <c r="V101" s="702">
        <f t="shared" si="57"/>
        <v>0</v>
      </c>
      <c r="W101" s="678"/>
      <c r="X101" s="702">
        <f t="shared" si="58"/>
        <v>0</v>
      </c>
      <c r="Y101" s="678"/>
      <c r="Z101" s="702">
        <f t="shared" si="59"/>
        <v>0</v>
      </c>
      <c r="AA101" s="144">
        <f t="shared" si="60"/>
        <v>0</v>
      </c>
      <c r="AB101" s="226">
        <f>AA101/AA$12</f>
        <v>0</v>
      </c>
      <c r="AC101" s="128">
        <f t="shared" si="41"/>
        <v>0</v>
      </c>
      <c r="AD101" s="226">
        <f>AC101/AC$12</f>
        <v>0</v>
      </c>
      <c r="AE101" s="579"/>
      <c r="AF101" s="579"/>
      <c r="AG101" s="579"/>
    </row>
    <row r="102" spans="1:33" s="1" customFormat="1">
      <c r="A102" s="2">
        <v>6309</v>
      </c>
      <c r="B102" s="2" t="s">
        <v>152</v>
      </c>
      <c r="C102" s="678">
        <v>3180</v>
      </c>
      <c r="D102" s="702">
        <f>C102/C$12</f>
        <v>7.3953789346817098E-3</v>
      </c>
      <c r="E102" s="678">
        <v>3180</v>
      </c>
      <c r="F102" s="702">
        <f>E102/E$12</f>
        <v>9.5056105525780539E-3</v>
      </c>
      <c r="G102" s="678">
        <v>1590</v>
      </c>
      <c r="H102" s="702">
        <f>G102/G$12</f>
        <v>2.8652456431550199E-3</v>
      </c>
      <c r="I102" s="678">
        <v>1590</v>
      </c>
      <c r="J102" s="702">
        <f>I102/I$12</f>
        <v>3.2449198745187146E-3</v>
      </c>
      <c r="K102" s="678">
        <v>3180</v>
      </c>
      <c r="L102" s="702">
        <f>K102/K$12</f>
        <v>7.0958085213912482E-3</v>
      </c>
      <c r="M102" s="678">
        <v>1590</v>
      </c>
      <c r="N102" s="702">
        <f>M102/M$12</f>
        <v>2.5020725687187745E-3</v>
      </c>
      <c r="O102" s="678">
        <v>1590</v>
      </c>
      <c r="P102" s="702">
        <f>O102/O$12</f>
        <v>3.9520312573435579E-3</v>
      </c>
      <c r="Q102" s="678">
        <v>1590</v>
      </c>
      <c r="R102" s="702">
        <f>Q102/Q$12</f>
        <v>3.1826584598317856E-3</v>
      </c>
      <c r="S102" s="678">
        <v>3180</v>
      </c>
      <c r="T102" s="702">
        <f>S102/S$12</f>
        <v>6.3186895667658241E-3</v>
      </c>
      <c r="U102" s="678">
        <v>3180</v>
      </c>
      <c r="V102" s="702">
        <f>U102/U$12</f>
        <v>7.9660080113227692E-3</v>
      </c>
      <c r="W102" s="678">
        <v>1590</v>
      </c>
      <c r="X102" s="702">
        <f>W102/W$12</f>
        <v>3.9147252111123177E-3</v>
      </c>
      <c r="Y102" s="678">
        <v>1590</v>
      </c>
      <c r="Z102" s="702">
        <f>Y102/Y$12</f>
        <v>2.5913946137615701E-3</v>
      </c>
      <c r="AA102" s="144">
        <f t="shared" si="60"/>
        <v>27030</v>
      </c>
      <c r="AB102" s="226">
        <f>AA102/AA$12</f>
        <v>4.7278506095000637E-3</v>
      </c>
      <c r="AC102" s="128">
        <f t="shared" si="41"/>
        <v>2252.5</v>
      </c>
      <c r="AD102" s="226">
        <f>AC102/AC$12</f>
        <v>4.7278506095000637E-3</v>
      </c>
      <c r="AE102" s="579"/>
      <c r="AF102" s="579"/>
      <c r="AG102" s="579"/>
    </row>
    <row r="103" spans="1:33" s="1" customFormat="1">
      <c r="A103" s="2">
        <v>6310</v>
      </c>
      <c r="B103" s="2" t="s">
        <v>153</v>
      </c>
      <c r="C103" s="678">
        <v>1000</v>
      </c>
      <c r="D103" s="702">
        <f t="shared" ref="D103:D114" si="63">C103/C$12</f>
        <v>2.3255908599628017E-3</v>
      </c>
      <c r="E103" s="678">
        <v>650</v>
      </c>
      <c r="F103" s="702">
        <f t="shared" ref="F103:F114" si="64">E103/E$12</f>
        <v>1.942970710432621E-3</v>
      </c>
      <c r="H103" s="702">
        <f t="shared" ref="H103:H114" si="65">G103/G$12</f>
        <v>0</v>
      </c>
      <c r="I103" s="678">
        <v>1700</v>
      </c>
      <c r="J103" s="702">
        <f t="shared" ref="J103:J114" si="66">I103/I$12</f>
        <v>3.4694111865923366E-3</v>
      </c>
      <c r="K103" s="678">
        <v>5000</v>
      </c>
      <c r="L103" s="702">
        <f t="shared" ref="L103:L114" si="67">K103/K$12</f>
        <v>1.1156931637407623E-2</v>
      </c>
      <c r="M103" s="33"/>
      <c r="N103" s="702">
        <f t="shared" ref="N103:P114" si="68">M103/M$12</f>
        <v>0</v>
      </c>
      <c r="O103" s="33">
        <v>2500</v>
      </c>
      <c r="P103" s="702">
        <f t="shared" ref="P103:P114" si="69">O103/O$12</f>
        <v>6.2138856247540208E-3</v>
      </c>
      <c r="Q103" s="678">
        <v>3000</v>
      </c>
      <c r="R103" s="702">
        <f t="shared" ref="R103:R114" si="70">Q103/Q$12</f>
        <v>6.0050159619467651E-3</v>
      </c>
      <c r="S103" s="678">
        <f>1550+50</f>
        <v>1600</v>
      </c>
      <c r="T103" s="702">
        <f t="shared" ref="T103:T114" si="71">S103/S$12</f>
        <v>3.1792148763601629E-3</v>
      </c>
      <c r="U103" s="678">
        <v>5000</v>
      </c>
      <c r="V103" s="702">
        <f t="shared" ref="V103:V114" si="72">U103/U$12</f>
        <v>1.2525169829123852E-2</v>
      </c>
      <c r="W103" s="678">
        <v>2000</v>
      </c>
      <c r="X103" s="702">
        <f t="shared" ref="X103:X114" si="73">W103/W$12</f>
        <v>4.9241826554871923E-3</v>
      </c>
      <c r="Y103" s="678">
        <v>2000</v>
      </c>
      <c r="Z103" s="702">
        <f t="shared" ref="Z103:Z114" si="74">Y103/Y$12</f>
        <v>3.2596158663667548E-3</v>
      </c>
      <c r="AA103" s="144">
        <f t="shared" si="60"/>
        <v>24450</v>
      </c>
      <c r="AB103" s="226">
        <f t="shared" ref="AB103:AB114" si="75">AA103/AA$12</f>
        <v>4.2765796301249192E-3</v>
      </c>
      <c r="AC103" s="128">
        <f t="shared" si="41"/>
        <v>2037.5</v>
      </c>
      <c r="AD103" s="226">
        <f t="shared" ref="AD103:AD114" si="76">AC103/AC$12</f>
        <v>4.2765796301249184E-3</v>
      </c>
      <c r="AE103" s="393"/>
      <c r="AF103" s="393"/>
      <c r="AG103" s="393"/>
    </row>
    <row r="104" spans="1:33" s="1" customFormat="1">
      <c r="A104" s="2">
        <v>6311</v>
      </c>
      <c r="B104" s="2" t="s">
        <v>154</v>
      </c>
      <c r="C104" s="678">
        <v>7897.9348795826736</v>
      </c>
      <c r="D104" s="702">
        <f t="shared" si="63"/>
        <v>1.8367365168538877E-2</v>
      </c>
      <c r="E104" s="678"/>
      <c r="F104" s="702">
        <f t="shared" si="64"/>
        <v>0</v>
      </c>
      <c r="G104" s="678"/>
      <c r="H104" s="702">
        <f t="shared" si="65"/>
        <v>0</v>
      </c>
      <c r="I104" s="678"/>
      <c r="J104" s="702">
        <f t="shared" si="66"/>
        <v>0</v>
      </c>
      <c r="K104" s="678"/>
      <c r="L104" s="702">
        <f t="shared" si="67"/>
        <v>0</v>
      </c>
      <c r="M104" s="678"/>
      <c r="N104" s="702">
        <f t="shared" si="68"/>
        <v>0</v>
      </c>
      <c r="O104" s="678"/>
      <c r="P104" s="702">
        <f t="shared" si="69"/>
        <v>0</v>
      </c>
      <c r="Q104" s="678"/>
      <c r="R104" s="702">
        <f t="shared" si="70"/>
        <v>0</v>
      </c>
      <c r="S104" s="678"/>
      <c r="T104" s="702">
        <f t="shared" si="71"/>
        <v>0</v>
      </c>
      <c r="U104" s="678"/>
      <c r="V104" s="702">
        <f t="shared" si="72"/>
        <v>0</v>
      </c>
      <c r="W104" s="678"/>
      <c r="X104" s="702">
        <f t="shared" si="73"/>
        <v>0</v>
      </c>
      <c r="Y104" s="678"/>
      <c r="Z104" s="702">
        <f t="shared" si="74"/>
        <v>0</v>
      </c>
      <c r="AA104" s="144">
        <f t="shared" si="60"/>
        <v>7897.9348795826736</v>
      </c>
      <c r="AB104" s="226">
        <f t="shared" si="75"/>
        <v>1.3814375225389107E-3</v>
      </c>
      <c r="AC104" s="128">
        <f t="shared" si="41"/>
        <v>658.16123996522276</v>
      </c>
      <c r="AD104" s="226">
        <f t="shared" si="76"/>
        <v>1.3814375225389105E-3</v>
      </c>
      <c r="AE104" s="579"/>
      <c r="AF104" s="579"/>
      <c r="AG104" s="579"/>
    </row>
    <row r="105" spans="1:33" s="1" customFormat="1">
      <c r="A105" s="2">
        <v>6312</v>
      </c>
      <c r="B105" s="2" t="s">
        <v>155</v>
      </c>
      <c r="C105" s="678"/>
      <c r="D105" s="702">
        <f t="shared" si="63"/>
        <v>0</v>
      </c>
      <c r="E105" s="678"/>
      <c r="F105" s="702">
        <f t="shared" si="64"/>
        <v>0</v>
      </c>
      <c r="G105" s="678"/>
      <c r="H105" s="702">
        <f t="shared" si="65"/>
        <v>0</v>
      </c>
      <c r="I105" s="678"/>
      <c r="J105" s="702">
        <f t="shared" si="66"/>
        <v>0</v>
      </c>
      <c r="K105" s="678"/>
      <c r="L105" s="702">
        <f t="shared" si="67"/>
        <v>0</v>
      </c>
      <c r="M105" s="678"/>
      <c r="N105" s="702">
        <f t="shared" si="68"/>
        <v>0</v>
      </c>
      <c r="O105" s="678"/>
      <c r="P105" s="702">
        <f t="shared" si="69"/>
        <v>0</v>
      </c>
      <c r="Q105" s="678"/>
      <c r="R105" s="702">
        <f t="shared" si="70"/>
        <v>0</v>
      </c>
      <c r="S105" s="678"/>
      <c r="T105" s="702">
        <f t="shared" si="71"/>
        <v>0</v>
      </c>
      <c r="U105" s="678"/>
      <c r="V105" s="702">
        <f t="shared" si="72"/>
        <v>0</v>
      </c>
      <c r="W105" s="678"/>
      <c r="X105" s="702">
        <f t="shared" si="73"/>
        <v>0</v>
      </c>
      <c r="Y105" s="678"/>
      <c r="Z105" s="702">
        <f t="shared" si="74"/>
        <v>0</v>
      </c>
      <c r="AA105" s="144">
        <f t="shared" si="60"/>
        <v>0</v>
      </c>
      <c r="AB105" s="226">
        <f t="shared" si="75"/>
        <v>0</v>
      </c>
      <c r="AC105" s="128">
        <f t="shared" si="41"/>
        <v>0</v>
      </c>
      <c r="AD105" s="226">
        <f t="shared" si="76"/>
        <v>0</v>
      </c>
      <c r="AE105" s="579"/>
      <c r="AF105" s="579"/>
      <c r="AG105" s="579"/>
    </row>
    <row r="106" spans="1:33" s="1" customFormat="1">
      <c r="A106" s="2">
        <v>6313</v>
      </c>
      <c r="B106" s="2" t="s">
        <v>156</v>
      </c>
      <c r="C106" s="753"/>
      <c r="D106" s="702">
        <f t="shared" si="63"/>
        <v>0</v>
      </c>
      <c r="E106" s="753"/>
      <c r="F106" s="702">
        <f t="shared" si="64"/>
        <v>0</v>
      </c>
      <c r="G106" s="753">
        <f>(27272.7272727273/0.985)/12</f>
        <v>2307.3373327180457</v>
      </c>
      <c r="H106" s="702">
        <f t="shared" si="65"/>
        <v>4.1579171319869844E-3</v>
      </c>
      <c r="I106" s="753"/>
      <c r="J106" s="702">
        <f t="shared" si="66"/>
        <v>0</v>
      </c>
      <c r="K106" s="753">
        <f>(27272.7272727273/0.985)/12</f>
        <v>2307.3373327180457</v>
      </c>
      <c r="L106" s="702">
        <f t="shared" si="67"/>
        <v>5.1485609771147363E-3</v>
      </c>
      <c r="M106" s="753"/>
      <c r="N106" s="702">
        <f t="shared" si="68"/>
        <v>0</v>
      </c>
      <c r="O106" s="753"/>
      <c r="P106" s="702">
        <f t="shared" si="68"/>
        <v>0</v>
      </c>
      <c r="Q106" s="753">
        <f>(27272.7272727273/0.985)/12</f>
        <v>2307.3373327180457</v>
      </c>
      <c r="R106" s="702">
        <f t="shared" si="70"/>
        <v>4.618532504189179E-3</v>
      </c>
      <c r="S106" s="753"/>
      <c r="T106" s="702">
        <f t="shared" si="71"/>
        <v>0</v>
      </c>
      <c r="U106" s="753"/>
      <c r="V106" s="702">
        <f t="shared" si="72"/>
        <v>0</v>
      </c>
      <c r="W106" s="753"/>
      <c r="X106" s="702">
        <f t="shared" si="73"/>
        <v>0</v>
      </c>
      <c r="Y106" s="753">
        <f>(27272.7272727273/0.985)/12</f>
        <v>2307.3373327180457</v>
      </c>
      <c r="Z106" s="702">
        <f t="shared" si="74"/>
        <v>3.7605166893940447E-3</v>
      </c>
      <c r="AA106" s="144">
        <f t="shared" si="60"/>
        <v>9229.3493308721827</v>
      </c>
      <c r="AB106" s="226">
        <f t="shared" si="75"/>
        <v>1.6143168649372199E-3</v>
      </c>
      <c r="AC106" s="128">
        <f t="shared" si="41"/>
        <v>769.11244423934852</v>
      </c>
      <c r="AD106" s="226">
        <f t="shared" si="76"/>
        <v>1.6143168649372197E-3</v>
      </c>
      <c r="AE106" s="579"/>
      <c r="AF106" s="579"/>
      <c r="AG106" s="579"/>
    </row>
    <row r="107" spans="1:33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63"/>
        <v>2.9069885749535024E-2</v>
      </c>
      <c r="E107" s="678">
        <f>(206850/12)/0.985</f>
        <v>17500</v>
      </c>
      <c r="F107" s="702">
        <f t="shared" si="64"/>
        <v>5.2310749896262873E-2</v>
      </c>
      <c r="G107" s="678">
        <f>(159570/12)/0.985</f>
        <v>13500</v>
      </c>
      <c r="H107" s="702">
        <f t="shared" si="65"/>
        <v>2.4327557347542623E-2</v>
      </c>
      <c r="I107" s="678">
        <f>(159570/12)/0.985</f>
        <v>13500</v>
      </c>
      <c r="J107" s="702">
        <f t="shared" si="66"/>
        <v>2.7551206481762673E-2</v>
      </c>
      <c r="K107" s="678">
        <f>(206850/12)/0.985</f>
        <v>17500</v>
      </c>
      <c r="L107" s="702">
        <f t="shared" si="67"/>
        <v>3.9049260730926683E-2</v>
      </c>
      <c r="M107" s="678">
        <f>(159570/12)/0.985</f>
        <v>13500</v>
      </c>
      <c r="N107" s="702">
        <f t="shared" si="68"/>
        <v>2.1244012375914122E-2</v>
      </c>
      <c r="O107" s="678">
        <f>(159570/12)/0.985</f>
        <v>13500</v>
      </c>
      <c r="P107" s="702">
        <f t="shared" si="68"/>
        <v>3.3554982373671716E-2</v>
      </c>
      <c r="Q107" s="678">
        <f>(206850/12)/0.985</f>
        <v>17500</v>
      </c>
      <c r="R107" s="702">
        <f t="shared" si="70"/>
        <v>3.5029259778022792E-2</v>
      </c>
      <c r="S107" s="678">
        <f>(159570/12)/0.985</f>
        <v>13500</v>
      </c>
      <c r="T107" s="702">
        <f t="shared" si="71"/>
        <v>2.6824625519288874E-2</v>
      </c>
      <c r="U107" s="678">
        <f>(159570/12)/0.985</f>
        <v>13500</v>
      </c>
      <c r="V107" s="702">
        <f t="shared" si="72"/>
        <v>3.3817958538634403E-2</v>
      </c>
      <c r="W107" s="678">
        <f>(206850/12)/0.985</f>
        <v>17500</v>
      </c>
      <c r="X107" s="702">
        <f t="shared" si="73"/>
        <v>4.3086598235512932E-2</v>
      </c>
      <c r="Y107" s="678">
        <f>(159570/12)/0.985</f>
        <v>13500</v>
      </c>
      <c r="Z107" s="702">
        <f t="shared" si="74"/>
        <v>2.2002407097975595E-2</v>
      </c>
      <c r="AA107" s="144">
        <f t="shared" si="60"/>
        <v>177000</v>
      </c>
      <c r="AB107" s="226">
        <f t="shared" si="75"/>
        <v>3.0959288119922726E-2</v>
      </c>
      <c r="AC107" s="128">
        <f t="shared" si="41"/>
        <v>14750</v>
      </c>
      <c r="AD107" s="226">
        <f t="shared" si="76"/>
        <v>3.0959288119922723E-2</v>
      </c>
      <c r="AE107" s="579"/>
      <c r="AF107" s="579"/>
      <c r="AG107" s="579"/>
    </row>
    <row r="108" spans="1:33" s="1" customFormat="1">
      <c r="A108" s="2">
        <v>6315</v>
      </c>
      <c r="B108" s="2" t="s">
        <v>323</v>
      </c>
      <c r="C108" s="678"/>
      <c r="D108" s="702">
        <f t="shared" si="63"/>
        <v>0</v>
      </c>
      <c r="E108" s="678">
        <v>2194</v>
      </c>
      <c r="F108" s="702">
        <f t="shared" si="64"/>
        <v>6.5582734441371852E-3</v>
      </c>
      <c r="G108" s="678">
        <v>2944</v>
      </c>
      <c r="H108" s="702">
        <f t="shared" si="65"/>
        <v>5.3052095430492947E-3</v>
      </c>
      <c r="I108" s="678">
        <v>2194</v>
      </c>
      <c r="J108" s="702">
        <f t="shared" si="66"/>
        <v>4.4775812608138744E-3</v>
      </c>
      <c r="K108" s="678">
        <v>750</v>
      </c>
      <c r="L108" s="702">
        <f t="shared" si="67"/>
        <v>1.6735397456111435E-3</v>
      </c>
      <c r="M108" s="678"/>
      <c r="N108" s="702">
        <f t="shared" si="68"/>
        <v>0</v>
      </c>
      <c r="O108" s="678">
        <v>500</v>
      </c>
      <c r="P108" s="702">
        <f t="shared" si="69"/>
        <v>1.2427771249508043E-3</v>
      </c>
      <c r="Q108" s="678">
        <v>750</v>
      </c>
      <c r="R108" s="702">
        <f t="shared" si="70"/>
        <v>1.5012539904866913E-3</v>
      </c>
      <c r="S108" s="678"/>
      <c r="T108" s="702">
        <f t="shared" si="71"/>
        <v>0</v>
      </c>
      <c r="U108" s="678">
        <v>500</v>
      </c>
      <c r="V108" s="702">
        <f t="shared" si="72"/>
        <v>1.2525169829123851E-3</v>
      </c>
      <c r="W108" s="678"/>
      <c r="X108" s="702">
        <f t="shared" si="73"/>
        <v>0</v>
      </c>
      <c r="Y108" s="678">
        <v>750</v>
      </c>
      <c r="Z108" s="702">
        <f t="shared" si="74"/>
        <v>1.2223559498875331E-3</v>
      </c>
      <c r="AA108" s="144">
        <f t="shared" si="60"/>
        <v>10582</v>
      </c>
      <c r="AB108" s="226">
        <f t="shared" si="75"/>
        <v>1.8509106603673575E-3</v>
      </c>
      <c r="AC108" s="128">
        <f t="shared" si="41"/>
        <v>881.83333333333337</v>
      </c>
      <c r="AD108" s="226">
        <f t="shared" si="76"/>
        <v>1.8509106603673575E-3</v>
      </c>
      <c r="AE108" s="579"/>
      <c r="AF108" s="579"/>
      <c r="AG108" s="579"/>
    </row>
    <row r="109" spans="1:33" s="1" customFormat="1">
      <c r="A109" s="2">
        <v>6316</v>
      </c>
      <c r="B109" s="2" t="s">
        <v>324</v>
      </c>
      <c r="C109" s="678"/>
      <c r="D109" s="702">
        <f t="shared" si="63"/>
        <v>0</v>
      </c>
      <c r="E109" s="678">
        <v>6347.2222222222226</v>
      </c>
      <c r="F109" s="702">
        <f t="shared" si="64"/>
        <v>1.89730259544382E-2</v>
      </c>
      <c r="G109" s="678"/>
      <c r="H109" s="702">
        <f t="shared" si="65"/>
        <v>0</v>
      </c>
      <c r="I109" s="678"/>
      <c r="J109" s="702">
        <f t="shared" si="66"/>
        <v>0</v>
      </c>
      <c r="K109" s="678">
        <v>2500</v>
      </c>
      <c r="L109" s="702">
        <f t="shared" si="67"/>
        <v>5.5784658187038117E-3</v>
      </c>
      <c r="M109" s="678">
        <v>1900</v>
      </c>
      <c r="N109" s="702">
        <f t="shared" si="68"/>
        <v>2.989898038091617E-3</v>
      </c>
      <c r="O109" s="678"/>
      <c r="P109" s="702">
        <f t="shared" si="69"/>
        <v>0</v>
      </c>
      <c r="Q109" s="678">
        <v>7747.2222222222226</v>
      </c>
      <c r="R109" s="702">
        <f t="shared" si="70"/>
        <v>1.5507397701731044E-2</v>
      </c>
      <c r="S109" s="678">
        <v>1900</v>
      </c>
      <c r="T109" s="702">
        <f t="shared" si="71"/>
        <v>3.7753176656776933E-3</v>
      </c>
      <c r="U109" s="678">
        <v>4000</v>
      </c>
      <c r="V109" s="702">
        <f t="shared" si="72"/>
        <v>1.0020135863299081E-2</v>
      </c>
      <c r="W109" s="678"/>
      <c r="X109" s="702">
        <f t="shared" si="73"/>
        <v>0</v>
      </c>
      <c r="Y109" s="678"/>
      <c r="Z109" s="702">
        <f t="shared" si="74"/>
        <v>0</v>
      </c>
      <c r="AA109" s="144">
        <f t="shared" si="60"/>
        <v>24394.444444444445</v>
      </c>
      <c r="AB109" s="226">
        <f t="shared" si="75"/>
        <v>4.2668623394406992E-3</v>
      </c>
      <c r="AC109" s="128">
        <f t="shared" si="41"/>
        <v>2032.8703703703704</v>
      </c>
      <c r="AD109" s="226">
        <f t="shared" si="76"/>
        <v>4.2668623394406992E-3</v>
      </c>
      <c r="AE109" s="579"/>
      <c r="AF109" s="579"/>
      <c r="AG109" s="579"/>
    </row>
    <row r="110" spans="1:33" s="1" customFormat="1">
      <c r="A110" s="2">
        <v>6317</v>
      </c>
      <c r="B110" s="2" t="s">
        <v>325</v>
      </c>
      <c r="C110" s="678"/>
      <c r="D110" s="702">
        <f t="shared" si="63"/>
        <v>0</v>
      </c>
      <c r="E110" s="678">
        <v>575</v>
      </c>
      <c r="F110" s="702">
        <f t="shared" si="64"/>
        <v>1.71878178230578E-3</v>
      </c>
      <c r="G110" s="678"/>
      <c r="H110" s="702">
        <f t="shared" si="65"/>
        <v>0</v>
      </c>
      <c r="I110" s="678">
        <v>12610</v>
      </c>
      <c r="J110" s="702">
        <f t="shared" si="66"/>
        <v>2.5734867684076096E-2</v>
      </c>
      <c r="K110" s="678">
        <v>875</v>
      </c>
      <c r="L110" s="702">
        <f t="shared" si="67"/>
        <v>1.9524630365463341E-3</v>
      </c>
      <c r="M110" s="678"/>
      <c r="N110" s="702">
        <f t="shared" si="68"/>
        <v>0</v>
      </c>
      <c r="O110" s="678"/>
      <c r="P110" s="702">
        <f t="shared" si="69"/>
        <v>0</v>
      </c>
      <c r="Q110" s="678">
        <v>8037</v>
      </c>
      <c r="R110" s="702">
        <f t="shared" si="70"/>
        <v>1.6087437762055384E-2</v>
      </c>
      <c r="S110" s="678"/>
      <c r="T110" s="702">
        <f t="shared" si="71"/>
        <v>0</v>
      </c>
      <c r="U110" s="678">
        <v>575</v>
      </c>
      <c r="V110" s="702">
        <f t="shared" si="72"/>
        <v>1.440394530349243E-3</v>
      </c>
      <c r="W110" s="678"/>
      <c r="X110" s="702">
        <f t="shared" si="73"/>
        <v>0</v>
      </c>
      <c r="Y110" s="678"/>
      <c r="Z110" s="702">
        <f t="shared" si="74"/>
        <v>0</v>
      </c>
      <c r="AA110" s="144">
        <f t="shared" si="60"/>
        <v>22672</v>
      </c>
      <c r="AB110" s="226">
        <f t="shared" si="75"/>
        <v>3.9655874590671641E-3</v>
      </c>
      <c r="AC110" s="128">
        <f t="shared" si="41"/>
        <v>1889.3333333333333</v>
      </c>
      <c r="AD110" s="226">
        <f t="shared" si="76"/>
        <v>3.9655874590671641E-3</v>
      </c>
      <c r="AE110" s="579"/>
      <c r="AF110" s="579"/>
      <c r="AG110" s="579"/>
    </row>
    <row r="111" spans="1:33" s="1" customFormat="1">
      <c r="A111" s="2">
        <v>6318</v>
      </c>
      <c r="B111" s="2" t="s">
        <v>326</v>
      </c>
      <c r="C111" s="678">
        <f>(6660/12)</f>
        <v>555</v>
      </c>
      <c r="D111" s="702">
        <f t="shared" si="63"/>
        <v>1.290702927279355E-3</v>
      </c>
      <c r="E111" s="678">
        <f>(6660/12)</f>
        <v>555</v>
      </c>
      <c r="F111" s="702">
        <f t="shared" si="64"/>
        <v>1.6589980681386224E-3</v>
      </c>
      <c r="G111" s="678">
        <f>(6660/12)</f>
        <v>555</v>
      </c>
      <c r="H111" s="702">
        <f t="shared" si="65"/>
        <v>1.0001329131767522E-3</v>
      </c>
      <c r="I111" s="678">
        <f>(6660/12)</f>
        <v>555</v>
      </c>
      <c r="J111" s="702">
        <f t="shared" si="66"/>
        <v>1.1326607109169099E-3</v>
      </c>
      <c r="K111" s="678">
        <f>(6660/12)</f>
        <v>555</v>
      </c>
      <c r="L111" s="702">
        <f t="shared" si="67"/>
        <v>1.2384194117522462E-3</v>
      </c>
      <c r="M111" s="678">
        <f>(6660/12)</f>
        <v>555</v>
      </c>
      <c r="N111" s="702">
        <f t="shared" si="68"/>
        <v>8.7336495323202506E-4</v>
      </c>
      <c r="O111" s="678">
        <f>(6660/12)</f>
        <v>555</v>
      </c>
      <c r="P111" s="702">
        <f t="shared" si="68"/>
        <v>1.3794826086953927E-3</v>
      </c>
      <c r="Q111" s="678">
        <f>(6660/12)</f>
        <v>555</v>
      </c>
      <c r="R111" s="702">
        <f t="shared" si="70"/>
        <v>1.1109279529601516E-3</v>
      </c>
      <c r="S111" s="678">
        <f>(6660/12)</f>
        <v>555</v>
      </c>
      <c r="T111" s="702">
        <f t="shared" si="71"/>
        <v>1.1027901602374316E-3</v>
      </c>
      <c r="U111" s="678">
        <f>(6660/12)</f>
        <v>555</v>
      </c>
      <c r="V111" s="702">
        <f t="shared" si="72"/>
        <v>1.3902938510327477E-3</v>
      </c>
      <c r="W111" s="678">
        <f>(6660/12)</f>
        <v>555</v>
      </c>
      <c r="X111" s="702">
        <f t="shared" si="73"/>
        <v>1.3664606868976957E-3</v>
      </c>
      <c r="Y111" s="678">
        <f>(6660/12)</f>
        <v>555</v>
      </c>
      <c r="Z111" s="702">
        <f t="shared" si="74"/>
        <v>9.0454340291677444E-4</v>
      </c>
      <c r="AA111" s="144">
        <f t="shared" si="60"/>
        <v>6660</v>
      </c>
      <c r="AB111" s="226">
        <f t="shared" si="75"/>
        <v>1.164908807224211E-3</v>
      </c>
      <c r="AC111" s="128">
        <f t="shared" si="41"/>
        <v>555</v>
      </c>
      <c r="AD111" s="226">
        <f t="shared" si="76"/>
        <v>1.164908807224211E-3</v>
      </c>
      <c r="AE111" s="579"/>
      <c r="AF111" s="579"/>
      <c r="AG111" s="579"/>
    </row>
    <row r="112" spans="1:33" s="1" customFormat="1">
      <c r="A112" s="2">
        <v>6319</v>
      </c>
      <c r="B112" s="2" t="s">
        <v>327</v>
      </c>
      <c r="C112" s="678"/>
      <c r="D112" s="702">
        <f t="shared" si="63"/>
        <v>0</v>
      </c>
      <c r="E112" s="678">
        <f>(43504.1666666667/12)/0.985</f>
        <v>3680.5555555555584</v>
      </c>
      <c r="F112" s="702">
        <f t="shared" si="64"/>
        <v>1.1001864065483867E-2</v>
      </c>
      <c r="G112" s="678">
        <f>(43504.1666666667/12)/0.985</f>
        <v>3680.5555555555584</v>
      </c>
      <c r="H112" s="702">
        <f t="shared" si="65"/>
        <v>6.6325130628588479E-3</v>
      </c>
      <c r="I112" s="678">
        <f>(43504.1666666667/12)/0.985</f>
        <v>3680.5555555555584</v>
      </c>
      <c r="J112" s="702">
        <f t="shared" si="66"/>
        <v>7.5113885984229561E-3</v>
      </c>
      <c r="K112" s="678">
        <f>(43504.1666666667/12)/0.985</f>
        <v>3680.5555555555584</v>
      </c>
      <c r="L112" s="702">
        <f t="shared" si="67"/>
        <v>8.2127413442028407E-3</v>
      </c>
      <c r="M112" s="678"/>
      <c r="N112" s="702">
        <f t="shared" si="68"/>
        <v>0</v>
      </c>
      <c r="O112" s="678">
        <f>(43504.1666666667/12)/0.985</f>
        <v>3680.5555555555584</v>
      </c>
      <c r="P112" s="702">
        <f t="shared" si="68"/>
        <v>9.1482205031100938E-3</v>
      </c>
      <c r="Q112" s="678">
        <f>(43504.1666666667/12)/0.985</f>
        <v>3680.5555555555584</v>
      </c>
      <c r="R112" s="702">
        <f t="shared" si="70"/>
        <v>7.3672649533143234E-3</v>
      </c>
      <c r="S112" s="678">
        <f>(43504.1666666667/12)/0.985</f>
        <v>3680.5555555555584</v>
      </c>
      <c r="T112" s="702">
        <f t="shared" si="71"/>
        <v>7.313298109682672E-3</v>
      </c>
      <c r="U112" s="678">
        <f>(43504.1666666667/12)/0.985</f>
        <v>3680.5555555555584</v>
      </c>
      <c r="V112" s="702">
        <f t="shared" si="72"/>
        <v>9.2199166797717318E-3</v>
      </c>
      <c r="W112" s="678">
        <f>(43504.1666666667/12)/0.985</f>
        <v>3680.5555555555584</v>
      </c>
      <c r="X112" s="702">
        <f t="shared" si="73"/>
        <v>9.0618639146118531E-3</v>
      </c>
      <c r="Y112" s="678">
        <f>(43504.1666666667/12)/0.985</f>
        <v>3680.5555555555584</v>
      </c>
      <c r="Z112" s="702">
        <f t="shared" si="74"/>
        <v>5.9985986429666018E-3</v>
      </c>
      <c r="AA112" s="144">
        <f t="shared" si="60"/>
        <v>36805.555555555591</v>
      </c>
      <c r="AB112" s="226">
        <f t="shared" si="75"/>
        <v>6.4377050782953001E-3</v>
      </c>
      <c r="AC112" s="128">
        <f t="shared" si="41"/>
        <v>3067.1296296296327</v>
      </c>
      <c r="AD112" s="226">
        <f t="shared" si="76"/>
        <v>6.4377050782953001E-3</v>
      </c>
      <c r="AE112" s="579"/>
      <c r="AF112" s="579"/>
      <c r="AG112" s="579"/>
    </row>
    <row r="113" spans="1:33" s="1" customFormat="1">
      <c r="A113" s="2">
        <v>6320</v>
      </c>
      <c r="B113" s="2" t="s">
        <v>328</v>
      </c>
      <c r="C113" s="678"/>
      <c r="D113" s="702">
        <f t="shared" si="63"/>
        <v>0</v>
      </c>
      <c r="E113" s="678"/>
      <c r="F113" s="702">
        <f t="shared" si="64"/>
        <v>0</v>
      </c>
      <c r="G113" s="678"/>
      <c r="H113" s="702">
        <f t="shared" si="65"/>
        <v>0</v>
      </c>
      <c r="I113" s="678"/>
      <c r="J113" s="702">
        <f t="shared" si="66"/>
        <v>0</v>
      </c>
      <c r="K113" s="678"/>
      <c r="L113" s="702">
        <f t="shared" si="67"/>
        <v>0</v>
      </c>
      <c r="M113" s="678"/>
      <c r="N113" s="702">
        <f t="shared" si="68"/>
        <v>0</v>
      </c>
      <c r="O113" s="678"/>
      <c r="P113" s="702">
        <f t="shared" si="69"/>
        <v>0</v>
      </c>
      <c r="Q113" s="678"/>
      <c r="R113" s="702">
        <f t="shared" si="70"/>
        <v>0</v>
      </c>
      <c r="S113" s="678"/>
      <c r="T113" s="702">
        <f t="shared" si="71"/>
        <v>0</v>
      </c>
      <c r="U113" s="678"/>
      <c r="V113" s="702">
        <f t="shared" si="72"/>
        <v>0</v>
      </c>
      <c r="W113" s="678"/>
      <c r="X113" s="702">
        <f t="shared" si="73"/>
        <v>0</v>
      </c>
      <c r="Y113" s="678"/>
      <c r="Z113" s="702">
        <f t="shared" si="74"/>
        <v>0</v>
      </c>
      <c r="AA113" s="144">
        <f t="shared" si="60"/>
        <v>0</v>
      </c>
      <c r="AB113" s="226">
        <f t="shared" si="75"/>
        <v>0</v>
      </c>
      <c r="AC113" s="128">
        <f t="shared" si="41"/>
        <v>0</v>
      </c>
      <c r="AD113" s="226">
        <f t="shared" si="76"/>
        <v>0</v>
      </c>
      <c r="AE113" s="579"/>
      <c r="AF113" s="579"/>
      <c r="AG113" s="579"/>
    </row>
    <row r="114" spans="1:33" s="1" customFormat="1">
      <c r="A114" s="2">
        <v>6321</v>
      </c>
      <c r="B114" s="2" t="s">
        <v>329</v>
      </c>
      <c r="C114" s="754"/>
      <c r="D114" s="684">
        <f t="shared" si="63"/>
        <v>0</v>
      </c>
      <c r="E114" s="754"/>
      <c r="F114" s="684">
        <f t="shared" si="64"/>
        <v>0</v>
      </c>
      <c r="G114" s="754"/>
      <c r="H114" s="684">
        <f t="shared" si="65"/>
        <v>0</v>
      </c>
      <c r="I114" s="754"/>
      <c r="J114" s="684">
        <f t="shared" si="66"/>
        <v>0</v>
      </c>
      <c r="K114" s="754"/>
      <c r="L114" s="684">
        <f t="shared" si="67"/>
        <v>0</v>
      </c>
      <c r="M114" s="754"/>
      <c r="N114" s="684">
        <f t="shared" si="68"/>
        <v>0</v>
      </c>
      <c r="O114" s="754"/>
      <c r="P114" s="684">
        <f t="shared" si="69"/>
        <v>0</v>
      </c>
      <c r="Q114" s="754"/>
      <c r="R114" s="684">
        <f t="shared" si="70"/>
        <v>0</v>
      </c>
      <c r="S114" s="754"/>
      <c r="T114" s="684">
        <f t="shared" si="71"/>
        <v>0</v>
      </c>
      <c r="U114" s="754"/>
      <c r="V114" s="684">
        <f t="shared" si="72"/>
        <v>0</v>
      </c>
      <c r="W114" s="754">
        <f>100000/12</f>
        <v>8333.3333333333339</v>
      </c>
      <c r="X114" s="684">
        <f t="shared" si="73"/>
        <v>2.0517427731196636E-2</v>
      </c>
      <c r="Y114" s="754"/>
      <c r="Z114" s="702">
        <f t="shared" si="74"/>
        <v>0</v>
      </c>
      <c r="AA114" s="144">
        <f t="shared" si="60"/>
        <v>8333.3333333333339</v>
      </c>
      <c r="AB114" s="226">
        <f t="shared" si="75"/>
        <v>1.4575936026328968E-3</v>
      </c>
      <c r="AC114" s="128">
        <f t="shared" si="41"/>
        <v>694.44444444444446</v>
      </c>
      <c r="AD114" s="226">
        <f t="shared" si="76"/>
        <v>1.4575936026328966E-3</v>
      </c>
      <c r="AE114" s="579"/>
      <c r="AF114" s="579"/>
      <c r="AG114" s="579"/>
    </row>
    <row r="115" spans="1:33" s="1" customFormat="1" ht="15.75" thickBot="1">
      <c r="A115" s="4">
        <v>6399</v>
      </c>
      <c r="B115" s="229" t="s">
        <v>113</v>
      </c>
      <c r="C115" s="391">
        <f>SUM(C94:C114)</f>
        <v>25132.934879582674</v>
      </c>
      <c r="D115" s="392">
        <f>C115/C12</f>
        <v>5.844892363999777E-2</v>
      </c>
      <c r="E115" s="391">
        <f>SUM(E94:E114)</f>
        <v>34931.777777777781</v>
      </c>
      <c r="F115" s="392">
        <f>E115/E12</f>
        <v>0.10441757090086667</v>
      </c>
      <c r="G115" s="391">
        <f>SUM(G94:G114)</f>
        <v>24826.892888273604</v>
      </c>
      <c r="H115" s="392">
        <f>G115/G12</f>
        <v>4.4739085963020314E-2</v>
      </c>
      <c r="I115" s="391">
        <f>SUM(I94:I114)</f>
        <v>36519.555555555562</v>
      </c>
      <c r="J115" s="392">
        <f>I115/I12</f>
        <v>7.4530208572838097E-2</v>
      </c>
      <c r="K115" s="391">
        <f>SUM(K94:K114)</f>
        <v>36597.892888273607</v>
      </c>
      <c r="L115" s="392">
        <f>K115/K12</f>
        <v>8.1664037805527057E-2</v>
      </c>
      <c r="M115" s="391">
        <f>SUM(M94:M114)</f>
        <v>17545</v>
      </c>
      <c r="N115" s="392">
        <f>M115/M12</f>
        <v>2.7609347935956537E-2</v>
      </c>
      <c r="O115" s="391">
        <f>SUM(O94:O114)</f>
        <v>22575.555555555558</v>
      </c>
      <c r="P115" s="392">
        <f>O115/O12</f>
        <v>5.6112768055000983E-2</v>
      </c>
      <c r="Q115" s="391">
        <f>SUM(Q94:Q114)</f>
        <v>45417.115110495826</v>
      </c>
      <c r="R115" s="395">
        <f>Q115/Q12</f>
        <v>9.0910167061367009E-2</v>
      </c>
      <c r="S115" s="391">
        <f>SUM(S94:S114)</f>
        <v>24665.555555555558</v>
      </c>
      <c r="T115" s="392">
        <f>S115/S12</f>
        <v>4.9010688222443935E-2</v>
      </c>
      <c r="U115" s="391">
        <f>SUM(U94:U114)</f>
        <v>31240.555555555558</v>
      </c>
      <c r="V115" s="392">
        <f>U115/U12</f>
        <v>7.8258652777902407E-2</v>
      </c>
      <c r="W115" s="391">
        <f>SUM(W94:W114)</f>
        <v>33908.888888888891</v>
      </c>
      <c r="X115" s="392">
        <f>W115/W12</f>
        <v>8.3486781266754517E-2</v>
      </c>
      <c r="Y115" s="391">
        <f>SUM(Y94:Y114)</f>
        <v>24632.892888273604</v>
      </c>
      <c r="Z115" s="392">
        <f>Y115/Y12</f>
        <v>4.0146884246564714E-2</v>
      </c>
      <c r="AA115" s="391">
        <f>SUM(AA94:AA114)</f>
        <v>357994.61754378822</v>
      </c>
      <c r="AB115" s="96">
        <f>AA115/AA12</f>
        <v>6.2617279717060353E-2</v>
      </c>
      <c r="AC115" s="132">
        <f t="shared" si="41"/>
        <v>29832.884795315684</v>
      </c>
      <c r="AD115" s="96">
        <f>AC115/AC12</f>
        <v>6.2617279717060353E-2</v>
      </c>
      <c r="AE115" s="575"/>
      <c r="AF115" s="575"/>
      <c r="AG115" s="575"/>
    </row>
    <row r="116" spans="1:33" s="1" customFormat="1" ht="15.75" thickTop="1">
      <c r="A116" s="21">
        <v>6401</v>
      </c>
      <c r="B116" s="227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144">
        <f t="shared" ref="AA116:AA128" si="77">C116+E116+G116+I116+K116+M116+O116+Q116+S116+U116+W116+Y116</f>
        <v>0</v>
      </c>
      <c r="AB116" s="24">
        <f>AA116/AA12</f>
        <v>0</v>
      </c>
      <c r="AC116" s="128">
        <f t="shared" si="41"/>
        <v>0</v>
      </c>
      <c r="AD116" s="24">
        <f>AC116/AC12</f>
        <v>0</v>
      </c>
      <c r="AE116" s="579"/>
      <c r="AF116" s="579"/>
      <c r="AG116" s="579"/>
    </row>
    <row r="117" spans="1:33" s="1" customFormat="1">
      <c r="A117" s="188">
        <v>6402</v>
      </c>
      <c r="B117" s="2" t="s">
        <v>75</v>
      </c>
      <c r="C117" s="452">
        <v>500</v>
      </c>
      <c r="D117" s="467">
        <f>C117/C12</f>
        <v>1.1627954299814008E-3</v>
      </c>
      <c r="E117" s="452">
        <v>500</v>
      </c>
      <c r="F117" s="467">
        <f>E117/E12</f>
        <v>1.4945928541789391E-3</v>
      </c>
      <c r="G117" s="452">
        <v>500</v>
      </c>
      <c r="H117" s="467">
        <f>G117/G12</f>
        <v>9.0102064250157862E-4</v>
      </c>
      <c r="I117" s="452">
        <v>500</v>
      </c>
      <c r="J117" s="467">
        <f>I117/I12</f>
        <v>1.0204150548800989E-3</v>
      </c>
      <c r="K117" s="452">
        <v>500</v>
      </c>
      <c r="L117" s="467">
        <f>K117/K12</f>
        <v>1.1156931637407623E-3</v>
      </c>
      <c r="M117" s="452">
        <v>500</v>
      </c>
      <c r="N117" s="467">
        <f>M117/M12</f>
        <v>7.8681527318200453E-4</v>
      </c>
      <c r="O117" s="452">
        <v>500</v>
      </c>
      <c r="P117" s="467">
        <f>O117/O12</f>
        <v>1.2427771249508043E-3</v>
      </c>
      <c r="Q117" s="452">
        <v>500</v>
      </c>
      <c r="R117" s="467">
        <f>Q117/Q12</f>
        <v>1.0008359936577941E-3</v>
      </c>
      <c r="S117" s="452">
        <v>500</v>
      </c>
      <c r="T117" s="467">
        <f>S117/S12</f>
        <v>9.9350464886255102E-4</v>
      </c>
      <c r="U117" s="452">
        <v>500</v>
      </c>
      <c r="V117" s="467">
        <f>U117/U12</f>
        <v>1.2525169829123851E-3</v>
      </c>
      <c r="W117" s="452">
        <v>500</v>
      </c>
      <c r="X117" s="467">
        <f>W117/W12</f>
        <v>1.2310456638717981E-3</v>
      </c>
      <c r="Y117" s="452">
        <v>500</v>
      </c>
      <c r="Z117" s="467">
        <f>Y117/Y12</f>
        <v>8.149039665916887E-4</v>
      </c>
      <c r="AA117" s="144">
        <f t="shared" si="77"/>
        <v>6000</v>
      </c>
      <c r="AB117" s="68">
        <f>AA117/AA12</f>
        <v>1.0494673938956857E-3</v>
      </c>
      <c r="AC117" s="128">
        <f t="shared" si="41"/>
        <v>500</v>
      </c>
      <c r="AD117" s="68">
        <f>AC117/AC12</f>
        <v>1.0494673938956855E-3</v>
      </c>
      <c r="AE117" s="393" t="s">
        <v>256</v>
      </c>
      <c r="AF117" s="393" t="s">
        <v>255</v>
      </c>
      <c r="AG117" s="393"/>
    </row>
    <row r="118" spans="1:33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144">
        <f t="shared" si="77"/>
        <v>0</v>
      </c>
      <c r="AB118" s="702">
        <f>AA118/AA12</f>
        <v>0</v>
      </c>
      <c r="AC118" s="128">
        <f t="shared" si="41"/>
        <v>0</v>
      </c>
      <c r="AD118" s="702">
        <f>AC118/AC12</f>
        <v>0</v>
      </c>
      <c r="AE118" s="393"/>
      <c r="AF118" s="393"/>
      <c r="AG118" s="393"/>
    </row>
    <row r="119" spans="1:33" s="1" customFormat="1">
      <c r="A119" s="188">
        <v>6404</v>
      </c>
      <c r="B119" s="188" t="s">
        <v>92</v>
      </c>
      <c r="C119" s="707">
        <v>2000</v>
      </c>
      <c r="D119" s="467">
        <f>C119/C12</f>
        <v>4.6511817199256034E-3</v>
      </c>
      <c r="E119" s="707">
        <v>2000</v>
      </c>
      <c r="F119" s="467">
        <f>E119/E12</f>
        <v>5.9783714167157562E-3</v>
      </c>
      <c r="G119" s="707">
        <v>2000</v>
      </c>
      <c r="H119" s="467">
        <f>G119/G12</f>
        <v>3.6040825700063145E-3</v>
      </c>
      <c r="I119" s="707">
        <v>2000</v>
      </c>
      <c r="J119" s="467">
        <f>I119/I12</f>
        <v>4.0816602195203958E-3</v>
      </c>
      <c r="K119" s="707">
        <v>2000</v>
      </c>
      <c r="L119" s="467">
        <f>K119/K12</f>
        <v>4.4627726549630493E-3</v>
      </c>
      <c r="M119" s="707">
        <v>2000</v>
      </c>
      <c r="N119" s="467">
        <f>M119/M12</f>
        <v>3.1472610927280181E-3</v>
      </c>
      <c r="O119" s="707">
        <v>2000</v>
      </c>
      <c r="P119" s="467">
        <f>O119/O12</f>
        <v>4.9711084998032172E-3</v>
      </c>
      <c r="Q119" s="707">
        <v>2000</v>
      </c>
      <c r="R119" s="467">
        <f>Q119/Q12</f>
        <v>4.0033439746311765E-3</v>
      </c>
      <c r="S119" s="707">
        <v>2000</v>
      </c>
      <c r="T119" s="467">
        <f>S119/S12</f>
        <v>3.9740185954502041E-3</v>
      </c>
      <c r="U119" s="707">
        <v>2000</v>
      </c>
      <c r="V119" s="467">
        <f>U119/U12</f>
        <v>5.0100679316495405E-3</v>
      </c>
      <c r="W119" s="707">
        <v>2000</v>
      </c>
      <c r="X119" s="467">
        <f>W119/W12</f>
        <v>4.9241826554871923E-3</v>
      </c>
      <c r="Y119" s="707">
        <v>2000</v>
      </c>
      <c r="Z119" s="467">
        <f>Y119/Y12</f>
        <v>3.2596158663667548E-3</v>
      </c>
      <c r="AA119" s="144">
        <f t="shared" si="77"/>
        <v>24000</v>
      </c>
      <c r="AB119" s="702">
        <f>AA119/AA12</f>
        <v>4.1978695755827428E-3</v>
      </c>
      <c r="AC119" s="128">
        <f t="shared" si="41"/>
        <v>2000</v>
      </c>
      <c r="AD119" s="702">
        <v>0</v>
      </c>
      <c r="AE119" s="645"/>
      <c r="AF119" s="226"/>
      <c r="AG119" s="226"/>
    </row>
    <row r="120" spans="1:33" s="1" customFormat="1">
      <c r="A120" s="188">
        <v>6406</v>
      </c>
      <c r="B120" s="2" t="s">
        <v>72</v>
      </c>
      <c r="C120" s="452">
        <v>750</v>
      </c>
      <c r="D120" s="467">
        <f>C120/C12</f>
        <v>1.7441931449721014E-3</v>
      </c>
      <c r="E120" s="452">
        <v>750</v>
      </c>
      <c r="F120" s="467">
        <f>E120/E12</f>
        <v>2.2418892812684087E-3</v>
      </c>
      <c r="G120" s="452">
        <v>750</v>
      </c>
      <c r="H120" s="467">
        <f>G120/G12</f>
        <v>1.3515309637523679E-3</v>
      </c>
      <c r="I120" s="452">
        <v>750</v>
      </c>
      <c r="J120" s="467">
        <f>I120/I12</f>
        <v>1.5306225823201484E-3</v>
      </c>
      <c r="K120" s="452">
        <v>750</v>
      </c>
      <c r="L120" s="467">
        <f>K120/K12</f>
        <v>1.6735397456111435E-3</v>
      </c>
      <c r="M120" s="452">
        <v>750</v>
      </c>
      <c r="N120" s="467">
        <f>M120/M12</f>
        <v>1.1802229097730068E-3</v>
      </c>
      <c r="O120" s="452">
        <v>750</v>
      </c>
      <c r="P120" s="467">
        <f>O120/O12</f>
        <v>1.8641656874262063E-3</v>
      </c>
      <c r="Q120" s="452">
        <v>750</v>
      </c>
      <c r="R120" s="467">
        <f>Q120/Q12</f>
        <v>1.5012539904866913E-3</v>
      </c>
      <c r="S120" s="452">
        <v>750</v>
      </c>
      <c r="T120" s="467">
        <f>S120/S12</f>
        <v>1.4902569732938263E-3</v>
      </c>
      <c r="U120" s="452">
        <v>750</v>
      </c>
      <c r="V120" s="467">
        <f>U120/U12</f>
        <v>1.8787754743685777E-3</v>
      </c>
      <c r="W120" s="452">
        <v>750</v>
      </c>
      <c r="X120" s="467">
        <f>W120/W12</f>
        <v>1.846568495807697E-3</v>
      </c>
      <c r="Y120" s="452">
        <v>750</v>
      </c>
      <c r="Z120" s="467">
        <f>Y120/Y12</f>
        <v>1.2223559498875331E-3</v>
      </c>
      <c r="AA120" s="144">
        <f t="shared" si="77"/>
        <v>9000</v>
      </c>
      <c r="AB120" s="68">
        <f>AA120/AA12</f>
        <v>1.5742010908435283E-3</v>
      </c>
      <c r="AC120" s="128">
        <f t="shared" si="41"/>
        <v>750</v>
      </c>
      <c r="AD120" s="68">
        <f>AC120/AC12</f>
        <v>1.5742010908435283E-3</v>
      </c>
      <c r="AE120" s="393"/>
      <c r="AF120" s="393"/>
      <c r="AG120" s="393"/>
    </row>
    <row r="121" spans="1:33" s="1" customFormat="1">
      <c r="A121" s="2">
        <v>6407</v>
      </c>
      <c r="B121" s="228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144">
        <f t="shared" si="77"/>
        <v>0</v>
      </c>
      <c r="AB121" s="68">
        <f>AA121/AA12</f>
        <v>0</v>
      </c>
      <c r="AC121" s="128">
        <f t="shared" si="41"/>
        <v>0</v>
      </c>
      <c r="AD121" s="68">
        <f>AC121/AC12</f>
        <v>0</v>
      </c>
      <c r="AE121" s="393"/>
      <c r="AF121" s="393"/>
      <c r="AG121" s="393"/>
    </row>
    <row r="122" spans="1:33" s="1" customFormat="1">
      <c r="A122" s="2">
        <v>6408</v>
      </c>
      <c r="B122" s="228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144">
        <f t="shared" si="77"/>
        <v>0</v>
      </c>
      <c r="AB122" s="68">
        <f>AA122/AA12</f>
        <v>0</v>
      </c>
      <c r="AC122" s="128">
        <f t="shared" si="41"/>
        <v>0</v>
      </c>
      <c r="AD122" s="68">
        <f>AC122/AC12</f>
        <v>0</v>
      </c>
      <c r="AE122" s="393"/>
      <c r="AF122" s="393"/>
      <c r="AG122" s="393"/>
    </row>
    <row r="123" spans="1:33" s="1" customFormat="1">
      <c r="A123" s="2">
        <v>6410</v>
      </c>
      <c r="B123" s="228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144">
        <f t="shared" si="77"/>
        <v>0</v>
      </c>
      <c r="AB123" s="24"/>
      <c r="AC123" s="128">
        <f t="shared" si="41"/>
        <v>0</v>
      </c>
      <c r="AD123" s="24"/>
      <c r="AE123" s="579"/>
      <c r="AF123" s="579"/>
      <c r="AG123" s="579"/>
    </row>
    <row r="124" spans="1:33" s="1" customFormat="1">
      <c r="A124" s="2">
        <v>6411</v>
      </c>
      <c r="B124" s="228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144">
        <f t="shared" si="77"/>
        <v>0</v>
      </c>
      <c r="AB124" s="24"/>
      <c r="AC124" s="128">
        <f t="shared" si="41"/>
        <v>0</v>
      </c>
      <c r="AD124" s="24"/>
      <c r="AE124" s="579"/>
      <c r="AF124" s="579"/>
      <c r="AG124" s="579"/>
    </row>
    <row r="125" spans="1:33" s="1" customFormat="1">
      <c r="A125" s="2">
        <v>6412</v>
      </c>
      <c r="B125" s="228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144">
        <f t="shared" si="77"/>
        <v>0</v>
      </c>
      <c r="AB125" s="24">
        <f>AA125/AA12</f>
        <v>0</v>
      </c>
      <c r="AC125" s="128">
        <f t="shared" si="41"/>
        <v>0</v>
      </c>
      <c r="AD125" s="24">
        <f>AC125/AC12</f>
        <v>0</v>
      </c>
      <c r="AE125" s="579"/>
      <c r="AF125" s="579"/>
      <c r="AG125" s="579"/>
    </row>
    <row r="126" spans="1:33" s="1" customFormat="1">
      <c r="A126" s="2">
        <v>6413</v>
      </c>
      <c r="B126" s="2" t="s">
        <v>41</v>
      </c>
      <c r="C126" s="452">
        <f>C12*1%</f>
        <v>4299.982500000001</v>
      </c>
      <c r="D126" s="467">
        <f>C126/C12</f>
        <v>0.01</v>
      </c>
      <c r="E126" s="452">
        <f>E12*1%</f>
        <v>3345.3926840475701</v>
      </c>
      <c r="F126" s="467">
        <f>E126/E12</f>
        <v>0.01</v>
      </c>
      <c r="G126" s="452">
        <f>G12*1%</f>
        <v>5549.2624299018098</v>
      </c>
      <c r="H126" s="467">
        <f>G126/G12</f>
        <v>0.01</v>
      </c>
      <c r="I126" s="452">
        <f>I12*1%</f>
        <v>4899.9669066892702</v>
      </c>
      <c r="J126" s="467">
        <f>I126/I12</f>
        <v>0.01</v>
      </c>
      <c r="K126" s="452">
        <f>K12*1%</f>
        <v>4481.5189000851306</v>
      </c>
      <c r="L126" s="467">
        <f>K126/K12</f>
        <v>1.0000000000000002E-2</v>
      </c>
      <c r="M126" s="452">
        <f>M12*1%</f>
        <v>6354.7317527012601</v>
      </c>
      <c r="N126" s="467">
        <f>M126/M12</f>
        <v>0.01</v>
      </c>
      <c r="O126" s="452">
        <f>O12*1%</f>
        <v>4023.2475313688501</v>
      </c>
      <c r="P126" s="467">
        <f>O126/O12</f>
        <v>0.01</v>
      </c>
      <c r="Q126" s="452">
        <f>Q12*1%</f>
        <v>4995.82352321913</v>
      </c>
      <c r="R126" s="467">
        <f>Q126/Q12</f>
        <v>0.01</v>
      </c>
      <c r="S126" s="452">
        <f>S12*1%</f>
        <v>5032.689082758121</v>
      </c>
      <c r="T126" s="467">
        <f>S126/S12</f>
        <v>0.01</v>
      </c>
      <c r="U126" s="452">
        <f>U12*1%</f>
        <v>3991.96184020904</v>
      </c>
      <c r="V126" s="467">
        <f>U126/U12</f>
        <v>0.01</v>
      </c>
      <c r="W126" s="452">
        <f>W12*1%</f>
        <v>4061.58775968907</v>
      </c>
      <c r="X126" s="467">
        <f>W126/W12</f>
        <v>0.01</v>
      </c>
      <c r="Y126" s="452">
        <f>Y12*1%</f>
        <v>6135.6923085211502</v>
      </c>
      <c r="Z126" s="467">
        <f>Y126/Y12</f>
        <v>0.01</v>
      </c>
      <c r="AA126" s="144">
        <f t="shared" si="77"/>
        <v>57171.85721919041</v>
      </c>
      <c r="AB126" s="68">
        <f>AA126/AA12</f>
        <v>0.01</v>
      </c>
      <c r="AC126" s="128">
        <f t="shared" si="41"/>
        <v>4764.3214349325344</v>
      </c>
      <c r="AD126" s="68">
        <f>AC126/AC12</f>
        <v>0.01</v>
      </c>
      <c r="AE126" s="393"/>
      <c r="AF126" s="393"/>
      <c r="AG126" s="393"/>
    </row>
    <row r="127" spans="1:33" s="1" customFormat="1">
      <c r="A127" s="2">
        <v>6414</v>
      </c>
      <c r="B127" s="2" t="s">
        <v>43</v>
      </c>
      <c r="C127" s="486">
        <v>250</v>
      </c>
      <c r="D127" s="467">
        <f>C127/C12</f>
        <v>5.8139771499070042E-4</v>
      </c>
      <c r="E127" s="486">
        <v>250</v>
      </c>
      <c r="F127" s="467">
        <f>E127/E12</f>
        <v>7.4729642708946953E-4</v>
      </c>
      <c r="G127" s="486">
        <v>250</v>
      </c>
      <c r="H127" s="467">
        <f>G127/G12</f>
        <v>4.5051032125078931E-4</v>
      </c>
      <c r="I127" s="486">
        <v>250</v>
      </c>
      <c r="J127" s="467">
        <f>I127/I12</f>
        <v>5.1020752744004947E-4</v>
      </c>
      <c r="K127" s="486">
        <v>250</v>
      </c>
      <c r="L127" s="467">
        <f>K127/K12</f>
        <v>5.5784658187038117E-4</v>
      </c>
      <c r="M127" s="486">
        <v>250</v>
      </c>
      <c r="N127" s="467">
        <f>M127/M12</f>
        <v>3.9340763659100227E-4</v>
      </c>
      <c r="O127" s="486">
        <v>250</v>
      </c>
      <c r="P127" s="467">
        <f>O127/O12</f>
        <v>6.2138856247540215E-4</v>
      </c>
      <c r="Q127" s="486">
        <v>250</v>
      </c>
      <c r="R127" s="467">
        <f>Q127/Q12</f>
        <v>5.0041799682889706E-4</v>
      </c>
      <c r="S127" s="486">
        <v>250</v>
      </c>
      <c r="T127" s="467">
        <f>S127/S12</f>
        <v>4.9675232443127551E-4</v>
      </c>
      <c r="U127" s="486">
        <v>250</v>
      </c>
      <c r="V127" s="467">
        <f>U127/U12</f>
        <v>6.2625849145619256E-4</v>
      </c>
      <c r="W127" s="486">
        <v>250</v>
      </c>
      <c r="X127" s="467">
        <f>W127/W12</f>
        <v>6.1552283193589904E-4</v>
      </c>
      <c r="Y127" s="486">
        <v>250</v>
      </c>
      <c r="Z127" s="467">
        <f>Y127/Y12</f>
        <v>4.0745198329584435E-4</v>
      </c>
      <c r="AA127" s="144">
        <f t="shared" si="77"/>
        <v>3000</v>
      </c>
      <c r="AB127" s="68">
        <f>AA127/AA12</f>
        <v>5.2473369694784285E-4</v>
      </c>
      <c r="AC127" s="128">
        <f t="shared" si="41"/>
        <v>250</v>
      </c>
      <c r="AD127" s="68">
        <f>AC127/AC12</f>
        <v>5.2473369694784275E-4</v>
      </c>
      <c r="AE127" s="393" t="s">
        <v>249</v>
      </c>
      <c r="AF127" s="393"/>
      <c r="AG127" s="393"/>
    </row>
    <row r="128" spans="1:33" s="1" customFormat="1">
      <c r="A128" s="2">
        <v>6415</v>
      </c>
      <c r="B128" s="228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144">
        <f t="shared" si="77"/>
        <v>0</v>
      </c>
      <c r="AB128" s="68">
        <f>AA128/AA12</f>
        <v>0</v>
      </c>
      <c r="AC128" s="128">
        <f t="shared" si="41"/>
        <v>0</v>
      </c>
      <c r="AD128" s="68">
        <f>AC128/AC12</f>
        <v>0</v>
      </c>
      <c r="AE128" s="393"/>
      <c r="AF128" s="393"/>
      <c r="AG128" s="393"/>
    </row>
    <row r="129" spans="1:35" s="1" customFormat="1" ht="15.75" thickBot="1">
      <c r="A129" s="4">
        <v>6499</v>
      </c>
      <c r="B129" s="229" t="s">
        <v>114</v>
      </c>
      <c r="C129" s="76">
        <f>SUM(C116:C128)</f>
        <v>7799.982500000001</v>
      </c>
      <c r="D129" s="23">
        <f>C129/C12</f>
        <v>1.8139568009869808E-2</v>
      </c>
      <c r="E129" s="116">
        <f>SUM(E116:E128)</f>
        <v>6845.3926840475706</v>
      </c>
      <c r="F129" s="23">
        <f>E129/E12</f>
        <v>2.0462149979252574E-2</v>
      </c>
      <c r="G129" s="76">
        <f>SUM(G116:G128)</f>
        <v>9049.2624299018098</v>
      </c>
      <c r="H129" s="23">
        <f>G129/G12</f>
        <v>1.6307144497511052E-2</v>
      </c>
      <c r="I129" s="76">
        <f>SUM(I116:I128)</f>
        <v>8399.9669066892711</v>
      </c>
      <c r="J129" s="23">
        <f>I129/I12</f>
        <v>1.7142905384160696E-2</v>
      </c>
      <c r="K129" s="28">
        <f>SUM(K116:K128)</f>
        <v>7981.5189000851306</v>
      </c>
      <c r="L129" s="23">
        <f>K129/K12</f>
        <v>1.7809852146185339E-2</v>
      </c>
      <c r="M129" s="28">
        <f>SUM(M116:M128)</f>
        <v>9854.7317527012601</v>
      </c>
      <c r="N129" s="23">
        <f>M129/M12</f>
        <v>1.5507706912274032E-2</v>
      </c>
      <c r="O129" s="28">
        <f>SUM(O116:O128)</f>
        <v>7523.2475313688501</v>
      </c>
      <c r="P129" s="23">
        <f>O129/O12</f>
        <v>1.8699439874655631E-2</v>
      </c>
      <c r="Q129" s="28">
        <f>SUM(Q116:Q128)</f>
        <v>8495.8235232191291</v>
      </c>
      <c r="R129" s="23">
        <f>Q129/Q12</f>
        <v>1.7005851955604556E-2</v>
      </c>
      <c r="S129" s="28">
        <f>SUM(S116:S128)</f>
        <v>8532.689082758121</v>
      </c>
      <c r="T129" s="23">
        <f>S129/S12</f>
        <v>1.6954532542037857E-2</v>
      </c>
      <c r="U129" s="76">
        <f>SUM(U116:U128)</f>
        <v>7491.96184020904</v>
      </c>
      <c r="V129" s="23">
        <f>U129/U12</f>
        <v>1.8767618880386697E-2</v>
      </c>
      <c r="W129" s="76">
        <f>SUM(W116:W128)</f>
        <v>7561.5877596890696</v>
      </c>
      <c r="X129" s="23">
        <f>W129/W12</f>
        <v>1.8617319647102587E-2</v>
      </c>
      <c r="Y129" s="76">
        <f>SUM(Y116:Y128)</f>
        <v>9635.6923085211492</v>
      </c>
      <c r="Z129" s="23">
        <f>Y129/Y12</f>
        <v>1.5704327766141821E-2</v>
      </c>
      <c r="AA129" s="196">
        <f>SUM(AA116:AA128)</f>
        <v>99171.85721919041</v>
      </c>
      <c r="AB129" s="23">
        <f>AA129/AA12</f>
        <v>1.7346271757269799E-2</v>
      </c>
      <c r="AC129" s="52">
        <f t="shared" si="41"/>
        <v>8264.3214349325335</v>
      </c>
      <c r="AD129" s="23">
        <f>AC129/AC12</f>
        <v>1.7346271757269795E-2</v>
      </c>
      <c r="AE129" s="575"/>
      <c r="AF129" s="575"/>
      <c r="AG129" s="575"/>
    </row>
    <row r="130" spans="1:35" s="1" customFormat="1" ht="15.75" thickTop="1">
      <c r="A130" s="222"/>
      <c r="B130" s="230"/>
      <c r="C130" s="82"/>
      <c r="D130" s="233"/>
      <c r="E130" s="114"/>
      <c r="F130" s="233"/>
      <c r="G130" s="82"/>
      <c r="H130" s="233"/>
      <c r="I130" s="82"/>
      <c r="J130" s="233"/>
      <c r="K130" s="32"/>
      <c r="L130" s="233"/>
      <c r="M130" s="32"/>
      <c r="N130" s="233"/>
      <c r="O130" s="32"/>
      <c r="P130" s="233"/>
      <c r="Q130" s="32"/>
      <c r="R130" s="233"/>
      <c r="S130" s="32"/>
      <c r="T130" s="233"/>
      <c r="U130" s="82"/>
      <c r="V130" s="233"/>
      <c r="W130" s="82"/>
      <c r="X130" s="233"/>
      <c r="Y130" s="82"/>
      <c r="Z130" s="233"/>
      <c r="AA130" s="201"/>
      <c r="AB130" s="233"/>
      <c r="AC130" s="201">
        <f t="shared" si="41"/>
        <v>0</v>
      </c>
      <c r="AD130" s="233"/>
      <c r="AE130" s="574"/>
      <c r="AF130" s="574"/>
      <c r="AG130" s="574"/>
    </row>
    <row r="131" spans="1:35" s="1" customFormat="1" ht="15.75" thickBot="1">
      <c r="A131" s="4"/>
      <c r="B131" s="229" t="s">
        <v>133</v>
      </c>
      <c r="C131" s="278">
        <f>C37-C41-C76-C93-C115-C129</f>
        <v>40478.488687829209</v>
      </c>
      <c r="D131" s="259">
        <f>C131/C12</f>
        <v>9.4136403317523279E-2</v>
      </c>
      <c r="E131" s="278">
        <f>E37-E41-E76-E93-E115-E129</f>
        <v>8107.3624269890115</v>
      </c>
      <c r="F131" s="259">
        <f>E131/E12</f>
        <v>2.4234411899233196E-2</v>
      </c>
      <c r="G131" s="278">
        <f>G37-G41-G76-G93-G115-G129</f>
        <v>65720.065708407375</v>
      </c>
      <c r="H131" s="259">
        <f>G131/G12</f>
        <v>0.11843027165967036</v>
      </c>
      <c r="I131" s="278">
        <f>I37-I41-I76-I93-I115-I129</f>
        <v>75121.675453329037</v>
      </c>
      <c r="J131" s="259">
        <f>I131/I12</f>
        <v>0.15331057716078747</v>
      </c>
      <c r="K131" s="287">
        <f>K37-K41-K76-K93-K115-K129</f>
        <v>64181.109094351348</v>
      </c>
      <c r="L131" s="259">
        <f>K131/K12</f>
        <v>0.14321284931573575</v>
      </c>
      <c r="M131" s="287">
        <f>M37-M41-M76-M93-M115-M129</f>
        <v>116005.77221825933</v>
      </c>
      <c r="N131" s="259">
        <f>M131/M12</f>
        <v>0.1825502267171982</v>
      </c>
      <c r="O131" s="287">
        <f>O37-O41-O76-O93-O115-O129</f>
        <v>60201.226001002229</v>
      </c>
      <c r="P131" s="259">
        <f>O131/O12</f>
        <v>0.14963341313607831</v>
      </c>
      <c r="Q131" s="287">
        <f>Q37-Q41-Q76-Q93-Q115-Q129</f>
        <v>78707.296791278699</v>
      </c>
      <c r="R131" s="259">
        <f>Q131/Q12</f>
        <v>0.15754619118443666</v>
      </c>
      <c r="S131" s="287">
        <f>S37-S41-S76-S93-S115-S129</f>
        <v>54018.020297905139</v>
      </c>
      <c r="T131" s="259">
        <f>S131/S12</f>
        <v>0.10733430857664079</v>
      </c>
      <c r="U131" s="252">
        <f>U37-U41-U76-U93-U115-U129</f>
        <v>30653.695112390691</v>
      </c>
      <c r="V131" s="259">
        <f>U131/U12</f>
        <v>7.678854743457543E-2</v>
      </c>
      <c r="W131" s="252">
        <f>W37-W41-W76-W93-W115-W129</f>
        <v>36038.158277245202</v>
      </c>
      <c r="X131" s="259">
        <f>W131/W12</f>
        <v>8.87292369622565E-2</v>
      </c>
      <c r="Y131" s="252">
        <f>Y37-Y41-Y76-Y93-Y115-Y129</f>
        <v>112927.02568551806</v>
      </c>
      <c r="Z131" s="259">
        <f>Y131/Y12</f>
        <v>0.18404936233306035</v>
      </c>
      <c r="AA131" s="256">
        <f>AA37-AA41-AA76-AA93-AA115-AA129</f>
        <v>738729.58432135533</v>
      </c>
      <c r="AB131" s="259">
        <f>AA131/AA12</f>
        <v>0.12921210194189597</v>
      </c>
      <c r="AC131" s="254">
        <f t="shared" si="41"/>
        <v>61560.798693446275</v>
      </c>
      <c r="AD131" s="259">
        <f>AC131/AC12</f>
        <v>0.12921210194189597</v>
      </c>
      <c r="AE131" s="565"/>
      <c r="AF131" s="565"/>
      <c r="AG131" s="565"/>
    </row>
    <row r="132" spans="1:35" s="1" customFormat="1" ht="15.75" thickTop="1">
      <c r="A132" s="222"/>
      <c r="B132" s="230"/>
      <c r="C132" s="82"/>
      <c r="D132" s="233"/>
      <c r="E132" s="114"/>
      <c r="F132" s="233"/>
      <c r="G132" s="82"/>
      <c r="H132" s="233"/>
      <c r="I132" s="82"/>
      <c r="J132" s="233"/>
      <c r="K132" s="32"/>
      <c r="L132" s="233"/>
      <c r="M132" s="32"/>
      <c r="N132" s="233"/>
      <c r="O132" s="32"/>
      <c r="P132" s="233"/>
      <c r="Q132" s="32"/>
      <c r="R132" s="233"/>
      <c r="S132" s="32"/>
      <c r="T132" s="233"/>
      <c r="U132" s="82"/>
      <c r="V132" s="233"/>
      <c r="W132" s="82"/>
      <c r="X132" s="233"/>
      <c r="Y132" s="82"/>
      <c r="Z132" s="233"/>
      <c r="AA132" s="201"/>
      <c r="AB132" s="233"/>
      <c r="AC132" s="201">
        <f t="shared" si="41"/>
        <v>0</v>
      </c>
      <c r="AD132" s="233"/>
      <c r="AE132" s="574"/>
      <c r="AF132" s="574"/>
      <c r="AG132" s="574"/>
    </row>
    <row r="133" spans="1:35" s="1" customFormat="1" ht="15.75" thickBot="1">
      <c r="A133" s="72"/>
      <c r="B133" s="4" t="s">
        <v>149</v>
      </c>
      <c r="C133" s="76"/>
      <c r="D133" s="107"/>
      <c r="E133" s="274"/>
      <c r="F133" s="107"/>
      <c r="G133" s="274"/>
      <c r="H133" s="107"/>
      <c r="I133" s="274"/>
      <c r="J133" s="107"/>
      <c r="K133" s="28"/>
      <c r="L133" s="107"/>
      <c r="M133" s="28"/>
      <c r="N133" s="107"/>
      <c r="O133" s="28"/>
      <c r="P133" s="107"/>
      <c r="Q133" s="28"/>
      <c r="R133" s="107"/>
      <c r="S133" s="28"/>
      <c r="T133" s="107"/>
      <c r="U133" s="28"/>
      <c r="V133" s="107"/>
      <c r="W133" s="28"/>
      <c r="X133" s="107"/>
      <c r="Y133" s="28"/>
      <c r="Z133" s="107"/>
      <c r="AA133" s="197">
        <f>C133+E133+G133+I133+K133+M133+O133+Q133+S133+U133+W133+Y133</f>
        <v>0</v>
      </c>
      <c r="AB133" s="107"/>
      <c r="AC133" s="264">
        <f t="shared" si="41"/>
        <v>0</v>
      </c>
      <c r="AD133" s="107"/>
      <c r="AE133" s="583"/>
      <c r="AF133" s="583"/>
      <c r="AG133" s="583"/>
    </row>
    <row r="134" spans="1:35" s="1" customFormat="1" ht="15.75" thickTop="1">
      <c r="A134" s="222"/>
      <c r="B134" s="222"/>
      <c r="C134" s="82"/>
      <c r="D134" s="233"/>
      <c r="E134" s="114"/>
      <c r="F134" s="233"/>
      <c r="G134" s="82"/>
      <c r="H134" s="233"/>
      <c r="I134" s="82"/>
      <c r="J134" s="233"/>
      <c r="K134" s="32"/>
      <c r="L134" s="233"/>
      <c r="M134" s="32"/>
      <c r="N134" s="233"/>
      <c r="O134" s="32"/>
      <c r="P134" s="233"/>
      <c r="Q134" s="32"/>
      <c r="R134" s="233"/>
      <c r="S134" s="32"/>
      <c r="T134" s="233"/>
      <c r="U134" s="82"/>
      <c r="V134" s="233"/>
      <c r="W134" s="82"/>
      <c r="X134" s="233"/>
      <c r="Y134" s="82"/>
      <c r="Z134" s="233"/>
      <c r="AA134" s="201"/>
      <c r="AB134" s="233"/>
      <c r="AC134" s="201">
        <f t="shared" si="41"/>
        <v>0</v>
      </c>
      <c r="AD134" s="233"/>
      <c r="AE134" s="574"/>
      <c r="AF134" s="574"/>
      <c r="AG134" s="574"/>
    </row>
    <row r="135" spans="1:35" s="1" customFormat="1" ht="15.75" thickBot="1">
      <c r="A135" s="4"/>
      <c r="B135" s="4" t="s">
        <v>140</v>
      </c>
      <c r="C135" s="76">
        <f>C131-C133</f>
        <v>40478.488687829209</v>
      </c>
      <c r="D135" s="89">
        <f>C135/C12</f>
        <v>9.4136403317523279E-2</v>
      </c>
      <c r="E135" s="76">
        <f>E131-E133</f>
        <v>8107.3624269890115</v>
      </c>
      <c r="F135" s="89">
        <f>E135/E12</f>
        <v>2.4234411899233196E-2</v>
      </c>
      <c r="G135" s="76">
        <f>G131-G133</f>
        <v>65720.065708407375</v>
      </c>
      <c r="H135" s="89">
        <f>G135/G12</f>
        <v>0.11843027165967036</v>
      </c>
      <c r="I135" s="76">
        <f>I131-I133</f>
        <v>75121.675453329037</v>
      </c>
      <c r="J135" s="89">
        <f>I135/I12</f>
        <v>0.15331057716078747</v>
      </c>
      <c r="K135" s="28">
        <f>K131-K133</f>
        <v>64181.109094351348</v>
      </c>
      <c r="L135" s="89">
        <f>K135/K12</f>
        <v>0.14321284931573575</v>
      </c>
      <c r="M135" s="28">
        <f>M131-M133</f>
        <v>116005.77221825933</v>
      </c>
      <c r="N135" s="89">
        <f>M135/M12</f>
        <v>0.1825502267171982</v>
      </c>
      <c r="O135" s="28">
        <f>O131-O133</f>
        <v>60201.226001002229</v>
      </c>
      <c r="P135" s="89">
        <f>O135/O12</f>
        <v>0.14963341313607831</v>
      </c>
      <c r="Q135" s="28">
        <f>Q131-Q133</f>
        <v>78707.296791278699</v>
      </c>
      <c r="R135" s="89">
        <f>Q135/Q12</f>
        <v>0.15754619118443666</v>
      </c>
      <c r="S135" s="28">
        <f>S131-S133</f>
        <v>54018.020297905139</v>
      </c>
      <c r="T135" s="89">
        <f>S135/S12</f>
        <v>0.10733430857664079</v>
      </c>
      <c r="U135" s="52">
        <f>U131-U133</f>
        <v>30653.695112390691</v>
      </c>
      <c r="V135" s="89">
        <f>U135/U12</f>
        <v>7.678854743457543E-2</v>
      </c>
      <c r="W135" s="52">
        <f>W131-W133</f>
        <v>36038.158277245202</v>
      </c>
      <c r="X135" s="89">
        <f>W135/W12</f>
        <v>8.87292369622565E-2</v>
      </c>
      <c r="Y135" s="52">
        <f>Y131-Y133</f>
        <v>112927.02568551806</v>
      </c>
      <c r="Z135" s="89">
        <f>Y135/Y12</f>
        <v>0.18404936233306035</v>
      </c>
      <c r="AA135" s="52">
        <f>AA131-AA133</f>
        <v>738729.58432135533</v>
      </c>
      <c r="AB135" s="89">
        <f>AA135/AA12</f>
        <v>0.12921210194189597</v>
      </c>
      <c r="AC135" s="52">
        <f t="shared" si="41"/>
        <v>61560.798693446275</v>
      </c>
      <c r="AD135" s="89">
        <f>AC135/AC12</f>
        <v>0.12921210194189597</v>
      </c>
      <c r="AE135" s="562"/>
      <c r="AF135" s="562"/>
      <c r="AG135" s="562"/>
    </row>
    <row r="136" spans="1:35" s="1" customFormat="1" ht="15.75" thickTop="1">
      <c r="A136" s="21">
        <v>6501</v>
      </c>
      <c r="B136" s="21" t="s">
        <v>148</v>
      </c>
      <c r="C136" s="82"/>
      <c r="D136" s="24">
        <f>C136/C12</f>
        <v>0</v>
      </c>
      <c r="E136" s="114"/>
      <c r="F136" s="24">
        <f>E136/E12</f>
        <v>0</v>
      </c>
      <c r="G136" s="82"/>
      <c r="H136" s="24">
        <f>G136/G12</f>
        <v>0</v>
      </c>
      <c r="I136" s="82"/>
      <c r="J136" s="24">
        <f>I136/I12</f>
        <v>0</v>
      </c>
      <c r="K136" s="32"/>
      <c r="L136" s="24">
        <f>K136/K12</f>
        <v>0</v>
      </c>
      <c r="M136" s="32">
        <v>0</v>
      </c>
      <c r="N136" s="24">
        <f>M136/M12</f>
        <v>0</v>
      </c>
      <c r="O136" s="32"/>
      <c r="P136" s="24">
        <f>O136/O12</f>
        <v>0</v>
      </c>
      <c r="Q136" s="32"/>
      <c r="R136" s="24">
        <f>Q136/Q12</f>
        <v>0</v>
      </c>
      <c r="S136" s="32"/>
      <c r="T136" s="24">
        <f>S136/S12</f>
        <v>0</v>
      </c>
      <c r="U136" s="82"/>
      <c r="V136" s="24">
        <f>U136/U12</f>
        <v>0</v>
      </c>
      <c r="W136" s="82"/>
      <c r="X136" s="24">
        <f>W136/W12</f>
        <v>0</v>
      </c>
      <c r="Y136" s="82"/>
      <c r="Z136" s="24">
        <f>Y136/Y12</f>
        <v>0</v>
      </c>
      <c r="AA136" s="144">
        <f t="shared" ref="AA136:AA143" si="78">C136+E136+G136+I136+K136+M136+O136+Q136+S136+U136+W136+Y136</f>
        <v>0</v>
      </c>
      <c r="AB136" s="24">
        <f>AA136/AA12</f>
        <v>0</v>
      </c>
      <c r="AC136" s="128">
        <f t="shared" si="41"/>
        <v>0</v>
      </c>
      <c r="AD136" s="24">
        <f>AC136/AC12</f>
        <v>0</v>
      </c>
      <c r="AE136" s="579"/>
      <c r="AF136" s="579"/>
      <c r="AG136" s="579"/>
    </row>
    <row r="137" spans="1:35" s="1" customFormat="1">
      <c r="A137" s="188">
        <v>6502</v>
      </c>
      <c r="B137" s="21" t="s">
        <v>136</v>
      </c>
      <c r="C137" s="215">
        <v>38902</v>
      </c>
      <c r="D137" s="24">
        <f>C137/C12</f>
        <v>9.0470135634272919E-2</v>
      </c>
      <c r="E137" s="215">
        <v>38902</v>
      </c>
      <c r="F137" s="24">
        <f>E137/E12</f>
        <v>0.11628530242653819</v>
      </c>
      <c r="G137" s="371">
        <v>38902</v>
      </c>
      <c r="H137" s="24">
        <f>G137/G12</f>
        <v>7.0103010069192825E-2</v>
      </c>
      <c r="I137" s="215">
        <v>38902</v>
      </c>
      <c r="J137" s="24">
        <f>I137/I12</f>
        <v>7.9392372929891222E-2</v>
      </c>
      <c r="K137" s="215">
        <v>38902</v>
      </c>
      <c r="L137" s="24">
        <f>K137/K12</f>
        <v>8.6805390911686278E-2</v>
      </c>
      <c r="M137" s="33">
        <v>38902</v>
      </c>
      <c r="N137" s="24">
        <f>M137/M12</f>
        <v>6.1217375514652679E-2</v>
      </c>
      <c r="O137" s="33">
        <v>38903</v>
      </c>
      <c r="P137" s="24">
        <f>O137/O12</f>
        <v>9.6695516983922272E-2</v>
      </c>
      <c r="Q137" s="215">
        <v>38902.18</v>
      </c>
      <c r="R137" s="24">
        <f>Q137/Q12</f>
        <v>7.7869403951508737E-2</v>
      </c>
      <c r="S137" s="215">
        <v>38902.18</v>
      </c>
      <c r="T137" s="24">
        <f>S137/S12</f>
        <v>7.7298993361775509E-2</v>
      </c>
      <c r="U137" s="215">
        <v>38902</v>
      </c>
      <c r="V137" s="24">
        <f>U137/U12</f>
        <v>9.7450831338515218E-2</v>
      </c>
      <c r="W137" s="215">
        <v>38902</v>
      </c>
      <c r="X137" s="24">
        <f>W137/W12</f>
        <v>9.5780276831881381E-2</v>
      </c>
      <c r="Y137" s="215">
        <v>38902</v>
      </c>
      <c r="Z137" s="24">
        <f>Y137/Y12</f>
        <v>6.3402788216699743E-2</v>
      </c>
      <c r="AA137" s="144">
        <f t="shared" si="78"/>
        <v>466825.36</v>
      </c>
      <c r="AB137" s="24">
        <f>AA137/AA12</f>
        <v>8.1652998993935869E-2</v>
      </c>
      <c r="AC137" s="128">
        <f t="shared" si="41"/>
        <v>38902.113333333335</v>
      </c>
      <c r="AD137" s="24">
        <f>AC137/AC12</f>
        <v>8.1652998993935869E-2</v>
      </c>
      <c r="AE137" s="579"/>
      <c r="AF137" s="579"/>
      <c r="AG137" s="579"/>
      <c r="AI137" s="686" t="e">
        <f>#REF!+#REF!</f>
        <v>#REF!</v>
      </c>
    </row>
    <row r="138" spans="1:35" s="1" customFormat="1">
      <c r="A138" s="188">
        <v>6503</v>
      </c>
      <c r="B138" s="21" t="s">
        <v>137</v>
      </c>
      <c r="C138" s="513">
        <v>5549</v>
      </c>
      <c r="D138" s="24">
        <f>C138/C12</f>
        <v>1.2904703681933588E-2</v>
      </c>
      <c r="E138" s="513">
        <v>5548</v>
      </c>
      <c r="F138" s="24">
        <f>E138/E12</f>
        <v>1.6584002309969509E-2</v>
      </c>
      <c r="G138" s="371">
        <v>5549</v>
      </c>
      <c r="H138" s="24">
        <f>G138/G12</f>
        <v>9.9995270904825202E-3</v>
      </c>
      <c r="I138" s="513">
        <v>5548</v>
      </c>
      <c r="J138" s="24">
        <f>I138/I12</f>
        <v>1.1322525448949579E-2</v>
      </c>
      <c r="K138" s="513">
        <v>5549</v>
      </c>
      <c r="L138" s="24">
        <f>K138/K12</f>
        <v>1.2381962731194979E-2</v>
      </c>
      <c r="M138" s="33">
        <v>5547</v>
      </c>
      <c r="N138" s="677">
        <f>M138/M12</f>
        <v>8.7289286406811578E-3</v>
      </c>
      <c r="O138" s="33">
        <v>5549</v>
      </c>
      <c r="P138" s="24">
        <f>O138/O12</f>
        <v>1.3792340532704025E-2</v>
      </c>
      <c r="Q138" s="513">
        <v>5548.97</v>
      </c>
      <c r="R138" s="24">
        <f>Q138/Q12</f>
        <v>1.110721780745458E-2</v>
      </c>
      <c r="S138" s="513">
        <v>5548.97</v>
      </c>
      <c r="T138" s="24">
        <f>S138/S12</f>
        <v>1.1025854982797659E-2</v>
      </c>
      <c r="U138" s="513">
        <v>5548</v>
      </c>
      <c r="V138" s="24">
        <f>U138/U12</f>
        <v>1.3897928442395825E-2</v>
      </c>
      <c r="W138" s="513">
        <v>5548</v>
      </c>
      <c r="X138" s="24">
        <f>W138/W12</f>
        <v>1.3659682686321471E-2</v>
      </c>
      <c r="Y138" s="513">
        <v>5548</v>
      </c>
      <c r="Z138" s="24">
        <f>Y138/Y12</f>
        <v>9.0421744133013775E-3</v>
      </c>
      <c r="AA138" s="144">
        <f t="shared" si="78"/>
        <v>66580.94</v>
      </c>
      <c r="AB138" s="326">
        <f>AA138/AA12</f>
        <v>1.1645754264154169E-2</v>
      </c>
      <c r="AC138" s="128">
        <f t="shared" si="41"/>
        <v>5548.4116666666669</v>
      </c>
      <c r="AD138" s="326">
        <f>AC138/AC12</f>
        <v>1.1645754264154169E-2</v>
      </c>
      <c r="AE138" s="584"/>
      <c r="AF138" s="584"/>
      <c r="AG138" s="584"/>
    </row>
    <row r="139" spans="1:35" s="1" customFormat="1">
      <c r="A139" s="188">
        <v>6504</v>
      </c>
      <c r="B139" s="21" t="s">
        <v>138</v>
      </c>
      <c r="C139" s="83"/>
      <c r="D139" s="24">
        <f>C139/C12</f>
        <v>0</v>
      </c>
      <c r="E139" s="121"/>
      <c r="F139" s="24">
        <f>E139/E12</f>
        <v>0</v>
      </c>
      <c r="G139" s="83"/>
      <c r="H139" s="24">
        <f>G139/G12</f>
        <v>0</v>
      </c>
      <c r="I139" s="83">
        <v>0</v>
      </c>
      <c r="J139" s="24">
        <f>I139/I12</f>
        <v>0</v>
      </c>
      <c r="K139" s="121"/>
      <c r="L139" s="24">
        <f>K139/K12</f>
        <v>0</v>
      </c>
      <c r="M139" s="48"/>
      <c r="N139" s="24">
        <f>M139/M12</f>
        <v>0</v>
      </c>
      <c r="O139" s="48"/>
      <c r="P139" s="24">
        <f>O139/O12</f>
        <v>0</v>
      </c>
      <c r="Q139" s="121"/>
      <c r="R139" s="24">
        <f>Q139/Q12</f>
        <v>0</v>
      </c>
      <c r="S139" s="121"/>
      <c r="T139" s="24">
        <f>S139/S12</f>
        <v>0</v>
      </c>
      <c r="U139" s="121"/>
      <c r="V139" s="24">
        <f>U139/U12</f>
        <v>0</v>
      </c>
      <c r="W139" s="121"/>
      <c r="X139" s="24">
        <f>W139/W12</f>
        <v>0</v>
      </c>
      <c r="Y139" s="121"/>
      <c r="Z139" s="24">
        <f>Y139/Y12</f>
        <v>0</v>
      </c>
      <c r="AA139" s="144">
        <f t="shared" si="78"/>
        <v>0</v>
      </c>
      <c r="AB139" s="24">
        <f>AA139/AA12</f>
        <v>0</v>
      </c>
      <c r="AC139" s="128">
        <f t="shared" si="41"/>
        <v>0</v>
      </c>
      <c r="AD139" s="24">
        <f>AC139/AC12</f>
        <v>0</v>
      </c>
      <c r="AE139" s="579"/>
      <c r="AF139" s="579"/>
      <c r="AG139" s="579"/>
    </row>
    <row r="140" spans="1:35" s="1" customFormat="1">
      <c r="A140" s="188">
        <v>6505</v>
      </c>
      <c r="B140" s="188" t="s">
        <v>139</v>
      </c>
      <c r="C140" s="83"/>
      <c r="D140" s="24">
        <f>C140/C12</f>
        <v>0</v>
      </c>
      <c r="E140" s="121"/>
      <c r="F140" s="24">
        <f>E140/E12</f>
        <v>0</v>
      </c>
      <c r="G140" s="83"/>
      <c r="H140" s="24">
        <f>G140/G12</f>
        <v>0</v>
      </c>
      <c r="I140" s="83">
        <v>0</v>
      </c>
      <c r="J140" s="24">
        <f>I140/I12</f>
        <v>0</v>
      </c>
      <c r="K140" s="121"/>
      <c r="L140" s="24">
        <f>K140/K12</f>
        <v>0</v>
      </c>
      <c r="M140" s="48"/>
      <c r="N140" s="24">
        <f>M140/M12</f>
        <v>0</v>
      </c>
      <c r="O140" s="48"/>
      <c r="P140" s="24">
        <f>O140/O12</f>
        <v>0</v>
      </c>
      <c r="Q140" s="121"/>
      <c r="R140" s="24">
        <f>Q140/Q12</f>
        <v>0</v>
      </c>
      <c r="S140" s="121"/>
      <c r="T140" s="24">
        <f>S140/S12</f>
        <v>0</v>
      </c>
      <c r="U140" s="121"/>
      <c r="V140" s="24">
        <f>U140/U12</f>
        <v>0</v>
      </c>
      <c r="W140" s="121"/>
      <c r="X140" s="24">
        <f>W140/W12</f>
        <v>0</v>
      </c>
      <c r="Y140" s="121"/>
      <c r="Z140" s="24">
        <f>Y140/Y12</f>
        <v>0</v>
      </c>
      <c r="AA140" s="144">
        <f t="shared" si="78"/>
        <v>0</v>
      </c>
      <c r="AB140" s="24">
        <f>AA140/AA12</f>
        <v>0</v>
      </c>
      <c r="AC140" s="128">
        <f t="shared" si="41"/>
        <v>0</v>
      </c>
      <c r="AD140" s="24">
        <f>AC140/AC12</f>
        <v>0</v>
      </c>
      <c r="AE140" s="579"/>
      <c r="AF140" s="579"/>
      <c r="AG140" s="579"/>
    </row>
    <row r="141" spans="1:35" s="1" customFormat="1">
      <c r="A141" s="188">
        <v>6506</v>
      </c>
      <c r="B141" s="188" t="s">
        <v>229</v>
      </c>
      <c r="C141" s="33"/>
      <c r="D141" s="106">
        <f>C141/C12</f>
        <v>0</v>
      </c>
      <c r="E141" s="33"/>
      <c r="F141" s="106">
        <f>E141/E12</f>
        <v>0</v>
      </c>
      <c r="G141" s="33"/>
      <c r="H141" s="106">
        <f>G141/G12</f>
        <v>0</v>
      </c>
      <c r="I141" s="33">
        <v>0</v>
      </c>
      <c r="J141" s="106">
        <f>I141/I12</f>
        <v>0</v>
      </c>
      <c r="K141" s="33"/>
      <c r="L141" s="106">
        <f>K141/K12</f>
        <v>0</v>
      </c>
      <c r="M141" s="33"/>
      <c r="N141" s="106">
        <f>M141/M12</f>
        <v>0</v>
      </c>
      <c r="O141" s="33"/>
      <c r="P141" s="106">
        <f>O141/O12</f>
        <v>0</v>
      </c>
      <c r="Q141" s="33"/>
      <c r="R141" s="106">
        <f>Q141/Q12</f>
        <v>0</v>
      </c>
      <c r="S141" s="33"/>
      <c r="T141" s="106">
        <f>S141/S12</f>
        <v>0</v>
      </c>
      <c r="U141" s="33"/>
      <c r="V141" s="106">
        <f>U141/U12</f>
        <v>0</v>
      </c>
      <c r="W141" s="33"/>
      <c r="X141" s="106">
        <f>W141/W12</f>
        <v>0</v>
      </c>
      <c r="Y141" s="33"/>
      <c r="Z141" s="106">
        <f>Y141/Y12</f>
        <v>0</v>
      </c>
      <c r="AA141" s="144">
        <f t="shared" si="78"/>
        <v>0</v>
      </c>
      <c r="AB141" s="106">
        <f>AA141/AA12</f>
        <v>0</v>
      </c>
      <c r="AC141" s="144">
        <f t="shared" si="41"/>
        <v>0</v>
      </c>
      <c r="AD141" s="106">
        <f>AC141/AC12</f>
        <v>0</v>
      </c>
      <c r="AE141" s="567"/>
      <c r="AF141" s="567"/>
      <c r="AG141" s="567"/>
    </row>
    <row r="142" spans="1:35" s="1" customFormat="1">
      <c r="A142" s="188">
        <v>6604</v>
      </c>
      <c r="B142" s="188" t="s">
        <v>145</v>
      </c>
      <c r="C142" s="26">
        <v>25403</v>
      </c>
      <c r="D142" s="106">
        <f>C142/C12</f>
        <v>5.9076984615635056E-2</v>
      </c>
      <c r="E142" s="26">
        <v>25403</v>
      </c>
      <c r="F142" s="106">
        <f>E142/E12</f>
        <v>7.5934284549415185E-2</v>
      </c>
      <c r="G142" s="26">
        <v>25403</v>
      </c>
      <c r="H142" s="106">
        <f>G142/G12</f>
        <v>4.5777254762935204E-2</v>
      </c>
      <c r="I142" s="26">
        <v>25403</v>
      </c>
      <c r="J142" s="106">
        <f>I142/I12</f>
        <v>5.184320727823831E-2</v>
      </c>
      <c r="K142" s="26">
        <v>25403</v>
      </c>
      <c r="L142" s="106">
        <f>K142/K12</f>
        <v>5.668390687701317E-2</v>
      </c>
      <c r="M142" s="26">
        <v>25403</v>
      </c>
      <c r="N142" s="106">
        <f>M142/M12</f>
        <v>3.9974936769284923E-2</v>
      </c>
      <c r="O142" s="26">
        <v>25403</v>
      </c>
      <c r="P142" s="106">
        <f>O142/O12</f>
        <v>6.3140534610250557E-2</v>
      </c>
      <c r="Q142" s="26">
        <v>25403</v>
      </c>
      <c r="R142" s="106">
        <f>Q142/Q12</f>
        <v>5.0848473493777892E-2</v>
      </c>
      <c r="S142" s="26">
        <v>25403</v>
      </c>
      <c r="T142" s="106">
        <f>S142/S12</f>
        <v>5.0475997190110762E-2</v>
      </c>
      <c r="U142" s="26">
        <v>25403</v>
      </c>
      <c r="V142" s="106">
        <f>U142/U12</f>
        <v>6.3635377833846637E-2</v>
      </c>
      <c r="W142" s="26">
        <v>25403</v>
      </c>
      <c r="X142" s="106">
        <f>W142/W12</f>
        <v>6.2544505998670577E-2</v>
      </c>
      <c r="Y142" s="26">
        <v>25403</v>
      </c>
      <c r="Z142" s="106">
        <f>Y142/Y12</f>
        <v>4.1402010926657337E-2</v>
      </c>
      <c r="AA142" s="144">
        <f t="shared" si="78"/>
        <v>304836</v>
      </c>
      <c r="AB142" s="106">
        <f>AA142/AA12</f>
        <v>5.3319240414264203E-2</v>
      </c>
      <c r="AC142" s="128">
        <f t="shared" si="41"/>
        <v>25403</v>
      </c>
      <c r="AD142" s="106">
        <f>AC142/AC12</f>
        <v>5.3319240414264203E-2</v>
      </c>
      <c r="AE142" s="567"/>
      <c r="AF142" s="567"/>
      <c r="AG142" s="567"/>
    </row>
    <row r="143" spans="1:35" s="1" customFormat="1">
      <c r="A143" s="2"/>
      <c r="B143" s="2"/>
      <c r="C143" s="61"/>
      <c r="D143" s="24">
        <f>C143/C12</f>
        <v>0</v>
      </c>
      <c r="E143" s="114"/>
      <c r="F143" s="24">
        <f>E143/E12</f>
        <v>0</v>
      </c>
      <c r="G143" s="61"/>
      <c r="H143" s="24">
        <f>G143/G12</f>
        <v>0</v>
      </c>
      <c r="I143" s="61">
        <v>0</v>
      </c>
      <c r="J143" s="24">
        <f>I143/I12</f>
        <v>0</v>
      </c>
      <c r="K143" s="61">
        <v>0</v>
      </c>
      <c r="L143" s="24">
        <f>K143/K12</f>
        <v>0</v>
      </c>
      <c r="M143" s="26"/>
      <c r="N143" s="24">
        <f>M143/M12</f>
        <v>0</v>
      </c>
      <c r="O143" s="26"/>
      <c r="P143" s="24">
        <f>O143/O12</f>
        <v>0</v>
      </c>
      <c r="Q143" s="26"/>
      <c r="R143" s="24">
        <f>Q143/Q12</f>
        <v>0</v>
      </c>
      <c r="S143" s="26"/>
      <c r="T143" s="24">
        <f>S143/S12</f>
        <v>0</v>
      </c>
      <c r="U143" s="61"/>
      <c r="V143" s="24">
        <f>U143/U12</f>
        <v>0</v>
      </c>
      <c r="W143" s="61"/>
      <c r="X143" s="24">
        <f>W143/W12</f>
        <v>0</v>
      </c>
      <c r="Y143" s="61"/>
      <c r="Z143" s="24">
        <f>Y143/Y12</f>
        <v>0</v>
      </c>
      <c r="AA143" s="144">
        <f t="shared" si="78"/>
        <v>0</v>
      </c>
      <c r="AB143" s="24">
        <f>AA143/AA12</f>
        <v>0</v>
      </c>
      <c r="AC143" s="128">
        <f t="shared" si="41"/>
        <v>0</v>
      </c>
      <c r="AD143" s="24">
        <f>AC143/AC12</f>
        <v>0</v>
      </c>
      <c r="AE143" s="579"/>
      <c r="AF143" s="579"/>
      <c r="AG143" s="579"/>
    </row>
    <row r="144" spans="1:35" s="1" customFormat="1" ht="15" customHeight="1">
      <c r="A144" s="63">
        <v>6798</v>
      </c>
      <c r="B144" s="63" t="s">
        <v>205</v>
      </c>
      <c r="C144" s="79">
        <f>SUM(C136:C143)</f>
        <v>69854</v>
      </c>
      <c r="D144" s="87">
        <f>C144/C12</f>
        <v>0.16245182393184157</v>
      </c>
      <c r="E144" s="79">
        <f>SUM(E136:E143)</f>
        <v>69853</v>
      </c>
      <c r="F144" s="87">
        <f>E144/E12</f>
        <v>0.20880358928592288</v>
      </c>
      <c r="G144" s="79">
        <f>SUM(G136:G143)</f>
        <v>69854</v>
      </c>
      <c r="H144" s="87">
        <f>G144/G12</f>
        <v>0.12587979192261053</v>
      </c>
      <c r="I144" s="79">
        <f>SUM(I136:I143)</f>
        <v>69853</v>
      </c>
      <c r="J144" s="87">
        <f>I144/I12</f>
        <v>0.1425581056570791</v>
      </c>
      <c r="K144" s="79">
        <f>SUM(K136:K143)</f>
        <v>69854</v>
      </c>
      <c r="L144" s="87">
        <f>K144/K12</f>
        <v>0.15587126051989442</v>
      </c>
      <c r="M144" s="29">
        <f>SUM(M136:M143)</f>
        <v>69852</v>
      </c>
      <c r="N144" s="87">
        <f>M144/M12</f>
        <v>0.10992124092461876</v>
      </c>
      <c r="O144" s="29">
        <f>SUM(O136:O143)</f>
        <v>69855</v>
      </c>
      <c r="P144" s="87">
        <f>O144/O12</f>
        <v>0.17362839212687686</v>
      </c>
      <c r="Q144" s="79">
        <f>SUM(Q136:Q143)</f>
        <v>69854.149999999994</v>
      </c>
      <c r="R144" s="87">
        <f>Q144/Q12</f>
        <v>0.1398250952527412</v>
      </c>
      <c r="S144" s="79">
        <f>SUM(S136:S143)</f>
        <v>69854.149999999994</v>
      </c>
      <c r="T144" s="87">
        <f t="shared" ref="T144" si="79">S144/S$12</f>
        <v>0.13880084553468391</v>
      </c>
      <c r="U144" s="79">
        <f>SUM(U136:U143)</f>
        <v>69853</v>
      </c>
      <c r="V144" s="87">
        <f>U144/U12</f>
        <v>0.17498413761475767</v>
      </c>
      <c r="W144" s="79">
        <f>SUM(W136:W143)</f>
        <v>69853</v>
      </c>
      <c r="X144" s="87">
        <f>W144/W12</f>
        <v>0.17198446551687341</v>
      </c>
      <c r="Y144" s="79">
        <f>SUM(Y136:Y143)</f>
        <v>69853</v>
      </c>
      <c r="Z144" s="87">
        <f t="shared" ref="Z144" si="80">Y144/Y$12</f>
        <v>0.11384697355665846</v>
      </c>
      <c r="AA144" s="152">
        <f>SUM(AA136:AA143)</f>
        <v>838242.3</v>
      </c>
      <c r="AB144" s="153">
        <f t="shared" ref="AB144" si="81">AA144/AA$12</f>
        <v>0.14661799367235426</v>
      </c>
      <c r="AC144" s="137">
        <f t="shared" ref="AC144:AC152" si="82">AA144/12</f>
        <v>69853.525000000009</v>
      </c>
      <c r="AD144" s="138">
        <f t="shared" ref="AD144" si="83">AC144/AC$12</f>
        <v>0.14661799367235426</v>
      </c>
      <c r="AE144" s="568"/>
      <c r="AF144" s="568"/>
      <c r="AG144" s="568"/>
    </row>
    <row r="145" spans="1:35" s="1" customFormat="1">
      <c r="A145" s="200">
        <v>6799</v>
      </c>
      <c r="B145" s="63" t="s">
        <v>135</v>
      </c>
      <c r="C145" s="203">
        <f>C41+C76+C93+C115+C129+C144+C133</f>
        <v>234234.67656217082</v>
      </c>
      <c r="D145" s="202">
        <f>C145/C12</f>
        <v>0.5447340228993276</v>
      </c>
      <c r="E145" s="203">
        <f>E41+E76+E93+E115+E129+E144+E133</f>
        <v>237262.56919287032</v>
      </c>
      <c r="F145" s="202">
        <f>E145/E12</f>
        <v>0.70922188095960015</v>
      </c>
      <c r="G145" s="203">
        <f>G41+G76+G93+G115+G129+G144+G133</f>
        <v>243612.07126335084</v>
      </c>
      <c r="H145" s="202">
        <f>G145/G12</f>
        <v>0.43899900994168944</v>
      </c>
      <c r="I145" s="203">
        <f>I41+I76+I93+I115+I129+I144+I133</f>
        <v>262509.51434257405</v>
      </c>
      <c r="J145" s="202">
        <f>I145/I12</f>
        <v>0.53573732096885163</v>
      </c>
      <c r="K145" s="298">
        <f>K41+K76+K93+K115+K129+K144+K133</f>
        <v>259659.45810747807</v>
      </c>
      <c r="L145" s="202">
        <f>K145/K12</f>
        <v>0.57940056462228828</v>
      </c>
      <c r="M145" s="298">
        <f>M41+M76+M93+M115+M129+M144+M133</f>
        <v>254492.77627214525</v>
      </c>
      <c r="N145" s="202">
        <f>M145/M12</f>
        <v>0.40047760657082943</v>
      </c>
      <c r="O145" s="298">
        <f>O41+O76+O93+O115+O129+O144+O133</f>
        <v>242349.80606525418</v>
      </c>
      <c r="P145" s="202">
        <f>O145/O12</f>
        <v>0.60237359042832317</v>
      </c>
      <c r="Q145" s="298">
        <f>Q41+Q76+Q93+Q115+Q129+Q144+Q133</f>
        <v>272211.67580119043</v>
      </c>
      <c r="R145" s="202">
        <f>Q145/Q12</f>
        <v>0.54487848607147549</v>
      </c>
      <c r="S145" s="298">
        <f>S41+S76+S93+S115+S129+S144+S133</f>
        <v>254286.57289731249</v>
      </c>
      <c r="T145" s="202">
        <f>S145/S12</f>
        <v>0.50526978463361183</v>
      </c>
      <c r="U145" s="201">
        <f>U41+U76+U93+U115+U129+U144+U133</f>
        <v>238467.55766125713</v>
      </c>
      <c r="V145" s="202">
        <f>U145/U12</f>
        <v>0.59736933168872608</v>
      </c>
      <c r="W145" s="201">
        <f>W41+W76+W93+W115+W129+W144+W133</f>
        <v>241639.98265162588</v>
      </c>
      <c r="X145" s="202">
        <f>W145/W12</f>
        <v>0.59493970572268107</v>
      </c>
      <c r="Y145" s="201">
        <f>Y41+Y76+Y93+Y115+Y129+Y144+Y133</f>
        <v>247630.50358455488</v>
      </c>
      <c r="Z145" s="202">
        <f>Y145/Y12</f>
        <v>0.40359015924030228</v>
      </c>
      <c r="AA145" s="201">
        <f>AA41+AA76+AA93+AA115+AA129+AA144+AA133</f>
        <v>2988357.1644017845</v>
      </c>
      <c r="AB145" s="690">
        <f>AA145/AA12</f>
        <v>0.52269723422570691</v>
      </c>
      <c r="AC145" s="201">
        <f t="shared" si="82"/>
        <v>249029.7637001487</v>
      </c>
      <c r="AD145" s="202">
        <f>AC145/AC12</f>
        <v>0.52269723422570691</v>
      </c>
      <c r="AE145" s="585"/>
      <c r="AF145" s="585"/>
      <c r="AG145" s="585"/>
      <c r="AI145" s="686" t="e">
        <f>#REF!-#REF!</f>
        <v>#REF!</v>
      </c>
    </row>
    <row r="146" spans="1:35" s="1" customFormat="1" ht="15.75" thickBot="1">
      <c r="A146" s="11">
        <v>6999</v>
      </c>
      <c r="B146" s="11" t="s">
        <v>144</v>
      </c>
      <c r="C146" s="80">
        <f>C135-C144</f>
        <v>-29375.511312170791</v>
      </c>
      <c r="D146" s="88">
        <f>C146/C12</f>
        <v>-6.8315420614318279E-2</v>
      </c>
      <c r="E146" s="80">
        <f>E135-E144</f>
        <v>-61745.637573010987</v>
      </c>
      <c r="F146" s="88">
        <f>E146/E12</f>
        <v>-0.18456917738668968</v>
      </c>
      <c r="G146" s="80">
        <f>G135-G144</f>
        <v>-4133.9342915926245</v>
      </c>
      <c r="H146" s="88">
        <f>G146/G12</f>
        <v>-7.4495202629401899E-3</v>
      </c>
      <c r="I146" s="80">
        <f>I135-I144</f>
        <v>5268.6754533290368</v>
      </c>
      <c r="J146" s="88">
        <f>I146/I12</f>
        <v>1.0752471503708359E-2</v>
      </c>
      <c r="K146" s="30">
        <f>K135-K144</f>
        <v>-5672.8909056486518</v>
      </c>
      <c r="L146" s="88">
        <f>K146/K12</f>
        <v>-1.2658411204158686E-2</v>
      </c>
      <c r="M146" s="30">
        <f>M135-M144</f>
        <v>46153.772218259328</v>
      </c>
      <c r="N146" s="88">
        <f>M146/M12</f>
        <v>7.2628985792579454E-2</v>
      </c>
      <c r="O146" s="30">
        <f>O135-O144</f>
        <v>-9653.7739989977708</v>
      </c>
      <c r="P146" s="88">
        <f>O146/O12</f>
        <v>-2.3994978990798554E-2</v>
      </c>
      <c r="Q146" s="300">
        <f>Q135-Q144</f>
        <v>8853.1467912787048</v>
      </c>
      <c r="R146" s="88">
        <f>Q146/Q12</f>
        <v>1.772109593169547E-2</v>
      </c>
      <c r="S146" s="30">
        <f>S135-S144</f>
        <v>-15836.129702094855</v>
      </c>
      <c r="T146" s="88">
        <f>S146/S12</f>
        <v>-3.1466536958043127E-2</v>
      </c>
      <c r="U146" s="30">
        <f>U135-U144</f>
        <v>-39199.304887609309</v>
      </c>
      <c r="V146" s="88">
        <f>U146/U12</f>
        <v>-9.8195590180182257E-2</v>
      </c>
      <c r="W146" s="300">
        <f>W135-W144</f>
        <v>-33814.841722754798</v>
      </c>
      <c r="X146" s="88">
        <f>W146/W12</f>
        <v>-8.3255228554616909E-2</v>
      </c>
      <c r="Y146" s="30">
        <f>Y135-Y144</f>
        <v>43074.025685518063</v>
      </c>
      <c r="Z146" s="88">
        <f>Y146/Y12</f>
        <v>7.0202388776401906E-2</v>
      </c>
      <c r="AA146" s="389">
        <f>AA135-AA144</f>
        <v>-99512.715678644716</v>
      </c>
      <c r="AB146" s="88">
        <f>AA146/AA12</f>
        <v>-1.7405891730458267E-2</v>
      </c>
      <c r="AC146" s="132">
        <f t="shared" si="82"/>
        <v>-8292.7263065537263</v>
      </c>
      <c r="AD146" s="88">
        <f>AC146/AC12</f>
        <v>-1.7405891730458267E-2</v>
      </c>
      <c r="AE146" s="569"/>
      <c r="AF146" s="569"/>
      <c r="AG146" s="569"/>
    </row>
    <row r="147" spans="1:35" s="1" customFormat="1" ht="15.75" thickTop="1">
      <c r="C147" s="83"/>
      <c r="D147" s="19"/>
      <c r="E147" s="83"/>
      <c r="F147" s="19"/>
      <c r="G147" s="83"/>
      <c r="H147" s="19"/>
      <c r="I147" s="83"/>
      <c r="J147" s="19"/>
      <c r="K147" s="3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>
        <f t="shared" si="82"/>
        <v>0</v>
      </c>
      <c r="AD147" s="19"/>
      <c r="AE147" s="586"/>
      <c r="AF147" s="586"/>
      <c r="AG147" s="586"/>
    </row>
    <row r="148" spans="1:35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si="82"/>
        <v>0</v>
      </c>
      <c r="AD148" s="246">
        <f>AC148/AC12</f>
        <v>0</v>
      </c>
      <c r="AE148" s="570"/>
      <c r="AF148" s="570"/>
      <c r="AG148" s="570"/>
    </row>
    <row r="149" spans="1:35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>
        <f t="shared" si="82"/>
        <v>0</v>
      </c>
      <c r="AD149" s="106"/>
      <c r="AE149" s="567"/>
      <c r="AF149" s="567"/>
      <c r="AG149" s="567"/>
    </row>
    <row r="150" spans="1:35" s="1" customFormat="1" ht="15.75" customHeight="1" thickBot="1">
      <c r="A150" s="223"/>
      <c r="B150" s="404" t="s">
        <v>232</v>
      </c>
      <c r="C150" s="685">
        <f>C146*10%</f>
        <v>-2937.5511312170793</v>
      </c>
      <c r="D150" s="406"/>
      <c r="E150" s="685">
        <f>E146*10%</f>
        <v>-6174.563757301099</v>
      </c>
      <c r="F150" s="407"/>
      <c r="G150" s="685">
        <f>G146*10%</f>
        <v>-413.3934291592625</v>
      </c>
      <c r="H150" s="407"/>
      <c r="I150" s="685">
        <f>I146*10%</f>
        <v>526.86754533290366</v>
      </c>
      <c r="J150" s="407"/>
      <c r="K150" s="685">
        <f>K146*10%</f>
        <v>-567.28909056486521</v>
      </c>
      <c r="L150" s="407"/>
      <c r="M150" s="685">
        <f>M146*10%</f>
        <v>4615.3772218259328</v>
      </c>
      <c r="N150" s="407"/>
      <c r="O150" s="685">
        <f>O146*10%</f>
        <v>-965.37739989977717</v>
      </c>
      <c r="P150" s="407"/>
      <c r="Q150" s="685">
        <f>Q146*10%</f>
        <v>885.31467912787048</v>
      </c>
      <c r="R150" s="407"/>
      <c r="S150" s="685">
        <f>S146*10%</f>
        <v>-1583.6129702094856</v>
      </c>
      <c r="T150" s="407"/>
      <c r="U150" s="685">
        <f>U146*10%</f>
        <v>-3919.930488760931</v>
      </c>
      <c r="V150" s="407"/>
      <c r="W150" s="685">
        <f>W146*10%</f>
        <v>-3381.48417227548</v>
      </c>
      <c r="X150" s="407"/>
      <c r="Y150" s="685">
        <f>Y146*10%</f>
        <v>4307.4025685518063</v>
      </c>
      <c r="Z150" s="407"/>
      <c r="AA150" s="405">
        <f>C150+E150+G150+I150+K150+M150+O150+Q150+S150+U150+W150+Y150</f>
        <v>-9608.240424549469</v>
      </c>
      <c r="AB150" s="407"/>
      <c r="AC150" s="405">
        <f t="shared" si="82"/>
        <v>-800.68670204578905</v>
      </c>
      <c r="AD150" s="407"/>
      <c r="AE150" s="649"/>
      <c r="AF150" s="363" t="s">
        <v>245</v>
      </c>
      <c r="AG150" s="363"/>
    </row>
    <row r="151" spans="1:35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>
        <f t="shared" si="82"/>
        <v>0</v>
      </c>
      <c r="AD151" s="106"/>
      <c r="AE151" s="567"/>
      <c r="AF151" s="567"/>
      <c r="AG151" s="567"/>
    </row>
    <row r="152" spans="1:35" s="1" customFormat="1" ht="19.5" customHeight="1" thickBot="1">
      <c r="A152" s="224"/>
      <c r="B152" s="232" t="s">
        <v>206</v>
      </c>
      <c r="C152" s="237">
        <f>C146-C148-C150</f>
        <v>-26437.960180953713</v>
      </c>
      <c r="D152" s="246">
        <f>C152/C12</f>
        <v>-6.1483878552886458E-2</v>
      </c>
      <c r="E152" s="237">
        <f>E146-E148-E150</f>
        <v>-55571.073815709889</v>
      </c>
      <c r="F152" s="246">
        <f>E152/E12</f>
        <v>-0.1661122596480207</v>
      </c>
      <c r="G152" s="237">
        <f>G146-G148-G150</f>
        <v>-3720.5408624333622</v>
      </c>
      <c r="H152" s="246">
        <f>G152/G12</f>
        <v>-6.7045682366461707E-3</v>
      </c>
      <c r="I152" s="237">
        <f>I146-I148-I150</f>
        <v>4741.8079079961335</v>
      </c>
      <c r="J152" s="246">
        <f>I152/I12</f>
        <v>9.6772243533375241E-3</v>
      </c>
      <c r="K152" s="237">
        <f>K146-K148-K150</f>
        <v>-5105.6018150837863</v>
      </c>
      <c r="L152" s="246">
        <f>K152/K12</f>
        <v>-1.1392570083742816E-2</v>
      </c>
      <c r="M152" s="237">
        <f>M146-M148-M150</f>
        <v>41538.394996433395</v>
      </c>
      <c r="N152" s="246">
        <f>M152/M12</f>
        <v>6.5366087213321503E-2</v>
      </c>
      <c r="O152" s="237">
        <f>O146-O148-O150</f>
        <v>-8688.3965990979941</v>
      </c>
      <c r="P152" s="246">
        <f>O152/O12</f>
        <v>-2.1595481091718702E-2</v>
      </c>
      <c r="Q152" s="810">
        <f>Q146-Q148-Q150</f>
        <v>7967.8321121508343</v>
      </c>
      <c r="R152" s="246">
        <f>Q152/Q12</f>
        <v>1.5948986338525921E-2</v>
      </c>
      <c r="S152" s="237">
        <f>S146-S148-S150</f>
        <v>-14252.516731885369</v>
      </c>
      <c r="T152" s="246">
        <f>S152/S12</f>
        <v>-2.8319883262238811E-2</v>
      </c>
      <c r="U152" s="237">
        <f>U146-U148-U150</f>
        <v>-35279.374398848377</v>
      </c>
      <c r="V152" s="246">
        <f>U152/U12</f>
        <v>-8.8376031162164026E-2</v>
      </c>
      <c r="W152" s="237">
        <f>W146-W148-W150</f>
        <v>-30433.357550479319</v>
      </c>
      <c r="X152" s="246">
        <f>W152/W12</f>
        <v>-7.4929705699155219E-2</v>
      </c>
      <c r="Y152" s="237">
        <f>Y146-Y148-Y150</f>
        <v>38766.623116966257</v>
      </c>
      <c r="Z152" s="246">
        <f>Y152/Y12</f>
        <v>6.3182149898761711E-2</v>
      </c>
      <c r="AA152" s="270">
        <f>AA146-AA148-AA150</f>
        <v>-89904.475254095247</v>
      </c>
      <c r="AB152" s="689">
        <f>AA152/$AA$12</f>
        <v>-1.5725302557412415E-2</v>
      </c>
      <c r="AC152" s="271">
        <f t="shared" si="82"/>
        <v>-7492.0396045079369</v>
      </c>
      <c r="AD152" s="246">
        <f>AC152/AC12</f>
        <v>-1.5725302557412415E-2</v>
      </c>
      <c r="AE152" s="570"/>
      <c r="AF152" s="570"/>
      <c r="AG152" s="570"/>
    </row>
    <row r="153" spans="1:35" s="1" customFormat="1" ht="15.75" thickTop="1">
      <c r="C153" s="84">
        <f>C151*0.985</f>
        <v>0</v>
      </c>
      <c r="D153" s="20"/>
      <c r="E153" s="84"/>
      <c r="F153" s="20"/>
      <c r="G153" s="84"/>
      <c r="H153" s="20"/>
      <c r="I153" s="84"/>
      <c r="J153" s="20"/>
      <c r="K153" s="33"/>
      <c r="L153" s="20"/>
      <c r="M153" s="33"/>
      <c r="N153" s="20"/>
      <c r="O153" s="33"/>
      <c r="P153" s="93"/>
      <c r="Q153" s="33"/>
      <c r="R153" s="93"/>
      <c r="S153" s="33"/>
      <c r="T153" s="93"/>
      <c r="U153" s="84"/>
      <c r="V153" s="93"/>
      <c r="W153" s="84"/>
      <c r="X153" s="93"/>
      <c r="Y153" s="84"/>
      <c r="Z153" s="93"/>
      <c r="AA153" s="142"/>
      <c r="AB153" s="143"/>
      <c r="AC153" s="126"/>
      <c r="AD153" s="127"/>
      <c r="AE153" s="557"/>
      <c r="AF153" s="557"/>
      <c r="AG153" s="557"/>
    </row>
    <row r="154" spans="1:35" s="1" customFormat="1">
      <c r="B154" s="85" t="s">
        <v>214</v>
      </c>
      <c r="C154" s="84">
        <f>C152</f>
        <v>-26437.960180953713</v>
      </c>
      <c r="D154" s="20"/>
      <c r="E154" s="84">
        <f>E152+C154</f>
        <v>-82009.033996663609</v>
      </c>
      <c r="F154" s="93"/>
      <c r="G154" s="84">
        <f>G152+E154</f>
        <v>-85729.574859096974</v>
      </c>
      <c r="H154" s="93"/>
      <c r="I154" s="84">
        <f>I152+G154</f>
        <v>-80987.766951100843</v>
      </c>
      <c r="J154" s="93"/>
      <c r="K154" s="84">
        <f>K152+I154</f>
        <v>-86093.368766184634</v>
      </c>
      <c r="L154" s="93"/>
      <c r="M154" s="33">
        <f>M152+K154</f>
        <v>-44554.973769751239</v>
      </c>
      <c r="N154" s="93"/>
      <c r="O154" s="33">
        <f>O152+M154</f>
        <v>-53243.370368849231</v>
      </c>
      <c r="P154" s="93"/>
      <c r="Q154" s="84">
        <f>Q152+O154</f>
        <v>-45275.538256698397</v>
      </c>
      <c r="R154" s="93"/>
      <c r="S154" s="84">
        <f>S152+Q154</f>
        <v>-59528.054988583768</v>
      </c>
      <c r="T154" s="93"/>
      <c r="U154" s="84">
        <f>U152+S154</f>
        <v>-94807.429387432145</v>
      </c>
      <c r="V154" s="93"/>
      <c r="W154" s="84">
        <f>W152+U154</f>
        <v>-125240.78693791147</v>
      </c>
      <c r="X154" s="93"/>
      <c r="Y154" s="84">
        <f>Y152+W154</f>
        <v>-86474.163820945221</v>
      </c>
      <c r="Z154" s="93"/>
      <c r="AA154" s="688">
        <f>AA152/0.985</f>
        <v>-91273.57893816776</v>
      </c>
      <c r="AB154" s="143"/>
      <c r="AC154" s="126"/>
      <c r="AD154" s="127"/>
      <c r="AE154" s="557"/>
      <c r="AF154" s="557"/>
      <c r="AG154" s="557"/>
    </row>
    <row r="155" spans="1:35" s="1" customFormat="1">
      <c r="C155" s="84"/>
      <c r="D155" s="20"/>
      <c r="E155" s="84"/>
      <c r="F155" s="20"/>
      <c r="G155" s="84"/>
      <c r="H155" s="20"/>
      <c r="I155" s="84"/>
      <c r="J155" s="20"/>
      <c r="K155" s="33"/>
      <c r="L155" s="20"/>
      <c r="M155" s="33"/>
      <c r="N155" s="20"/>
      <c r="O155" s="33"/>
      <c r="P155" s="93"/>
      <c r="Q155" s="33"/>
      <c r="R155" s="93"/>
      <c r="S155" s="33"/>
      <c r="T155" s="93"/>
      <c r="U155" s="84"/>
      <c r="V155" s="93"/>
      <c r="W155" s="84"/>
      <c r="X155" s="93"/>
      <c r="Y155" s="84"/>
      <c r="Z155" s="93"/>
      <c r="AA155" s="142"/>
      <c r="AB155" s="143"/>
      <c r="AC155" s="126"/>
      <c r="AD155" s="127"/>
      <c r="AE155" s="557"/>
      <c r="AF155" s="557"/>
      <c r="AG155" s="557"/>
    </row>
    <row r="156" spans="1:35">
      <c r="C156" s="269">
        <f>C152</f>
        <v>-26437.960180953713</v>
      </c>
      <c r="E156" s="269">
        <f>E152</f>
        <v>-55571.073815709889</v>
      </c>
      <c r="I156" s="734">
        <f>I36*0.985</f>
        <v>218885.22335992855</v>
      </c>
      <c r="O156" s="32">
        <f>O36*0.985</f>
        <v>167084.29025456915</v>
      </c>
      <c r="S156" s="32">
        <f>S152</f>
        <v>-14252.516731885369</v>
      </c>
    </row>
    <row r="157" spans="1:35">
      <c r="C157" s="269">
        <f>C150</f>
        <v>-2937.5511312170793</v>
      </c>
      <c r="E157" s="269">
        <f>E150+E59+E42</f>
        <v>23355.792346984323</v>
      </c>
      <c r="I157" s="269">
        <f>I145*0.985</f>
        <v>258571.87162743544</v>
      </c>
      <c r="K157" s="32">
        <f>K36*0.985</f>
        <v>191252.84296458331</v>
      </c>
      <c r="O157" s="32">
        <f>SUM(O145-O142+O150)*0.985</f>
        <v>212741.70723537408</v>
      </c>
      <c r="S157" s="32">
        <f>S87+S86+S85</f>
        <v>7256.9863013698632</v>
      </c>
    </row>
    <row r="158" spans="1:35">
      <c r="C158" s="269">
        <f>C156+C157</f>
        <v>-29375.511312170791</v>
      </c>
      <c r="E158" s="269">
        <f>E156+E157</f>
        <v>-32215.281468725567</v>
      </c>
      <c r="I158" s="434">
        <f>I152*0.985</f>
        <v>4670.6807893761916</v>
      </c>
      <c r="K158" s="32">
        <f>K145*0.985</f>
        <v>255764.5662358659</v>
      </c>
      <c r="O158" s="431">
        <f>SUM(O152+O142)*0.985</f>
        <v>16463.884349888478</v>
      </c>
      <c r="S158" s="32">
        <f>S156+S157</f>
        <v>-6995.5304305155059</v>
      </c>
    </row>
    <row r="159" spans="1:35">
      <c r="M159" s="32">
        <f>M152</f>
        <v>41538.394996433395</v>
      </c>
    </row>
    <row r="160" spans="1:35" ht="15" hidden="1" customHeight="1">
      <c r="B160" s="213" t="s">
        <v>144</v>
      </c>
      <c r="C160" s="32">
        <f>C152</f>
        <v>-26437.960180953713</v>
      </c>
      <c r="D160" s="32"/>
      <c r="E160" s="32">
        <f>E152</f>
        <v>-55571.073815709889</v>
      </c>
      <c r="F160" s="32"/>
      <c r="G160" s="32">
        <f>G152</f>
        <v>-3720.5408624333622</v>
      </c>
      <c r="H160" s="32"/>
      <c r="I160" s="32">
        <f>I152</f>
        <v>4741.8079079961335</v>
      </c>
      <c r="J160" s="32"/>
      <c r="K160" s="32">
        <f>K152</f>
        <v>-5105.6018150837863</v>
      </c>
      <c r="L160" s="32"/>
      <c r="M160" s="32">
        <f>M152</f>
        <v>41538.394996433395</v>
      </c>
      <c r="N160" s="32"/>
      <c r="O160" s="32">
        <f>O152</f>
        <v>-8688.3965990979941</v>
      </c>
      <c r="P160" s="32"/>
      <c r="Q160" s="32">
        <f>Q152</f>
        <v>7967.8321121508343</v>
      </c>
      <c r="R160" s="32"/>
      <c r="S160" s="32">
        <f>S152</f>
        <v>-14252.516731885369</v>
      </c>
      <c r="T160" s="32"/>
      <c r="U160" s="32">
        <f>U152</f>
        <v>-35279.374398848377</v>
      </c>
      <c r="V160" s="32"/>
      <c r="W160" s="32">
        <f>W152</f>
        <v>-30433.357550479319</v>
      </c>
      <c r="X160" s="32"/>
      <c r="Y160" s="32">
        <f>Y152</f>
        <v>38766.623116966257</v>
      </c>
      <c r="Z160" s="32"/>
      <c r="AA160" s="32">
        <f>AA152</f>
        <v>-89904.475254095247</v>
      </c>
      <c r="AB160" s="32"/>
      <c r="AC160" s="32">
        <f>AC152</f>
        <v>-7492.0396045079369</v>
      </c>
      <c r="AD160" s="32"/>
      <c r="AE160" s="721"/>
      <c r="AF160" s="721"/>
      <c r="AG160" s="721"/>
    </row>
    <row r="161" spans="2:33" ht="15" hidden="1" customHeight="1">
      <c r="C161" s="32"/>
      <c r="D161" s="226"/>
      <c r="E161" s="32"/>
      <c r="F161" s="218"/>
      <c r="G161" s="32"/>
      <c r="H161" s="218"/>
      <c r="I161" s="32"/>
      <c r="J161" s="218"/>
      <c r="L161" s="218"/>
      <c r="N161" s="218"/>
      <c r="P161" s="218"/>
      <c r="R161" s="218"/>
      <c r="T161" s="218"/>
      <c r="U161" s="32"/>
      <c r="V161" s="218"/>
      <c r="W161" s="32"/>
      <c r="X161" s="218"/>
      <c r="Y161" s="32"/>
      <c r="Z161" s="218"/>
      <c r="AB161" s="218"/>
      <c r="AD161" s="218"/>
      <c r="AE161" s="393"/>
      <c r="AF161" s="393"/>
      <c r="AG161" s="393"/>
    </row>
    <row r="162" spans="2:33" ht="15" hidden="1" customHeight="1">
      <c r="B162" s="213" t="s">
        <v>237</v>
      </c>
      <c r="C162" s="32">
        <f>C150</f>
        <v>-2937.5511312170793</v>
      </c>
      <c r="D162" s="226"/>
      <c r="E162" s="32">
        <f>E150</f>
        <v>-6174.563757301099</v>
      </c>
      <c r="F162" s="218"/>
      <c r="G162" s="32">
        <f>G150</f>
        <v>-413.3934291592625</v>
      </c>
      <c r="H162" s="218"/>
      <c r="I162" s="32">
        <f>I150</f>
        <v>526.86754533290366</v>
      </c>
      <c r="J162" s="218"/>
      <c r="K162" s="32">
        <f>K150</f>
        <v>-567.28909056486521</v>
      </c>
      <c r="L162" s="218"/>
      <c r="M162" s="32">
        <f>M150</f>
        <v>4615.3772218259328</v>
      </c>
      <c r="N162" s="218"/>
      <c r="O162" s="32">
        <f>O150</f>
        <v>-965.37739989977717</v>
      </c>
      <c r="P162" s="218"/>
      <c r="Q162" s="32">
        <f>Q150</f>
        <v>885.31467912787048</v>
      </c>
      <c r="R162" s="218"/>
      <c r="S162" s="32">
        <f>S150</f>
        <v>-1583.6129702094856</v>
      </c>
      <c r="T162" s="218"/>
      <c r="U162" s="32">
        <f>U150</f>
        <v>-3919.930488760931</v>
      </c>
      <c r="V162" s="218"/>
      <c r="W162" s="32">
        <f>W150</f>
        <v>-3381.48417227548</v>
      </c>
      <c r="X162" s="218"/>
      <c r="Y162" s="32">
        <f>Y150</f>
        <v>4307.4025685518063</v>
      </c>
      <c r="Z162" s="218"/>
      <c r="AA162" s="32">
        <f>AA150</f>
        <v>-9608.240424549469</v>
      </c>
      <c r="AB162" s="218"/>
      <c r="AC162" s="32">
        <f>AC150</f>
        <v>-800.68670204578905</v>
      </c>
      <c r="AD162" s="218"/>
      <c r="AE162" s="393"/>
      <c r="AF162" s="393"/>
      <c r="AG162" s="393"/>
    </row>
    <row r="163" spans="2:33" ht="15" hidden="1" customHeight="1">
      <c r="C163" s="32"/>
      <c r="D163" s="226"/>
      <c r="E163" s="32"/>
      <c r="F163" s="218"/>
      <c r="G163" s="32"/>
      <c r="H163" s="218"/>
      <c r="I163" s="32"/>
      <c r="J163" s="218"/>
      <c r="L163" s="218"/>
      <c r="N163" s="218"/>
      <c r="P163" s="218"/>
      <c r="R163" s="218"/>
      <c r="T163" s="218"/>
      <c r="U163" s="32"/>
      <c r="V163" s="218"/>
      <c r="W163" s="32"/>
      <c r="X163" s="218"/>
      <c r="Y163" s="32"/>
      <c r="Z163" s="218"/>
      <c r="AB163" s="218"/>
      <c r="AD163" s="218"/>
      <c r="AE163" s="393"/>
      <c r="AF163" s="393"/>
      <c r="AG163" s="393"/>
    </row>
    <row r="164" spans="2:33" ht="15" hidden="1" customHeight="1">
      <c r="B164" s="213" t="s">
        <v>241</v>
      </c>
      <c r="C164" s="32">
        <f>C142</f>
        <v>25403</v>
      </c>
      <c r="D164" s="32"/>
      <c r="E164" s="32">
        <f>E142</f>
        <v>25403</v>
      </c>
      <c r="F164" s="32"/>
      <c r="G164" s="32">
        <f>G142</f>
        <v>25403</v>
      </c>
      <c r="H164" s="32"/>
      <c r="I164" s="32">
        <f>I142</f>
        <v>25403</v>
      </c>
      <c r="J164" s="32"/>
      <c r="K164" s="32">
        <f>K142</f>
        <v>25403</v>
      </c>
      <c r="L164" s="32"/>
      <c r="M164" s="32">
        <f>M142</f>
        <v>25403</v>
      </c>
      <c r="N164" s="32"/>
      <c r="O164" s="32">
        <f>O142</f>
        <v>25403</v>
      </c>
      <c r="P164" s="32"/>
      <c r="Q164" s="32">
        <f>Q142</f>
        <v>25403</v>
      </c>
      <c r="R164" s="32"/>
      <c r="S164" s="32">
        <f>S142</f>
        <v>25403</v>
      </c>
      <c r="T164" s="32"/>
      <c r="U164" s="32">
        <f>U142</f>
        <v>25403</v>
      </c>
      <c r="V164" s="32"/>
      <c r="W164" s="32">
        <f>W142</f>
        <v>25403</v>
      </c>
      <c r="X164" s="32"/>
      <c r="Y164" s="32">
        <f>Y142</f>
        <v>25403</v>
      </c>
      <c r="Z164" s="32"/>
      <c r="AA164" s="32">
        <f>AA142</f>
        <v>304836</v>
      </c>
      <c r="AB164" s="32"/>
      <c r="AC164" s="32">
        <f>AC142</f>
        <v>25403</v>
      </c>
      <c r="AD164" s="32"/>
      <c r="AE164" s="721"/>
      <c r="AF164" s="721"/>
      <c r="AG164" s="721"/>
    </row>
    <row r="165" spans="2:33" ht="15" hidden="1" customHeight="1">
      <c r="C165" s="32"/>
      <c r="D165" s="226"/>
      <c r="E165" s="32"/>
      <c r="F165" s="218"/>
      <c r="G165" s="32"/>
      <c r="H165" s="218"/>
      <c r="I165" s="32"/>
      <c r="J165" s="218"/>
      <c r="L165" s="218"/>
      <c r="N165" s="218"/>
      <c r="P165" s="218"/>
      <c r="R165" s="218"/>
      <c r="T165" s="218"/>
      <c r="U165" s="32"/>
      <c r="V165" s="218"/>
      <c r="W165" s="32"/>
      <c r="X165" s="218"/>
      <c r="Y165" s="32"/>
      <c r="Z165" s="218"/>
      <c r="AA165" s="32"/>
      <c r="AB165" s="218"/>
      <c r="AC165" s="32"/>
      <c r="AD165" s="218"/>
      <c r="AE165" s="393"/>
      <c r="AF165" s="393"/>
      <c r="AG165" s="393"/>
    </row>
    <row r="166" spans="2:33" ht="15" hidden="1" customHeight="1">
      <c r="B166" s="213" t="s">
        <v>238</v>
      </c>
      <c r="C166" s="32">
        <f>C144-C142</f>
        <v>44451</v>
      </c>
      <c r="D166" s="32"/>
      <c r="E166" s="32">
        <f>E144-E142</f>
        <v>44450</v>
      </c>
      <c r="F166" s="32"/>
      <c r="G166" s="32">
        <f>G144-G142</f>
        <v>44451</v>
      </c>
      <c r="H166" s="32"/>
      <c r="I166" s="32">
        <f>I144-I142</f>
        <v>44450</v>
      </c>
      <c r="J166" s="32"/>
      <c r="K166" s="32">
        <f>K144-K142</f>
        <v>44451</v>
      </c>
      <c r="L166" s="32"/>
      <c r="M166" s="32">
        <f>M144-M142</f>
        <v>44449</v>
      </c>
      <c r="N166" s="32"/>
      <c r="O166" s="32">
        <f>O144-O142</f>
        <v>44452</v>
      </c>
      <c r="P166" s="32"/>
      <c r="Q166" s="32">
        <f>Q144-Q142</f>
        <v>44451.149999999994</v>
      </c>
      <c r="R166" s="32"/>
      <c r="S166" s="32">
        <f>S144-S142</f>
        <v>44451.149999999994</v>
      </c>
      <c r="T166" s="32"/>
      <c r="U166" s="32">
        <f>U144-U142</f>
        <v>44450</v>
      </c>
      <c r="V166" s="32"/>
      <c r="W166" s="32">
        <f>W144-W142</f>
        <v>44450</v>
      </c>
      <c r="X166" s="32"/>
      <c r="Y166" s="32">
        <f>Y144-Y142</f>
        <v>44450</v>
      </c>
      <c r="Z166" s="32"/>
      <c r="AA166" s="32">
        <f>AA144-AA142</f>
        <v>533406.30000000005</v>
      </c>
      <c r="AB166" s="32"/>
      <c r="AC166" s="32">
        <f>AC144-AC142</f>
        <v>44450.525000000009</v>
      </c>
      <c r="AD166" s="32"/>
      <c r="AE166" s="721"/>
      <c r="AF166" s="721"/>
      <c r="AG166" s="721"/>
    </row>
    <row r="167" spans="2:33" ht="15" hidden="1" customHeight="1">
      <c r="C167" s="32"/>
      <c r="D167" s="226"/>
      <c r="E167" s="32"/>
      <c r="F167" s="218"/>
      <c r="G167" s="32"/>
      <c r="H167" s="218"/>
      <c r="I167" s="32"/>
      <c r="J167" s="218"/>
      <c r="L167" s="218"/>
      <c r="N167" s="218"/>
      <c r="P167" s="218"/>
      <c r="R167" s="218"/>
      <c r="T167" s="218"/>
      <c r="U167" s="32"/>
      <c r="V167" s="218"/>
      <c r="W167" s="32"/>
      <c r="X167" s="218"/>
      <c r="Y167" s="32"/>
      <c r="Z167" s="218"/>
      <c r="AB167" s="218"/>
      <c r="AC167" s="32"/>
      <c r="AD167" s="218"/>
      <c r="AE167" s="393"/>
      <c r="AF167" s="393"/>
      <c r="AG167" s="393"/>
    </row>
    <row r="168" spans="2:33" ht="15" hidden="1" customHeight="1">
      <c r="C168" s="32"/>
      <c r="D168" s="226"/>
      <c r="E168" s="32"/>
      <c r="F168" s="218"/>
      <c r="G168" s="32"/>
      <c r="H168" s="218"/>
      <c r="I168" s="32"/>
      <c r="J168" s="218"/>
      <c r="L168" s="218"/>
      <c r="N168" s="218"/>
      <c r="P168" s="218"/>
      <c r="R168" s="218"/>
      <c r="T168" s="218"/>
      <c r="U168" s="32"/>
      <c r="V168" s="218"/>
      <c r="W168" s="32"/>
      <c r="X168" s="218"/>
      <c r="Y168" s="32"/>
      <c r="Z168" s="218"/>
      <c r="AB168" s="218"/>
      <c r="AD168" s="218"/>
      <c r="AE168" s="393"/>
      <c r="AF168" s="393"/>
      <c r="AG168" s="393"/>
    </row>
    <row r="169" spans="2:33" ht="15" hidden="1" customHeight="1">
      <c r="B169" s="722" t="s">
        <v>239</v>
      </c>
      <c r="C169" s="723">
        <f>C162+C160+C164+C166</f>
        <v>40478.488687829209</v>
      </c>
      <c r="D169" s="724"/>
      <c r="E169" s="723">
        <f>E162+E160+E164+E166</f>
        <v>8107.3624269890133</v>
      </c>
      <c r="F169" s="723"/>
      <c r="G169" s="723">
        <f>G162+G160+G164+G166</f>
        <v>65720.065708407375</v>
      </c>
      <c r="H169" s="723"/>
      <c r="I169" s="723">
        <f>I162+I160+I164+I166</f>
        <v>75121.675453329037</v>
      </c>
      <c r="J169" s="723"/>
      <c r="K169" s="723">
        <f>K162+K160+K164+K166</f>
        <v>64181.109094351348</v>
      </c>
      <c r="L169" s="723"/>
      <c r="M169" s="723">
        <f>M162+M160+M164+M166</f>
        <v>116005.77221825933</v>
      </c>
      <c r="N169" s="723"/>
      <c r="O169" s="723">
        <f>O162+O160+O164+O166</f>
        <v>60201.226001002229</v>
      </c>
      <c r="P169" s="723"/>
      <c r="Q169" s="723">
        <f>Q162+Q160+Q164+Q166</f>
        <v>78707.296791278699</v>
      </c>
      <c r="R169" s="723"/>
      <c r="S169" s="723">
        <f>S162+S160+S164+S166</f>
        <v>54018.020297905139</v>
      </c>
      <c r="T169" s="723"/>
      <c r="U169" s="723">
        <f>U162+U160+U164+U166</f>
        <v>30653.695112390691</v>
      </c>
      <c r="V169" s="723"/>
      <c r="W169" s="723">
        <f>W162+W160+W164+W166</f>
        <v>36038.158277245202</v>
      </c>
      <c r="X169" s="723"/>
      <c r="Y169" s="723">
        <f>Y162+Y160+Y164+Y166</f>
        <v>112927.02568551806</v>
      </c>
      <c r="Z169" s="723"/>
      <c r="AA169" s="723">
        <f>AA162+AA160+AA164+AA166</f>
        <v>738729.58432135533</v>
      </c>
      <c r="AB169" s="218"/>
      <c r="AC169" s="32">
        <f>AA169/12</f>
        <v>61560.798693446275</v>
      </c>
      <c r="AD169" s="218"/>
      <c r="AE169" s="393"/>
      <c r="AF169" s="393"/>
      <c r="AG169" s="393"/>
    </row>
    <row r="170" spans="2:33" ht="15" hidden="1" customHeight="1">
      <c r="C170" s="32"/>
      <c r="D170" s="226"/>
      <c r="E170" s="32"/>
      <c r="F170" s="218"/>
      <c r="G170" s="32"/>
      <c r="H170" s="218"/>
      <c r="I170" s="32"/>
      <c r="J170" s="218"/>
      <c r="L170" s="218"/>
      <c r="N170" s="218"/>
      <c r="P170" s="218"/>
      <c r="R170" s="218"/>
      <c r="T170" s="218"/>
      <c r="U170" s="32"/>
      <c r="V170" s="218"/>
      <c r="W170" s="32"/>
      <c r="X170" s="218"/>
      <c r="Y170" s="32"/>
      <c r="Z170" s="218"/>
      <c r="AB170" s="218"/>
      <c r="AD170" s="218"/>
      <c r="AE170" s="393"/>
      <c r="AF170" s="393"/>
      <c r="AG170" s="393"/>
    </row>
    <row r="171" spans="2:33" ht="15" hidden="1" customHeight="1">
      <c r="B171" s="722"/>
      <c r="C171" s="32"/>
      <c r="D171" s="226"/>
      <c r="E171" s="32"/>
      <c r="F171" s="218"/>
      <c r="G171" s="32"/>
      <c r="H171" s="218"/>
      <c r="I171" s="32"/>
      <c r="J171" s="218"/>
      <c r="L171" s="218"/>
      <c r="N171" s="218"/>
      <c r="P171" s="218"/>
      <c r="R171" s="218"/>
      <c r="T171" s="218"/>
      <c r="U171" s="32"/>
      <c r="V171" s="218"/>
      <c r="W171" s="32"/>
      <c r="X171" s="218"/>
      <c r="Y171" s="32"/>
      <c r="Z171" s="218"/>
      <c r="AB171" s="218"/>
      <c r="AD171" s="218"/>
      <c r="AE171" s="393"/>
      <c r="AF171" s="393"/>
      <c r="AG171" s="393"/>
    </row>
    <row r="172" spans="2:33" ht="15" hidden="1" customHeight="1">
      <c r="B172" s="722" t="s">
        <v>240</v>
      </c>
      <c r="C172" s="32">
        <f>C169</f>
        <v>40478.488687829209</v>
      </c>
      <c r="D172" s="32"/>
      <c r="E172" s="32">
        <f>C172+E169</f>
        <v>48585.851114818222</v>
      </c>
      <c r="F172" s="32"/>
      <c r="G172" s="32">
        <f>E172+G169</f>
        <v>114305.91682322559</v>
      </c>
      <c r="H172" s="32"/>
      <c r="I172" s="32">
        <f>G172+I169</f>
        <v>189427.59227655461</v>
      </c>
      <c r="J172" s="32"/>
      <c r="K172" s="32">
        <f>I172+K169</f>
        <v>253608.70137090597</v>
      </c>
      <c r="L172" s="32"/>
      <c r="M172" s="32">
        <f>K172+M169</f>
        <v>369614.47358916531</v>
      </c>
      <c r="N172" s="32"/>
      <c r="O172" s="32">
        <f>M172+O169</f>
        <v>429815.69959016755</v>
      </c>
      <c r="P172" s="32"/>
      <c r="Q172" s="32">
        <f>O172+Q169</f>
        <v>508522.99638144625</v>
      </c>
      <c r="R172" s="32"/>
      <c r="S172" s="32">
        <f>Q172+S169</f>
        <v>562541.01667935145</v>
      </c>
      <c r="T172" s="32"/>
      <c r="U172" s="32">
        <f>S172+U169</f>
        <v>593194.71179174213</v>
      </c>
      <c r="V172" s="32"/>
      <c r="W172" s="32">
        <f>U172+W169</f>
        <v>629232.87006898737</v>
      </c>
      <c r="X172" s="32"/>
      <c r="Y172" s="32">
        <f>W172+Y169</f>
        <v>742159.89575450541</v>
      </c>
      <c r="Z172" s="32"/>
      <c r="AA172" s="32"/>
      <c r="AB172" s="32"/>
      <c r="AC172" s="32"/>
      <c r="AD172" s="32"/>
      <c r="AE172" s="721"/>
      <c r="AF172" s="721"/>
      <c r="AG172" s="721"/>
    </row>
    <row r="173" spans="2:33">
      <c r="K173" s="32">
        <f>K152</f>
        <v>-5105.6018150837863</v>
      </c>
      <c r="M173" s="32">
        <f>M59</f>
        <v>9458</v>
      </c>
    </row>
    <row r="174" spans="2:33">
      <c r="K174" s="32">
        <f>K59</f>
        <v>9458</v>
      </c>
      <c r="M174" s="32">
        <f>M159+M173</f>
        <v>50996.394996433395</v>
      </c>
    </row>
    <row r="175" spans="2:33">
      <c r="K175" s="32">
        <f>K173+K174</f>
        <v>4352.3981849162137</v>
      </c>
    </row>
  </sheetData>
  <mergeCells count="1">
    <mergeCell ref="A1:AD1"/>
  </mergeCells>
  <conditionalFormatting sqref="W146 Q146">
    <cfRule type="cellIs" dxfId="2" priority="2" operator="lessThan">
      <formula>0</formula>
    </cfRule>
  </conditionalFormatting>
  <printOptions horizontalCentered="1" gridLines="1"/>
  <pageMargins left="0" right="0" top="0.74803149606299202" bottom="0.74803149606299202" header="0.31496062992126" footer="0.31496062992126"/>
  <pageSetup paperSize="8" scale="55" fitToHeight="3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172"/>
  <sheetViews>
    <sheetView zoomScale="85" zoomScaleNormal="85" workbookViewId="0">
      <pane xSplit="2" ySplit="4" topLeftCell="N116" activePane="bottomRight" state="frozen"/>
      <selection pane="topRight" activeCell="C1" sqref="C1"/>
      <selection pane="bottomLeft" activeCell="A5" sqref="A5"/>
      <selection pane="bottomRight" activeCell="AA142" sqref="AA142"/>
    </sheetView>
  </sheetViews>
  <sheetFormatPr defaultColWidth="9.140625" defaultRowHeight="15"/>
  <cols>
    <col min="1" max="1" width="6.42578125" style="213" bestFit="1" customWidth="1"/>
    <col min="2" max="2" width="38.42578125" style="213" bestFit="1" customWidth="1"/>
    <col min="3" max="3" width="13.85546875" style="269" bestFit="1" customWidth="1"/>
    <col min="4" max="4" width="7.5703125" style="213" bestFit="1" customWidth="1"/>
    <col min="5" max="5" width="13.28515625" style="269" bestFit="1" customWidth="1"/>
    <col min="6" max="6" width="7.85546875" style="213" bestFit="1" customWidth="1"/>
    <col min="7" max="7" width="13.85546875" style="269" bestFit="1" customWidth="1"/>
    <col min="8" max="8" width="7.85546875" style="213" bestFit="1" customWidth="1"/>
    <col min="9" max="9" width="13.85546875" style="269" bestFit="1" customWidth="1"/>
    <col min="10" max="10" width="7.85546875" style="213" customWidth="1"/>
    <col min="11" max="11" width="13.85546875" style="32" bestFit="1" customWidth="1"/>
    <col min="12" max="12" width="7.85546875" style="213" bestFit="1" customWidth="1"/>
    <col min="13" max="13" width="13.85546875" style="32" bestFit="1" customWidth="1"/>
    <col min="14" max="14" width="7.85546875" style="213" bestFit="1" customWidth="1"/>
    <col min="15" max="15" width="13.85546875" style="32" bestFit="1" customWidth="1"/>
    <col min="16" max="16" width="7.140625" style="363" bestFit="1" customWidth="1"/>
    <col min="17" max="17" width="14.5703125" style="32" bestFit="1" customWidth="1"/>
    <col min="18" max="18" width="7.85546875" style="363" bestFit="1" customWidth="1"/>
    <col min="19" max="19" width="13.85546875" style="32" bestFit="1" customWidth="1"/>
    <col min="20" max="20" width="7.85546875" style="363" bestFit="1" customWidth="1"/>
    <col min="21" max="21" width="13.85546875" style="269" bestFit="1" customWidth="1"/>
    <col min="22" max="22" width="7.140625" style="363" bestFit="1" customWidth="1"/>
    <col min="23" max="23" width="13.85546875" style="269" bestFit="1" customWidth="1"/>
    <col min="24" max="24" width="7.140625" style="363" bestFit="1" customWidth="1"/>
    <col min="25" max="25" width="14" style="269" bestFit="1" customWidth="1"/>
    <col min="26" max="26" width="7.140625" style="363" bestFit="1" customWidth="1"/>
    <col min="27" max="27" width="13.85546875" style="213" bestFit="1" customWidth="1"/>
    <col min="28" max="28" width="8.5703125" style="363" bestFit="1" customWidth="1"/>
    <col min="29" max="29" width="12" style="213" bestFit="1" customWidth="1"/>
    <col min="30" max="30" width="7.42578125" style="363" bestFit="1" customWidth="1"/>
    <col min="31" max="31" width="26.7109375" style="718" customWidth="1"/>
    <col min="32" max="33" width="14.85546875" style="718" customWidth="1"/>
    <col min="34" max="34" width="9.140625" style="213" customWidth="1"/>
    <col min="35" max="35" width="12.28515625" style="213" bestFit="1" customWidth="1"/>
    <col min="36" max="56" width="9.140625" style="213" customWidth="1"/>
    <col min="57" max="16384" width="9.140625" style="213"/>
  </cols>
  <sheetData>
    <row r="1" spans="1:33" s="358" customFormat="1">
      <c r="A1" s="995" t="s">
        <v>372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548" t="s">
        <v>267</v>
      </c>
      <c r="AF1" s="548">
        <v>22271</v>
      </c>
      <c r="AG1" s="548"/>
    </row>
    <row r="2" spans="1:33" s="1" customFormat="1">
      <c r="A2" s="43"/>
      <c r="B2" s="988" t="s">
        <v>360</v>
      </c>
      <c r="C2" s="324" t="s">
        <v>64</v>
      </c>
      <c r="D2" s="325"/>
      <c r="E2" s="324" t="s">
        <v>65</v>
      </c>
      <c r="F2" s="325"/>
      <c r="G2" s="324" t="s">
        <v>81</v>
      </c>
      <c r="H2" s="325"/>
      <c r="I2" s="324" t="s">
        <v>82</v>
      </c>
      <c r="J2" s="325"/>
      <c r="K2" s="324" t="s">
        <v>83</v>
      </c>
      <c r="L2" s="325"/>
      <c r="M2" s="798" t="s">
        <v>84</v>
      </c>
      <c r="N2" s="729"/>
      <c r="O2" s="324" t="s">
        <v>85</v>
      </c>
      <c r="P2" s="325"/>
      <c r="Q2" s="324" t="s">
        <v>86</v>
      </c>
      <c r="R2" s="699"/>
      <c r="S2" s="808" t="s">
        <v>87</v>
      </c>
      <c r="T2" s="699"/>
      <c r="U2" s="324" t="s">
        <v>123</v>
      </c>
      <c r="V2" s="325"/>
      <c r="W2" s="324" t="s">
        <v>124</v>
      </c>
      <c r="X2" s="699"/>
      <c r="Y2" s="699" t="s">
        <v>125</v>
      </c>
      <c r="Z2" s="699"/>
      <c r="AA2" s="697" t="s">
        <v>120</v>
      </c>
      <c r="AB2" s="697"/>
      <c r="AC2" s="698" t="s">
        <v>121</v>
      </c>
      <c r="AD2" s="698"/>
      <c r="AE2" s="556"/>
      <c r="AF2" s="556"/>
      <c r="AG2" s="556"/>
    </row>
    <row r="3" spans="1:33" s="1" customFormat="1" ht="15.75" thickBot="1">
      <c r="A3" s="65"/>
      <c r="B3" s="42" t="s">
        <v>69</v>
      </c>
      <c r="C3" s="73" t="s">
        <v>115</v>
      </c>
      <c r="D3" s="67" t="s">
        <v>80</v>
      </c>
      <c r="E3" s="111" t="s">
        <v>115</v>
      </c>
      <c r="F3" s="67" t="s">
        <v>80</v>
      </c>
      <c r="G3" s="73" t="s">
        <v>115</v>
      </c>
      <c r="H3" s="67" t="s">
        <v>80</v>
      </c>
      <c r="I3" s="73" t="s">
        <v>115</v>
      </c>
      <c r="J3" s="67" t="s">
        <v>80</v>
      </c>
      <c r="K3" s="70" t="s">
        <v>115</v>
      </c>
      <c r="L3" s="67" t="s">
        <v>80</v>
      </c>
      <c r="M3" s="70" t="s">
        <v>115</v>
      </c>
      <c r="N3" s="67" t="s">
        <v>80</v>
      </c>
      <c r="O3" s="70" t="s">
        <v>115</v>
      </c>
      <c r="P3" s="99" t="s">
        <v>80</v>
      </c>
      <c r="Q3" s="70" t="s">
        <v>115</v>
      </c>
      <c r="R3" s="99" t="s">
        <v>80</v>
      </c>
      <c r="S3" s="70" t="s">
        <v>115</v>
      </c>
      <c r="T3" s="99" t="s">
        <v>80</v>
      </c>
      <c r="U3" s="73" t="s">
        <v>115</v>
      </c>
      <c r="V3" s="99" t="s">
        <v>80</v>
      </c>
      <c r="W3" s="73" t="s">
        <v>115</v>
      </c>
      <c r="X3" s="99" t="s">
        <v>80</v>
      </c>
      <c r="Y3" s="73" t="s">
        <v>115</v>
      </c>
      <c r="Z3" s="99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50" t="s">
        <v>183</v>
      </c>
      <c r="AF3" s="550" t="s">
        <v>181</v>
      </c>
      <c r="AG3" s="550" t="s">
        <v>225</v>
      </c>
    </row>
    <row r="4" spans="1:33" s="1" customFormat="1">
      <c r="B4" s="20"/>
      <c r="C4" s="74"/>
      <c r="D4" s="17"/>
      <c r="E4" s="112"/>
      <c r="F4" s="17"/>
      <c r="G4" s="74"/>
      <c r="H4" s="74"/>
      <c r="I4" s="74"/>
      <c r="J4" s="74"/>
      <c r="K4" s="74"/>
      <c r="L4" s="74"/>
      <c r="M4" s="26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142"/>
      <c r="AB4" s="143"/>
      <c r="AC4" s="126"/>
      <c r="AD4" s="127"/>
      <c r="AE4" s="557"/>
      <c r="AF4" s="557"/>
      <c r="AG4" s="557"/>
    </row>
    <row r="5" spans="1:33" s="1" customFormat="1">
      <c r="A5" s="6">
        <v>5004</v>
      </c>
      <c r="B5" s="759" t="s">
        <v>71</v>
      </c>
      <c r="C5" s="974">
        <f>741240.065149747+C9</f>
        <v>956199.68404317345</v>
      </c>
      <c r="D5" s="760"/>
      <c r="E5" s="975">
        <f>576685.855713636+E9</f>
        <v>674722.45118495414</v>
      </c>
      <c r="F5" s="760"/>
      <c r="G5" s="976">
        <f>956593.576660657+G9</f>
        <v>1253137.5854254605</v>
      </c>
      <c r="H5" s="702"/>
      <c r="I5" s="977">
        <f>844666.643179765+I9</f>
        <v>1072726.6368383016</v>
      </c>
      <c r="J5" s="760">
        <v>0</v>
      </c>
      <c r="K5" s="978">
        <f>772533.692118184+K9</f>
        <v>911589.75669945707</v>
      </c>
      <c r="L5" s="760">
        <v>0</v>
      </c>
      <c r="M5" s="979">
        <f>1095442.07952391+M9</f>
        <v>1435029.1241763222</v>
      </c>
      <c r="N5" s="760">
        <v>0</v>
      </c>
      <c r="O5" s="980">
        <f>693535.905796292+O9</f>
        <v>901596.67753517954</v>
      </c>
      <c r="P5" s="760">
        <v>0</v>
      </c>
      <c r="Q5" s="981">
        <f>861190.609168252+Q9</f>
        <v>1102323.9797353626</v>
      </c>
      <c r="R5" s="760">
        <v>0</v>
      </c>
      <c r="S5" s="982">
        <f>867545.572174683+S9</f>
        <v>1067081.05377486</v>
      </c>
      <c r="T5" s="760">
        <v>0</v>
      </c>
      <c r="U5" s="983">
        <f>688142.812284693+U9</f>
        <v>901467.08409294789</v>
      </c>
      <c r="V5" s="760">
        <v>0</v>
      </c>
      <c r="W5" s="984">
        <f>700145.075321453+W9</f>
        <v>819169.73812610016</v>
      </c>
      <c r="X5" s="760">
        <v>0</v>
      </c>
      <c r="Y5" s="985">
        <f>1057683.59756621+Y9</f>
        <v>1353835.0048847478</v>
      </c>
      <c r="Z5" s="760">
        <v>0</v>
      </c>
      <c r="AA5" s="182">
        <f>C5+E5+G5+I5+K5+M5+O5+Q5+S5+U5+W5+Y5</f>
        <v>12448878.77651687</v>
      </c>
      <c r="AB5" s="299">
        <v>0</v>
      </c>
      <c r="AC5" s="182">
        <f>AA5/12</f>
        <v>1037406.5647097392</v>
      </c>
      <c r="AD5" s="299">
        <v>0</v>
      </c>
      <c r="AE5" s="573"/>
      <c r="AF5" s="573"/>
      <c r="AG5" s="573"/>
    </row>
    <row r="6" spans="1:33" s="1" customFormat="1">
      <c r="A6" s="1">
        <v>5005</v>
      </c>
      <c r="B6" s="20" t="s">
        <v>67</v>
      </c>
      <c r="C6" s="31"/>
      <c r="D6" s="677"/>
      <c r="E6" s="26">
        <v>0</v>
      </c>
      <c r="F6" s="677"/>
      <c r="G6" s="75"/>
      <c r="H6" s="702"/>
      <c r="I6" s="75"/>
      <c r="J6" s="702"/>
      <c r="K6" s="26"/>
      <c r="L6" s="702"/>
      <c r="M6" s="26"/>
      <c r="N6" s="702"/>
      <c r="O6" s="26"/>
      <c r="P6" s="677"/>
      <c r="Q6" s="26"/>
      <c r="R6" s="677"/>
      <c r="S6" s="26"/>
      <c r="T6" s="677"/>
      <c r="U6" s="26"/>
      <c r="V6" s="677"/>
      <c r="W6" s="26"/>
      <c r="X6" s="677"/>
      <c r="Y6" s="26"/>
      <c r="Z6" s="677"/>
      <c r="AA6" s="144">
        <f t="shared" ref="AA6:AA11" si="0">C6+E6+G6+I6+K6+M6+O6+Q6+S6+U6+W6+Y6</f>
        <v>0</v>
      </c>
      <c r="AB6" s="22">
        <f>AA6/AA$5</f>
        <v>0</v>
      </c>
      <c r="AC6" s="128">
        <f t="shared" ref="AC6:AC69" si="1">AA6/12</f>
        <v>0</v>
      </c>
      <c r="AD6" s="22">
        <f>AC6/AC$5</f>
        <v>0</v>
      </c>
      <c r="AE6" s="574"/>
      <c r="AF6" s="574"/>
      <c r="AG6" s="574"/>
    </row>
    <row r="7" spans="1:33" s="1" customFormat="1">
      <c r="A7" s="14">
        <v>5051</v>
      </c>
      <c r="B7" s="241" t="s">
        <v>74</v>
      </c>
      <c r="C7" s="31"/>
      <c r="D7" s="677">
        <f>C7/C$5</f>
        <v>0</v>
      </c>
      <c r="E7" s="27">
        <v>0</v>
      </c>
      <c r="F7" s="677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677">
        <f>O7/O$5</f>
        <v>0</v>
      </c>
      <c r="Q7" s="27"/>
      <c r="R7" s="677">
        <f>Q7/Q$5</f>
        <v>0</v>
      </c>
      <c r="S7" s="27"/>
      <c r="T7" s="677">
        <f>S7/S$5</f>
        <v>0</v>
      </c>
      <c r="U7" s="27"/>
      <c r="V7" s="677">
        <f>U7/U$5</f>
        <v>0</v>
      </c>
      <c r="W7" s="27"/>
      <c r="X7" s="677">
        <f>W7/W$5</f>
        <v>0</v>
      </c>
      <c r="Y7" s="27"/>
      <c r="Z7" s="677">
        <f>Y7/Y$5</f>
        <v>0</v>
      </c>
      <c r="AA7" s="144">
        <f t="shared" si="0"/>
        <v>0</v>
      </c>
      <c r="AB7" s="22">
        <f t="shared" ref="AB7:AB11" si="2">AA7/AA$5</f>
        <v>0</v>
      </c>
      <c r="AC7" s="128">
        <f t="shared" si="1"/>
        <v>0</v>
      </c>
      <c r="AD7" s="22">
        <f t="shared" ref="AD7:AD11" si="3">AC7/AC$5</f>
        <v>0</v>
      </c>
      <c r="AE7" s="574"/>
      <c r="AF7" s="574"/>
      <c r="AG7" s="574"/>
    </row>
    <row r="8" spans="1:33" s="1" customFormat="1">
      <c r="A8" s="1">
        <v>5052</v>
      </c>
      <c r="B8" s="1" t="s">
        <v>90</v>
      </c>
      <c r="C8" s="31"/>
      <c r="D8" s="677">
        <f t="shared" ref="D8:D11" si="4">C8/C$5</f>
        <v>0</v>
      </c>
      <c r="E8" s="31"/>
      <c r="F8" s="677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5">K8/K$5</f>
        <v>0</v>
      </c>
      <c r="M8" s="33"/>
      <c r="N8" s="702">
        <f>M8/M$5</f>
        <v>0</v>
      </c>
      <c r="O8" s="33"/>
      <c r="P8" s="677">
        <f>O8/O$5</f>
        <v>0</v>
      </c>
      <c r="Q8" s="31"/>
      <c r="R8" s="677">
        <f>Q8/Q$5</f>
        <v>0</v>
      </c>
      <c r="S8" s="31"/>
      <c r="T8" s="677">
        <f>S8/S$5</f>
        <v>0</v>
      </c>
      <c r="U8" s="31"/>
      <c r="V8" s="677">
        <f>U8/U$5</f>
        <v>0</v>
      </c>
      <c r="W8" s="31"/>
      <c r="X8" s="677">
        <f>W8/W$5</f>
        <v>0</v>
      </c>
      <c r="Y8" s="31"/>
      <c r="Z8" s="677">
        <f t="shared" ref="Z8:Z11" si="6">Y8/Y$5</f>
        <v>0</v>
      </c>
      <c r="AA8" s="144">
        <f t="shared" si="0"/>
        <v>0</v>
      </c>
      <c r="AB8" s="22">
        <f t="shared" si="2"/>
        <v>0</v>
      </c>
      <c r="AC8" s="128">
        <f t="shared" si="1"/>
        <v>0</v>
      </c>
      <c r="AD8" s="22">
        <f t="shared" si="3"/>
        <v>0</v>
      </c>
      <c r="AE8" s="574" t="s">
        <v>224</v>
      </c>
      <c r="AF8" s="574"/>
      <c r="AG8" s="574"/>
    </row>
    <row r="9" spans="1:33" s="1" customFormat="1">
      <c r="A9" s="1">
        <v>5101</v>
      </c>
      <c r="B9" s="20" t="s">
        <v>46</v>
      </c>
      <c r="C9" s="1">
        <v>214959.61889342652</v>
      </c>
      <c r="D9" s="677">
        <v>0.21515461748505721</v>
      </c>
      <c r="E9" s="1">
        <v>98036.595471318156</v>
      </c>
      <c r="F9" s="677">
        <v>0.12612512059468869</v>
      </c>
      <c r="G9" s="1">
        <v>296544.00876480358</v>
      </c>
      <c r="H9" s="702">
        <v>0.22999286696678534</v>
      </c>
      <c r="I9" s="371">
        <v>228059.99365853661</v>
      </c>
      <c r="J9" s="702">
        <v>0.20031636800332914</v>
      </c>
      <c r="K9" s="371">
        <v>139056.06458127315</v>
      </c>
      <c r="L9" s="702">
        <v>0.13354424533555279</v>
      </c>
      <c r="M9" s="33">
        <v>339587.04465241212</v>
      </c>
      <c r="N9" s="702">
        <v>0.22999286696678523</v>
      </c>
      <c r="O9" s="371">
        <v>208060.7717388875</v>
      </c>
      <c r="P9" s="677">
        <v>0.22257374222592119</v>
      </c>
      <c r="Q9" s="371">
        <v>241133.37056711069</v>
      </c>
      <c r="R9" s="677">
        <v>0.20773549274419317</v>
      </c>
      <c r="S9" s="371">
        <v>199535.48160017704</v>
      </c>
      <c r="T9" s="22">
        <v>0.17063986903987299</v>
      </c>
      <c r="U9" s="1">
        <v>213324.27180825482</v>
      </c>
      <c r="V9" s="22">
        <v>0.22999286696678528</v>
      </c>
      <c r="W9" s="1">
        <v>119024.66280464707</v>
      </c>
      <c r="X9" s="22">
        <v>0.12612512059468872</v>
      </c>
      <c r="Y9" s="1">
        <v>296151.40731853771</v>
      </c>
      <c r="Z9" s="22">
        <v>0.20773549274419323</v>
      </c>
      <c r="AA9" s="144">
        <f t="shared" si="0"/>
        <v>2593473.2918593846</v>
      </c>
      <c r="AB9" s="677">
        <f t="shared" si="2"/>
        <v>0.20832986957440874</v>
      </c>
      <c r="AC9" s="128">
        <f t="shared" si="1"/>
        <v>216122.77432161538</v>
      </c>
      <c r="AD9" s="22">
        <f t="shared" si="3"/>
        <v>0.20832986957440874</v>
      </c>
      <c r="AE9" s="574"/>
      <c r="AF9" s="574"/>
      <c r="AG9" s="574"/>
    </row>
    <row r="10" spans="1:33" s="1" customFormat="1">
      <c r="A10" s="1">
        <v>5102</v>
      </c>
      <c r="B10" s="1" t="s">
        <v>220</v>
      </c>
      <c r="C10" s="31"/>
      <c r="D10" s="677">
        <f t="shared" si="4"/>
        <v>0</v>
      </c>
      <c r="E10" s="26"/>
      <c r="F10" s="677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5"/>
        <v>0</v>
      </c>
      <c r="M10" s="26"/>
      <c r="N10" s="702">
        <f t="shared" ref="N10:N11" si="10">M10/M$5</f>
        <v>0</v>
      </c>
      <c r="O10" s="26"/>
      <c r="P10" s="677">
        <f t="shared" ref="P10:P11" si="11">O10/O$5</f>
        <v>0</v>
      </c>
      <c r="Q10" s="26"/>
      <c r="R10" s="677">
        <f t="shared" ref="R10:R11" si="12">Q10/Q$5</f>
        <v>0</v>
      </c>
      <c r="S10" s="26"/>
      <c r="T10" s="677">
        <f t="shared" ref="T10:T11" si="13">S10/S$5</f>
        <v>0</v>
      </c>
      <c r="U10" s="26"/>
      <c r="V10" s="677">
        <f t="shared" ref="V10:V11" si="14">U10/U$5</f>
        <v>0</v>
      </c>
      <c r="W10" s="26"/>
      <c r="X10" s="677">
        <f t="shared" ref="X10:X11" si="15">W10/W$5</f>
        <v>0</v>
      </c>
      <c r="Y10" s="26"/>
      <c r="Z10" s="677">
        <f t="shared" si="6"/>
        <v>0</v>
      </c>
      <c r="AA10" s="144">
        <f t="shared" si="0"/>
        <v>0</v>
      </c>
      <c r="AB10" s="22">
        <f t="shared" si="2"/>
        <v>0</v>
      </c>
      <c r="AC10" s="128">
        <f t="shared" si="1"/>
        <v>0</v>
      </c>
      <c r="AD10" s="22">
        <f t="shared" si="3"/>
        <v>0</v>
      </c>
      <c r="AE10" s="574"/>
      <c r="AF10" s="574"/>
      <c r="AG10" s="574"/>
    </row>
    <row r="11" spans="1:33" s="1" customFormat="1">
      <c r="A11" s="1">
        <v>5103</v>
      </c>
      <c r="B11" s="1" t="s">
        <v>63</v>
      </c>
      <c r="C11" s="26"/>
      <c r="D11" s="677">
        <f t="shared" si="4"/>
        <v>0</v>
      </c>
      <c r="E11" s="27">
        <v>0</v>
      </c>
      <c r="F11" s="677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5"/>
        <v>0</v>
      </c>
      <c r="M11" s="26"/>
      <c r="N11" s="702">
        <f t="shared" si="10"/>
        <v>0</v>
      </c>
      <c r="O11" s="26"/>
      <c r="P11" s="677">
        <f t="shared" si="11"/>
        <v>0</v>
      </c>
      <c r="Q11" s="26"/>
      <c r="R11" s="677">
        <f t="shared" si="12"/>
        <v>0</v>
      </c>
      <c r="S11" s="26"/>
      <c r="T11" s="677">
        <f t="shared" si="13"/>
        <v>0</v>
      </c>
      <c r="U11" s="26"/>
      <c r="V11" s="677">
        <f t="shared" si="14"/>
        <v>0</v>
      </c>
      <c r="W11" s="26"/>
      <c r="X11" s="677">
        <f t="shared" si="15"/>
        <v>0</v>
      </c>
      <c r="Y11" s="26"/>
      <c r="Z11" s="677">
        <f t="shared" si="6"/>
        <v>0</v>
      </c>
      <c r="AA11" s="144">
        <f t="shared" si="0"/>
        <v>0</v>
      </c>
      <c r="AB11" s="22">
        <f t="shared" si="2"/>
        <v>0</v>
      </c>
      <c r="AC11" s="128">
        <f t="shared" si="1"/>
        <v>0</v>
      </c>
      <c r="AD11" s="22">
        <f t="shared" si="3"/>
        <v>0</v>
      </c>
      <c r="AE11" s="574"/>
      <c r="AF11" s="574"/>
      <c r="AG11" s="574"/>
    </row>
    <row r="12" spans="1:33" s="1" customFormat="1" ht="15.75" thickBot="1">
      <c r="A12" s="7">
        <v>5149</v>
      </c>
      <c r="B12" s="242" t="s">
        <v>66</v>
      </c>
      <c r="C12" s="116">
        <f>C5+C6-C7-C8-C9-C10+C11</f>
        <v>741240.06514974695</v>
      </c>
      <c r="D12" s="23">
        <v>1</v>
      </c>
      <c r="E12" s="116">
        <f>E5+E6-E7-E8-E9-E10+E11</f>
        <v>576685.85571363603</v>
      </c>
      <c r="F12" s="23">
        <v>1</v>
      </c>
      <c r="G12" s="76">
        <f>G5+G6-G7-G8-G9-G10+G11</f>
        <v>956593.57666065684</v>
      </c>
      <c r="H12" s="23">
        <v>1</v>
      </c>
      <c r="I12" s="116">
        <f>I5+I6-I7-I8-I9-I10+I11</f>
        <v>844666.64317976497</v>
      </c>
      <c r="J12" s="23">
        <v>1</v>
      </c>
      <c r="K12" s="116">
        <f>K5+K6-K7-K8-K9-K10+K11</f>
        <v>772533.69211818394</v>
      </c>
      <c r="L12" s="23">
        <v>1</v>
      </c>
      <c r="M12" s="800">
        <f>M5+M6-M7-M8-M9-M10+M11</f>
        <v>1095442.0795239101</v>
      </c>
      <c r="N12" s="23">
        <v>1</v>
      </c>
      <c r="O12" s="116">
        <f>O5+O6-O7-O8-O9-O10+O11</f>
        <v>693535.90579629201</v>
      </c>
      <c r="P12" s="23">
        <v>1</v>
      </c>
      <c r="Q12" s="116">
        <f>Q5+Q6-Q7-Q8-Q9-Q10+Q11</f>
        <v>861190.60916825186</v>
      </c>
      <c r="R12" s="23">
        <v>1</v>
      </c>
      <c r="S12" s="116">
        <f>S5+S6-S7-S8-S9-S10+S11</f>
        <v>867545.57217468298</v>
      </c>
      <c r="T12" s="23">
        <v>1</v>
      </c>
      <c r="U12" s="116">
        <f>U5+U6-U7-U8-U9-U10+U11</f>
        <v>688142.81228469312</v>
      </c>
      <c r="V12" s="23">
        <v>1</v>
      </c>
      <c r="W12" s="116">
        <f>W5+W6-W7-W8-W9-W10+W11</f>
        <v>700145.07532145304</v>
      </c>
      <c r="X12" s="23">
        <v>1</v>
      </c>
      <c r="Y12" s="116">
        <f>Y5+Y6-Y7-Y8-Y9-Y10+Y11</f>
        <v>1057683.5975662102</v>
      </c>
      <c r="Z12" s="23">
        <v>1</v>
      </c>
      <c r="AA12" s="52">
        <f>AA5+AA6-AA7-AA8-AA9-AA10+AA11</f>
        <v>9855405.484657485</v>
      </c>
      <c r="AB12" s="23">
        <v>1</v>
      </c>
      <c r="AC12" s="52">
        <f t="shared" si="1"/>
        <v>821283.79038812371</v>
      </c>
      <c r="AD12" s="23">
        <v>1</v>
      </c>
      <c r="AE12" s="575"/>
      <c r="AF12" s="575"/>
      <c r="AG12" s="575"/>
    </row>
    <row r="13" spans="1:33" s="1" customFormat="1" ht="15.75" thickTop="1">
      <c r="A13" s="1">
        <v>5151</v>
      </c>
      <c r="B13" s="20" t="s">
        <v>47</v>
      </c>
      <c r="C13" s="61"/>
      <c r="D13" s="18"/>
      <c r="E13" s="114"/>
      <c r="F13" s="18"/>
      <c r="G13" s="61"/>
      <c r="H13" s="18"/>
      <c r="I13" s="61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61"/>
      <c r="V13" s="18"/>
      <c r="W13" s="61"/>
      <c r="X13" s="18"/>
      <c r="Y13" s="61"/>
      <c r="Z13" s="18"/>
      <c r="AA13" s="144">
        <f>C13+E13+G13+I13+K13+M13+O13+Q13+S13+U13+W13+Y13</f>
        <v>0</v>
      </c>
      <c r="AB13" s="18"/>
      <c r="AC13" s="128">
        <f t="shared" si="1"/>
        <v>0</v>
      </c>
      <c r="AD13" s="18"/>
      <c r="AE13" s="576"/>
      <c r="AF13" s="576"/>
      <c r="AG13" s="576"/>
    </row>
    <row r="14" spans="1:33" s="1" customFormat="1">
      <c r="A14" s="1">
        <v>5152</v>
      </c>
      <c r="B14" s="20" t="s">
        <v>48</v>
      </c>
      <c r="C14" s="61"/>
      <c r="D14" s="18"/>
      <c r="E14" s="114"/>
      <c r="F14" s="18"/>
      <c r="G14" s="61"/>
      <c r="H14" s="18"/>
      <c r="I14" s="61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61"/>
      <c r="V14" s="18"/>
      <c r="W14" s="61"/>
      <c r="X14" s="18"/>
      <c r="Y14" s="61"/>
      <c r="Z14" s="18"/>
      <c r="AA14" s="144">
        <f>C14+E14+G14+I14+K14+M14+O14+Q14+S14+U14+W14+Y14</f>
        <v>0</v>
      </c>
      <c r="AB14" s="18"/>
      <c r="AC14" s="128">
        <f t="shared" si="1"/>
        <v>0</v>
      </c>
      <c r="AD14" s="18"/>
      <c r="AE14" s="576"/>
      <c r="AF14" s="576"/>
      <c r="AG14" s="576"/>
    </row>
    <row r="15" spans="1:33" s="1" customFormat="1">
      <c r="A15" s="198">
        <v>5198</v>
      </c>
      <c r="B15" s="247" t="s">
        <v>106</v>
      </c>
      <c r="C15" s="79">
        <f>C13+C14</f>
        <v>0</v>
      </c>
      <c r="D15" s="199"/>
      <c r="E15" s="119">
        <f>E13+E14</f>
        <v>0</v>
      </c>
      <c r="F15" s="199"/>
      <c r="G15" s="79">
        <f>G13+G14</f>
        <v>0</v>
      </c>
      <c r="H15" s="199"/>
      <c r="I15" s="79">
        <f>I13+I14</f>
        <v>0</v>
      </c>
      <c r="J15" s="199"/>
      <c r="K15" s="29">
        <f>K13+K14</f>
        <v>0</v>
      </c>
      <c r="L15" s="199"/>
      <c r="M15" s="29">
        <f>M13+M14</f>
        <v>0</v>
      </c>
      <c r="N15" s="199"/>
      <c r="O15" s="29">
        <f>O13+O14</f>
        <v>0</v>
      </c>
      <c r="P15" s="199"/>
      <c r="Q15" s="29">
        <f>Q13+Q14</f>
        <v>0</v>
      </c>
      <c r="R15" s="199"/>
      <c r="S15" s="29">
        <f>S13+S14</f>
        <v>0</v>
      </c>
      <c r="T15" s="199"/>
      <c r="U15" s="79">
        <f>U13+U14</f>
        <v>0</v>
      </c>
      <c r="V15" s="199"/>
      <c r="W15" s="79">
        <f>W13+W14</f>
        <v>0</v>
      </c>
      <c r="X15" s="199"/>
      <c r="Y15" s="79">
        <f>Y13+Y14</f>
        <v>0</v>
      </c>
      <c r="Z15" s="199"/>
      <c r="AA15" s="58">
        <f>AA13+AA14</f>
        <v>0</v>
      </c>
      <c r="AB15" s="199"/>
      <c r="AC15" s="58">
        <f t="shared" si="1"/>
        <v>0</v>
      </c>
      <c r="AD15" s="199"/>
      <c r="AE15" s="577"/>
      <c r="AF15" s="577"/>
      <c r="AG15" s="577"/>
    </row>
    <row r="16" spans="1:33" s="1" customFormat="1" ht="15.75" thickBot="1">
      <c r="A16" s="37">
        <v>5199</v>
      </c>
      <c r="B16" s="248" t="s">
        <v>70</v>
      </c>
      <c r="C16" s="80">
        <f>C12+C15</f>
        <v>741240.06514974695</v>
      </c>
      <c r="D16" s="25">
        <f>C16/C12</f>
        <v>1</v>
      </c>
      <c r="E16" s="120">
        <f>E12+E15</f>
        <v>576685.85571363603</v>
      </c>
      <c r="F16" s="25">
        <f>E16/E12</f>
        <v>1</v>
      </c>
      <c r="G16" s="80">
        <f>G12+G15</f>
        <v>956593.57666065684</v>
      </c>
      <c r="H16" s="25">
        <f>G16/G12</f>
        <v>1</v>
      </c>
      <c r="I16" s="80">
        <f>I12+I15</f>
        <v>844666.64317976497</v>
      </c>
      <c r="J16" s="25">
        <f>I16/I12</f>
        <v>1</v>
      </c>
      <c r="K16" s="30">
        <f>K12+K15</f>
        <v>772533.69211818394</v>
      </c>
      <c r="L16" s="25">
        <f>K16/K12</f>
        <v>1</v>
      </c>
      <c r="M16" s="30">
        <f>M12+M15</f>
        <v>1095442.0795239101</v>
      </c>
      <c r="N16" s="25">
        <f>M16/M12</f>
        <v>1</v>
      </c>
      <c r="O16" s="30">
        <f>O12+O15</f>
        <v>693535.90579629201</v>
      </c>
      <c r="P16" s="25">
        <f>O16/O12</f>
        <v>1</v>
      </c>
      <c r="Q16" s="30">
        <f>Q12+Q15</f>
        <v>861190.60916825186</v>
      </c>
      <c r="R16" s="25">
        <f>Q16/Q12</f>
        <v>1</v>
      </c>
      <c r="S16" s="30">
        <f>S12+S15</f>
        <v>867545.57217468298</v>
      </c>
      <c r="T16" s="25">
        <f>S16/S12</f>
        <v>1</v>
      </c>
      <c r="U16" s="80">
        <f>U12+U15</f>
        <v>688142.81228469312</v>
      </c>
      <c r="V16" s="25">
        <f>U16/U12</f>
        <v>1</v>
      </c>
      <c r="W16" s="80">
        <f>W12+W15</f>
        <v>700145.07532145304</v>
      </c>
      <c r="X16" s="25">
        <f>W16/W12</f>
        <v>1</v>
      </c>
      <c r="Y16" s="80">
        <f>Y12+Y15</f>
        <v>1057683.5975662102</v>
      </c>
      <c r="Z16" s="25">
        <f>Y16/Y12</f>
        <v>1</v>
      </c>
      <c r="AA16" s="195">
        <f>AA12+AA15</f>
        <v>9855405.484657485</v>
      </c>
      <c r="AB16" s="25">
        <f>AA16/AA12</f>
        <v>1</v>
      </c>
      <c r="AC16" s="59">
        <f t="shared" si="1"/>
        <v>821283.79038812371</v>
      </c>
      <c r="AD16" s="25">
        <f>AC16/AC12</f>
        <v>1</v>
      </c>
      <c r="AE16" s="578"/>
      <c r="AF16" s="578"/>
      <c r="AG16" s="578"/>
    </row>
    <row r="17" spans="1:33" s="1" customFormat="1" ht="15.75" thickTop="1">
      <c r="A17" s="13">
        <v>5502</v>
      </c>
      <c r="B17" s="17" t="s">
        <v>49</v>
      </c>
      <c r="C17" s="704">
        <f>C12*52%</f>
        <v>385444.83387786843</v>
      </c>
      <c r="D17" s="702">
        <f>C17/C12</f>
        <v>0.52</v>
      </c>
      <c r="E17" s="703">
        <f>E12*43.79%</f>
        <v>252530.73621700122</v>
      </c>
      <c r="F17" s="702">
        <f>E17/E12</f>
        <v>0.43790000000000001</v>
      </c>
      <c r="G17" s="371">
        <f>G12*47.59%</f>
        <v>455242.88313280663</v>
      </c>
      <c r="H17" s="702">
        <f>G17/G12</f>
        <v>0.47590000000000005</v>
      </c>
      <c r="I17" s="703">
        <f>I12*46%</f>
        <v>388546.65586269193</v>
      </c>
      <c r="J17" s="702">
        <f>I17/I12</f>
        <v>0.46000000000000008</v>
      </c>
      <c r="K17" s="703">
        <f>K12*44.15%</f>
        <v>341073.62507017824</v>
      </c>
      <c r="L17" s="702">
        <f>K17/K12</f>
        <v>0.44150000000000006</v>
      </c>
      <c r="M17" s="703">
        <f>M12*49.44%</f>
        <v>541586.56411662104</v>
      </c>
      <c r="N17" s="702">
        <f>M17/M12</f>
        <v>0.4943999999999999</v>
      </c>
      <c r="O17" s="703">
        <f>O12*42.45%</f>
        <v>294405.99201052601</v>
      </c>
      <c r="P17" s="702">
        <f>O17/O12</f>
        <v>0.4245000000000001</v>
      </c>
      <c r="Q17" s="703">
        <f>Q12*46.74%</f>
        <v>402520.49072524096</v>
      </c>
      <c r="R17" s="702">
        <f>Q17/Q12</f>
        <v>0.46740000000000004</v>
      </c>
      <c r="S17" s="703">
        <f>S12*52.21%</f>
        <v>452945.54323240201</v>
      </c>
      <c r="T17" s="702">
        <f>S17/S12</f>
        <v>0.52210000000000001</v>
      </c>
      <c r="U17" s="703">
        <f>U12*45.28%</f>
        <v>311591.06540250906</v>
      </c>
      <c r="V17" s="702">
        <f>U17/U12</f>
        <v>0.45280000000000004</v>
      </c>
      <c r="W17" s="703">
        <f>W12*49.1%</f>
        <v>343771.23198283341</v>
      </c>
      <c r="X17" s="702">
        <f>W17/W12</f>
        <v>0.49099999999999994</v>
      </c>
      <c r="Y17" s="703">
        <f>Y12*52.29%</f>
        <v>553062.75316737138</v>
      </c>
      <c r="Z17" s="702">
        <f>Y17/Y12</f>
        <v>0.52290000000000003</v>
      </c>
      <c r="AA17" s="144">
        <f>C17+E17+G17+I17+K17+M17+O17+Q17+S17+U17+W17+Y17</f>
        <v>4722722.3747980502</v>
      </c>
      <c r="AB17" s="677">
        <f>AA17/AA12</f>
        <v>0.47920122435857176</v>
      </c>
      <c r="AC17" s="128">
        <f t="shared" si="1"/>
        <v>393560.19789983751</v>
      </c>
      <c r="AD17" s="677">
        <f>AC17/AC12</f>
        <v>0.47920122435857176</v>
      </c>
      <c r="AE17" s="393" t="s">
        <v>246</v>
      </c>
      <c r="AF17" s="393"/>
      <c r="AG17" s="393"/>
    </row>
    <row r="18" spans="1:33" s="1" customFormat="1">
      <c r="A18" s="3">
        <v>5503</v>
      </c>
      <c r="B18" s="238" t="s">
        <v>50</v>
      </c>
      <c r="C18" s="292"/>
      <c r="D18" s="102"/>
      <c r="E18" s="61"/>
      <c r="F18" s="102"/>
      <c r="G18" s="703"/>
      <c r="H18" s="102"/>
      <c r="I18" s="26"/>
      <c r="J18" s="102"/>
      <c r="K18" s="61"/>
      <c r="L18" s="102"/>
      <c r="M18" s="26"/>
      <c r="N18" s="102"/>
      <c r="O18" s="26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1"/>
        <v>0</v>
      </c>
      <c r="AD18" s="102"/>
      <c r="AE18" s="393"/>
      <c r="AF18" s="393"/>
      <c r="AG18" s="393"/>
    </row>
    <row r="19" spans="1:33" s="1" customFormat="1">
      <c r="A19" s="187">
        <v>5504</v>
      </c>
      <c r="B19" s="758" t="s">
        <v>51</v>
      </c>
      <c r="C19" s="26"/>
      <c r="D19" s="677">
        <f>C19/C12</f>
        <v>0</v>
      </c>
      <c r="E19" s="26"/>
      <c r="F19" s="677">
        <f>E19/E12</f>
        <v>0</v>
      </c>
      <c r="G19" s="33"/>
      <c r="H19" s="702">
        <f>G19/G12</f>
        <v>0</v>
      </c>
      <c r="I19" s="26"/>
      <c r="J19" s="702">
        <f>I19/I12</f>
        <v>0</v>
      </c>
      <c r="K19" s="26"/>
      <c r="L19" s="702">
        <f>K19/K12</f>
        <v>0</v>
      </c>
      <c r="M19" s="33"/>
      <c r="N19" s="702">
        <f>M19/M12</f>
        <v>0</v>
      </c>
      <c r="O19" s="33"/>
      <c r="P19" s="677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77">
        <f>AA19/AA12</f>
        <v>0</v>
      </c>
      <c r="AC19" s="128">
        <f t="shared" si="1"/>
        <v>0</v>
      </c>
      <c r="AD19" s="677">
        <f>AC19/AC12</f>
        <v>0</v>
      </c>
      <c r="AE19" s="393"/>
      <c r="AF19" s="393"/>
      <c r="AG19" s="393"/>
    </row>
    <row r="20" spans="1:33" s="1" customFormat="1">
      <c r="A20" s="3">
        <v>5505</v>
      </c>
      <c r="B20" s="238" t="s">
        <v>52</v>
      </c>
      <c r="C20" s="292"/>
      <c r="D20" s="102"/>
      <c r="E20" s="61"/>
      <c r="F20" s="102"/>
      <c r="G20" s="703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"/>
        <v>0</v>
      </c>
      <c r="AD20" s="102"/>
      <c r="AE20" s="393"/>
      <c r="AF20" s="393"/>
      <c r="AG20" s="393"/>
    </row>
    <row r="21" spans="1:33" s="1" customFormat="1" ht="15.75" thickBot="1">
      <c r="A21" s="8">
        <v>5599</v>
      </c>
      <c r="B21" s="245" t="s">
        <v>107</v>
      </c>
      <c r="C21" s="76">
        <f>SUM(C17:C20)</f>
        <v>385444.83387786843</v>
      </c>
      <c r="D21" s="23">
        <f>C21/C12</f>
        <v>0.52</v>
      </c>
      <c r="E21" s="116">
        <f>SUM(E17:E20)</f>
        <v>252530.73621700122</v>
      </c>
      <c r="F21" s="23">
        <f>E21/E12</f>
        <v>0.43790000000000001</v>
      </c>
      <c r="G21" s="76">
        <f>SUM(G17:G20)</f>
        <v>455242.88313280663</v>
      </c>
      <c r="H21" s="23">
        <f>G21/G12</f>
        <v>0.47590000000000005</v>
      </c>
      <c r="I21" s="76">
        <f>SUM(I17:I20)</f>
        <v>388546.65586269193</v>
      </c>
      <c r="J21" s="23">
        <f>I21/I12</f>
        <v>0.46000000000000008</v>
      </c>
      <c r="K21" s="28">
        <f>SUM(K17:K20)</f>
        <v>341073.62507017824</v>
      </c>
      <c r="L21" s="23">
        <f>K21/K12</f>
        <v>0.44150000000000006</v>
      </c>
      <c r="M21" s="376">
        <f>SUM(M17:M20)</f>
        <v>541586.56411662104</v>
      </c>
      <c r="N21" s="23">
        <f>M21/M12</f>
        <v>0.4943999999999999</v>
      </c>
      <c r="O21" s="28">
        <f>SUM(O17:O20)</f>
        <v>294405.99201052601</v>
      </c>
      <c r="P21" s="23">
        <f>O21/O12</f>
        <v>0.4245000000000001</v>
      </c>
      <c r="Q21" s="301">
        <f>SUM(Q17:Q20)</f>
        <v>402520.49072524096</v>
      </c>
      <c r="R21" s="23">
        <f>Q21/Q12</f>
        <v>0.46740000000000004</v>
      </c>
      <c r="S21" s="28">
        <f>SUM(S17:S20)</f>
        <v>452945.54323240201</v>
      </c>
      <c r="T21" s="23">
        <f>S21/S12</f>
        <v>0.52210000000000001</v>
      </c>
      <c r="U21" s="76">
        <f>SUM(U17:U20)</f>
        <v>311591.06540250906</v>
      </c>
      <c r="V21" s="23">
        <f>U21/U12</f>
        <v>0.45280000000000004</v>
      </c>
      <c r="W21" s="76">
        <f>SUM(W17:W20)</f>
        <v>343771.23198283341</v>
      </c>
      <c r="X21" s="23">
        <f>W21/W12</f>
        <v>0.49099999999999994</v>
      </c>
      <c r="Y21" s="76">
        <f>SUM(Y17:Y20)</f>
        <v>553062.75316737138</v>
      </c>
      <c r="Z21" s="23">
        <f>Y21/Y12</f>
        <v>0.52290000000000003</v>
      </c>
      <c r="AA21" s="196">
        <f>SUM(AA17:AA20)</f>
        <v>4722722.3747980502</v>
      </c>
      <c r="AB21" s="23">
        <f>AA21/AA12</f>
        <v>0.47920122435857176</v>
      </c>
      <c r="AC21" s="52">
        <f t="shared" si="1"/>
        <v>393560.19789983751</v>
      </c>
      <c r="AD21" s="23">
        <f>AC21/AC12</f>
        <v>0.47920122435857176</v>
      </c>
      <c r="AE21" s="575"/>
      <c r="AF21" s="575"/>
      <c r="AG21" s="575"/>
    </row>
    <row r="22" spans="1:33" s="1" customFormat="1" ht="15.75" thickTop="1">
      <c r="A22" s="187">
        <v>5601</v>
      </c>
      <c r="B22" s="3" t="s">
        <v>53</v>
      </c>
      <c r="C22" s="26"/>
      <c r="D22" s="677">
        <f>C22/C12</f>
        <v>0</v>
      </c>
      <c r="E22" s="26"/>
      <c r="F22" s="677">
        <f>E22/E12</f>
        <v>0</v>
      </c>
      <c r="G22" s="26"/>
      <c r="H22" s="702">
        <f>G22/G12</f>
        <v>0</v>
      </c>
      <c r="I22" s="26"/>
      <c r="J22" s="702">
        <f>I22/I12</f>
        <v>0</v>
      </c>
      <c r="K22" s="26"/>
      <c r="L22" s="702">
        <f>K22/K12</f>
        <v>0</v>
      </c>
      <c r="M22" s="26"/>
      <c r="N22" s="702">
        <f>M22/M12</f>
        <v>0</v>
      </c>
      <c r="O22" s="26"/>
      <c r="P22" s="677">
        <f>O22/O12</f>
        <v>0</v>
      </c>
      <c r="Q22" s="26"/>
      <c r="R22" s="677">
        <f>Q22/Q12</f>
        <v>0</v>
      </c>
      <c r="S22" s="26"/>
      <c r="T22" s="677">
        <f>S22/S12</f>
        <v>0</v>
      </c>
      <c r="U22" s="26"/>
      <c r="V22" s="677">
        <f>U22/U12</f>
        <v>0</v>
      </c>
      <c r="W22" s="26"/>
      <c r="X22" s="677">
        <f>W22/W12</f>
        <v>0</v>
      </c>
      <c r="Y22" s="26"/>
      <c r="Z22" s="677">
        <f>Y22/Y12</f>
        <v>0</v>
      </c>
      <c r="AA22" s="144">
        <f t="shared" ref="AA22:AA34" si="16">C22+E22+G22+I22+K22+M22+O22+Q22+S22+U22+W22+Y22</f>
        <v>0</v>
      </c>
      <c r="AB22" s="677">
        <f>AA22/AA12</f>
        <v>0</v>
      </c>
      <c r="AC22" s="128">
        <f t="shared" si="1"/>
        <v>0</v>
      </c>
      <c r="AD22" s="677">
        <f>AC22/AC12</f>
        <v>0</v>
      </c>
      <c r="AE22" s="393"/>
      <c r="AF22" s="393"/>
      <c r="AG22" s="393"/>
    </row>
    <row r="23" spans="1:33" s="1" customFormat="1">
      <c r="A23" s="3">
        <v>5602</v>
      </c>
      <c r="B23" s="3" t="s">
        <v>54</v>
      </c>
      <c r="C23" s="26"/>
      <c r="D23" s="677">
        <f>C23/C12</f>
        <v>0</v>
      </c>
      <c r="E23" s="26"/>
      <c r="F23" s="677">
        <f>E23/E12</f>
        <v>0</v>
      </c>
      <c r="G23" s="26"/>
      <c r="H23" s="702">
        <f>G23/G12</f>
        <v>0</v>
      </c>
      <c r="I23" s="26"/>
      <c r="J23" s="702">
        <f>I23/I12</f>
        <v>0</v>
      </c>
      <c r="K23" s="26"/>
      <c r="L23" s="702">
        <f>K23/K12</f>
        <v>0</v>
      </c>
      <c r="M23" s="26"/>
      <c r="N23" s="702">
        <f>M23/M12</f>
        <v>0</v>
      </c>
      <c r="O23" s="26"/>
      <c r="P23" s="677">
        <f>O23/O12</f>
        <v>0</v>
      </c>
      <c r="Q23" s="26"/>
      <c r="R23" s="677">
        <f>Q23/Q12</f>
        <v>0</v>
      </c>
      <c r="S23" s="26"/>
      <c r="T23" s="677">
        <f>S23/S12</f>
        <v>0</v>
      </c>
      <c r="U23" s="26"/>
      <c r="V23" s="677">
        <f>U23/U12</f>
        <v>0</v>
      </c>
      <c r="W23" s="26"/>
      <c r="X23" s="677">
        <f>W23/W12</f>
        <v>0</v>
      </c>
      <c r="Y23" s="26"/>
      <c r="Z23" s="677">
        <f>Y23/Y12</f>
        <v>0</v>
      </c>
      <c r="AA23" s="144">
        <f t="shared" si="16"/>
        <v>0</v>
      </c>
      <c r="AB23" s="677">
        <f>AA23/AA12</f>
        <v>0</v>
      </c>
      <c r="AC23" s="128">
        <f t="shared" si="1"/>
        <v>0</v>
      </c>
      <c r="AD23" s="677">
        <f>AC23/AC12</f>
        <v>0</v>
      </c>
      <c r="AE23" s="393"/>
      <c r="AF23" s="393"/>
      <c r="AG23" s="393"/>
    </row>
    <row r="24" spans="1:33" s="1" customFormat="1">
      <c r="A24" s="3">
        <v>5603</v>
      </c>
      <c r="B24" s="3" t="s">
        <v>55</v>
      </c>
      <c r="C24" s="26"/>
      <c r="D24" s="677">
        <f>C24/C12</f>
        <v>0</v>
      </c>
      <c r="E24" s="26"/>
      <c r="F24" s="677">
        <f>E24/E12</f>
        <v>0</v>
      </c>
      <c r="G24" s="26"/>
      <c r="H24" s="702">
        <f>G24/G12</f>
        <v>0</v>
      </c>
      <c r="I24" s="26"/>
      <c r="J24" s="702">
        <f>I24/I12</f>
        <v>0</v>
      </c>
      <c r="K24" s="26"/>
      <c r="L24" s="702">
        <f>K24/K12</f>
        <v>0</v>
      </c>
      <c r="M24" s="26">
        <v>0</v>
      </c>
      <c r="N24" s="702">
        <f>M24/M12</f>
        <v>0</v>
      </c>
      <c r="O24" s="26"/>
      <c r="P24" s="677">
        <f>O24/O12</f>
        <v>0</v>
      </c>
      <c r="Q24" s="26"/>
      <c r="R24" s="677">
        <f>Q24/Q12</f>
        <v>0</v>
      </c>
      <c r="S24" s="26"/>
      <c r="T24" s="677">
        <f>S24/S12</f>
        <v>0</v>
      </c>
      <c r="U24" s="26"/>
      <c r="V24" s="677">
        <f>U24/U12</f>
        <v>0</v>
      </c>
      <c r="W24" s="26"/>
      <c r="X24" s="677">
        <f>W24/W12</f>
        <v>0</v>
      </c>
      <c r="Y24" s="26"/>
      <c r="Z24" s="677">
        <f>Y24/Y12</f>
        <v>0</v>
      </c>
      <c r="AA24" s="144">
        <f t="shared" si="16"/>
        <v>0</v>
      </c>
      <c r="AB24" s="677">
        <f>AA24/AA12</f>
        <v>0</v>
      </c>
      <c r="AC24" s="128">
        <f t="shared" si="1"/>
        <v>0</v>
      </c>
      <c r="AD24" s="677">
        <f>AC24/AC12</f>
        <v>0</v>
      </c>
      <c r="AE24" s="393"/>
      <c r="AF24" s="393"/>
      <c r="AG24" s="393"/>
    </row>
    <row r="25" spans="1:33" s="1" customFormat="1">
      <c r="A25" s="187">
        <v>5604</v>
      </c>
      <c r="B25" s="187" t="s">
        <v>56</v>
      </c>
      <c r="C25" s="26">
        <v>250</v>
      </c>
      <c r="D25" s="702">
        <f>C25/C12</f>
        <v>3.3727264857100572E-4</v>
      </c>
      <c r="E25" s="26">
        <v>250</v>
      </c>
      <c r="F25" s="702">
        <f>E25/E12</f>
        <v>4.3351158611412536E-4</v>
      </c>
      <c r="G25" s="26">
        <v>250</v>
      </c>
      <c r="H25" s="702">
        <f>G25/G12</f>
        <v>2.6134400867787271E-4</v>
      </c>
      <c r="I25" s="26">
        <v>250</v>
      </c>
      <c r="J25" s="702">
        <f>I25/I12</f>
        <v>2.9597475171846477E-4</v>
      </c>
      <c r="K25" s="26">
        <v>250</v>
      </c>
      <c r="L25" s="702">
        <f>K25/K12</f>
        <v>3.2361048139471234E-4</v>
      </c>
      <c r="M25" s="26">
        <v>250</v>
      </c>
      <c r="N25" s="702">
        <f>M25/M12</f>
        <v>2.2821836468857619E-4</v>
      </c>
      <c r="O25" s="26">
        <v>250</v>
      </c>
      <c r="P25" s="702">
        <f>O25/O12</f>
        <v>3.6047160343192233E-4</v>
      </c>
      <c r="Q25" s="26">
        <v>250</v>
      </c>
      <c r="R25" s="702">
        <f>Q25/Q12</f>
        <v>2.9029578044453244E-4</v>
      </c>
      <c r="S25" s="26">
        <v>250</v>
      </c>
      <c r="T25" s="702">
        <f>S25/S12</f>
        <v>2.8816929970989667E-4</v>
      </c>
      <c r="U25" s="26">
        <v>250</v>
      </c>
      <c r="V25" s="702">
        <f>U25/U12</f>
        <v>3.6329668135307345E-4</v>
      </c>
      <c r="W25" s="26">
        <v>250</v>
      </c>
      <c r="X25" s="702">
        <f>W25/W12</f>
        <v>3.5706885445879787E-4</v>
      </c>
      <c r="Y25" s="26">
        <v>250</v>
      </c>
      <c r="Z25" s="702">
        <f>Y25/Y12</f>
        <v>2.3636558284090265E-4</v>
      </c>
      <c r="AA25" s="144">
        <f t="shared" si="16"/>
        <v>3000</v>
      </c>
      <c r="AB25" s="677">
        <f>AA25/AA12</f>
        <v>3.0440147842422964E-4</v>
      </c>
      <c r="AC25" s="128">
        <f t="shared" si="1"/>
        <v>250</v>
      </c>
      <c r="AD25" s="677">
        <f>AC25/AC12</f>
        <v>3.0440147842422969E-4</v>
      </c>
      <c r="AE25" s="393" t="s">
        <v>252</v>
      </c>
      <c r="AF25" s="393"/>
      <c r="AG25" s="393"/>
    </row>
    <row r="26" spans="1:33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6"/>
        <v>0</v>
      </c>
      <c r="AB26" s="677">
        <f>AA26/AA12</f>
        <v>0</v>
      </c>
      <c r="AC26" s="128">
        <f t="shared" si="1"/>
        <v>0</v>
      </c>
      <c r="AD26" s="677">
        <f>AC26/AC12</f>
        <v>0</v>
      </c>
      <c r="AE26" s="393"/>
      <c r="AF26" s="393"/>
      <c r="AG26" s="393"/>
    </row>
    <row r="27" spans="1:33" s="1" customFormat="1">
      <c r="A27" s="187">
        <v>5606</v>
      </c>
      <c r="B27" s="187" t="s">
        <v>77</v>
      </c>
      <c r="C27" s="26">
        <f>C16*0.3%</f>
        <v>2223.7201954492407</v>
      </c>
      <c r="D27" s="702">
        <f>C27/C12</f>
        <v>2.9999999999999996E-3</v>
      </c>
      <c r="E27" s="26">
        <f>E16*0.3%</f>
        <v>1730.0575671409081</v>
      </c>
      <c r="F27" s="702">
        <f>E27/E12</f>
        <v>3.0000000000000001E-3</v>
      </c>
      <c r="G27" s="26">
        <f>G16*0.3%</f>
        <v>2869.7807299819706</v>
      </c>
      <c r="H27" s="702">
        <f>G27/G12</f>
        <v>3.0000000000000001E-3</v>
      </c>
      <c r="I27" s="26">
        <f>I16*0.3%</f>
        <v>2533.999929539295</v>
      </c>
      <c r="J27" s="702">
        <f>I27/I12</f>
        <v>3.0000000000000001E-3</v>
      </c>
      <c r="K27" s="26">
        <f>K16*0.3%</f>
        <v>2317.6010763545519</v>
      </c>
      <c r="L27" s="702">
        <f>K27/K12</f>
        <v>3.0000000000000001E-3</v>
      </c>
      <c r="M27" s="26">
        <f>M16*0.3%</f>
        <v>3286.3262385717303</v>
      </c>
      <c r="N27" s="702">
        <f>M27/M12</f>
        <v>3.0000000000000001E-3</v>
      </c>
      <c r="O27" s="26">
        <f>O16*0.3%</f>
        <v>2080.6077173888762</v>
      </c>
      <c r="P27" s="702">
        <f>O27/O12</f>
        <v>3.0000000000000001E-3</v>
      </c>
      <c r="Q27" s="26">
        <f>Q16*0.3%</f>
        <v>2583.5718275047557</v>
      </c>
      <c r="R27" s="702">
        <f>Q27/Q12</f>
        <v>3.0000000000000001E-3</v>
      </c>
      <c r="S27" s="26">
        <f>S16*0.3%</f>
        <v>2602.636716524049</v>
      </c>
      <c r="T27" s="702">
        <f>S27/S12</f>
        <v>3.0000000000000001E-3</v>
      </c>
      <c r="U27" s="26">
        <f>U16*0.3%</f>
        <v>2064.4284368540793</v>
      </c>
      <c r="V27" s="702">
        <f>U27/U12</f>
        <v>3.0000000000000001E-3</v>
      </c>
      <c r="W27" s="26">
        <f>W16*0.3%</f>
        <v>2100.4352259643592</v>
      </c>
      <c r="X27" s="702">
        <f>W27/W12</f>
        <v>3.0000000000000001E-3</v>
      </c>
      <c r="Y27" s="26">
        <f>Y16*0.3%</f>
        <v>3173.0507926986306</v>
      </c>
      <c r="Z27" s="702">
        <f>Y27/Y12</f>
        <v>3.0000000000000001E-3</v>
      </c>
      <c r="AA27" s="144">
        <f t="shared" si="16"/>
        <v>29566.216453972447</v>
      </c>
      <c r="AB27" s="702">
        <f>AA27/AA12</f>
        <v>2.9999999999999992E-3</v>
      </c>
      <c r="AC27" s="128">
        <f t="shared" si="1"/>
        <v>2463.8513711643704</v>
      </c>
      <c r="AD27" s="702">
        <f>AC27/AC12</f>
        <v>2.9999999999999992E-3</v>
      </c>
      <c r="AE27" s="645"/>
      <c r="AF27" s="226"/>
      <c r="AG27" s="226"/>
    </row>
    <row r="28" spans="1:33" s="1" customFormat="1">
      <c r="A28" s="3">
        <v>5607</v>
      </c>
      <c r="B28" s="238" t="s">
        <v>57</v>
      </c>
      <c r="C28" s="26"/>
      <c r="D28" s="24">
        <f>C28/C12</f>
        <v>0</v>
      </c>
      <c r="E28" s="26"/>
      <c r="F28" s="24">
        <f>E28/E12</f>
        <v>0</v>
      </c>
      <c r="G28" s="26"/>
      <c r="H28" s="24">
        <f>G28/G12</f>
        <v>0</v>
      </c>
      <c r="I28" s="26"/>
      <c r="J28" s="24">
        <f>I28/I12</f>
        <v>0</v>
      </c>
      <c r="K28" s="26"/>
      <c r="L28" s="24">
        <f>K28/K12</f>
        <v>0</v>
      </c>
      <c r="M28" s="26"/>
      <c r="N28" s="24">
        <f>M28/M12</f>
        <v>0</v>
      </c>
      <c r="O28" s="26"/>
      <c r="P28" s="24">
        <f>O28/O12</f>
        <v>0</v>
      </c>
      <c r="Q28" s="26"/>
      <c r="R28" s="24">
        <f>Q28/Q12</f>
        <v>0</v>
      </c>
      <c r="S28" s="26"/>
      <c r="T28" s="24">
        <f>S28/S12</f>
        <v>0</v>
      </c>
      <c r="U28" s="26"/>
      <c r="V28" s="24">
        <f>U28/U12</f>
        <v>0</v>
      </c>
      <c r="W28" s="26"/>
      <c r="X28" s="24">
        <f>W28/W12</f>
        <v>0</v>
      </c>
      <c r="Y28" s="26"/>
      <c r="Z28" s="24">
        <f>Y28/Y12</f>
        <v>0</v>
      </c>
      <c r="AA28" s="144">
        <f t="shared" si="16"/>
        <v>0</v>
      </c>
      <c r="AB28" s="24">
        <f>AA28/AA12</f>
        <v>0</v>
      </c>
      <c r="AC28" s="128">
        <f t="shared" si="1"/>
        <v>0</v>
      </c>
      <c r="AD28" s="24">
        <f>AC28/AC12</f>
        <v>0</v>
      </c>
      <c r="AE28" s="579"/>
      <c r="AF28" s="579"/>
      <c r="AG28" s="579"/>
    </row>
    <row r="29" spans="1:33" s="1" customFormat="1">
      <c r="A29" s="3">
        <v>5608</v>
      </c>
      <c r="B29" s="238" t="s">
        <v>58</v>
      </c>
      <c r="C29" s="26"/>
      <c r="D29" s="24">
        <f>C29/C12</f>
        <v>0</v>
      </c>
      <c r="E29" s="26"/>
      <c r="F29" s="24">
        <f>E29/E12</f>
        <v>0</v>
      </c>
      <c r="G29" s="26"/>
      <c r="H29" s="24">
        <f>G29/G12</f>
        <v>0</v>
      </c>
      <c r="I29" s="26"/>
      <c r="J29" s="24">
        <f>I29/I12</f>
        <v>0</v>
      </c>
      <c r="K29" s="26"/>
      <c r="L29" s="24">
        <f>K29/K12</f>
        <v>0</v>
      </c>
      <c r="M29" s="26"/>
      <c r="N29" s="24">
        <f>M29/M12</f>
        <v>0</v>
      </c>
      <c r="O29" s="26"/>
      <c r="P29" s="24">
        <f>O29/O12</f>
        <v>0</v>
      </c>
      <c r="Q29" s="26"/>
      <c r="R29" s="24">
        <f>Q29/Q12</f>
        <v>0</v>
      </c>
      <c r="S29" s="26"/>
      <c r="T29" s="24">
        <f>S29/S12</f>
        <v>0</v>
      </c>
      <c r="U29" s="26"/>
      <c r="V29" s="24">
        <f>U29/U12</f>
        <v>0</v>
      </c>
      <c r="W29" s="26"/>
      <c r="X29" s="24">
        <f>W29/W12</f>
        <v>0</v>
      </c>
      <c r="Y29" s="26"/>
      <c r="Z29" s="24">
        <f>Y29/Y12</f>
        <v>0</v>
      </c>
      <c r="AA29" s="144">
        <f t="shared" si="16"/>
        <v>0</v>
      </c>
      <c r="AB29" s="24">
        <f>AA29/AA12</f>
        <v>0</v>
      </c>
      <c r="AC29" s="128">
        <f t="shared" si="1"/>
        <v>0</v>
      </c>
      <c r="AD29" s="24">
        <f>AC29/AC12</f>
        <v>0</v>
      </c>
      <c r="AE29" s="579"/>
      <c r="AF29" s="579"/>
      <c r="AG29" s="579"/>
    </row>
    <row r="30" spans="1:33" s="1" customFormat="1">
      <c r="A30" s="3">
        <v>5609</v>
      </c>
      <c r="B30" s="238" t="s">
        <v>59</v>
      </c>
      <c r="C30" s="26"/>
      <c r="D30" s="24">
        <f>C30/C12</f>
        <v>0</v>
      </c>
      <c r="E30" s="26"/>
      <c r="F30" s="24">
        <f>E30/E12</f>
        <v>0</v>
      </c>
      <c r="G30" s="26"/>
      <c r="H30" s="24">
        <f>G30/G12</f>
        <v>0</v>
      </c>
      <c r="I30" s="26"/>
      <c r="J30" s="24">
        <f>I30/I12</f>
        <v>0</v>
      </c>
      <c r="K30" s="26"/>
      <c r="L30" s="24">
        <f>K30/K12</f>
        <v>0</v>
      </c>
      <c r="M30" s="26"/>
      <c r="N30" s="24">
        <f>M30/M12</f>
        <v>0</v>
      </c>
      <c r="O30" s="26"/>
      <c r="P30" s="24">
        <f>O30/O12</f>
        <v>0</v>
      </c>
      <c r="Q30" s="26"/>
      <c r="R30" s="24">
        <f>Q30/Q12</f>
        <v>0</v>
      </c>
      <c r="S30" s="26"/>
      <c r="T30" s="24">
        <f>S30/S12</f>
        <v>0</v>
      </c>
      <c r="U30" s="26"/>
      <c r="V30" s="24">
        <f>U30/U12</f>
        <v>0</v>
      </c>
      <c r="W30" s="26"/>
      <c r="X30" s="24">
        <f>W30/W12</f>
        <v>0</v>
      </c>
      <c r="Y30" s="26"/>
      <c r="Z30" s="24">
        <f>Y30/Y12</f>
        <v>0</v>
      </c>
      <c r="AA30" s="144">
        <f t="shared" si="16"/>
        <v>0</v>
      </c>
      <c r="AB30" s="24">
        <f>AA30/AA12</f>
        <v>0</v>
      </c>
      <c r="AC30" s="128">
        <f t="shared" si="1"/>
        <v>0</v>
      </c>
      <c r="AD30" s="24">
        <f>AC30/AC12</f>
        <v>0</v>
      </c>
      <c r="AE30" s="579"/>
      <c r="AF30" s="579"/>
      <c r="AG30" s="579"/>
    </row>
    <row r="31" spans="1:33" s="1" customFormat="1">
      <c r="A31" s="3">
        <v>5610</v>
      </c>
      <c r="B31" s="238" t="s">
        <v>60</v>
      </c>
      <c r="C31" s="26"/>
      <c r="D31" s="24">
        <f>C31/C12</f>
        <v>0</v>
      </c>
      <c r="E31" s="26"/>
      <c r="F31" s="24">
        <f>E31/E12</f>
        <v>0</v>
      </c>
      <c r="G31" s="26"/>
      <c r="H31" s="24">
        <f>G31/G12</f>
        <v>0</v>
      </c>
      <c r="I31" s="26"/>
      <c r="J31" s="24">
        <f>I31/I12</f>
        <v>0</v>
      </c>
      <c r="K31" s="26"/>
      <c r="L31" s="24">
        <f>K31/K12</f>
        <v>0</v>
      </c>
      <c r="M31" s="26"/>
      <c r="N31" s="24">
        <f>M31/M12</f>
        <v>0</v>
      </c>
      <c r="O31" s="26"/>
      <c r="P31" s="24">
        <f>O31/O12</f>
        <v>0</v>
      </c>
      <c r="Q31" s="26"/>
      <c r="R31" s="24">
        <f>Q31/Q12</f>
        <v>0</v>
      </c>
      <c r="S31" s="26"/>
      <c r="T31" s="24">
        <f>S31/S12</f>
        <v>0</v>
      </c>
      <c r="U31" s="26"/>
      <c r="V31" s="24">
        <f>U31/U12</f>
        <v>0</v>
      </c>
      <c r="W31" s="26"/>
      <c r="X31" s="24">
        <f>W31/W12</f>
        <v>0</v>
      </c>
      <c r="Y31" s="26"/>
      <c r="Z31" s="24">
        <f>Y31/Y12</f>
        <v>0</v>
      </c>
      <c r="AA31" s="144">
        <f t="shared" si="16"/>
        <v>0</v>
      </c>
      <c r="AB31" s="24">
        <f>AA31/AA12</f>
        <v>0</v>
      </c>
      <c r="AC31" s="128">
        <f t="shared" si="1"/>
        <v>0</v>
      </c>
      <c r="AD31" s="24">
        <f>AC31/AC12</f>
        <v>0</v>
      </c>
      <c r="AE31" s="579"/>
      <c r="AF31" s="579"/>
      <c r="AG31" s="579"/>
    </row>
    <row r="32" spans="1:33" s="1" customFormat="1">
      <c r="A32" s="3">
        <v>5611</v>
      </c>
      <c r="B32" s="238" t="s">
        <v>108</v>
      </c>
      <c r="C32" s="26"/>
      <c r="D32" s="24">
        <f>C32/C12</f>
        <v>0</v>
      </c>
      <c r="E32" s="26"/>
      <c r="F32" s="24">
        <f>E32/E12</f>
        <v>0</v>
      </c>
      <c r="G32" s="26"/>
      <c r="H32" s="24">
        <f>G32/G12</f>
        <v>0</v>
      </c>
      <c r="I32" s="26"/>
      <c r="J32" s="24">
        <f>I32/I12</f>
        <v>0</v>
      </c>
      <c r="K32" s="26"/>
      <c r="L32" s="24">
        <f>K32/K12</f>
        <v>0</v>
      </c>
      <c r="M32" s="26"/>
      <c r="N32" s="24">
        <f>M32/M12</f>
        <v>0</v>
      </c>
      <c r="O32" s="26"/>
      <c r="P32" s="24">
        <f>O32/O12</f>
        <v>0</v>
      </c>
      <c r="Q32" s="26"/>
      <c r="R32" s="24">
        <f>Q32/Q12</f>
        <v>0</v>
      </c>
      <c r="S32" s="26"/>
      <c r="T32" s="24">
        <f>S32/S12</f>
        <v>0</v>
      </c>
      <c r="U32" s="26"/>
      <c r="V32" s="24">
        <f>U32/U12</f>
        <v>0</v>
      </c>
      <c r="W32" s="26"/>
      <c r="X32" s="24">
        <f>W32/W12</f>
        <v>0</v>
      </c>
      <c r="Y32" s="26"/>
      <c r="Z32" s="24">
        <f>Y32/Y12</f>
        <v>0</v>
      </c>
      <c r="AA32" s="144">
        <f t="shared" si="16"/>
        <v>0</v>
      </c>
      <c r="AB32" s="24">
        <f>AA32/AA12</f>
        <v>0</v>
      </c>
      <c r="AC32" s="128">
        <f t="shared" si="1"/>
        <v>0</v>
      </c>
      <c r="AD32" s="24">
        <f>AC32/AC12</f>
        <v>0</v>
      </c>
      <c r="AE32" s="579"/>
      <c r="AF32" s="579"/>
      <c r="AG32" s="579"/>
    </row>
    <row r="33" spans="1:33" s="1" customFormat="1">
      <c r="A33" s="3">
        <v>5612</v>
      </c>
      <c r="B33" s="238" t="s">
        <v>61</v>
      </c>
      <c r="C33" s="26"/>
      <c r="D33" s="24">
        <f>C33/C12</f>
        <v>0</v>
      </c>
      <c r="E33" s="26"/>
      <c r="F33" s="24">
        <f>E33/E12</f>
        <v>0</v>
      </c>
      <c r="G33" s="26"/>
      <c r="H33" s="24">
        <f>G33/G12</f>
        <v>0</v>
      </c>
      <c r="I33" s="26"/>
      <c r="J33" s="24">
        <f>I33/I12</f>
        <v>0</v>
      </c>
      <c r="K33" s="26"/>
      <c r="L33" s="24">
        <f>K33/K12</f>
        <v>0</v>
      </c>
      <c r="M33" s="26"/>
      <c r="N33" s="24">
        <f>M33/M12</f>
        <v>0</v>
      </c>
      <c r="O33" s="26"/>
      <c r="P33" s="24">
        <f>O33/O12</f>
        <v>0</v>
      </c>
      <c r="Q33" s="26"/>
      <c r="R33" s="24">
        <f>Q33/Q12</f>
        <v>0</v>
      </c>
      <c r="S33" s="26"/>
      <c r="T33" s="24">
        <f>S33/S12</f>
        <v>0</v>
      </c>
      <c r="U33" s="26"/>
      <c r="V33" s="24">
        <f>U33/U12</f>
        <v>0</v>
      </c>
      <c r="W33" s="26"/>
      <c r="X33" s="24">
        <f>W33/W12</f>
        <v>0</v>
      </c>
      <c r="Y33" s="26"/>
      <c r="Z33" s="24">
        <f>Y33/Y12</f>
        <v>0</v>
      </c>
      <c r="AA33" s="144">
        <f t="shared" si="16"/>
        <v>0</v>
      </c>
      <c r="AB33" s="24">
        <f>AA33/AA12</f>
        <v>0</v>
      </c>
      <c r="AC33" s="128">
        <f t="shared" si="1"/>
        <v>0</v>
      </c>
      <c r="AD33" s="24">
        <f>AC33/AC12</f>
        <v>0</v>
      </c>
      <c r="AE33" s="579"/>
      <c r="AF33" s="579"/>
      <c r="AG33" s="579"/>
    </row>
    <row r="34" spans="1:33" s="1" customFormat="1">
      <c r="A34" s="211">
        <v>5613</v>
      </c>
      <c r="B34" s="249" t="s">
        <v>62</v>
      </c>
      <c r="C34" s="26"/>
      <c r="D34" s="212">
        <f>C34/C12</f>
        <v>0</v>
      </c>
      <c r="E34" s="26"/>
      <c r="F34" s="212">
        <f>E34/E12</f>
        <v>0</v>
      </c>
      <c r="G34" s="26"/>
      <c r="H34" s="212">
        <f>G34/G12</f>
        <v>0</v>
      </c>
      <c r="I34" s="26"/>
      <c r="J34" s="212">
        <f>I34/I12</f>
        <v>0</v>
      </c>
      <c r="K34" s="26"/>
      <c r="L34" s="212">
        <f>K34/K12</f>
        <v>0</v>
      </c>
      <c r="M34" s="26"/>
      <c r="N34" s="212">
        <f>M34/M12</f>
        <v>0</v>
      </c>
      <c r="O34" s="26"/>
      <c r="P34" s="212">
        <f>O34/O12</f>
        <v>0</v>
      </c>
      <c r="Q34" s="26"/>
      <c r="R34" s="212">
        <f>Q34/Q12</f>
        <v>0</v>
      </c>
      <c r="S34" s="26"/>
      <c r="T34" s="212">
        <f>S34/S12</f>
        <v>0</v>
      </c>
      <c r="U34" s="26"/>
      <c r="V34" s="212">
        <f>U34/U12</f>
        <v>0</v>
      </c>
      <c r="W34" s="26"/>
      <c r="X34" s="212">
        <f>W34/W12</f>
        <v>0</v>
      </c>
      <c r="Y34" s="26"/>
      <c r="Z34" s="212">
        <f>Y34/Y12</f>
        <v>0</v>
      </c>
      <c r="AA34" s="166">
        <f t="shared" si="16"/>
        <v>0</v>
      </c>
      <c r="AB34" s="212">
        <f>AA34/AA12</f>
        <v>0</v>
      </c>
      <c r="AC34" s="168">
        <f t="shared" si="1"/>
        <v>0</v>
      </c>
      <c r="AD34" s="212">
        <f>AC34/AC12</f>
        <v>0</v>
      </c>
      <c r="AE34" s="579"/>
      <c r="AF34" s="579"/>
      <c r="AG34" s="579"/>
    </row>
    <row r="35" spans="1:33" s="1" customFormat="1">
      <c r="A35" s="206">
        <v>5699</v>
      </c>
      <c r="B35" s="250" t="s">
        <v>109</v>
      </c>
      <c r="C35" s="303">
        <f>SUM(C22:C34)</f>
        <v>2473.7201954492407</v>
      </c>
      <c r="D35" s="207">
        <f>C35/C12</f>
        <v>3.3372726485710056E-3</v>
      </c>
      <c r="E35" s="280">
        <f>SUM(E22:E34)</f>
        <v>1980.0575671409081</v>
      </c>
      <c r="F35" s="207">
        <f>E35/E12</f>
        <v>3.4335115861141253E-3</v>
      </c>
      <c r="G35" s="208">
        <f>SUM(G22:G34)</f>
        <v>3119.7807299819706</v>
      </c>
      <c r="H35" s="207">
        <f>G35/G12</f>
        <v>3.2613440086778729E-3</v>
      </c>
      <c r="I35" s="208">
        <f>SUM(I22:I34)</f>
        <v>2783.999929539295</v>
      </c>
      <c r="J35" s="207">
        <f>I35/I12</f>
        <v>3.2959747517184649E-3</v>
      </c>
      <c r="K35" s="297">
        <f>SUM(K22:K34)</f>
        <v>2567.6010763545519</v>
      </c>
      <c r="L35" s="207">
        <f>K35/K12</f>
        <v>3.3236104813947126E-3</v>
      </c>
      <c r="M35" s="297">
        <f>SUM(M22:M34)</f>
        <v>3536.3262385717303</v>
      </c>
      <c r="N35" s="207">
        <f>M35/M12</f>
        <v>3.2282183646885764E-3</v>
      </c>
      <c r="O35" s="297">
        <f>SUM(O22:O34)</f>
        <v>2330.6077173888762</v>
      </c>
      <c r="P35" s="207">
        <f>O35/O12</f>
        <v>3.3604716034319223E-3</v>
      </c>
      <c r="Q35" s="297">
        <f>SUM(Q22:Q34)</f>
        <v>2833.5718275047557</v>
      </c>
      <c r="R35" s="207">
        <f>Q35/Q12</f>
        <v>3.2902957804445327E-3</v>
      </c>
      <c r="S35" s="297">
        <f>SUM(S22:S34)</f>
        <v>2852.636716524049</v>
      </c>
      <c r="T35" s="207">
        <f>S35/S12</f>
        <v>3.2881692997098967E-3</v>
      </c>
      <c r="U35" s="208">
        <f>SUM(U22:U34)</f>
        <v>2314.4284368540793</v>
      </c>
      <c r="V35" s="207">
        <f>U35/U12</f>
        <v>3.3632966813530733E-3</v>
      </c>
      <c r="W35" s="208">
        <f>SUM(W22:W34)</f>
        <v>2350.4352259643592</v>
      </c>
      <c r="X35" s="207">
        <f>W35/W12</f>
        <v>3.3570688544587979E-3</v>
      </c>
      <c r="Y35" s="208">
        <f>SUM(Y22:Y34)</f>
        <v>3423.0507926986306</v>
      </c>
      <c r="Z35" s="207">
        <f>Y35/Y12</f>
        <v>3.2363655828409029E-3</v>
      </c>
      <c r="AA35" s="209">
        <f>SUM(AA22:AA34)</f>
        <v>32566.216453972447</v>
      </c>
      <c r="AB35" s="207">
        <f>AA35/AA12</f>
        <v>3.3044014784242288E-3</v>
      </c>
      <c r="AC35" s="210">
        <f t="shared" si="1"/>
        <v>2713.8513711643704</v>
      </c>
      <c r="AD35" s="207">
        <f>AC35/AC12</f>
        <v>3.3044014784242288E-3</v>
      </c>
      <c r="AE35" s="580"/>
      <c r="AF35" s="580"/>
      <c r="AG35" s="580"/>
    </row>
    <row r="36" spans="1:33" s="1" customFormat="1">
      <c r="A36" s="205">
        <v>5999</v>
      </c>
      <c r="B36" s="251" t="s">
        <v>110</v>
      </c>
      <c r="C36" s="203">
        <f>C21+C35</f>
        <v>387918.55407331767</v>
      </c>
      <c r="D36" s="204">
        <f>C36/C12</f>
        <v>0.52333727264857099</v>
      </c>
      <c r="E36" s="281">
        <f>E21+E35</f>
        <v>254510.79378414212</v>
      </c>
      <c r="F36" s="204">
        <f>E36/E12</f>
        <v>0.44133351158611411</v>
      </c>
      <c r="G36" s="203">
        <f>G21+G35</f>
        <v>458362.66386278858</v>
      </c>
      <c r="H36" s="204">
        <f>G36/G12</f>
        <v>0.47916134400867788</v>
      </c>
      <c r="I36" s="203">
        <f>I21+I35</f>
        <v>391330.65579223121</v>
      </c>
      <c r="J36" s="204">
        <f>I36/I12</f>
        <v>0.46329597475171852</v>
      </c>
      <c r="K36" s="298">
        <f>K21+K35</f>
        <v>343641.2261465328</v>
      </c>
      <c r="L36" s="204">
        <f>K36/K12</f>
        <v>0.44482361048139479</v>
      </c>
      <c r="M36" s="298">
        <f>M21+M35</f>
        <v>545122.89035519282</v>
      </c>
      <c r="N36" s="204">
        <f>M36/M12</f>
        <v>0.49762821836468851</v>
      </c>
      <c r="O36" s="298">
        <f>O21+O35</f>
        <v>296736.5997279149</v>
      </c>
      <c r="P36" s="204">
        <f>O36/O12</f>
        <v>0.42786047160343205</v>
      </c>
      <c r="Q36" s="298">
        <f>Q21+Q35</f>
        <v>405354.06255274575</v>
      </c>
      <c r="R36" s="204">
        <f>Q36/Q12</f>
        <v>0.47069029578044463</v>
      </c>
      <c r="S36" s="298">
        <f>S21+S35</f>
        <v>455798.17994892603</v>
      </c>
      <c r="T36" s="204">
        <f>S36/S12</f>
        <v>0.52538816929970988</v>
      </c>
      <c r="U36" s="203">
        <f>U21+U35</f>
        <v>313905.49383936316</v>
      </c>
      <c r="V36" s="204">
        <f>U36/U12</f>
        <v>0.45616329668135314</v>
      </c>
      <c r="W36" s="203">
        <f>W21+W35</f>
        <v>346121.66720879776</v>
      </c>
      <c r="X36" s="204">
        <f>W36/W12</f>
        <v>0.49435706885445874</v>
      </c>
      <c r="Y36" s="203">
        <f>Y21+Y35</f>
        <v>556485.80396007001</v>
      </c>
      <c r="Z36" s="204">
        <f>Y36/Y12</f>
        <v>0.52613636558284094</v>
      </c>
      <c r="AA36" s="154">
        <f>AA21+AA35</f>
        <v>4755288.5912520224</v>
      </c>
      <c r="AB36" s="204">
        <f>AA36/AA12</f>
        <v>0.48250562583699597</v>
      </c>
      <c r="AC36" s="139">
        <f t="shared" si="1"/>
        <v>396274.04927100189</v>
      </c>
      <c r="AD36" s="204">
        <f>AC36/AC12</f>
        <v>0.48250562583699602</v>
      </c>
      <c r="AE36" s="581"/>
      <c r="AF36" s="581"/>
      <c r="AG36" s="581"/>
    </row>
    <row r="37" spans="1:33" s="1" customFormat="1" ht="15.75" thickBot="1">
      <c r="A37" s="10"/>
      <c r="B37" s="240" t="s">
        <v>68</v>
      </c>
      <c r="C37" s="80">
        <f>(C16-C36)</f>
        <v>353321.51107642928</v>
      </c>
      <c r="D37" s="88">
        <f>C37/C12</f>
        <v>0.47666272735142895</v>
      </c>
      <c r="E37" s="120">
        <f>(E16-E36)</f>
        <v>322175.06192949391</v>
      </c>
      <c r="F37" s="88">
        <f>E37/E12</f>
        <v>0.55866648841388589</v>
      </c>
      <c r="G37" s="80">
        <f>(G16-G36)</f>
        <v>498230.91279786825</v>
      </c>
      <c r="H37" s="88">
        <f>G37/G12</f>
        <v>0.52083865599132206</v>
      </c>
      <c r="I37" s="80">
        <f>(I16-I36)</f>
        <v>453335.98738753377</v>
      </c>
      <c r="J37" s="88">
        <f>I37/I12</f>
        <v>0.53670402524828154</v>
      </c>
      <c r="K37" s="30">
        <f>(K16-K36)</f>
        <v>428892.46597165114</v>
      </c>
      <c r="L37" s="88">
        <f>K37/K12</f>
        <v>0.55517638951860526</v>
      </c>
      <c r="M37" s="30">
        <f>(M16-M36)</f>
        <v>550319.18916871725</v>
      </c>
      <c r="N37" s="88">
        <f>M37/M12</f>
        <v>0.50237178163531149</v>
      </c>
      <c r="O37" s="30">
        <f>(O16-O36)</f>
        <v>396799.3060683771</v>
      </c>
      <c r="P37" s="88">
        <f>O37/O12</f>
        <v>0.57213952839656801</v>
      </c>
      <c r="Q37" s="30">
        <f>(Q16-Q36)</f>
        <v>455836.54661550611</v>
      </c>
      <c r="R37" s="88">
        <f>Q37/Q12</f>
        <v>0.52930970421955537</v>
      </c>
      <c r="S37" s="30">
        <f>(S16-S36)</f>
        <v>411747.39222575695</v>
      </c>
      <c r="T37" s="88">
        <f>S37/S12</f>
        <v>0.47461183070029012</v>
      </c>
      <c r="U37" s="80">
        <f>(U16-U36)</f>
        <v>374237.31844532996</v>
      </c>
      <c r="V37" s="88">
        <f>U37/U12</f>
        <v>0.54383670331864686</v>
      </c>
      <c r="W37" s="80">
        <f>(W16-W36)</f>
        <v>354023.40811265528</v>
      </c>
      <c r="X37" s="88">
        <f>W37/W12</f>
        <v>0.50564293114554126</v>
      </c>
      <c r="Y37" s="80">
        <f>(Y16-Y36)</f>
        <v>501197.79360614019</v>
      </c>
      <c r="Z37" s="88">
        <f>Y37/Y12</f>
        <v>0.47386363441715901</v>
      </c>
      <c r="AA37" s="195">
        <f>(AA16-AA36)</f>
        <v>5100116.8934054626</v>
      </c>
      <c r="AB37" s="88">
        <f>AA37/AA12</f>
        <v>0.51749437416300403</v>
      </c>
      <c r="AC37" s="59">
        <f t="shared" si="1"/>
        <v>425009.74111712188</v>
      </c>
      <c r="AD37" s="88">
        <f>AC37/AC12</f>
        <v>0.51749437416300403</v>
      </c>
      <c r="AE37" s="564"/>
      <c r="AF37" s="564"/>
      <c r="AG37" s="564"/>
    </row>
    <row r="38" spans="1:33" s="1" customFormat="1" ht="15.75" thickTop="1">
      <c r="A38" s="2">
        <v>6002</v>
      </c>
      <c r="B38" s="228" t="s">
        <v>45</v>
      </c>
      <c r="C38" s="61"/>
      <c r="D38" s="24">
        <f>C38/C12</f>
        <v>0</v>
      </c>
      <c r="E38" s="114"/>
      <c r="F38" s="24">
        <f>E38/E12</f>
        <v>0</v>
      </c>
      <c r="G38" s="61"/>
      <c r="H38" s="24">
        <f>G38/G12</f>
        <v>0</v>
      </c>
      <c r="I38" s="61"/>
      <c r="J38" s="24">
        <f>I38/I12</f>
        <v>0</v>
      </c>
      <c r="K38" s="26"/>
      <c r="L38" s="24">
        <f>K38/K12</f>
        <v>0</v>
      </c>
      <c r="M38" s="26"/>
      <c r="N38" s="24">
        <f>M38/M12</f>
        <v>0</v>
      </c>
      <c r="O38" s="26"/>
      <c r="P38" s="24">
        <f>O38/O12</f>
        <v>0</v>
      </c>
      <c r="Q38" s="26"/>
      <c r="R38" s="24">
        <f>Q38/Q12</f>
        <v>0</v>
      </c>
      <c r="S38" s="26"/>
      <c r="T38" s="24">
        <f>S38/S12</f>
        <v>0</v>
      </c>
      <c r="U38" s="61"/>
      <c r="V38" s="24">
        <f>U38/U12</f>
        <v>0</v>
      </c>
      <c r="W38" s="61"/>
      <c r="X38" s="24">
        <f>W38/W12</f>
        <v>0</v>
      </c>
      <c r="Y38" s="61"/>
      <c r="Z38" s="24">
        <f>Y38/Y12</f>
        <v>0</v>
      </c>
      <c r="AA38" s="144">
        <f>C38+E38+G38+I38+K38+M38+O38+Q38+S38+U38+W38+Y38</f>
        <v>0</v>
      </c>
      <c r="AB38" s="24">
        <f>AA38/AA12</f>
        <v>0</v>
      </c>
      <c r="AC38" s="128">
        <f t="shared" si="1"/>
        <v>0</v>
      </c>
      <c r="AD38" s="24">
        <f>AC38/AC12</f>
        <v>0</v>
      </c>
      <c r="AE38" s="579"/>
      <c r="AF38" s="579"/>
      <c r="AG38" s="579"/>
    </row>
    <row r="39" spans="1:33" s="1" customFormat="1">
      <c r="A39" s="2">
        <v>6003</v>
      </c>
      <c r="B39" s="2" t="s">
        <v>0</v>
      </c>
      <c r="C39" s="61"/>
      <c r="D39" s="677">
        <f>C39/C12</f>
        <v>0</v>
      </c>
      <c r="E39" s="61"/>
      <c r="F39" s="677">
        <f>E39/E12</f>
        <v>0</v>
      </c>
      <c r="G39" s="61">
        <v>0</v>
      </c>
      <c r="H39" s="702">
        <f>G39/G12</f>
        <v>0</v>
      </c>
      <c r="I39" s="61"/>
      <c r="J39" s="702">
        <f>I39/I12</f>
        <v>0</v>
      </c>
      <c r="K39" s="26">
        <v>0</v>
      </c>
      <c r="L39" s="702">
        <f>K39/K12</f>
        <v>0</v>
      </c>
      <c r="M39" s="26">
        <v>0</v>
      </c>
      <c r="N39" s="702">
        <f>M39/M12</f>
        <v>0</v>
      </c>
      <c r="O39" s="26"/>
      <c r="P39" s="677">
        <f>O39/O12</f>
        <v>0</v>
      </c>
      <c r="Q39" s="26"/>
      <c r="R39" s="677">
        <f>Q39/Q12</f>
        <v>0</v>
      </c>
      <c r="S39" s="26">
        <v>0</v>
      </c>
      <c r="T39" s="677">
        <f>S39/S12</f>
        <v>0</v>
      </c>
      <c r="U39" s="26"/>
      <c r="V39" s="677">
        <f>U39/U12</f>
        <v>0</v>
      </c>
      <c r="W39" s="26"/>
      <c r="X39" s="677">
        <f>W39/W12</f>
        <v>0</v>
      </c>
      <c r="Y39" s="26"/>
      <c r="Z39" s="677">
        <f>Y39/Y12</f>
        <v>0</v>
      </c>
      <c r="AA39" s="144">
        <f>C39+E39+G39+I39+K39+M39+O39+Q39+S39+U39+W39+Y39</f>
        <v>0</v>
      </c>
      <c r="AB39" s="677">
        <f>AA39/AA12</f>
        <v>0</v>
      </c>
      <c r="AC39" s="128">
        <f t="shared" si="1"/>
        <v>0</v>
      </c>
      <c r="AD39" s="677">
        <f>AC39/AC12</f>
        <v>0</v>
      </c>
      <c r="AE39" s="393"/>
      <c r="AF39" s="393"/>
      <c r="AG39" s="393"/>
    </row>
    <row r="40" spans="1:33" s="1" customFormat="1">
      <c r="A40" s="2">
        <v>6004</v>
      </c>
      <c r="B40" s="228" t="s">
        <v>1</v>
      </c>
      <c r="C40" s="61"/>
      <c r="D40" s="24">
        <f>C40/C12</f>
        <v>0</v>
      </c>
      <c r="E40" s="114"/>
      <c r="F40" s="24">
        <f>E40/E12</f>
        <v>0</v>
      </c>
      <c r="G40" s="61"/>
      <c r="H40" s="24">
        <f>G40/G12</f>
        <v>0</v>
      </c>
      <c r="I40" s="61"/>
      <c r="J40" s="24">
        <f>I40/I12</f>
        <v>0</v>
      </c>
      <c r="K40" s="26"/>
      <c r="L40" s="24">
        <f>K40/K12</f>
        <v>0</v>
      </c>
      <c r="M40" s="26"/>
      <c r="N40" s="24">
        <f>M40/M12</f>
        <v>0</v>
      </c>
      <c r="O40" s="26"/>
      <c r="P40" s="24">
        <f>O40/O12</f>
        <v>0</v>
      </c>
      <c r="Q40" s="26"/>
      <c r="R40" s="24">
        <f>Q40/Q12</f>
        <v>0</v>
      </c>
      <c r="S40" s="26"/>
      <c r="T40" s="24">
        <f>S40/S12</f>
        <v>0</v>
      </c>
      <c r="U40" s="61"/>
      <c r="V40" s="24">
        <f>U40/U12</f>
        <v>0</v>
      </c>
      <c r="W40" s="61"/>
      <c r="X40" s="24">
        <f>W40/W12</f>
        <v>0</v>
      </c>
      <c r="Y40" s="61"/>
      <c r="Z40" s="24">
        <f>Y40/Y12</f>
        <v>0</v>
      </c>
      <c r="AA40" s="144">
        <f>C40+E40+G40+I40+K40+M40+O40+Q40+S40+U40+W40+Y40</f>
        <v>0</v>
      </c>
      <c r="AB40" s="24">
        <f>AA40/AA12</f>
        <v>0</v>
      </c>
      <c r="AC40" s="128">
        <f t="shared" si="1"/>
        <v>0</v>
      </c>
      <c r="AD40" s="24">
        <f>AC40/AC12</f>
        <v>0</v>
      </c>
      <c r="AE40" s="579"/>
      <c r="AF40" s="579"/>
      <c r="AG40" s="579"/>
    </row>
    <row r="41" spans="1:33" s="1" customFormat="1" ht="15.75" thickBot="1">
      <c r="A41" s="4">
        <v>6099</v>
      </c>
      <c r="B41" s="229" t="s">
        <v>111</v>
      </c>
      <c r="C41" s="76">
        <f>SUM(C38:C40)</f>
        <v>0</v>
      </c>
      <c r="D41" s="92">
        <f>C41/C12</f>
        <v>0</v>
      </c>
      <c r="E41" s="116">
        <f>SUM(E38:E40)</f>
        <v>0</v>
      </c>
      <c r="F41" s="92">
        <f>E41/E12</f>
        <v>0</v>
      </c>
      <c r="G41" s="76">
        <f>SUM(G38:G40)</f>
        <v>0</v>
      </c>
      <c r="H41" s="92">
        <f>G41/G12</f>
        <v>0</v>
      </c>
      <c r="I41" s="76">
        <f>SUM(I38:I40)</f>
        <v>0</v>
      </c>
      <c r="J41" s="92">
        <f>I41/I12</f>
        <v>0</v>
      </c>
      <c r="K41" s="28">
        <f>SUM(K38:K40)</f>
        <v>0</v>
      </c>
      <c r="L41" s="92">
        <f>K41/K12</f>
        <v>0</v>
      </c>
      <c r="M41" s="28">
        <f>SUM(M38:M40)</f>
        <v>0</v>
      </c>
      <c r="N41" s="92">
        <f>M41/M12</f>
        <v>0</v>
      </c>
      <c r="O41" s="28">
        <f>SUM(O38:O40)</f>
        <v>0</v>
      </c>
      <c r="P41" s="92">
        <f>O41/O12</f>
        <v>0</v>
      </c>
      <c r="Q41" s="28">
        <f>SUM(Q38:Q40)</f>
        <v>0</v>
      </c>
      <c r="R41" s="92">
        <f>Q41/Q12</f>
        <v>0</v>
      </c>
      <c r="S41" s="28">
        <f>SUM(S38:S40)</f>
        <v>0</v>
      </c>
      <c r="T41" s="92">
        <f>S41/S12</f>
        <v>0</v>
      </c>
      <c r="U41" s="76">
        <f>SUM(U38:U40)</f>
        <v>0</v>
      </c>
      <c r="V41" s="92">
        <f>U41/U12</f>
        <v>0</v>
      </c>
      <c r="W41" s="76">
        <f>SUM(W38:W40)</f>
        <v>0</v>
      </c>
      <c r="X41" s="92">
        <f>W41/W12</f>
        <v>0</v>
      </c>
      <c r="Y41" s="76">
        <f>SUM(Y38:Y40)</f>
        <v>0</v>
      </c>
      <c r="Z41" s="92">
        <f>Y41/Y12</f>
        <v>0</v>
      </c>
      <c r="AA41" s="196">
        <f>SUM(AA38:AA40)</f>
        <v>0</v>
      </c>
      <c r="AB41" s="92">
        <f>AA41/AA12</f>
        <v>0</v>
      </c>
      <c r="AC41" s="52">
        <f t="shared" si="1"/>
        <v>0</v>
      </c>
      <c r="AD41" s="92">
        <f>AC41/AC12</f>
        <v>0</v>
      </c>
      <c r="AE41" s="582"/>
      <c r="AF41" s="582"/>
      <c r="AG41" s="582"/>
    </row>
    <row r="42" spans="1:33" s="1" customFormat="1" ht="15.75" thickTop="1">
      <c r="A42" s="188">
        <v>6101</v>
      </c>
      <c r="B42" s="227" t="s">
        <v>2</v>
      </c>
      <c r="C42" s="26">
        <f>C16*5%</f>
        <v>37062.003257487348</v>
      </c>
      <c r="D42" s="24">
        <f>C42/C12</f>
        <v>0.05</v>
      </c>
      <c r="E42" s="26">
        <f>E16*5%</f>
        <v>28834.292785681802</v>
      </c>
      <c r="F42" s="24">
        <f>E42/E12</f>
        <v>0.05</v>
      </c>
      <c r="G42" s="26">
        <f>G16*5%</f>
        <v>47829.678833032842</v>
      </c>
      <c r="H42" s="24">
        <f>G42/G12</f>
        <v>0.05</v>
      </c>
      <c r="I42" s="26">
        <f>I16*5%</f>
        <v>42233.332158988254</v>
      </c>
      <c r="J42" s="24">
        <f>I42/I12</f>
        <v>5.000000000000001E-2</v>
      </c>
      <c r="K42" s="26">
        <f>K16*5%</f>
        <v>38626.684605909199</v>
      </c>
      <c r="L42" s="24">
        <f>K42/K12</f>
        <v>0.05</v>
      </c>
      <c r="M42" s="26">
        <f>M16*5%</f>
        <v>54772.103976195503</v>
      </c>
      <c r="N42" s="24">
        <f>M42/M12</f>
        <v>0.05</v>
      </c>
      <c r="O42" s="26">
        <f>O16*5%</f>
        <v>34676.795289814603</v>
      </c>
      <c r="P42" s="24">
        <f>O42/O12</f>
        <v>0.05</v>
      </c>
      <c r="Q42" s="26">
        <f>Q16*5%</f>
        <v>43059.530458412599</v>
      </c>
      <c r="R42" s="24">
        <f>Q42/Q12</f>
        <v>5.000000000000001E-2</v>
      </c>
      <c r="S42" s="26">
        <f>S16*5%</f>
        <v>43377.278608734152</v>
      </c>
      <c r="T42" s="24">
        <f>S42/S12</f>
        <v>0.05</v>
      </c>
      <c r="U42" s="26">
        <f>U16*5%</f>
        <v>34407.14061423466</v>
      </c>
      <c r="V42" s="24">
        <f>U42/U12</f>
        <v>5.000000000000001E-2</v>
      </c>
      <c r="W42" s="26">
        <f>W16*5%</f>
        <v>35007.253766072652</v>
      </c>
      <c r="X42" s="24">
        <f>W42/W12</f>
        <v>0.05</v>
      </c>
      <c r="Y42" s="26">
        <f>Y16*5%</f>
        <v>52884.179878310511</v>
      </c>
      <c r="Z42" s="24">
        <f>Y42/Y12</f>
        <v>0.05</v>
      </c>
      <c r="AA42" s="144">
        <f t="shared" ref="AA42:AA74" si="17">C42+E42+G42+I42+K42+M42+O42+Q42+S42+U42+W42+Y42</f>
        <v>492770.27423287416</v>
      </c>
      <c r="AB42" s="677">
        <f>AA42/AA12</f>
        <v>4.9999999999999989E-2</v>
      </c>
      <c r="AC42" s="128">
        <f t="shared" si="1"/>
        <v>41064.18951940618</v>
      </c>
      <c r="AD42" s="677">
        <f>AC42/AC12</f>
        <v>4.9999999999999996E-2</v>
      </c>
      <c r="AE42" s="393" t="s">
        <v>304</v>
      </c>
      <c r="AF42" s="393"/>
      <c r="AG42" s="393"/>
    </row>
    <row r="43" spans="1:33" s="1" customFormat="1">
      <c r="A43" s="188">
        <v>6102</v>
      </c>
      <c r="B43" s="227" t="s">
        <v>3</v>
      </c>
      <c r="C43" s="75"/>
      <c r="D43" s="24">
        <f>C43/C12</f>
        <v>0</v>
      </c>
      <c r="E43" s="113"/>
      <c r="F43" s="24">
        <f>E43/E12</f>
        <v>0</v>
      </c>
      <c r="G43" s="75"/>
      <c r="H43" s="24">
        <f>G43/G12</f>
        <v>0</v>
      </c>
      <c r="I43" s="75"/>
      <c r="J43" s="24">
        <f>I43/I12</f>
        <v>0</v>
      </c>
      <c r="K43" s="31"/>
      <c r="L43" s="24">
        <f>K43/K12</f>
        <v>0</v>
      </c>
      <c r="M43" s="31"/>
      <c r="N43" s="24">
        <f>M43/M12</f>
        <v>0</v>
      </c>
      <c r="O43" s="31"/>
      <c r="P43" s="24">
        <f>O43/O12</f>
        <v>0</v>
      </c>
      <c r="Q43" s="31"/>
      <c r="R43" s="24">
        <f>Q43/Q12</f>
        <v>0</v>
      </c>
      <c r="S43" s="31"/>
      <c r="T43" s="24">
        <f>S43/S12</f>
        <v>0</v>
      </c>
      <c r="U43" s="31"/>
      <c r="V43" s="24">
        <f>U43/U12</f>
        <v>0</v>
      </c>
      <c r="W43" s="31"/>
      <c r="X43" s="24">
        <f>W43/W12</f>
        <v>0</v>
      </c>
      <c r="Y43" s="31"/>
      <c r="Z43" s="24">
        <f>Y43/Y12</f>
        <v>0</v>
      </c>
      <c r="AA43" s="144">
        <f t="shared" si="17"/>
        <v>0</v>
      </c>
      <c r="AB43" s="677">
        <f>AA43/AA12</f>
        <v>0</v>
      </c>
      <c r="AC43" s="128">
        <f t="shared" si="1"/>
        <v>0</v>
      </c>
      <c r="AD43" s="677">
        <f>AC43/AC12</f>
        <v>0</v>
      </c>
      <c r="AE43" s="393" t="s">
        <v>228</v>
      </c>
      <c r="AF43" s="393"/>
      <c r="AG43" s="393"/>
    </row>
    <row r="44" spans="1:33" s="1" customFormat="1">
      <c r="A44" s="188">
        <v>6103</v>
      </c>
      <c r="B44" s="227" t="s">
        <v>4</v>
      </c>
      <c r="C44" s="61"/>
      <c r="D44" s="24">
        <f>C44/C12</f>
        <v>0</v>
      </c>
      <c r="E44" s="114"/>
      <c r="F44" s="24">
        <f>E44/E12</f>
        <v>0</v>
      </c>
      <c r="G44" s="703"/>
      <c r="H44" s="24">
        <f>G44/G12</f>
        <v>0</v>
      </c>
      <c r="I44" s="703"/>
      <c r="J44" s="24">
        <f>I44/I12</f>
        <v>0</v>
      </c>
      <c r="K44" s="703">
        <v>0</v>
      </c>
      <c r="L44" s="24">
        <f>K44/K12</f>
        <v>0</v>
      </c>
      <c r="M44" s="704"/>
      <c r="N44" s="24">
        <f>M44/M12</f>
        <v>0</v>
      </c>
      <c r="O44" s="114">
        <v>0</v>
      </c>
      <c r="P44" s="24">
        <f>O44/O12</f>
        <v>0</v>
      </c>
      <c r="Q44" s="114">
        <v>0</v>
      </c>
      <c r="R44" s="24">
        <f>Q44/Q12</f>
        <v>0</v>
      </c>
      <c r="S44" s="114">
        <v>0</v>
      </c>
      <c r="T44" s="24">
        <f>S44/S12</f>
        <v>0</v>
      </c>
      <c r="U44" s="114">
        <v>0</v>
      </c>
      <c r="V44" s="24">
        <f>U44/U12</f>
        <v>0</v>
      </c>
      <c r="W44" s="114">
        <v>0</v>
      </c>
      <c r="X44" s="24">
        <f>W44/W12</f>
        <v>0</v>
      </c>
      <c r="Y44" s="114">
        <v>0</v>
      </c>
      <c r="Z44" s="24">
        <f>Y44/Y12</f>
        <v>0</v>
      </c>
      <c r="AA44" s="144">
        <f t="shared" si="17"/>
        <v>0</v>
      </c>
      <c r="AB44" s="677">
        <f>AA44/AA12</f>
        <v>0</v>
      </c>
      <c r="AC44" s="128">
        <f t="shared" si="1"/>
        <v>0</v>
      </c>
      <c r="AD44" s="677">
        <f>AC44/AC12</f>
        <v>0</v>
      </c>
      <c r="AE44" s="393"/>
      <c r="AF44" s="393"/>
      <c r="AG44" s="393"/>
    </row>
    <row r="45" spans="1:33" s="1" customFormat="1">
      <c r="A45" s="188">
        <v>6104</v>
      </c>
      <c r="B45" s="227" t="s">
        <v>5</v>
      </c>
      <c r="C45" s="113">
        <v>2500</v>
      </c>
      <c r="D45" s="677">
        <f>C45/C12</f>
        <v>3.3727264857100572E-3</v>
      </c>
      <c r="E45" s="113">
        <v>2500</v>
      </c>
      <c r="F45" s="677">
        <f>E45/E12</f>
        <v>4.3351158611412534E-3</v>
      </c>
      <c r="G45" s="113">
        <v>2500</v>
      </c>
      <c r="H45" s="702">
        <f>G45/G12</f>
        <v>2.6134400867787273E-3</v>
      </c>
      <c r="I45" s="113">
        <v>2500</v>
      </c>
      <c r="J45" s="702">
        <f>I45/I12</f>
        <v>2.9597475171846475E-3</v>
      </c>
      <c r="K45" s="113">
        <v>2500</v>
      </c>
      <c r="L45" s="702">
        <f>K45/K12</f>
        <v>3.2361048139471233E-3</v>
      </c>
      <c r="M45" s="113">
        <v>2500</v>
      </c>
      <c r="N45" s="702">
        <f>M45/M12</f>
        <v>2.2821836468857621E-3</v>
      </c>
      <c r="O45" s="113">
        <v>2500</v>
      </c>
      <c r="P45" s="677">
        <f>O45/O12</f>
        <v>3.6047160343192232E-3</v>
      </c>
      <c r="Q45" s="113">
        <v>2500</v>
      </c>
      <c r="R45" s="677">
        <f>Q45/Q12</f>
        <v>2.9029578044453244E-3</v>
      </c>
      <c r="S45" s="113">
        <v>2500</v>
      </c>
      <c r="T45" s="677">
        <f>S45/S12</f>
        <v>2.8816929970989667E-3</v>
      </c>
      <c r="U45" s="113">
        <v>2500</v>
      </c>
      <c r="V45" s="677">
        <f>U45/U12</f>
        <v>3.6329668135307346E-3</v>
      </c>
      <c r="W45" s="113">
        <v>2500</v>
      </c>
      <c r="X45" s="677">
        <f>W45/W12</f>
        <v>3.5706885445879787E-3</v>
      </c>
      <c r="Y45" s="113">
        <v>2500</v>
      </c>
      <c r="Z45" s="677">
        <f t="shared" ref="Z45" si="18">Y45/Y$12</f>
        <v>2.3636558284090264E-3</v>
      </c>
      <c r="AA45" s="144">
        <f t="shared" si="17"/>
        <v>30000</v>
      </c>
      <c r="AB45" s="677">
        <f>AA45/AA12</f>
        <v>3.0440147842422964E-3</v>
      </c>
      <c r="AC45" s="128">
        <f t="shared" si="1"/>
        <v>2500</v>
      </c>
      <c r="AD45" s="677">
        <f>AC45/AC12</f>
        <v>3.0440147842422968E-3</v>
      </c>
      <c r="AE45" s="393"/>
      <c r="AF45" s="393"/>
      <c r="AG45" s="393"/>
    </row>
    <row r="46" spans="1:33" s="1" customFormat="1">
      <c r="A46" s="188">
        <v>6105</v>
      </c>
      <c r="B46" s="188" t="s">
        <v>39</v>
      </c>
      <c r="C46" s="436">
        <f>C12*0.24%</f>
        <v>1778.9761563593925</v>
      </c>
      <c r="D46" s="702">
        <f>C46/C$12</f>
        <v>2.3999999999999998E-3</v>
      </c>
      <c r="E46" s="436">
        <f>E12*0.24%</f>
        <v>1384.0460537127265</v>
      </c>
      <c r="F46" s="702">
        <f>E46/E$12</f>
        <v>2.3999999999999998E-3</v>
      </c>
      <c r="G46" s="436">
        <f>G12*0.24%</f>
        <v>2295.8245839855763</v>
      </c>
      <c r="H46" s="702">
        <f>G46/$G$12</f>
        <v>2.3999999999999998E-3</v>
      </c>
      <c r="I46" s="436">
        <f>I12*0.24%</f>
        <v>2027.1999436314356</v>
      </c>
      <c r="J46" s="226">
        <v>2.282921148507532E-3</v>
      </c>
      <c r="K46" s="436">
        <f>K12*0.24%</f>
        <v>1854.0808610836414</v>
      </c>
      <c r="L46" s="226">
        <v>1.4480363095715567E-3</v>
      </c>
      <c r="M46" s="436">
        <f>M12*0.24%</f>
        <v>2629.0609908573838</v>
      </c>
      <c r="N46" s="702">
        <v>1.4265472348621291E-3</v>
      </c>
      <c r="O46" s="436">
        <f>O12*0.24%</f>
        <v>1664.4861739111007</v>
      </c>
      <c r="P46" s="702">
        <f>O46/O$12</f>
        <v>2.3999999999999998E-3</v>
      </c>
      <c r="Q46" s="436">
        <f>Q12*0.24%</f>
        <v>2066.8574620038044</v>
      </c>
      <c r="R46" s="702">
        <f>Q46/Q$12</f>
        <v>2.3999999999999998E-3</v>
      </c>
      <c r="S46" s="436">
        <f>S12*0.24%</f>
        <v>2082.1093732192389</v>
      </c>
      <c r="T46" s="702">
        <f>S46/S$12</f>
        <v>2.3999999999999998E-3</v>
      </c>
      <c r="U46" s="436">
        <f>U12*0.24%</f>
        <v>1651.5427494832634</v>
      </c>
      <c r="V46" s="702">
        <f>U46/U12</f>
        <v>2.3999999999999998E-3</v>
      </c>
      <c r="W46" s="436">
        <f>W12*0.24%</f>
        <v>1680.3481807714873</v>
      </c>
      <c r="X46" s="702">
        <f>W46/W12</f>
        <v>2.3999999999999998E-3</v>
      </c>
      <c r="Y46" s="436">
        <f>Y16*0.24%</f>
        <v>2538.4406341589042</v>
      </c>
      <c r="Z46" s="702">
        <f>Y46/Y12</f>
        <v>2.3999999999999998E-3</v>
      </c>
      <c r="AA46" s="144">
        <f t="shared" si="17"/>
        <v>23652.973163177958</v>
      </c>
      <c r="AB46" s="677">
        <f>AA46/AA12</f>
        <v>2.3999999999999994E-3</v>
      </c>
      <c r="AC46" s="128">
        <f t="shared" si="1"/>
        <v>1971.0810969314964</v>
      </c>
      <c r="AD46" s="677">
        <f>AC46/AC12</f>
        <v>2.3999999999999994E-3</v>
      </c>
      <c r="AE46" s="393"/>
      <c r="AF46" s="393"/>
      <c r="AG46" s="393"/>
    </row>
    <row r="47" spans="1:33" s="1" customFormat="1">
      <c r="A47" s="188">
        <v>6106</v>
      </c>
      <c r="B47" s="188" t="s">
        <v>6</v>
      </c>
      <c r="C47" s="75">
        <v>200</v>
      </c>
      <c r="D47" s="24">
        <f>C47/C12</f>
        <v>2.6981811885680456E-4</v>
      </c>
      <c r="E47" s="75">
        <v>200</v>
      </c>
      <c r="F47" s="24">
        <f>E47/E12</f>
        <v>3.4680926889130029E-4</v>
      </c>
      <c r="G47" s="75">
        <v>200</v>
      </c>
      <c r="H47" s="24">
        <f>G47/G12</f>
        <v>2.0907520694229818E-4</v>
      </c>
      <c r="I47" s="75">
        <v>200</v>
      </c>
      <c r="J47" s="24">
        <f>I47/I12</f>
        <v>2.367798013747718E-4</v>
      </c>
      <c r="K47" s="75">
        <v>200</v>
      </c>
      <c r="L47" s="24">
        <f>K47/K12</f>
        <v>2.5888838511576987E-4</v>
      </c>
      <c r="M47" s="75">
        <v>200</v>
      </c>
      <c r="N47" s="24">
        <f>M47/M12</f>
        <v>1.8257469175086096E-4</v>
      </c>
      <c r="O47" s="75">
        <v>200</v>
      </c>
      <c r="P47" s="24">
        <f>O47/O12</f>
        <v>2.8837728274553785E-4</v>
      </c>
      <c r="Q47" s="75">
        <v>200</v>
      </c>
      <c r="R47" s="24">
        <f>Q47/Q12</f>
        <v>2.3223662435562596E-4</v>
      </c>
      <c r="S47" s="75">
        <v>200</v>
      </c>
      <c r="T47" s="24">
        <f>S47/S12</f>
        <v>2.3053543976791731E-4</v>
      </c>
      <c r="U47" s="75">
        <v>200</v>
      </c>
      <c r="V47" s="24">
        <f>U47/U12</f>
        <v>2.9063734508245876E-4</v>
      </c>
      <c r="W47" s="75">
        <v>200</v>
      </c>
      <c r="X47" s="24">
        <f>W47/W12</f>
        <v>2.8565508356703833E-4</v>
      </c>
      <c r="Y47" s="75">
        <v>200</v>
      </c>
      <c r="Z47" s="24">
        <f>Y47/Y12</f>
        <v>1.8909246627272212E-4</v>
      </c>
      <c r="AA47" s="144">
        <f t="shared" si="17"/>
        <v>2400</v>
      </c>
      <c r="AB47" s="702">
        <f>AA47/AA12</f>
        <v>2.4352118273938373E-4</v>
      </c>
      <c r="AC47" s="128">
        <f t="shared" si="1"/>
        <v>200</v>
      </c>
      <c r="AD47" s="702">
        <f>AC47/AC12</f>
        <v>2.4352118273938373E-4</v>
      </c>
      <c r="AE47" s="645"/>
      <c r="AF47" s="694"/>
      <c r="AG47" s="226"/>
    </row>
    <row r="48" spans="1:33" s="1" customFormat="1">
      <c r="A48" s="188">
        <v>6107</v>
      </c>
      <c r="B48" s="227" t="s">
        <v>7</v>
      </c>
      <c r="C48" s="75"/>
      <c r="D48" s="24">
        <f>C48/C12</f>
        <v>0</v>
      </c>
      <c r="E48" s="113"/>
      <c r="F48" s="24">
        <f>E48/E12</f>
        <v>0</v>
      </c>
      <c r="H48" s="24">
        <f>G48/G12</f>
        <v>0</v>
      </c>
      <c r="I48" s="113">
        <v>0</v>
      </c>
      <c r="J48" s="24">
        <f>I48/I12</f>
        <v>0</v>
      </c>
      <c r="K48" s="113">
        <v>0</v>
      </c>
      <c r="L48" s="24">
        <f>K48/K12</f>
        <v>0</v>
      </c>
      <c r="M48" s="295">
        <v>0</v>
      </c>
      <c r="N48" s="24">
        <f>M48/M12</f>
        <v>0</v>
      </c>
      <c r="P48" s="24">
        <f>O48/O12</f>
        <v>0</v>
      </c>
      <c r="Q48" s="113">
        <v>0</v>
      </c>
      <c r="R48" s="24">
        <f>Q48/Q12</f>
        <v>0</v>
      </c>
      <c r="S48" s="113"/>
      <c r="T48" s="24">
        <f>S48/S12</f>
        <v>0</v>
      </c>
      <c r="U48" s="113">
        <v>0</v>
      </c>
      <c r="V48" s="24">
        <f>U48/U12</f>
        <v>0</v>
      </c>
      <c r="W48" s="113">
        <v>0</v>
      </c>
      <c r="X48" s="24">
        <f>W48/W12</f>
        <v>0</v>
      </c>
      <c r="Y48" s="113">
        <v>0</v>
      </c>
      <c r="Z48" s="24">
        <f>Y48/Y12</f>
        <v>0</v>
      </c>
      <c r="AA48" s="144">
        <f t="shared" si="17"/>
        <v>0</v>
      </c>
      <c r="AB48" s="677">
        <f>AA48/AA12</f>
        <v>0</v>
      </c>
      <c r="AC48" s="128">
        <f t="shared" si="1"/>
        <v>0</v>
      </c>
      <c r="AD48" s="677">
        <f>AC48/AC12</f>
        <v>0</v>
      </c>
      <c r="AE48" s="393"/>
      <c r="AF48" s="393"/>
      <c r="AG48" s="393"/>
    </row>
    <row r="49" spans="1:33" s="1" customFormat="1">
      <c r="A49" s="188">
        <v>6108</v>
      </c>
      <c r="B49" s="227" t="s">
        <v>8</v>
      </c>
      <c r="C49" s="75"/>
      <c r="D49" s="24">
        <f>C49/C12</f>
        <v>0</v>
      </c>
      <c r="E49" s="113"/>
      <c r="F49" s="24">
        <f>E49/E12</f>
        <v>0</v>
      </c>
      <c r="H49" s="24">
        <f>G49/G12</f>
        <v>0</v>
      </c>
      <c r="I49" s="113">
        <v>0</v>
      </c>
      <c r="J49" s="24">
        <f>I49/I12</f>
        <v>0</v>
      </c>
      <c r="K49" s="113">
        <v>0</v>
      </c>
      <c r="L49" s="24">
        <f>K49/K12</f>
        <v>0</v>
      </c>
      <c r="M49" s="295">
        <v>0</v>
      </c>
      <c r="N49" s="24">
        <f>M49/M12</f>
        <v>0</v>
      </c>
      <c r="P49" s="24">
        <f>O49/O12</f>
        <v>0</v>
      </c>
      <c r="Q49" s="113">
        <v>0</v>
      </c>
      <c r="R49" s="24">
        <f>Q49/Q12</f>
        <v>0</v>
      </c>
      <c r="S49" s="113"/>
      <c r="T49" s="24">
        <f>S49/S12</f>
        <v>0</v>
      </c>
      <c r="U49" s="113">
        <v>0</v>
      </c>
      <c r="V49" s="24">
        <f>U49/U12</f>
        <v>0</v>
      </c>
      <c r="W49" s="113">
        <v>0</v>
      </c>
      <c r="X49" s="24">
        <f>W49/W12</f>
        <v>0</v>
      </c>
      <c r="Y49" s="113">
        <v>0</v>
      </c>
      <c r="Z49" s="24">
        <f>Y49/Y12</f>
        <v>0</v>
      </c>
      <c r="AA49" s="144">
        <f t="shared" si="17"/>
        <v>0</v>
      </c>
      <c r="AB49" s="677">
        <f>AA49/AA12</f>
        <v>0</v>
      </c>
      <c r="AC49" s="128">
        <f t="shared" si="1"/>
        <v>0</v>
      </c>
      <c r="AD49" s="677">
        <f>AC49/AC12</f>
        <v>0</v>
      </c>
      <c r="AE49" s="393"/>
      <c r="AF49" s="393"/>
      <c r="AG49" s="393"/>
    </row>
    <row r="50" spans="1:33" s="1" customFormat="1">
      <c r="A50" s="188">
        <v>6109</v>
      </c>
      <c r="B50" s="227" t="s">
        <v>79</v>
      </c>
      <c r="C50" s="113"/>
      <c r="D50" s="24">
        <f>C50/C12</f>
        <v>0</v>
      </c>
      <c r="E50" s="113"/>
      <c r="F50" s="24">
        <f>E50/E12</f>
        <v>0</v>
      </c>
      <c r="H50" s="24">
        <f>G50/G12</f>
        <v>0</v>
      </c>
      <c r="I50" s="113"/>
      <c r="J50" s="24">
        <f>I50/I12</f>
        <v>0</v>
      </c>
      <c r="K50" s="113"/>
      <c r="L50" s="24">
        <f>K50/K12</f>
        <v>0</v>
      </c>
      <c r="M50" s="295"/>
      <c r="N50" s="24">
        <f>M50/M12</f>
        <v>0</v>
      </c>
      <c r="P50" s="24">
        <f>O50/O12</f>
        <v>0</v>
      </c>
      <c r="Q50" s="113"/>
      <c r="R50" s="24">
        <f>Q50/Q12</f>
        <v>0</v>
      </c>
      <c r="S50" s="113"/>
      <c r="T50" s="24">
        <f>S50/S12</f>
        <v>0</v>
      </c>
      <c r="U50" s="113"/>
      <c r="V50" s="24">
        <f>U50/U12</f>
        <v>0</v>
      </c>
      <c r="W50" s="113"/>
      <c r="X50" s="24">
        <f>W50/W12</f>
        <v>0</v>
      </c>
      <c r="Y50" s="113"/>
      <c r="Z50" s="24">
        <f>Y50/Y12</f>
        <v>0</v>
      </c>
      <c r="AA50" s="144">
        <f t="shared" si="17"/>
        <v>0</v>
      </c>
      <c r="AB50" s="677">
        <f>AA50/AA12</f>
        <v>0</v>
      </c>
      <c r="AC50" s="128">
        <f t="shared" si="1"/>
        <v>0</v>
      </c>
      <c r="AD50" s="677">
        <f>AC50/AC12</f>
        <v>0</v>
      </c>
      <c r="AE50" s="393"/>
      <c r="AF50" s="393"/>
      <c r="AG50" s="393"/>
    </row>
    <row r="51" spans="1:33" s="1" customFormat="1">
      <c r="A51" s="188">
        <v>6110</v>
      </c>
      <c r="B51" s="188" t="s">
        <v>9</v>
      </c>
      <c r="C51" s="432">
        <v>250</v>
      </c>
      <c r="D51" s="702">
        <f>C51/C12</f>
        <v>3.3727264857100572E-4</v>
      </c>
      <c r="E51" s="432">
        <v>250</v>
      </c>
      <c r="F51" s="702">
        <f>E51/E12</f>
        <v>4.3351158611412536E-4</v>
      </c>
      <c r="G51" s="432">
        <v>250</v>
      </c>
      <c r="H51" s="702">
        <f>G51/G12</f>
        <v>2.6134400867787271E-4</v>
      </c>
      <c r="I51" s="432">
        <v>250</v>
      </c>
      <c r="J51" s="702">
        <f>I51/I12</f>
        <v>2.9597475171846477E-4</v>
      </c>
      <c r="K51" s="432">
        <v>250</v>
      </c>
      <c r="L51" s="702">
        <f>K51/K12</f>
        <v>3.2361048139471234E-4</v>
      </c>
      <c r="M51" s="432">
        <v>250</v>
      </c>
      <c r="N51" s="702">
        <f>M51/M12</f>
        <v>2.2821836468857619E-4</v>
      </c>
      <c r="O51" s="432">
        <v>250</v>
      </c>
      <c r="P51" s="702">
        <f>O51/O12</f>
        <v>3.6047160343192233E-4</v>
      </c>
      <c r="Q51" s="432">
        <v>250</v>
      </c>
      <c r="R51" s="702">
        <f>Q51/Q12</f>
        <v>2.9029578044453244E-4</v>
      </c>
      <c r="S51" s="432">
        <v>250</v>
      </c>
      <c r="T51" s="702">
        <f>S51/S12</f>
        <v>2.8816929970989667E-4</v>
      </c>
      <c r="U51" s="432">
        <v>250</v>
      </c>
      <c r="V51" s="702">
        <f>U51/U12</f>
        <v>3.6329668135307345E-4</v>
      </c>
      <c r="W51" s="432">
        <v>250</v>
      </c>
      <c r="X51" s="702">
        <f>W51/W12</f>
        <v>3.5706885445879787E-4</v>
      </c>
      <c r="Y51" s="432">
        <v>250</v>
      </c>
      <c r="Z51" s="702">
        <f>Y51/Y12</f>
        <v>2.3636558284090265E-4</v>
      </c>
      <c r="AA51" s="144">
        <f t="shared" si="17"/>
        <v>3000</v>
      </c>
      <c r="AB51" s="702">
        <f>AA51/AA12</f>
        <v>3.0440147842422964E-4</v>
      </c>
      <c r="AC51" s="128">
        <f t="shared" si="1"/>
        <v>250</v>
      </c>
      <c r="AD51" s="702">
        <f>AC51/AC12</f>
        <v>3.0440147842422969E-4</v>
      </c>
      <c r="AE51" s="645"/>
      <c r="AF51" s="694"/>
      <c r="AG51" s="226"/>
    </row>
    <row r="52" spans="1:33" s="1" customFormat="1">
      <c r="A52" s="188">
        <v>6111</v>
      </c>
      <c r="B52" s="227" t="s">
        <v>10</v>
      </c>
      <c r="C52" s="433">
        <v>46397.919999999998</v>
      </c>
      <c r="D52" s="24">
        <f>C52/C12</f>
        <v>6.2594997466342547E-2</v>
      </c>
      <c r="E52" s="61">
        <v>46397.919999999998</v>
      </c>
      <c r="F52" s="24">
        <f>E52/E12</f>
        <v>8.0456143566385196E-2</v>
      </c>
      <c r="G52" s="371">
        <v>46397.919999999998</v>
      </c>
      <c r="H52" s="24">
        <f>G52/G12</f>
        <v>4.8503273628460977E-2</v>
      </c>
      <c r="I52" s="61">
        <v>46397.919999999998</v>
      </c>
      <c r="J52" s="24">
        <f>I52/I12</f>
        <v>5.4930451409012759E-2</v>
      </c>
      <c r="K52" s="61">
        <v>46397.919999999998</v>
      </c>
      <c r="L52" s="24">
        <f>K52/K12</f>
        <v>6.0059412907653403E-2</v>
      </c>
      <c r="M52" s="26">
        <v>46397.919999999998</v>
      </c>
      <c r="N52" s="24">
        <f>M52/M12</f>
        <v>4.2355429709405534E-2</v>
      </c>
      <c r="O52" s="371">
        <v>46397.919999999998</v>
      </c>
      <c r="P52" s="24">
        <f>O52/O12</f>
        <v>6.6900530473224223E-2</v>
      </c>
      <c r="Q52" s="61">
        <v>46397.919999999998</v>
      </c>
      <c r="R52" s="24">
        <f>Q52/Q12</f>
        <v>5.3876481589611926E-2</v>
      </c>
      <c r="S52" s="433">
        <v>46397.919999999998</v>
      </c>
      <c r="T52" s="24">
        <f>S52/S12</f>
        <v>5.3481824457583232E-2</v>
      </c>
      <c r="U52" s="61">
        <v>46397.919999999998</v>
      </c>
      <c r="V52" s="24">
        <f>U52/U12</f>
        <v>6.7424841430741567E-2</v>
      </c>
      <c r="W52" s="61">
        <v>46397.919999999998</v>
      </c>
      <c r="X52" s="24">
        <f>W52/W12</f>
        <v>6.6269008574683791E-2</v>
      </c>
      <c r="Y52" s="61">
        <v>46397.919999999998</v>
      </c>
      <c r="Z52" s="24">
        <f>Y52/Y12</f>
        <v>4.3867485613622297E-2</v>
      </c>
      <c r="AA52" s="144">
        <f t="shared" si="17"/>
        <v>556775.03999999992</v>
      </c>
      <c r="AB52" s="677">
        <f>AA52/AA12</f>
        <v>5.6494381775236524E-2</v>
      </c>
      <c r="AC52" s="305">
        <f t="shared" si="1"/>
        <v>46397.919999999991</v>
      </c>
      <c r="AD52" s="677">
        <f>AC52/AC12</f>
        <v>5.6494381775236524E-2</v>
      </c>
      <c r="AE52" s="393"/>
      <c r="AF52" s="393"/>
      <c r="AG52" s="393"/>
    </row>
    <row r="53" spans="1:33" s="1" customFormat="1">
      <c r="A53" s="188">
        <v>6112</v>
      </c>
      <c r="B53" s="188" t="s">
        <v>11</v>
      </c>
      <c r="C53" s="705">
        <v>5250</v>
      </c>
      <c r="D53" s="702">
        <f>C53/C12</f>
        <v>7.0827256199911207E-3</v>
      </c>
      <c r="E53" s="705">
        <v>5250</v>
      </c>
      <c r="F53" s="702">
        <f>E53/E12</f>
        <v>9.1037433083966321E-3</v>
      </c>
      <c r="G53" s="705">
        <v>5250</v>
      </c>
      <c r="H53" s="702">
        <f>G53/G12</f>
        <v>5.4882241822353274E-3</v>
      </c>
      <c r="I53" s="705">
        <v>5250</v>
      </c>
      <c r="J53" s="702">
        <f>I53/I12</f>
        <v>6.2154697860877595E-3</v>
      </c>
      <c r="K53" s="705">
        <v>5250</v>
      </c>
      <c r="L53" s="702">
        <f>K53/K12</f>
        <v>6.7958201092889591E-3</v>
      </c>
      <c r="M53" s="705">
        <v>5250</v>
      </c>
      <c r="N53" s="702">
        <f>M53/M12</f>
        <v>4.7925856584601001E-3</v>
      </c>
      <c r="O53" s="705">
        <v>5250</v>
      </c>
      <c r="P53" s="702">
        <f>O53/O12</f>
        <v>7.5699036720703683E-3</v>
      </c>
      <c r="Q53" s="705">
        <v>5250</v>
      </c>
      <c r="R53" s="702">
        <f>Q53/Q12</f>
        <v>6.096211389335182E-3</v>
      </c>
      <c r="S53" s="705">
        <v>5250</v>
      </c>
      <c r="T53" s="702">
        <f>S53/S12</f>
        <v>6.0515552939078296E-3</v>
      </c>
      <c r="U53" s="705">
        <v>5250</v>
      </c>
      <c r="V53" s="702">
        <f>U53/U12</f>
        <v>7.6292303084145429E-3</v>
      </c>
      <c r="W53" s="705">
        <v>5250</v>
      </c>
      <c r="X53" s="702">
        <f>W53/W12</f>
        <v>7.4984459436347557E-3</v>
      </c>
      <c r="Y53" s="705">
        <v>5250</v>
      </c>
      <c r="Z53" s="702">
        <f>Y53/Y12</f>
        <v>4.9636772396589555E-3</v>
      </c>
      <c r="AA53" s="144">
        <f t="shared" si="17"/>
        <v>63000</v>
      </c>
      <c r="AB53" s="702">
        <f>AA53/AA12</f>
        <v>6.3924310469088228E-3</v>
      </c>
      <c r="AC53" s="128">
        <f t="shared" si="1"/>
        <v>5250</v>
      </c>
      <c r="AD53" s="702">
        <f>AC53/AC12</f>
        <v>6.3924310469088228E-3</v>
      </c>
      <c r="AE53" s="645" t="s">
        <v>340</v>
      </c>
      <c r="AF53" s="694"/>
      <c r="AG53" s="226"/>
    </row>
    <row r="54" spans="1:33" s="1" customFormat="1">
      <c r="A54" s="188">
        <v>6113</v>
      </c>
      <c r="B54" s="227" t="s">
        <v>12</v>
      </c>
      <c r="C54" s="61"/>
      <c r="D54" s="24">
        <f>C54/C12</f>
        <v>0</v>
      </c>
      <c r="E54" s="114"/>
      <c r="F54" s="24">
        <f>E54/E12</f>
        <v>0</v>
      </c>
      <c r="H54" s="24">
        <f>G54/G12</f>
        <v>0</v>
      </c>
      <c r="I54" s="703"/>
      <c r="J54" s="24">
        <f>I54/I12</f>
        <v>0</v>
      </c>
      <c r="K54" s="703"/>
      <c r="L54" s="24">
        <f>K54/K12</f>
        <v>0</v>
      </c>
      <c r="M54" s="704"/>
      <c r="N54" s="24">
        <f>M54/M12</f>
        <v>0</v>
      </c>
      <c r="P54" s="24">
        <f>O54/O12</f>
        <v>0</v>
      </c>
      <c r="Q54" s="114"/>
      <c r="R54" s="24">
        <f>Q54/Q12</f>
        <v>0</v>
      </c>
      <c r="S54" s="114"/>
      <c r="T54" s="24">
        <f>S54/S12</f>
        <v>0</v>
      </c>
      <c r="U54" s="114"/>
      <c r="V54" s="24">
        <f>U54/U12</f>
        <v>0</v>
      </c>
      <c r="W54" s="114"/>
      <c r="X54" s="24">
        <f>W54/W12</f>
        <v>0</v>
      </c>
      <c r="Y54" s="114"/>
      <c r="Z54" s="24">
        <f>Y54/Y12</f>
        <v>0</v>
      </c>
      <c r="AA54" s="144">
        <f t="shared" si="17"/>
        <v>0</v>
      </c>
      <c r="AB54" s="677">
        <f>AA54/AA12</f>
        <v>0</v>
      </c>
      <c r="AC54" s="128">
        <f t="shared" si="1"/>
        <v>0</v>
      </c>
      <c r="AD54" s="677">
        <f>AC54/AC12</f>
        <v>0</v>
      </c>
      <c r="AE54" s="393"/>
      <c r="AF54" s="393"/>
      <c r="AG54" s="393"/>
    </row>
    <row r="55" spans="1:33" s="1" customFormat="1">
      <c r="A55" s="188">
        <v>6114</v>
      </c>
      <c r="B55" s="227" t="s">
        <v>88</v>
      </c>
      <c r="C55" s="432">
        <v>1200</v>
      </c>
      <c r="D55" s="702">
        <f>C55/C12</f>
        <v>1.6189087131408275E-3</v>
      </c>
      <c r="E55" s="432">
        <v>1200</v>
      </c>
      <c r="F55" s="702">
        <f>E55/E12</f>
        <v>2.0808556133478017E-3</v>
      </c>
      <c r="G55" s="432">
        <v>1200</v>
      </c>
      <c r="H55" s="702">
        <f>G55/G12</f>
        <v>1.254451241653789E-3</v>
      </c>
      <c r="I55" s="432">
        <v>1200</v>
      </c>
      <c r="J55" s="702">
        <f>I55/I12</f>
        <v>1.4206788082486309E-3</v>
      </c>
      <c r="K55" s="432">
        <v>1200</v>
      </c>
      <c r="L55" s="702">
        <f>K55/K12</f>
        <v>1.5533303106946192E-3</v>
      </c>
      <c r="M55" s="432">
        <v>1200</v>
      </c>
      <c r="N55" s="702">
        <f>M55/M12</f>
        <v>1.0954481505051658E-3</v>
      </c>
      <c r="O55" s="432">
        <v>1200</v>
      </c>
      <c r="P55" s="702">
        <f>O55/O12</f>
        <v>1.7302636964732271E-3</v>
      </c>
      <c r="Q55" s="432">
        <v>1200</v>
      </c>
      <c r="R55" s="702">
        <f>Q55/Q12</f>
        <v>1.3934197461337558E-3</v>
      </c>
      <c r="S55" s="432">
        <v>1200</v>
      </c>
      <c r="T55" s="702">
        <f>S55/S12</f>
        <v>1.3832126386075039E-3</v>
      </c>
      <c r="U55" s="432">
        <v>1200</v>
      </c>
      <c r="V55" s="702">
        <f>U55/U12</f>
        <v>1.7438240704947526E-3</v>
      </c>
      <c r="W55" s="432">
        <v>1200</v>
      </c>
      <c r="X55" s="702">
        <f>W55/W12</f>
        <v>1.7139305014022299E-3</v>
      </c>
      <c r="Y55" s="432">
        <v>1200</v>
      </c>
      <c r="Z55" s="702">
        <f>Y55/Y12</f>
        <v>1.1345547976363327E-3</v>
      </c>
      <c r="AA55" s="144">
        <f>C55+E55+G55+I55+K55+M55+O55+Q55+S55+U55+W55+Y55</f>
        <v>14400</v>
      </c>
      <c r="AB55" s="702">
        <f>AA55/AA12</f>
        <v>1.4611270964363023E-3</v>
      </c>
      <c r="AC55" s="128">
        <f t="shared" si="1"/>
        <v>1200</v>
      </c>
      <c r="AD55" s="702">
        <f>AC55/AC12</f>
        <v>1.4611270964363023E-3</v>
      </c>
      <c r="AE55" s="595"/>
      <c r="AF55" s="595"/>
      <c r="AG55" s="555"/>
    </row>
    <row r="56" spans="1:33" s="1" customFormat="1">
      <c r="A56" s="188">
        <v>6115</v>
      </c>
      <c r="B56" s="227" t="s">
        <v>13</v>
      </c>
      <c r="C56" s="437">
        <v>250</v>
      </c>
      <c r="D56" s="702">
        <f>C56/C12</f>
        <v>3.3727264857100572E-4</v>
      </c>
      <c r="E56" s="437">
        <v>250</v>
      </c>
      <c r="F56" s="702">
        <f>E56/E12</f>
        <v>4.3351158611412536E-4</v>
      </c>
      <c r="G56" s="437">
        <v>250</v>
      </c>
      <c r="H56" s="702">
        <f>G56/G12</f>
        <v>2.6134400867787271E-4</v>
      </c>
      <c r="I56" s="437">
        <v>250</v>
      </c>
      <c r="J56" s="702">
        <f>I56/I12</f>
        <v>2.9597475171846477E-4</v>
      </c>
      <c r="K56" s="437">
        <v>250</v>
      </c>
      <c r="L56" s="702">
        <f>K56/K12</f>
        <v>3.2361048139471234E-4</v>
      </c>
      <c r="M56" s="437">
        <v>250</v>
      </c>
      <c r="N56" s="702">
        <f>M56/M12</f>
        <v>2.2821836468857619E-4</v>
      </c>
      <c r="O56" s="437">
        <v>250</v>
      </c>
      <c r="P56" s="702">
        <f>O56/O12</f>
        <v>3.6047160343192233E-4</v>
      </c>
      <c r="Q56" s="437">
        <v>250</v>
      </c>
      <c r="R56" s="702">
        <f>Q56/Q12</f>
        <v>2.9029578044453244E-4</v>
      </c>
      <c r="S56" s="437">
        <v>250</v>
      </c>
      <c r="T56" s="702">
        <f>S56/S12</f>
        <v>2.8816929970989667E-4</v>
      </c>
      <c r="U56" s="437">
        <v>250</v>
      </c>
      <c r="V56" s="702">
        <f>U56/U12</f>
        <v>3.6329668135307345E-4</v>
      </c>
      <c r="W56" s="437">
        <v>250</v>
      </c>
      <c r="X56" s="702">
        <f>W56/W12</f>
        <v>3.5706885445879787E-4</v>
      </c>
      <c r="Y56" s="437">
        <v>250</v>
      </c>
      <c r="Z56" s="702">
        <f>Y56/Y12</f>
        <v>2.3636558284090265E-4</v>
      </c>
      <c r="AA56" s="144">
        <f t="shared" si="17"/>
        <v>3000</v>
      </c>
      <c r="AB56" s="702">
        <f>AA56/AA12</f>
        <v>3.0440147842422964E-4</v>
      </c>
      <c r="AC56" s="128">
        <f t="shared" si="1"/>
        <v>250</v>
      </c>
      <c r="AD56" s="702">
        <f>AC56/AC12</f>
        <v>3.0440147842422969E-4</v>
      </c>
      <c r="AE56" s="595"/>
      <c r="AF56" s="595"/>
      <c r="AG56" s="555"/>
    </row>
    <row r="57" spans="1:33" s="1" customFormat="1">
      <c r="A57" s="188">
        <v>6116</v>
      </c>
      <c r="B57" s="227" t="s">
        <v>14</v>
      </c>
      <c r="C57" s="31">
        <f>803.22+250</f>
        <v>1053.22</v>
      </c>
      <c r="D57" s="677">
        <f>C57/C12</f>
        <v>1.4208891957118188E-3</v>
      </c>
      <c r="E57" s="31">
        <f>803.22+250</f>
        <v>1053.22</v>
      </c>
      <c r="F57" s="677">
        <f>E57/E12</f>
        <v>1.8263322909084765E-3</v>
      </c>
      <c r="G57" s="31">
        <f>803.22+250</f>
        <v>1053.22</v>
      </c>
      <c r="H57" s="702">
        <f>G57/G12</f>
        <v>1.1010109472788365E-3</v>
      </c>
      <c r="I57" s="31">
        <f>803.22+250</f>
        <v>1053.22</v>
      </c>
      <c r="J57" s="702">
        <f>I57/I12</f>
        <v>1.2469061120196859E-3</v>
      </c>
      <c r="K57" s="31">
        <f>803.22+250</f>
        <v>1053.22</v>
      </c>
      <c r="L57" s="702">
        <f>K57/K12</f>
        <v>1.3633321248581558E-3</v>
      </c>
      <c r="M57" s="31">
        <f>803.22+250</f>
        <v>1053.22</v>
      </c>
      <c r="N57" s="702">
        <f>M57/M12</f>
        <v>9.6145658422920892E-4</v>
      </c>
      <c r="O57" s="31">
        <f>803.22+250</f>
        <v>1053.22</v>
      </c>
      <c r="P57" s="677">
        <f>O57/O12</f>
        <v>1.5186236086662769E-3</v>
      </c>
      <c r="Q57" s="31">
        <f>803.22+250</f>
        <v>1053.22</v>
      </c>
      <c r="R57" s="677">
        <f>Q57/Q12</f>
        <v>1.2229812875191618E-3</v>
      </c>
      <c r="S57" s="31">
        <f>803.22+250</f>
        <v>1053.22</v>
      </c>
      <c r="T57" s="677">
        <f>S57/S12</f>
        <v>1.2140226793618295E-3</v>
      </c>
      <c r="U57" s="31">
        <f>803.22+250</f>
        <v>1053.22</v>
      </c>
      <c r="V57" s="677">
        <f>U57/U12</f>
        <v>1.5305253229387361E-3</v>
      </c>
      <c r="W57" s="31">
        <f>803.22+250</f>
        <v>1053.22</v>
      </c>
      <c r="X57" s="677">
        <f>W57/W12</f>
        <v>1.5042882355723805E-3</v>
      </c>
      <c r="Y57" s="31">
        <f>803.22+250</f>
        <v>1053.22</v>
      </c>
      <c r="Z57" s="677">
        <f>Y57/Y12</f>
        <v>9.9577983663878193E-4</v>
      </c>
      <c r="AA57" s="144">
        <f t="shared" si="17"/>
        <v>12638.639999999998</v>
      </c>
      <c r="AB57" s="677">
        <f>AA57/AA12</f>
        <v>1.2824069004238683E-3</v>
      </c>
      <c r="AC57" s="128">
        <f t="shared" si="1"/>
        <v>1053.2199999999998</v>
      </c>
      <c r="AD57" s="677">
        <f>AC57/AC12</f>
        <v>1.2824069004238685E-3</v>
      </c>
      <c r="AE57" s="393"/>
      <c r="AF57" s="393"/>
      <c r="AG57" s="393"/>
    </row>
    <row r="58" spans="1:33" s="1" customFormat="1">
      <c r="A58" s="188">
        <v>6117</v>
      </c>
      <c r="B58" s="227" t="s">
        <v>15</v>
      </c>
      <c r="C58" s="61"/>
      <c r="D58" s="24">
        <f>C58/C12</f>
        <v>0</v>
      </c>
      <c r="E58" s="114"/>
      <c r="F58" s="24">
        <f>E58/E12</f>
        <v>0</v>
      </c>
      <c r="H58" s="24">
        <f>G58/G12</f>
        <v>0</v>
      </c>
      <c r="I58" s="703"/>
      <c r="J58" s="24">
        <f>I58/I12</f>
        <v>0</v>
      </c>
      <c r="K58" s="703"/>
      <c r="L58" s="24">
        <f>K58/K12</f>
        <v>0</v>
      </c>
      <c r="M58" s="704"/>
      <c r="N58" s="24">
        <f>M58/M12</f>
        <v>0</v>
      </c>
      <c r="P58" s="24">
        <f>O58/O12</f>
        <v>0</v>
      </c>
      <c r="Q58" s="114"/>
      <c r="R58" s="24">
        <f>Q58/Q12</f>
        <v>0</v>
      </c>
      <c r="S58" s="114"/>
      <c r="T58" s="24">
        <f>S58/S12</f>
        <v>0</v>
      </c>
      <c r="U58" s="114"/>
      <c r="V58" s="24">
        <f>U58/U12</f>
        <v>0</v>
      </c>
      <c r="W58" s="114"/>
      <c r="X58" s="24">
        <f>W58/W12</f>
        <v>0</v>
      </c>
      <c r="Y58" s="114"/>
      <c r="Z58" s="24">
        <f>Y58/Y12</f>
        <v>0</v>
      </c>
      <c r="AA58" s="144">
        <f t="shared" si="17"/>
        <v>0</v>
      </c>
      <c r="AB58" s="677">
        <f>AA58/AA12</f>
        <v>0</v>
      </c>
      <c r="AC58" s="128">
        <f t="shared" si="1"/>
        <v>0</v>
      </c>
      <c r="AD58" s="677">
        <f>AC58/AC12</f>
        <v>0</v>
      </c>
      <c r="AE58" s="393"/>
      <c r="AF58" s="393"/>
      <c r="AG58" s="393"/>
    </row>
    <row r="59" spans="1:33" s="1" customFormat="1">
      <c r="A59" s="188">
        <v>6118</v>
      </c>
      <c r="B59" s="227" t="s">
        <v>16</v>
      </c>
      <c r="C59" s="75"/>
      <c r="D59" s="24">
        <f>C59/C12</f>
        <v>0</v>
      </c>
      <c r="E59" s="113"/>
      <c r="F59" s="24">
        <f>E59/E12</f>
        <v>0</v>
      </c>
      <c r="H59" s="24">
        <f>G59/G12</f>
        <v>0</v>
      </c>
      <c r="I59" s="459"/>
      <c r="J59" s="24">
        <f>I59/I12</f>
        <v>0</v>
      </c>
      <c r="K59" s="459"/>
      <c r="L59" s="24">
        <f>K59/K12</f>
        <v>0</v>
      </c>
      <c r="M59" s="463"/>
      <c r="N59" s="24">
        <f>M59/M12</f>
        <v>0</v>
      </c>
      <c r="P59" s="24">
        <f>O59/O12</f>
        <v>0</v>
      </c>
      <c r="Q59" s="459"/>
      <c r="R59" s="24">
        <f>Q59/Q12</f>
        <v>0</v>
      </c>
      <c r="S59" s="459"/>
      <c r="T59" s="24">
        <f>S59/S12</f>
        <v>0</v>
      </c>
      <c r="U59" s="459"/>
      <c r="V59" s="24">
        <f>U59/U12</f>
        <v>0</v>
      </c>
      <c r="W59" s="459"/>
      <c r="X59" s="24">
        <f>W59/W12</f>
        <v>0</v>
      </c>
      <c r="Y59" s="459"/>
      <c r="Z59" s="24">
        <f>Y59/Y12</f>
        <v>0</v>
      </c>
      <c r="AA59" s="144">
        <f t="shared" si="17"/>
        <v>0</v>
      </c>
      <c r="AB59" s="677">
        <f>AA59/AA12</f>
        <v>0</v>
      </c>
      <c r="AC59" s="128">
        <f t="shared" si="1"/>
        <v>0</v>
      </c>
      <c r="AD59" s="677">
        <f>AC59/AC12</f>
        <v>0</v>
      </c>
      <c r="AE59" s="393" t="s">
        <v>224</v>
      </c>
      <c r="AF59" s="393"/>
      <c r="AG59" s="393"/>
    </row>
    <row r="60" spans="1:33" s="1" customFormat="1">
      <c r="A60" s="188">
        <v>6119</v>
      </c>
      <c r="B60" s="227" t="s">
        <v>17</v>
      </c>
      <c r="C60" s="61"/>
      <c r="D60" s="24">
        <f>C60/C12</f>
        <v>0</v>
      </c>
      <c r="E60" s="114"/>
      <c r="F60" s="24">
        <f>E60/E12</f>
        <v>0</v>
      </c>
      <c r="H60" s="24">
        <f>G60/G12</f>
        <v>0</v>
      </c>
      <c r="I60" s="703"/>
      <c r="J60" s="24">
        <f>I60/I12</f>
        <v>0</v>
      </c>
      <c r="K60" s="703"/>
      <c r="L60" s="24">
        <f>K60/K12</f>
        <v>0</v>
      </c>
      <c r="M60" s="704"/>
      <c r="N60" s="24">
        <f>M60/M12</f>
        <v>0</v>
      </c>
      <c r="P60" s="24">
        <f>O60/O12</f>
        <v>0</v>
      </c>
      <c r="Q60" s="114"/>
      <c r="R60" s="24">
        <f>Q60/Q12</f>
        <v>0</v>
      </c>
      <c r="S60" s="114"/>
      <c r="T60" s="24">
        <f>S60/S12</f>
        <v>0</v>
      </c>
      <c r="U60" s="114"/>
      <c r="V60" s="24">
        <f>U60/U12</f>
        <v>0</v>
      </c>
      <c r="W60" s="114"/>
      <c r="X60" s="24">
        <f>W60/W12</f>
        <v>0</v>
      </c>
      <c r="Y60" s="114"/>
      <c r="Z60" s="24">
        <f>Y60/Y12</f>
        <v>0</v>
      </c>
      <c r="AA60" s="144">
        <f t="shared" si="17"/>
        <v>0</v>
      </c>
      <c r="AB60" s="677">
        <f>AA60/AA12</f>
        <v>0</v>
      </c>
      <c r="AC60" s="128">
        <f t="shared" si="1"/>
        <v>0</v>
      </c>
      <c r="AD60" s="677">
        <f>AC60/AC12</f>
        <v>0</v>
      </c>
      <c r="AE60" s="393"/>
      <c r="AF60" s="393"/>
      <c r="AG60" s="393"/>
    </row>
    <row r="61" spans="1:33" s="1" customFormat="1">
      <c r="A61" s="188">
        <v>6120</v>
      </c>
      <c r="B61" s="227" t="s">
        <v>18</v>
      </c>
      <c r="C61" s="61"/>
      <c r="D61" s="24">
        <f>C61/C12</f>
        <v>0</v>
      </c>
      <c r="E61" s="114"/>
      <c r="F61" s="24">
        <f>E61/E12</f>
        <v>0</v>
      </c>
      <c r="H61" s="24">
        <f>G61/G12</f>
        <v>0</v>
      </c>
      <c r="I61" s="703"/>
      <c r="J61" s="24">
        <f>I61/I12</f>
        <v>0</v>
      </c>
      <c r="K61" s="703"/>
      <c r="L61" s="24">
        <f>K61/K12</f>
        <v>0</v>
      </c>
      <c r="M61" s="704"/>
      <c r="N61" s="24">
        <f>M61/M12</f>
        <v>0</v>
      </c>
      <c r="P61" s="24">
        <f>O61/O12</f>
        <v>0</v>
      </c>
      <c r="Q61" s="114"/>
      <c r="R61" s="24">
        <f>Q61/Q12</f>
        <v>0</v>
      </c>
      <c r="S61" s="114"/>
      <c r="T61" s="24">
        <f>S61/S12</f>
        <v>0</v>
      </c>
      <c r="U61" s="114"/>
      <c r="V61" s="24">
        <f>U61/U12</f>
        <v>0</v>
      </c>
      <c r="W61" s="114"/>
      <c r="X61" s="24">
        <f>W61/W12</f>
        <v>0</v>
      </c>
      <c r="Y61" s="114"/>
      <c r="Z61" s="24">
        <f>Y61/Y12</f>
        <v>0</v>
      </c>
      <c r="AA61" s="144">
        <f t="shared" si="17"/>
        <v>0</v>
      </c>
      <c r="AB61" s="677">
        <f>AA61/AA12</f>
        <v>0</v>
      </c>
      <c r="AC61" s="128">
        <f t="shared" si="1"/>
        <v>0</v>
      </c>
      <c r="AD61" s="677">
        <f>AC61/AC12</f>
        <v>0</v>
      </c>
      <c r="AE61" s="393"/>
      <c r="AF61" s="393"/>
      <c r="AG61" s="393"/>
    </row>
    <row r="62" spans="1:33" s="1" customFormat="1">
      <c r="A62" s="188">
        <v>6121</v>
      </c>
      <c r="B62" s="188" t="s">
        <v>19</v>
      </c>
      <c r="C62" s="705">
        <v>250</v>
      </c>
      <c r="D62" s="702">
        <f>C62/C12</f>
        <v>3.3727264857100572E-4</v>
      </c>
      <c r="E62" s="705">
        <v>250</v>
      </c>
      <c r="F62" s="702">
        <f>E62/E12</f>
        <v>4.3351158611412536E-4</v>
      </c>
      <c r="G62" s="705">
        <v>250</v>
      </c>
      <c r="H62" s="702">
        <f>G62/G12</f>
        <v>2.6134400867787271E-4</v>
      </c>
      <c r="I62" s="705">
        <v>250</v>
      </c>
      <c r="J62" s="702">
        <f>I62/I12</f>
        <v>2.9597475171846477E-4</v>
      </c>
      <c r="K62" s="705">
        <v>250</v>
      </c>
      <c r="L62" s="702">
        <f>K62/K12</f>
        <v>3.2361048139471234E-4</v>
      </c>
      <c r="M62" s="705">
        <v>500</v>
      </c>
      <c r="N62" s="702">
        <f>M62/M12</f>
        <v>4.5643672937715238E-4</v>
      </c>
      <c r="O62" s="705">
        <v>250</v>
      </c>
      <c r="P62" s="702">
        <f>O62/O12</f>
        <v>3.6047160343192233E-4</v>
      </c>
      <c r="Q62" s="705">
        <v>250</v>
      </c>
      <c r="R62" s="702">
        <f>Q62/Q12</f>
        <v>2.9029578044453244E-4</v>
      </c>
      <c r="S62" s="705">
        <v>500</v>
      </c>
      <c r="T62" s="702">
        <f>S62/S12</f>
        <v>5.7633859941979334E-4</v>
      </c>
      <c r="U62" s="705">
        <v>250</v>
      </c>
      <c r="V62" s="702">
        <f>U62/U12</f>
        <v>3.6329668135307345E-4</v>
      </c>
      <c r="W62" s="705">
        <v>250</v>
      </c>
      <c r="X62" s="702">
        <f>W62/W12</f>
        <v>3.5706885445879787E-4</v>
      </c>
      <c r="Y62" s="705">
        <f>250+250</f>
        <v>500</v>
      </c>
      <c r="Z62" s="702">
        <f>Y62/Y12</f>
        <v>4.727311656818053E-4</v>
      </c>
      <c r="AA62" s="144">
        <f t="shared" si="17"/>
        <v>3750</v>
      </c>
      <c r="AB62" s="702">
        <f>AA62/AA12</f>
        <v>3.8050184803028705E-4</v>
      </c>
      <c r="AC62" s="128">
        <f t="shared" si="1"/>
        <v>312.5</v>
      </c>
      <c r="AD62" s="702">
        <f>AC62/AC12</f>
        <v>3.805018480302871E-4</v>
      </c>
      <c r="AE62" s="645"/>
      <c r="AF62" s="226"/>
      <c r="AG62" s="226"/>
    </row>
    <row r="63" spans="1:33" s="1" customFormat="1">
      <c r="A63" s="188">
        <v>6122</v>
      </c>
      <c r="B63" s="227" t="s">
        <v>199</v>
      </c>
      <c r="C63" s="61"/>
      <c r="D63" s="24">
        <f>C63/C12</f>
        <v>0</v>
      </c>
      <c r="E63" s="61"/>
      <c r="F63" s="24">
        <f>E63/E12</f>
        <v>0</v>
      </c>
      <c r="H63" s="24">
        <f>G63/G12</f>
        <v>0</v>
      </c>
      <c r="I63" s="61">
        <v>0</v>
      </c>
      <c r="J63" s="24">
        <f>I63/I12</f>
        <v>0</v>
      </c>
      <c r="K63" s="61">
        <v>0</v>
      </c>
      <c r="L63" s="24">
        <f>K63/K12</f>
        <v>0</v>
      </c>
      <c r="M63" s="26"/>
      <c r="N63" s="24">
        <f>M63/M12</f>
        <v>0</v>
      </c>
      <c r="P63" s="24">
        <f>O63/O12</f>
        <v>0</v>
      </c>
      <c r="Q63" s="61"/>
      <c r="R63" s="24">
        <f>Q63/Q12</f>
        <v>0</v>
      </c>
      <c r="S63" s="61">
        <v>0</v>
      </c>
      <c r="T63" s="24">
        <f>S63/S12</f>
        <v>0</v>
      </c>
      <c r="U63" s="61">
        <v>0</v>
      </c>
      <c r="V63" s="24">
        <f>U63/U12</f>
        <v>0</v>
      </c>
      <c r="W63" s="61">
        <v>0</v>
      </c>
      <c r="X63" s="24">
        <f>W63/W12</f>
        <v>0</v>
      </c>
      <c r="Y63" s="61">
        <v>0</v>
      </c>
      <c r="Z63" s="24">
        <f>Y63/Y12</f>
        <v>0</v>
      </c>
      <c r="AA63" s="144">
        <f t="shared" si="17"/>
        <v>0</v>
      </c>
      <c r="AB63" s="677">
        <f>AA63/AA12</f>
        <v>0</v>
      </c>
      <c r="AC63" s="128">
        <f t="shared" si="1"/>
        <v>0</v>
      </c>
      <c r="AD63" s="677">
        <f>AC63/AC12</f>
        <v>0</v>
      </c>
      <c r="AE63" s="393"/>
      <c r="AF63" s="393"/>
      <c r="AG63" s="393"/>
    </row>
    <row r="64" spans="1:33" s="1" customFormat="1">
      <c r="A64" s="188">
        <v>6123</v>
      </c>
      <c r="B64" s="227" t="s">
        <v>21</v>
      </c>
      <c r="C64" s="61"/>
      <c r="D64" s="24">
        <f>C64/C12</f>
        <v>0</v>
      </c>
      <c r="E64" s="114"/>
      <c r="F64" s="24">
        <f>E64/E12</f>
        <v>0</v>
      </c>
      <c r="H64" s="24">
        <f>G64/G12</f>
        <v>0</v>
      </c>
      <c r="I64" s="703"/>
      <c r="J64" s="24">
        <f>I64/I12</f>
        <v>0</v>
      </c>
      <c r="K64" s="703"/>
      <c r="L64" s="24">
        <f>K64/K12</f>
        <v>0</v>
      </c>
      <c r="M64" s="704"/>
      <c r="N64" s="24">
        <f>M64/M12</f>
        <v>0</v>
      </c>
      <c r="P64" s="24">
        <f>O64/O12</f>
        <v>0</v>
      </c>
      <c r="Q64" s="114"/>
      <c r="R64" s="24">
        <f>Q64/Q12</f>
        <v>0</v>
      </c>
      <c r="S64" s="114"/>
      <c r="T64" s="24">
        <f>S64/S12</f>
        <v>0</v>
      </c>
      <c r="U64" s="114"/>
      <c r="V64" s="24">
        <f>U64/U12</f>
        <v>0</v>
      </c>
      <c r="W64" s="114"/>
      <c r="X64" s="24">
        <f>W64/W12</f>
        <v>0</v>
      </c>
      <c r="Y64" s="114"/>
      <c r="Z64" s="24">
        <f>Y64/Y12</f>
        <v>0</v>
      </c>
      <c r="AA64" s="144">
        <f t="shared" si="17"/>
        <v>0</v>
      </c>
      <c r="AB64" s="677">
        <f>AA64/AA12</f>
        <v>0</v>
      </c>
      <c r="AC64" s="128">
        <f t="shared" si="1"/>
        <v>0</v>
      </c>
      <c r="AD64" s="677">
        <f>AC64/AC12</f>
        <v>0</v>
      </c>
      <c r="AE64" s="393"/>
      <c r="AF64" s="393"/>
      <c r="AG64" s="393"/>
    </row>
    <row r="65" spans="1:33" s="1" customFormat="1">
      <c r="A65" s="188">
        <v>6124</v>
      </c>
      <c r="B65" s="227" t="s">
        <v>22</v>
      </c>
      <c r="C65" s="61">
        <v>7500</v>
      </c>
      <c r="D65" s="24">
        <f>C65/C12</f>
        <v>1.0118179457130172E-2</v>
      </c>
      <c r="E65" s="61">
        <v>7500</v>
      </c>
      <c r="F65" s="24">
        <f>E65/E12</f>
        <v>1.3005347583423761E-2</v>
      </c>
      <c r="G65" s="61">
        <v>7500</v>
      </c>
      <c r="H65" s="24">
        <f>G65/G12</f>
        <v>7.840320260336181E-3</v>
      </c>
      <c r="I65" s="61">
        <v>7500</v>
      </c>
      <c r="J65" s="24">
        <f>I65/I12</f>
        <v>8.8792425515539421E-3</v>
      </c>
      <c r="K65" s="61">
        <v>7500</v>
      </c>
      <c r="L65" s="24">
        <f>K65/K12</f>
        <v>9.7083144418413699E-3</v>
      </c>
      <c r="M65" s="61">
        <v>7500</v>
      </c>
      <c r="N65" s="24">
        <f>M65/M12</f>
        <v>6.8465509406572863E-3</v>
      </c>
      <c r="O65" s="61">
        <v>7500</v>
      </c>
      <c r="P65" s="24">
        <f>O65/O12</f>
        <v>1.0814148102957669E-2</v>
      </c>
      <c r="Q65" s="61">
        <v>7500</v>
      </c>
      <c r="R65" s="24">
        <f>Q65/Q12</f>
        <v>8.7088734133359737E-3</v>
      </c>
      <c r="S65" s="61">
        <v>7500</v>
      </c>
      <c r="T65" s="24">
        <f>S65/S12</f>
        <v>8.6450789912968992E-3</v>
      </c>
      <c r="U65" s="61">
        <v>7500</v>
      </c>
      <c r="V65" s="24">
        <f>U65/U12</f>
        <v>1.0898900440592203E-2</v>
      </c>
      <c r="W65" s="61">
        <v>7500</v>
      </c>
      <c r="X65" s="24">
        <f>W65/W12</f>
        <v>1.0712065633763937E-2</v>
      </c>
      <c r="Y65" s="61">
        <v>7500</v>
      </c>
      <c r="Z65" s="24">
        <f>Y65/Y12</f>
        <v>7.09096748522708E-3</v>
      </c>
      <c r="AA65" s="144">
        <f t="shared" si="17"/>
        <v>90000</v>
      </c>
      <c r="AB65" s="677">
        <f>AA65/AA12</f>
        <v>9.13204435272689E-3</v>
      </c>
      <c r="AC65" s="128">
        <f t="shared" si="1"/>
        <v>7500</v>
      </c>
      <c r="AD65" s="677">
        <f>AC65/AC12</f>
        <v>9.13204435272689E-3</v>
      </c>
      <c r="AE65" s="374"/>
      <c r="AF65" s="393"/>
      <c r="AG65" s="393"/>
    </row>
    <row r="66" spans="1:33" s="1" customFormat="1">
      <c r="A66" s="188">
        <v>6125</v>
      </c>
      <c r="B66" s="227" t="s">
        <v>78</v>
      </c>
      <c r="C66" s="705">
        <v>423.01184433164127</v>
      </c>
      <c r="D66" s="702">
        <f>C66/C12</f>
        <v>5.7068130045855449E-4</v>
      </c>
      <c r="E66" s="705">
        <v>423.01184433164127</v>
      </c>
      <c r="F66" s="702">
        <f>E66/E12</f>
        <v>7.3352214232508522E-4</v>
      </c>
      <c r="G66" s="705">
        <v>423.01184433164127</v>
      </c>
      <c r="H66" s="702">
        <f>G66/G12</f>
        <v>4.4220644446340559E-4</v>
      </c>
      <c r="I66" s="705">
        <v>423.01184433164127</v>
      </c>
      <c r="J66" s="702">
        <f>I66/I12</f>
        <v>5.0080330240010959E-4</v>
      </c>
      <c r="K66" s="705">
        <v>423.01184433164127</v>
      </c>
      <c r="L66" s="702">
        <f>K66/K12</f>
        <v>5.475642663193102E-4</v>
      </c>
      <c r="M66" s="705">
        <v>423.01184433164127</v>
      </c>
      <c r="N66" s="702">
        <f>M66/M12</f>
        <v>3.8615628542906295E-4</v>
      </c>
      <c r="O66" s="705">
        <v>423.01184433164127</v>
      </c>
      <c r="P66" s="702">
        <f>O66/O12</f>
        <v>6.0993503118768582E-4</v>
      </c>
      <c r="Q66" s="705">
        <v>423.01184433164127</v>
      </c>
      <c r="R66" s="702">
        <f>Q66/Q12</f>
        <v>4.9119421395013953E-4</v>
      </c>
      <c r="S66" s="705">
        <v>423.01184433164127</v>
      </c>
      <c r="T66" s="702">
        <f>S66/S12</f>
        <v>4.8759610780016352E-4</v>
      </c>
      <c r="U66" s="705">
        <v>423.01184433164127</v>
      </c>
      <c r="V66" s="702">
        <f>U66/U12</f>
        <v>6.147151968749128E-4</v>
      </c>
      <c r="W66" s="705">
        <v>423.01184433164127</v>
      </c>
      <c r="X66" s="702">
        <f>W66/W12</f>
        <v>6.0417741871200996E-4</v>
      </c>
      <c r="Y66" s="705">
        <v>423.01184433164127</v>
      </c>
      <c r="Z66" s="702">
        <f>Y66/Y12</f>
        <v>3.999417645362143E-4</v>
      </c>
      <c r="AA66" s="144">
        <f t="shared" si="17"/>
        <v>5076.1421319796964</v>
      </c>
      <c r="AB66" s="677">
        <f>AA66/AA12</f>
        <v>5.1506172322204685E-4</v>
      </c>
      <c r="AC66" s="128">
        <f t="shared" si="1"/>
        <v>423.01184433164138</v>
      </c>
      <c r="AD66" s="677">
        <f>AC66/AC12</f>
        <v>5.1506172322204695E-4</v>
      </c>
      <c r="AE66" s="393"/>
      <c r="AF66" s="393"/>
      <c r="AG66" s="393"/>
    </row>
    <row r="67" spans="1:33" s="1" customFormat="1">
      <c r="A67" s="188">
        <v>6126</v>
      </c>
      <c r="B67" s="227" t="s">
        <v>116</v>
      </c>
      <c r="C67" s="26"/>
      <c r="D67" s="24"/>
      <c r="E67" s="26"/>
      <c r="F67" s="24"/>
      <c r="G67" s="26"/>
      <c r="H67" s="24"/>
      <c r="I67" s="26"/>
      <c r="J67" s="24"/>
      <c r="K67" s="26"/>
      <c r="L67" s="24"/>
      <c r="M67" s="26"/>
      <c r="N67" s="24"/>
      <c r="O67" s="26"/>
      <c r="P67" s="24"/>
      <c r="Q67" s="26"/>
      <c r="R67" s="24"/>
      <c r="S67" s="26"/>
      <c r="T67" s="24"/>
      <c r="U67" s="26"/>
      <c r="V67" s="24"/>
      <c r="W67" s="26"/>
      <c r="X67" s="24"/>
      <c r="Y67" s="26"/>
      <c r="Z67" s="24"/>
      <c r="AA67" s="144">
        <f t="shared" si="17"/>
        <v>0</v>
      </c>
      <c r="AB67" s="677"/>
      <c r="AC67" s="128">
        <f t="shared" si="1"/>
        <v>0</v>
      </c>
      <c r="AD67" s="677"/>
      <c r="AE67" s="393"/>
      <c r="AF67" s="393"/>
      <c r="AG67" s="393"/>
    </row>
    <row r="68" spans="1:33" s="1" customFormat="1">
      <c r="A68" s="188">
        <v>6127</v>
      </c>
      <c r="B68" s="188" t="s">
        <v>76</v>
      </c>
      <c r="C68" s="705">
        <v>385</v>
      </c>
      <c r="D68" s="702">
        <f>C68/C$12</f>
        <v>5.1939987879934886E-4</v>
      </c>
      <c r="E68" s="705">
        <v>382</v>
      </c>
      <c r="F68" s="702">
        <f>E68/E$12</f>
        <v>6.6240570358238357E-4</v>
      </c>
      <c r="G68" s="705">
        <v>382</v>
      </c>
      <c r="H68" s="702">
        <f>G68/G$12</f>
        <v>3.9933364525978954E-4</v>
      </c>
      <c r="I68" s="705">
        <v>382</v>
      </c>
      <c r="J68" s="702">
        <f>I68/I$12</f>
        <v>4.5224942062581413E-4</v>
      </c>
      <c r="K68" s="705">
        <v>382</v>
      </c>
      <c r="L68" s="702">
        <f>K68/K$12</f>
        <v>4.944768155711205E-4</v>
      </c>
      <c r="M68" s="705">
        <v>382</v>
      </c>
      <c r="N68" s="702">
        <f>M68/M$12</f>
        <v>3.4871766124414442E-4</v>
      </c>
      <c r="O68" s="705">
        <v>382</v>
      </c>
      <c r="P68" s="702">
        <f>O68/O$12</f>
        <v>5.508006100439773E-4</v>
      </c>
      <c r="Q68" s="705">
        <v>382</v>
      </c>
      <c r="R68" s="702">
        <f>Q68/Q$12</f>
        <v>4.4357195251924558E-4</v>
      </c>
      <c r="S68" s="705">
        <v>382</v>
      </c>
      <c r="T68" s="702">
        <f>S68/S$12</f>
        <v>4.4032268995672212E-4</v>
      </c>
      <c r="U68" s="705">
        <v>382</v>
      </c>
      <c r="V68" s="702">
        <f>U68/U$12</f>
        <v>5.5511732910749629E-4</v>
      </c>
      <c r="W68" s="705">
        <v>382</v>
      </c>
      <c r="X68" s="702">
        <f>W68/W$12</f>
        <v>5.4560120961304312E-4</v>
      </c>
      <c r="Y68" s="705">
        <v>382</v>
      </c>
      <c r="Z68" s="702">
        <f>Y68/Y$12</f>
        <v>3.6116661058089927E-4</v>
      </c>
      <c r="AA68" s="144">
        <f t="shared" si="17"/>
        <v>4587</v>
      </c>
      <c r="AB68" s="702">
        <f>AA68/AA12</f>
        <v>4.6542986051064712E-4</v>
      </c>
      <c r="AC68" s="128">
        <f t="shared" si="1"/>
        <v>382.25</v>
      </c>
      <c r="AD68" s="702">
        <f>AC68/AC12</f>
        <v>4.6542986051064717E-4</v>
      </c>
      <c r="AE68" s="645"/>
      <c r="AF68" s="226"/>
      <c r="AG68" s="226"/>
    </row>
    <row r="69" spans="1:33" s="1" customFormat="1">
      <c r="A69" s="188">
        <v>6128</v>
      </c>
      <c r="B69" s="188" t="s">
        <v>232</v>
      </c>
      <c r="C69" s="678">
        <v>0</v>
      </c>
      <c r="D69" s="684">
        <f>C69/C$12</f>
        <v>0</v>
      </c>
      <c r="E69" s="678">
        <v>0</v>
      </c>
      <c r="F69" s="684">
        <f>E69/E$12</f>
        <v>0</v>
      </c>
      <c r="G69" s="678">
        <v>0</v>
      </c>
      <c r="H69" s="684">
        <f>G69/G$12</f>
        <v>0</v>
      </c>
      <c r="I69" s="678">
        <v>0</v>
      </c>
      <c r="J69" s="684">
        <f>I69/I$12</f>
        <v>0</v>
      </c>
      <c r="K69" s="678">
        <v>0</v>
      </c>
      <c r="L69" s="684">
        <f>K69/K$12</f>
        <v>0</v>
      </c>
      <c r="M69" s="678">
        <v>0</v>
      </c>
      <c r="N69" s="684">
        <f>M69/M$12</f>
        <v>0</v>
      </c>
      <c r="O69" s="678">
        <v>0</v>
      </c>
      <c r="P69" s="684">
        <f>O69/O$12</f>
        <v>0</v>
      </c>
      <c r="Q69" s="678">
        <v>0</v>
      </c>
      <c r="R69" s="684">
        <f>Q69/Q$12</f>
        <v>0</v>
      </c>
      <c r="S69" s="678">
        <v>0</v>
      </c>
      <c r="T69" s="684">
        <f>S69/S$12</f>
        <v>0</v>
      </c>
      <c r="U69" s="678">
        <v>0</v>
      </c>
      <c r="V69" s="684">
        <f>U69/U$12</f>
        <v>0</v>
      </c>
      <c r="W69" s="678">
        <v>0</v>
      </c>
      <c r="X69" s="684">
        <f>W69/W$12</f>
        <v>0</v>
      </c>
      <c r="Y69" s="678">
        <v>0</v>
      </c>
      <c r="Z69" s="684">
        <f>Y69/Y$12</f>
        <v>0</v>
      </c>
      <c r="AA69" s="144">
        <f t="shared" si="17"/>
        <v>0</v>
      </c>
      <c r="AB69" s="677"/>
      <c r="AC69" s="128">
        <f t="shared" si="1"/>
        <v>0</v>
      </c>
      <c r="AD69" s="677"/>
      <c r="AE69" s="393"/>
      <c r="AF69" s="393"/>
      <c r="AG69" s="393"/>
    </row>
    <row r="70" spans="1:33" s="1" customFormat="1">
      <c r="A70" s="2">
        <v>6131</v>
      </c>
      <c r="B70" s="188" t="s">
        <v>314</v>
      </c>
      <c r="C70" s="676">
        <v>676.8189509306261</v>
      </c>
      <c r="D70" s="702">
        <f t="shared" ref="D70:D75" si="19">C70/C$12</f>
        <v>9.1309008073368729E-4</v>
      </c>
      <c r="E70" s="676">
        <v>676.8189509306261</v>
      </c>
      <c r="F70" s="702">
        <f t="shared" ref="F70:F75" si="20">E70/E$12</f>
        <v>1.1736354277201363E-3</v>
      </c>
      <c r="G70" s="676">
        <v>676.8189509306261</v>
      </c>
      <c r="H70" s="702">
        <f t="shared" ref="H70:H75" si="21">G70/G$12</f>
        <v>7.0753031114144903E-4</v>
      </c>
      <c r="I70" s="676">
        <v>676.8189509306261</v>
      </c>
      <c r="J70" s="702">
        <f t="shared" ref="J70:J75" si="22">I70/I$12</f>
        <v>8.0128528384017532E-4</v>
      </c>
      <c r="K70" s="676">
        <v>676.8189509306261</v>
      </c>
      <c r="L70" s="702">
        <f t="shared" ref="L70:L75" si="23">K70/K$12</f>
        <v>8.761028261108964E-4</v>
      </c>
      <c r="M70" s="676">
        <v>676.8189509306261</v>
      </c>
      <c r="N70" s="702">
        <f t="shared" ref="N70:N75" si="24">M70/M$12</f>
        <v>6.1785005668650074E-4</v>
      </c>
      <c r="O70" s="676">
        <v>676.8189509306261</v>
      </c>
      <c r="P70" s="702">
        <f t="shared" ref="P70:P75" si="25">O70/O$12</f>
        <v>9.758960499002973E-4</v>
      </c>
      <c r="Q70" s="676">
        <v>676.8189509306261</v>
      </c>
      <c r="R70" s="702">
        <f t="shared" ref="R70:R75" si="26">Q70/Q$12</f>
        <v>7.8591074232022332E-4</v>
      </c>
      <c r="S70" s="676">
        <v>676.8189509306261</v>
      </c>
      <c r="T70" s="702">
        <f t="shared" ref="T70:T75" si="27">S70/S$12</f>
        <v>7.8015377248026173E-4</v>
      </c>
      <c r="U70" s="676">
        <v>676.8189509306261</v>
      </c>
      <c r="V70" s="702">
        <f t="shared" ref="V70:V75" si="28">U70/U$12</f>
        <v>9.8354431499986044E-4</v>
      </c>
      <c r="W70" s="676">
        <v>676.8189509306261</v>
      </c>
      <c r="X70" s="702">
        <f t="shared" ref="X70:X75" si="29">W70/W$12</f>
        <v>9.6668386993921602E-4</v>
      </c>
      <c r="Y70" s="676">
        <v>676.8189509306261</v>
      </c>
      <c r="Z70" s="702">
        <f t="shared" ref="Z70:Z75" si="30">Y70/Y$12</f>
        <v>6.3990682325794292E-4</v>
      </c>
      <c r="AA70" s="144">
        <f t="shared" si="17"/>
        <v>8121.8274111675119</v>
      </c>
      <c r="AB70" s="702">
        <f t="shared" ref="AB70:AB74" si="31">AA70/AA$12</f>
        <v>8.2409875715527478E-4</v>
      </c>
      <c r="AC70" s="128">
        <f t="shared" ref="AC70:AC143" si="32">AA70/12</f>
        <v>676.81895093062599</v>
      </c>
      <c r="AD70" s="702">
        <f t="shared" ref="AD70:AD74" si="33">AC70/AC$12</f>
        <v>8.2409875715527478E-4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676">
        <v>46.531302876480538</v>
      </c>
      <c r="D71" s="702">
        <f t="shared" si="19"/>
        <v>6.2774943050440994E-5</v>
      </c>
      <c r="E71" s="676">
        <v>46.531302876480538</v>
      </c>
      <c r="F71" s="702">
        <f t="shared" si="20"/>
        <v>8.0687435655759374E-5</v>
      </c>
      <c r="G71" s="676">
        <v>46.531302876480538</v>
      </c>
      <c r="H71" s="702">
        <f t="shared" si="21"/>
        <v>4.8642708890974614E-5</v>
      </c>
      <c r="I71" s="676">
        <v>46.531302876480538</v>
      </c>
      <c r="J71" s="702">
        <f t="shared" si="22"/>
        <v>5.508836326401205E-5</v>
      </c>
      <c r="K71" s="676">
        <v>46.531302876480538</v>
      </c>
      <c r="L71" s="702">
        <f t="shared" si="23"/>
        <v>6.0232069295124118E-5</v>
      </c>
      <c r="M71" s="676">
        <v>46.531302876480538</v>
      </c>
      <c r="N71" s="702">
        <f t="shared" si="24"/>
        <v>4.247719139719692E-5</v>
      </c>
      <c r="O71" s="676">
        <v>46.531302876480538</v>
      </c>
      <c r="P71" s="702">
        <f t="shared" si="25"/>
        <v>6.7092853430645436E-5</v>
      </c>
      <c r="Q71" s="676">
        <v>46.531302876480538</v>
      </c>
      <c r="R71" s="702">
        <f t="shared" si="26"/>
        <v>5.4031363534515342E-5</v>
      </c>
      <c r="S71" s="676">
        <v>46.531302876480538</v>
      </c>
      <c r="T71" s="702">
        <f t="shared" si="27"/>
        <v>5.3635571858017988E-5</v>
      </c>
      <c r="U71" s="676">
        <v>46.531302876480538</v>
      </c>
      <c r="V71" s="702">
        <f t="shared" si="28"/>
        <v>6.7618671656240407E-5</v>
      </c>
      <c r="W71" s="676">
        <v>46.531302876480538</v>
      </c>
      <c r="X71" s="702">
        <f t="shared" si="29"/>
        <v>6.6459516058321085E-5</v>
      </c>
      <c r="Y71" s="676">
        <v>46.531302876480538</v>
      </c>
      <c r="Z71" s="702">
        <f t="shared" si="30"/>
        <v>4.3993594098983568E-5</v>
      </c>
      <c r="AA71" s="144">
        <f t="shared" si="17"/>
        <v>558.37563451776646</v>
      </c>
      <c r="AB71" s="702">
        <f t="shared" si="31"/>
        <v>5.6656789554425144E-5</v>
      </c>
      <c r="AC71" s="128">
        <f t="shared" si="32"/>
        <v>46.531302876480538</v>
      </c>
      <c r="AD71" s="702">
        <f t="shared" si="33"/>
        <v>5.6656789554425144E-5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19"/>
        <v>1.3490905942840228E-4</v>
      </c>
      <c r="E72" s="676">
        <v>100</v>
      </c>
      <c r="F72" s="702">
        <f t="shared" si="20"/>
        <v>1.7340463444565015E-4</v>
      </c>
      <c r="G72" s="676">
        <v>100</v>
      </c>
      <c r="H72" s="702">
        <f t="shared" si="21"/>
        <v>1.0453760347114909E-4</v>
      </c>
      <c r="I72" s="676">
        <v>100</v>
      </c>
      <c r="J72" s="702">
        <f t="shared" si="22"/>
        <v>1.183899006873859E-4</v>
      </c>
      <c r="K72" s="676">
        <v>100</v>
      </c>
      <c r="L72" s="702">
        <f t="shared" si="23"/>
        <v>1.2944419255788494E-4</v>
      </c>
      <c r="M72" s="676">
        <v>100</v>
      </c>
      <c r="N72" s="702">
        <f t="shared" si="24"/>
        <v>9.1287345875430478E-5</v>
      </c>
      <c r="O72" s="676">
        <v>100</v>
      </c>
      <c r="P72" s="702">
        <f t="shared" si="25"/>
        <v>1.4418864137276892E-4</v>
      </c>
      <c r="Q72" s="676">
        <v>100</v>
      </c>
      <c r="R72" s="702">
        <f t="shared" si="26"/>
        <v>1.1611831217781298E-4</v>
      </c>
      <c r="S72" s="676">
        <v>100</v>
      </c>
      <c r="T72" s="702">
        <f t="shared" si="27"/>
        <v>1.1526771988395866E-4</v>
      </c>
      <c r="U72" s="676">
        <v>100</v>
      </c>
      <c r="V72" s="702">
        <f t="shared" si="28"/>
        <v>1.4531867254122938E-4</v>
      </c>
      <c r="W72" s="676">
        <v>100</v>
      </c>
      <c r="X72" s="702">
        <f t="shared" si="29"/>
        <v>1.4282754178351916E-4</v>
      </c>
      <c r="Y72" s="676">
        <v>100</v>
      </c>
      <c r="Z72" s="702">
        <f t="shared" si="30"/>
        <v>9.4546233136361059E-5</v>
      </c>
      <c r="AA72" s="144">
        <f t="shared" si="17"/>
        <v>1200</v>
      </c>
      <c r="AB72" s="702">
        <f t="shared" si="31"/>
        <v>1.2176059136969186E-4</v>
      </c>
      <c r="AC72" s="128">
        <f t="shared" si="32"/>
        <v>100</v>
      </c>
      <c r="AD72" s="702">
        <f t="shared" si="33"/>
        <v>1.2176059136969186E-4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676">
        <v>118.44331641285957</v>
      </c>
      <c r="D73" s="702">
        <f t="shared" si="19"/>
        <v>1.5979076412839528E-4</v>
      </c>
      <c r="E73" s="676">
        <v>118.44331641285957</v>
      </c>
      <c r="F73" s="702">
        <f t="shared" si="20"/>
        <v>2.0538619985102389E-4</v>
      </c>
      <c r="G73" s="676">
        <v>118.44331641285957</v>
      </c>
      <c r="H73" s="702">
        <f t="shared" si="21"/>
        <v>1.2381780444975358E-4</v>
      </c>
      <c r="I73" s="676">
        <v>118.44331641285957</v>
      </c>
      <c r="J73" s="702">
        <f t="shared" si="22"/>
        <v>1.4022492467203069E-4</v>
      </c>
      <c r="K73" s="676">
        <v>118.44331641285957</v>
      </c>
      <c r="L73" s="702">
        <f t="shared" si="23"/>
        <v>1.5331799456940688E-4</v>
      </c>
      <c r="M73" s="676">
        <v>118.44331641285957</v>
      </c>
      <c r="N73" s="702">
        <f t="shared" si="24"/>
        <v>1.0812375992013763E-4</v>
      </c>
      <c r="O73" s="676">
        <v>118.44331641285957</v>
      </c>
      <c r="P73" s="702">
        <f t="shared" si="25"/>
        <v>1.7078180873255204E-4</v>
      </c>
      <c r="Q73" s="676">
        <v>118.44331641285957</v>
      </c>
      <c r="R73" s="702">
        <f t="shared" si="26"/>
        <v>1.3753437990603908E-4</v>
      </c>
      <c r="S73" s="676">
        <v>118.44331641285957</v>
      </c>
      <c r="T73" s="702">
        <f t="shared" si="27"/>
        <v>1.365269101840458E-4</v>
      </c>
      <c r="U73" s="676">
        <v>118.44331641285957</v>
      </c>
      <c r="V73" s="702">
        <f t="shared" si="28"/>
        <v>1.7212025512497559E-4</v>
      </c>
      <c r="W73" s="676">
        <v>118.44331641285957</v>
      </c>
      <c r="X73" s="702">
        <f t="shared" si="29"/>
        <v>1.6916967723936281E-4</v>
      </c>
      <c r="Y73" s="676">
        <v>118.44331641285957</v>
      </c>
      <c r="Z73" s="702">
        <f t="shared" si="30"/>
        <v>1.1198369407014001E-4</v>
      </c>
      <c r="AA73" s="144">
        <f t="shared" si="17"/>
        <v>1421.3197969543146</v>
      </c>
      <c r="AB73" s="702">
        <f t="shared" si="31"/>
        <v>1.4421728250217308E-4</v>
      </c>
      <c r="AC73" s="128">
        <f t="shared" si="32"/>
        <v>118.44331641285955</v>
      </c>
      <c r="AD73" s="702">
        <f t="shared" si="33"/>
        <v>1.4421728250217308E-4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19"/>
        <v>0</v>
      </c>
      <c r="E74" s="676">
        <v>0</v>
      </c>
      <c r="F74" s="702">
        <f t="shared" si="20"/>
        <v>0</v>
      </c>
      <c r="G74" s="676">
        <v>0</v>
      </c>
      <c r="H74" s="702">
        <f t="shared" si="21"/>
        <v>0</v>
      </c>
      <c r="I74" s="676">
        <v>0</v>
      </c>
      <c r="J74" s="702">
        <f t="shared" si="22"/>
        <v>0</v>
      </c>
      <c r="K74" s="676">
        <v>0</v>
      </c>
      <c r="L74" s="702">
        <f t="shared" si="23"/>
        <v>0</v>
      </c>
      <c r="M74" s="676">
        <v>0</v>
      </c>
      <c r="N74" s="702">
        <f t="shared" si="24"/>
        <v>0</v>
      </c>
      <c r="O74" s="676">
        <v>0</v>
      </c>
      <c r="P74" s="702">
        <f t="shared" si="25"/>
        <v>0</v>
      </c>
      <c r="Q74" s="676">
        <v>0</v>
      </c>
      <c r="R74" s="702">
        <f t="shared" si="26"/>
        <v>0</v>
      </c>
      <c r="S74" s="676">
        <v>0</v>
      </c>
      <c r="T74" s="702">
        <f t="shared" si="27"/>
        <v>0</v>
      </c>
      <c r="U74" s="676">
        <v>0</v>
      </c>
      <c r="V74" s="702">
        <f t="shared" si="28"/>
        <v>0</v>
      </c>
      <c r="W74" s="676">
        <v>0</v>
      </c>
      <c r="X74" s="702">
        <f t="shared" si="29"/>
        <v>0</v>
      </c>
      <c r="Y74" s="676">
        <v>0</v>
      </c>
      <c r="Z74" s="702">
        <f t="shared" si="30"/>
        <v>0</v>
      </c>
      <c r="AA74" s="144">
        <f t="shared" si="17"/>
        <v>0</v>
      </c>
      <c r="AB74" s="702">
        <f t="shared" si="31"/>
        <v>0</v>
      </c>
      <c r="AC74" s="128">
        <f t="shared" si="32"/>
        <v>0</v>
      </c>
      <c r="AD74" s="702">
        <f t="shared" si="33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676">
        <v>155</v>
      </c>
      <c r="D75" s="702">
        <f t="shared" si="19"/>
        <v>2.0910904211402355E-4</v>
      </c>
      <c r="E75" s="676">
        <v>155</v>
      </c>
      <c r="F75" s="702">
        <f t="shared" si="20"/>
        <v>2.687771833907577E-4</v>
      </c>
      <c r="G75" s="676">
        <v>155</v>
      </c>
      <c r="H75" s="702">
        <f t="shared" si="21"/>
        <v>1.6203328538028108E-4</v>
      </c>
      <c r="I75" s="676">
        <v>155</v>
      </c>
      <c r="J75" s="702">
        <f t="shared" si="22"/>
        <v>1.8350434606544816E-4</v>
      </c>
      <c r="K75" s="676">
        <v>155</v>
      </c>
      <c r="L75" s="702">
        <f t="shared" si="23"/>
        <v>2.0063849846472165E-4</v>
      </c>
      <c r="M75" s="676">
        <v>155</v>
      </c>
      <c r="N75" s="702">
        <f t="shared" si="24"/>
        <v>1.4149538610691724E-4</v>
      </c>
      <c r="O75" s="676">
        <v>155</v>
      </c>
      <c r="P75" s="702">
        <f t="shared" si="25"/>
        <v>2.2349239412779184E-4</v>
      </c>
      <c r="Q75" s="676">
        <v>155</v>
      </c>
      <c r="R75" s="702">
        <f t="shared" si="26"/>
        <v>1.7998338387561013E-4</v>
      </c>
      <c r="S75" s="676">
        <v>155</v>
      </c>
      <c r="T75" s="702">
        <f t="shared" si="27"/>
        <v>1.7866496582013593E-4</v>
      </c>
      <c r="U75" s="676">
        <v>155</v>
      </c>
      <c r="V75" s="702">
        <f t="shared" si="28"/>
        <v>2.2524394243890553E-4</v>
      </c>
      <c r="W75" s="676">
        <v>155</v>
      </c>
      <c r="X75" s="702">
        <f t="shared" si="29"/>
        <v>2.213826897644547E-4</v>
      </c>
      <c r="Y75" s="676">
        <v>155</v>
      </c>
      <c r="Z75" s="702">
        <f t="shared" si="30"/>
        <v>1.4654666136135964E-4</v>
      </c>
      <c r="AA75" s="144">
        <f t="shared" ref="AA75" si="34">C75+E75+G75+I75+K75+M75+O75+Q75+S75+U75+W75+Y75</f>
        <v>1860</v>
      </c>
      <c r="AB75" s="702">
        <f t="shared" ref="AB75" si="35">AA75/AA$12</f>
        <v>1.8872891662302237E-4</v>
      </c>
      <c r="AC75" s="128">
        <f t="shared" ref="AC75" si="36">AA75/12</f>
        <v>155</v>
      </c>
      <c r="AD75" s="702">
        <f t="shared" ref="AD75" si="37">AC75/AC$12</f>
        <v>1.887289166230224E-4</v>
      </c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116">
        <f>SUM(C42:C75)</f>
        <v>105596.92482839835</v>
      </c>
      <c r="D76" s="89">
        <f>C76/C12</f>
        <v>0.14245981807130922</v>
      </c>
      <c r="E76" s="116">
        <f>SUM(E42:E75)</f>
        <v>96971.284253946127</v>
      </c>
      <c r="F76" s="89">
        <f>E76/E12</f>
        <v>0.16815270097780757</v>
      </c>
      <c r="G76" s="116">
        <f>SUM(G42:G75)</f>
        <v>116878.44883157001</v>
      </c>
      <c r="H76" s="89">
        <f>G76/G12</f>
        <v>0.12218192938277654</v>
      </c>
      <c r="I76" s="116">
        <f>SUM(I42:I75)</f>
        <v>111013.4775171713</v>
      </c>
      <c r="J76" s="89">
        <f>I76/I12</f>
        <v>0.13142874578219257</v>
      </c>
      <c r="K76" s="116">
        <f>SUM(K42:K75)</f>
        <v>107233.71088154445</v>
      </c>
      <c r="L76" s="89">
        <f>K76/K12</f>
        <v>0.138807811200472</v>
      </c>
      <c r="M76" s="45">
        <f>SUM(M42:M75)</f>
        <v>124404.11038160449</v>
      </c>
      <c r="N76" s="89">
        <f>M76/M12</f>
        <v>0.11356521052730761</v>
      </c>
      <c r="O76" s="116">
        <f>SUM(O42:O75)</f>
        <v>103094.22687827732</v>
      </c>
      <c r="P76" s="89">
        <f>O76/O12</f>
        <v>0.14865016506954803</v>
      </c>
      <c r="Q76" s="116">
        <f>SUM(Q42:Q75)</f>
        <v>111879.33333496802</v>
      </c>
      <c r="R76" s="89">
        <f>Q76/Q12</f>
        <v>0.12991239354435416</v>
      </c>
      <c r="S76" s="116">
        <f>SUM(S42:S75)</f>
        <v>112462.333396505</v>
      </c>
      <c r="T76" s="89">
        <f>S76/S12</f>
        <v>0.12963276743444707</v>
      </c>
      <c r="U76" s="116">
        <f>SUM(U42:U75)</f>
        <v>102811.62877826953</v>
      </c>
      <c r="V76" s="89">
        <f>U76/U12</f>
        <v>0.14940449415859786</v>
      </c>
      <c r="W76" s="116">
        <f>SUM(W42:W75)</f>
        <v>103440.54736139574</v>
      </c>
      <c r="X76" s="89">
        <f>W76/W12</f>
        <v>0.14774159100369844</v>
      </c>
      <c r="Y76" s="116">
        <f>SUM(Y42:Y75)</f>
        <v>122425.56592702103</v>
      </c>
      <c r="Z76" s="89">
        <f>Y76/Y12</f>
        <v>0.11574876097987072</v>
      </c>
      <c r="AA76" s="116">
        <f>SUM(AA42:AA75)</f>
        <v>1318211.5923706712</v>
      </c>
      <c r="AB76" s="89">
        <f>AA76/AA12</f>
        <v>0.13375518586453009</v>
      </c>
      <c r="AC76" s="132">
        <f t="shared" si="32"/>
        <v>109850.96603088926</v>
      </c>
      <c r="AD76" s="89">
        <f>AC76/AC12</f>
        <v>0.13375518586453009</v>
      </c>
      <c r="AE76" s="562"/>
      <c r="AF76" s="562"/>
      <c r="AG76" s="562"/>
    </row>
    <row r="77" spans="1:33" s="1" customFormat="1" ht="15.75" thickTop="1">
      <c r="A77" s="2">
        <v>6201</v>
      </c>
      <c r="B77" s="228" t="s">
        <v>24</v>
      </c>
      <c r="C77" s="704">
        <v>53400</v>
      </c>
      <c r="D77" s="24">
        <f>C77/C12</f>
        <v>7.2041437734766831E-2</v>
      </c>
      <c r="E77" s="704">
        <v>53400</v>
      </c>
      <c r="F77" s="24">
        <f>E77/E12</f>
        <v>9.2598074793977178E-2</v>
      </c>
      <c r="G77" s="704">
        <v>53400</v>
      </c>
      <c r="H77" s="24">
        <f>G77/G12</f>
        <v>5.5823080253593615E-2</v>
      </c>
      <c r="I77" s="704">
        <v>53400</v>
      </c>
      <c r="J77" s="24">
        <f>I77/I12</f>
        <v>6.3220206967064069E-2</v>
      </c>
      <c r="K77" s="704">
        <v>53400</v>
      </c>
      <c r="L77" s="24">
        <f>K77/K12</f>
        <v>6.9123198825910559E-2</v>
      </c>
      <c r="M77" s="704">
        <v>53400</v>
      </c>
      <c r="N77" s="24">
        <f>M77/M12</f>
        <v>4.8747442697479874E-2</v>
      </c>
      <c r="O77" s="704">
        <v>53400</v>
      </c>
      <c r="P77" s="24">
        <f>O77/O12</f>
        <v>7.6996734493058605E-2</v>
      </c>
      <c r="Q77" s="704">
        <v>53400</v>
      </c>
      <c r="R77" s="24">
        <f>Q77/Q12</f>
        <v>6.200717870295213E-2</v>
      </c>
      <c r="S77" s="704">
        <v>53400</v>
      </c>
      <c r="T77" s="24">
        <f>S77/S12</f>
        <v>6.1552962418033923E-2</v>
      </c>
      <c r="U77" s="704">
        <v>53400</v>
      </c>
      <c r="V77" s="24">
        <f>U77/U12</f>
        <v>7.7600171137016491E-2</v>
      </c>
      <c r="W77" s="704">
        <v>53400</v>
      </c>
      <c r="X77" s="24">
        <f>W77/W12</f>
        <v>7.6269907312399229E-2</v>
      </c>
      <c r="Y77" s="704">
        <v>53400</v>
      </c>
      <c r="Z77" s="24">
        <f>Y77/Y12</f>
        <v>5.0487688494816808E-2</v>
      </c>
      <c r="AA77" s="144">
        <f t="shared" ref="AA77:AA92" si="38">C77+E77+G77+I77+K77+M77+O77+Q77+S77+U77+W77+Y77</f>
        <v>640800</v>
      </c>
      <c r="AB77" s="24">
        <f>AA77/AA12</f>
        <v>6.5020155791415457E-2</v>
      </c>
      <c r="AC77" s="128">
        <f t="shared" si="32"/>
        <v>53400</v>
      </c>
      <c r="AD77" s="24">
        <f>AC77/AC12</f>
        <v>6.5020155791415457E-2</v>
      </c>
      <c r="AE77" s="579"/>
      <c r="AF77" s="579"/>
      <c r="AG77" s="579"/>
    </row>
    <row r="78" spans="1:33" s="1" customFormat="1">
      <c r="A78" s="2">
        <v>6202</v>
      </c>
      <c r="B78" s="228" t="s">
        <v>25</v>
      </c>
      <c r="C78" s="704">
        <v>26700</v>
      </c>
      <c r="D78" s="24">
        <f>C78/C12</f>
        <v>3.6020718867383415E-2</v>
      </c>
      <c r="E78" s="704">
        <v>26700</v>
      </c>
      <c r="F78" s="24">
        <f>E78/E12</f>
        <v>4.6299037396988589E-2</v>
      </c>
      <c r="G78" s="704">
        <v>26700</v>
      </c>
      <c r="H78" s="24">
        <f>G78/G12</f>
        <v>2.7911540126796808E-2</v>
      </c>
      <c r="I78" s="704">
        <v>26700</v>
      </c>
      <c r="J78" s="24">
        <f>I78/I12</f>
        <v>3.1610103483532034E-2</v>
      </c>
      <c r="K78" s="704">
        <v>26700</v>
      </c>
      <c r="L78" s="24">
        <f>K78/K12</f>
        <v>3.4561599412955279E-2</v>
      </c>
      <c r="M78" s="704">
        <v>26700</v>
      </c>
      <c r="N78" s="24">
        <f>M78/M12</f>
        <v>2.4373721348739937E-2</v>
      </c>
      <c r="O78" s="704">
        <v>26700</v>
      </c>
      <c r="P78" s="24">
        <f>O78/O12</f>
        <v>3.8498367246529303E-2</v>
      </c>
      <c r="Q78" s="704">
        <v>26700</v>
      </c>
      <c r="R78" s="24">
        <f>Q78/Q12</f>
        <v>3.1003589351476065E-2</v>
      </c>
      <c r="S78" s="704">
        <v>26700</v>
      </c>
      <c r="T78" s="24">
        <f>S78/S12</f>
        <v>3.0776481209016961E-2</v>
      </c>
      <c r="U78" s="704">
        <v>26700</v>
      </c>
      <c r="V78" s="24">
        <f>U78/U12</f>
        <v>3.8800085568508245E-2</v>
      </c>
      <c r="W78" s="704">
        <v>26700</v>
      </c>
      <c r="X78" s="24">
        <f>W78/W12</f>
        <v>3.8134953656199615E-2</v>
      </c>
      <c r="Y78" s="704">
        <v>26700</v>
      </c>
      <c r="Z78" s="24">
        <f>Y78/Y12</f>
        <v>2.5243844247408404E-2</v>
      </c>
      <c r="AA78" s="144">
        <f t="shared" si="38"/>
        <v>320400</v>
      </c>
      <c r="AB78" s="24">
        <f>AA78/AA12</f>
        <v>3.2510077895707729E-2</v>
      </c>
      <c r="AC78" s="128">
        <f t="shared" si="32"/>
        <v>26700</v>
      </c>
      <c r="AD78" s="24">
        <f>AC78/AC12</f>
        <v>3.2510077895707729E-2</v>
      </c>
      <c r="AE78" s="579"/>
      <c r="AF78" s="579"/>
      <c r="AG78" s="579"/>
    </row>
    <row r="79" spans="1:33" s="1" customFormat="1">
      <c r="A79" s="2">
        <v>6203</v>
      </c>
      <c r="B79" s="228" t="s">
        <v>26</v>
      </c>
      <c r="C79" s="704">
        <v>8900</v>
      </c>
      <c r="D79" s="24">
        <f>C79/C12</f>
        <v>1.2006906289127805E-2</v>
      </c>
      <c r="E79" s="704">
        <v>8900</v>
      </c>
      <c r="F79" s="24">
        <f>E79/E12</f>
        <v>1.5433012465662864E-2</v>
      </c>
      <c r="G79" s="704">
        <v>8900</v>
      </c>
      <c r="H79" s="24">
        <f>G79/G12</f>
        <v>9.3038467089322681E-3</v>
      </c>
      <c r="I79" s="704">
        <v>8900</v>
      </c>
      <c r="J79" s="24">
        <f>I79/I12</f>
        <v>1.0536701161177345E-2</v>
      </c>
      <c r="K79" s="704">
        <v>8900</v>
      </c>
      <c r="L79" s="24">
        <f>K79/K12</f>
        <v>1.1520533137651759E-2</v>
      </c>
      <c r="M79" s="704">
        <v>8900</v>
      </c>
      <c r="N79" s="24">
        <f>M79/M12</f>
        <v>8.1245737829133136E-3</v>
      </c>
      <c r="O79" s="704">
        <v>8900</v>
      </c>
      <c r="P79" s="24">
        <f>O79/O12</f>
        <v>1.2832789082176435E-2</v>
      </c>
      <c r="Q79" s="704">
        <v>8900</v>
      </c>
      <c r="R79" s="24">
        <f>Q79/Q12</f>
        <v>1.0334529783825356E-2</v>
      </c>
      <c r="S79" s="704">
        <v>8900</v>
      </c>
      <c r="T79" s="24">
        <f>S79/S12</f>
        <v>1.0258827069672322E-2</v>
      </c>
      <c r="U79" s="704">
        <v>8900</v>
      </c>
      <c r="V79" s="24">
        <f>U79/U12</f>
        <v>1.2933361856169416E-2</v>
      </c>
      <c r="W79" s="704">
        <v>8900</v>
      </c>
      <c r="X79" s="24">
        <f>W79/W12</f>
        <v>1.2711651218733204E-2</v>
      </c>
      <c r="Y79" s="704">
        <v>8900</v>
      </c>
      <c r="Z79" s="24">
        <f>Y79/Y12</f>
        <v>8.4146147491361342E-3</v>
      </c>
      <c r="AA79" s="144">
        <f t="shared" si="38"/>
        <v>106800</v>
      </c>
      <c r="AB79" s="24">
        <f>AA79/AA12</f>
        <v>1.0836692631902576E-2</v>
      </c>
      <c r="AC79" s="128">
        <f t="shared" si="32"/>
        <v>8900</v>
      </c>
      <c r="AD79" s="24">
        <f>AC79/AC12</f>
        <v>1.0836692631902576E-2</v>
      </c>
      <c r="AE79" s="579"/>
      <c r="AF79" s="579"/>
      <c r="AG79" s="579"/>
    </row>
    <row r="80" spans="1:33" s="1" customFormat="1">
      <c r="A80" s="2">
        <v>6204</v>
      </c>
      <c r="B80" s="228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24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38"/>
        <v>0</v>
      </c>
      <c r="AB80" s="24">
        <f>AA80/AA12</f>
        <v>0</v>
      </c>
      <c r="AC80" s="128">
        <f t="shared" si="32"/>
        <v>0</v>
      </c>
      <c r="AD80" s="24">
        <f>AC80/AC12</f>
        <v>0</v>
      </c>
      <c r="AE80" s="579"/>
      <c r="AF80" s="579"/>
      <c r="AG80" s="579"/>
    </row>
    <row r="81" spans="1:33" s="1" customFormat="1">
      <c r="A81" s="2">
        <v>6205</v>
      </c>
      <c r="B81" s="228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24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38"/>
        <v>0</v>
      </c>
      <c r="AB81" s="24">
        <f>AA81/AA12</f>
        <v>0</v>
      </c>
      <c r="AC81" s="128">
        <f t="shared" si="32"/>
        <v>0</v>
      </c>
      <c r="AD81" s="24">
        <f>AC81/AC12</f>
        <v>0</v>
      </c>
      <c r="AE81" s="579"/>
      <c r="AF81" s="579"/>
      <c r="AG81" s="579"/>
    </row>
    <row r="82" spans="1:33" s="1" customFormat="1">
      <c r="A82" s="2">
        <v>6206</v>
      </c>
      <c r="B82" s="2" t="s">
        <v>217</v>
      </c>
      <c r="C82" s="61">
        <v>1484.6333333333332</v>
      </c>
      <c r="D82" s="24">
        <f>C82/C12</f>
        <v>2.0029048659605366E-3</v>
      </c>
      <c r="E82" s="61">
        <v>1484.6333333333332</v>
      </c>
      <c r="F82" s="24">
        <f>E82/E12</f>
        <v>2.574423004524937E-3</v>
      </c>
      <c r="G82" s="61">
        <v>1484.6333333333332</v>
      </c>
      <c r="H82" s="24">
        <f>G82/G12</f>
        <v>1.5520001070005029E-3</v>
      </c>
      <c r="I82" s="61">
        <v>1484.6333333333332</v>
      </c>
      <c r="J82" s="24">
        <f>I82/I12</f>
        <v>1.7576559289051602E-3</v>
      </c>
      <c r="K82" s="61">
        <v>1484.6333333333332</v>
      </c>
      <c r="L82" s="24">
        <f>K82/K12</f>
        <v>1.9217716307785456E-3</v>
      </c>
      <c r="M82" s="61">
        <v>1484.6333333333332</v>
      </c>
      <c r="N82" s="24">
        <f>M82/M12</f>
        <v>1.3552823659819327E-3</v>
      </c>
      <c r="O82" s="61">
        <v>1484.6333333333332</v>
      </c>
      <c r="P82" s="24">
        <f>O82/O12</f>
        <v>2.1406726327005848E-3</v>
      </c>
      <c r="Q82" s="61">
        <v>1484.6333333333332</v>
      </c>
      <c r="R82" s="24">
        <f>Q82/Q12</f>
        <v>1.7239311686958706E-3</v>
      </c>
      <c r="S82" s="61">
        <v>1484.6333333333332</v>
      </c>
      <c r="T82" s="24">
        <f>S82/S12</f>
        <v>1.7113029919705448E-3</v>
      </c>
      <c r="U82" s="61">
        <v>1484.6333333333332</v>
      </c>
      <c r="V82" s="24">
        <f>U82/U12</f>
        <v>2.1574494521046051E-3</v>
      </c>
      <c r="W82" s="61">
        <v>1484.6333333333332</v>
      </c>
      <c r="X82" s="24">
        <f>W82/W12</f>
        <v>2.1204652944987199E-3</v>
      </c>
      <c r="Y82" s="61">
        <v>1484.6333333333332</v>
      </c>
      <c r="Z82" s="24">
        <f>Y82/Y12</f>
        <v>1.4036648925534617E-3</v>
      </c>
      <c r="AA82" s="144">
        <f t="shared" si="38"/>
        <v>17815.599999999999</v>
      </c>
      <c r="AB82" s="24">
        <f>AA82/AA12</f>
        <v>1.807698326338235E-3</v>
      </c>
      <c r="AC82" s="128">
        <f t="shared" si="32"/>
        <v>1484.6333333333332</v>
      </c>
      <c r="AD82" s="24">
        <f>AC82/AC12</f>
        <v>1.8076983263382352E-3</v>
      </c>
      <c r="AE82" s="579" t="s">
        <v>303</v>
      </c>
      <c r="AF82" s="579"/>
      <c r="AG82" s="579"/>
    </row>
    <row r="83" spans="1:33" s="1" customFormat="1">
      <c r="A83" s="2">
        <v>6207</v>
      </c>
      <c r="B83" s="2" t="s">
        <v>218</v>
      </c>
      <c r="C83" s="61">
        <v>4833.333333333333</v>
      </c>
      <c r="D83" s="24">
        <f>C83/C$12</f>
        <v>6.5206045390394434E-3</v>
      </c>
      <c r="E83" s="61">
        <v>4833.333333333333</v>
      </c>
      <c r="F83" s="24">
        <f>E83/E$12</f>
        <v>8.3812239982064239E-3</v>
      </c>
      <c r="G83" s="61">
        <v>4833.333333333333</v>
      </c>
      <c r="H83" s="24">
        <f>G83/G$12</f>
        <v>5.0526508344388718E-3</v>
      </c>
      <c r="I83" s="61">
        <v>4833.333333333333</v>
      </c>
      <c r="J83" s="24">
        <f>I83/I$12</f>
        <v>5.7221785332236515E-3</v>
      </c>
      <c r="K83" s="61">
        <v>4833.333333333333</v>
      </c>
      <c r="L83" s="24">
        <f>K83/K$12</f>
        <v>6.256469306964438E-3</v>
      </c>
      <c r="M83" s="61">
        <v>4833.333333333333</v>
      </c>
      <c r="N83" s="24">
        <f>M83/M$12</f>
        <v>4.4122217173124733E-3</v>
      </c>
      <c r="O83" s="61">
        <v>4833.333333333333</v>
      </c>
      <c r="P83" s="24">
        <f>O83/O$12</f>
        <v>6.9691176663504977E-3</v>
      </c>
      <c r="Q83" s="61">
        <v>4833.333333333333</v>
      </c>
      <c r="R83" s="24">
        <f>Q83/Q$12</f>
        <v>5.6123850885942935E-3</v>
      </c>
      <c r="S83" s="61">
        <v>4833.333333333333</v>
      </c>
      <c r="T83" s="24">
        <f>S83/S$12</f>
        <v>5.5712731277246684E-3</v>
      </c>
      <c r="U83" s="61">
        <v>4833.333333333333</v>
      </c>
      <c r="V83" s="24">
        <f>U83/U$12</f>
        <v>7.0237358394927528E-3</v>
      </c>
      <c r="W83" s="61">
        <v>4833.333333333333</v>
      </c>
      <c r="X83" s="24">
        <f>W83/W$12</f>
        <v>6.9033311862034255E-3</v>
      </c>
      <c r="Y83" s="61">
        <v>4833.333333333333</v>
      </c>
      <c r="Z83" s="24">
        <f>Y83/Y$12</f>
        <v>4.5697346015907839E-3</v>
      </c>
      <c r="AA83" s="144">
        <f t="shared" si="38"/>
        <v>58000.000000000007</v>
      </c>
      <c r="AB83" s="677">
        <f>AA83/AA$12</f>
        <v>5.8850952495351069E-3</v>
      </c>
      <c r="AC83" s="128">
        <f t="shared" si="32"/>
        <v>4833.3333333333339</v>
      </c>
      <c r="AD83" s="677">
        <f>AC83/AC$12</f>
        <v>5.8850952495351078E-3</v>
      </c>
      <c r="AE83" s="393"/>
      <c r="AF83" s="393"/>
      <c r="AG83" s="393"/>
    </row>
    <row r="84" spans="1:33" s="1" customFormat="1">
      <c r="A84" s="2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24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38"/>
        <v>0</v>
      </c>
      <c r="AB84" s="24">
        <f>AA84/AA12</f>
        <v>0</v>
      </c>
      <c r="AC84" s="128">
        <f t="shared" si="32"/>
        <v>0</v>
      </c>
      <c r="AD84" s="24">
        <f>AC84/AC12</f>
        <v>0</v>
      </c>
      <c r="AE84" s="579"/>
      <c r="AF84" s="579"/>
      <c r="AG84" s="579"/>
    </row>
    <row r="85" spans="1:33" s="1" customFormat="1">
      <c r="A85" s="2">
        <v>6209</v>
      </c>
      <c r="B85" s="228" t="s">
        <v>29</v>
      </c>
      <c r="C85" s="61">
        <v>6675</v>
      </c>
      <c r="D85" s="677">
        <f>C85/C12</f>
        <v>9.0051797168458538E-3</v>
      </c>
      <c r="E85" s="61">
        <v>6675</v>
      </c>
      <c r="F85" s="677">
        <f>E85/E12</f>
        <v>1.1574759349247147E-2</v>
      </c>
      <c r="G85" s="61">
        <v>6675</v>
      </c>
      <c r="H85" s="702">
        <f>G85/G12</f>
        <v>6.9778850316992019E-3</v>
      </c>
      <c r="I85" s="61">
        <v>6675</v>
      </c>
      <c r="J85" s="702">
        <f>I85/I12</f>
        <v>7.9025258708830086E-3</v>
      </c>
      <c r="K85" s="61">
        <v>6675</v>
      </c>
      <c r="L85" s="702">
        <f>K85/K12</f>
        <v>8.6403998532388199E-3</v>
      </c>
      <c r="M85" s="61">
        <v>6675</v>
      </c>
      <c r="N85" s="702">
        <f>M85/M12</f>
        <v>6.0934303371849843E-3</v>
      </c>
      <c r="O85" s="61">
        <v>6675</v>
      </c>
      <c r="P85" s="677">
        <f>O85/O12</f>
        <v>9.6245918116323256E-3</v>
      </c>
      <c r="Q85" s="61">
        <v>6675</v>
      </c>
      <c r="R85" s="677">
        <f>Q85/Q12</f>
        <v>7.7508973378690163E-3</v>
      </c>
      <c r="S85" s="61">
        <v>6675</v>
      </c>
      <c r="T85" s="677">
        <f>S85/S12</f>
        <v>7.6941203022542403E-3</v>
      </c>
      <c r="U85" s="61">
        <v>6675</v>
      </c>
      <c r="V85" s="677">
        <f>U85/U12</f>
        <v>9.7000213921270614E-3</v>
      </c>
      <c r="W85" s="61">
        <v>6675</v>
      </c>
      <c r="X85" s="677">
        <f>W85/W12</f>
        <v>9.5337384140499037E-3</v>
      </c>
      <c r="Y85" s="61">
        <v>6675</v>
      </c>
      <c r="Z85" s="677">
        <f>Y85/Y12</f>
        <v>6.310961061852101E-3</v>
      </c>
      <c r="AA85" s="144">
        <f t="shared" si="38"/>
        <v>80100</v>
      </c>
      <c r="AB85" s="677">
        <f>AA85/AA12</f>
        <v>8.1275194739269321E-3</v>
      </c>
      <c r="AC85" s="128">
        <f t="shared" si="32"/>
        <v>6675</v>
      </c>
      <c r="AD85" s="677">
        <f>AC85/AC12</f>
        <v>8.1275194739269321E-3</v>
      </c>
      <c r="AE85" s="393"/>
      <c r="AF85" s="393"/>
      <c r="AG85" s="393"/>
    </row>
    <row r="86" spans="1:33" s="1" customFormat="1">
      <c r="A86" s="2">
        <v>6210</v>
      </c>
      <c r="B86" s="228" t="s">
        <v>30</v>
      </c>
      <c r="C86" s="61">
        <v>3072.3287671232874</v>
      </c>
      <c r="D86" s="24">
        <f>C86/C12</f>
        <v>4.1448498422742555E-3</v>
      </c>
      <c r="E86" s="61">
        <v>3072.3287671232874</v>
      </c>
      <c r="F86" s="24">
        <f>E86/E12</f>
        <v>5.3275604675986866E-3</v>
      </c>
      <c r="G86" s="61">
        <v>3072.3287671232874</v>
      </c>
      <c r="H86" s="24">
        <f>G86/G12</f>
        <v>3.2117388639053856E-3</v>
      </c>
      <c r="I86" s="61">
        <v>3072.3287671232874</v>
      </c>
      <c r="J86" s="24">
        <f>I86/I12</f>
        <v>3.6373269761872475E-3</v>
      </c>
      <c r="K86" s="61">
        <v>3072.3287671232874</v>
      </c>
      <c r="L86" s="24">
        <f>K86/K12</f>
        <v>3.9769511653263605E-3</v>
      </c>
      <c r="M86" s="61">
        <v>3072.3287671232874</v>
      </c>
      <c r="N86" s="24">
        <f>M86/M12</f>
        <v>2.8046473880741843E-3</v>
      </c>
      <c r="O86" s="61">
        <v>3072.3287671232874</v>
      </c>
      <c r="P86" s="24">
        <f>O86/O12</f>
        <v>4.4299491078198102E-3</v>
      </c>
      <c r="Q86" s="61">
        <v>3072.3287671232874</v>
      </c>
      <c r="R86" s="24">
        <f>Q86/Q12</f>
        <v>3.5675363089369715E-3</v>
      </c>
      <c r="S86" s="61">
        <v>3072.3287671232874</v>
      </c>
      <c r="T86" s="24">
        <f>S86/S12</f>
        <v>3.5414033172019516E-3</v>
      </c>
      <c r="U86" s="61">
        <v>3072.3287671232874</v>
      </c>
      <c r="V86" s="24">
        <f>U86/U12</f>
        <v>4.4646673804858801E-3</v>
      </c>
      <c r="W86" s="61">
        <v>3072.3287671232874</v>
      </c>
      <c r="X86" s="24">
        <f>W86/W12</f>
        <v>4.3881316535900926E-3</v>
      </c>
      <c r="Y86" s="61">
        <v>3072.3287671232874</v>
      </c>
      <c r="Z86" s="24">
        <f>Y86/Y12</f>
        <v>2.9047711188798708E-3</v>
      </c>
      <c r="AA86" s="144">
        <f t="shared" si="38"/>
        <v>36867.945205479446</v>
      </c>
      <c r="AB86" s="24">
        <f>AA86/AA12</f>
        <v>3.7408856756704777E-3</v>
      </c>
      <c r="AC86" s="128">
        <f t="shared" si="32"/>
        <v>3072.328767123287</v>
      </c>
      <c r="AD86" s="24">
        <f>AC86/AC12</f>
        <v>3.7408856756704777E-3</v>
      </c>
      <c r="AE86" s="579"/>
      <c r="AF86" s="579"/>
      <c r="AG86" s="579"/>
    </row>
    <row r="87" spans="1:33" s="1" customFormat="1">
      <c r="A87" s="2">
        <v>6211</v>
      </c>
      <c r="B87" s="228" t="s">
        <v>31</v>
      </c>
      <c r="C87" s="61">
        <v>3500</v>
      </c>
      <c r="D87" s="24">
        <f>C87/C12</f>
        <v>4.7218170799940805E-3</v>
      </c>
      <c r="E87" s="61">
        <v>3500</v>
      </c>
      <c r="F87" s="24">
        <f>E87/E12</f>
        <v>6.0691622055977553E-3</v>
      </c>
      <c r="G87" s="61">
        <v>3500</v>
      </c>
      <c r="H87" s="24">
        <f>G87/G12</f>
        <v>3.6588161214902181E-3</v>
      </c>
      <c r="I87" s="61">
        <v>3500</v>
      </c>
      <c r="J87" s="24">
        <f>I87/I12</f>
        <v>4.1436465240585066E-3</v>
      </c>
      <c r="K87" s="61">
        <v>3500</v>
      </c>
      <c r="L87" s="24">
        <f>K87/K12</f>
        <v>4.5305467395259725E-3</v>
      </c>
      <c r="M87" s="61">
        <v>3500</v>
      </c>
      <c r="N87" s="24">
        <f>M87/M12</f>
        <v>3.1950571056400669E-3</v>
      </c>
      <c r="O87" s="61">
        <v>3500</v>
      </c>
      <c r="P87" s="24">
        <f>O87/O12</f>
        <v>5.0466024480469119E-3</v>
      </c>
      <c r="Q87" s="61">
        <v>3500</v>
      </c>
      <c r="R87" s="24">
        <f>Q87/Q12</f>
        <v>4.0641409262234546E-3</v>
      </c>
      <c r="S87" s="61">
        <v>3500</v>
      </c>
      <c r="T87" s="24">
        <f>S87/S12</f>
        <v>4.0343701959385534E-3</v>
      </c>
      <c r="U87" s="61">
        <v>3500</v>
      </c>
      <c r="V87" s="24">
        <f>U87/U12</f>
        <v>5.0861535389430286E-3</v>
      </c>
      <c r="W87" s="61">
        <v>3500</v>
      </c>
      <c r="X87" s="24">
        <f>W87/W12</f>
        <v>4.9989639624231702E-3</v>
      </c>
      <c r="Y87" s="61">
        <v>3500</v>
      </c>
      <c r="Z87" s="24">
        <f>Y87/Y12</f>
        <v>3.3091181597726372E-3</v>
      </c>
      <c r="AA87" s="144">
        <f t="shared" si="38"/>
        <v>42000</v>
      </c>
      <c r="AB87" s="24">
        <f>AA87/AA12</f>
        <v>4.2616206979392149E-3</v>
      </c>
      <c r="AC87" s="128">
        <f t="shared" si="32"/>
        <v>3500</v>
      </c>
      <c r="AD87" s="24">
        <f>AC87/AC12</f>
        <v>4.2616206979392149E-3</v>
      </c>
      <c r="AE87" s="579"/>
      <c r="AF87" s="579"/>
      <c r="AG87" s="579"/>
    </row>
    <row r="88" spans="1:33" s="1" customFormat="1">
      <c r="A88" s="2">
        <v>6212</v>
      </c>
      <c r="B88" s="228" t="s">
        <v>32</v>
      </c>
      <c r="C88" s="75">
        <v>100</v>
      </c>
      <c r="D88" s="677">
        <f>C88/C12</f>
        <v>1.3490905942840228E-4</v>
      </c>
      <c r="E88" s="75">
        <v>100</v>
      </c>
      <c r="F88" s="677">
        <f>E88/E12</f>
        <v>1.7340463444565015E-4</v>
      </c>
      <c r="G88" s="75">
        <v>100</v>
      </c>
      <c r="H88" s="702">
        <f>G88/G12</f>
        <v>1.0453760347114909E-4</v>
      </c>
      <c r="I88" s="75">
        <v>100</v>
      </c>
      <c r="J88" s="702">
        <f>I88/I12</f>
        <v>1.183899006873859E-4</v>
      </c>
      <c r="K88" s="75">
        <v>100</v>
      </c>
      <c r="L88" s="702">
        <f>K88/K12</f>
        <v>1.2944419255788494E-4</v>
      </c>
      <c r="M88" s="75">
        <v>100</v>
      </c>
      <c r="N88" s="702">
        <f>M88/M12</f>
        <v>9.1287345875430478E-5</v>
      </c>
      <c r="O88" s="75">
        <v>100</v>
      </c>
      <c r="P88" s="677">
        <f>O88/O12</f>
        <v>1.4418864137276892E-4</v>
      </c>
      <c r="Q88" s="75">
        <v>100</v>
      </c>
      <c r="R88" s="677">
        <f>Q88/Q12</f>
        <v>1.1611831217781298E-4</v>
      </c>
      <c r="S88" s="75">
        <v>100</v>
      </c>
      <c r="T88" s="677">
        <f>S88/S12</f>
        <v>1.1526771988395866E-4</v>
      </c>
      <c r="U88" s="75">
        <v>100</v>
      </c>
      <c r="V88" s="677">
        <f>U88/U12</f>
        <v>1.4531867254122938E-4</v>
      </c>
      <c r="W88" s="75">
        <v>100</v>
      </c>
      <c r="X88" s="677">
        <f>W88/W12</f>
        <v>1.4282754178351916E-4</v>
      </c>
      <c r="Y88" s="75">
        <v>100</v>
      </c>
      <c r="Z88" s="677">
        <f>Y88/Y12</f>
        <v>9.4546233136361059E-5</v>
      </c>
      <c r="AA88" s="144">
        <f t="shared" si="38"/>
        <v>1200</v>
      </c>
      <c r="AB88" s="677">
        <f>AA88/AA12</f>
        <v>1.2176059136969186E-4</v>
      </c>
      <c r="AC88" s="128">
        <f t="shared" si="32"/>
        <v>100</v>
      </c>
      <c r="AD88" s="677">
        <f>AC88/AC12</f>
        <v>1.2176059136969186E-4</v>
      </c>
      <c r="AE88" s="393"/>
      <c r="AF88" s="393"/>
      <c r="AG88" s="393"/>
    </row>
    <row r="89" spans="1:33" s="1" customFormat="1">
      <c r="A89" s="2">
        <v>6213</v>
      </c>
      <c r="B89" s="228" t="s">
        <v>33</v>
      </c>
      <c r="C89" s="113"/>
      <c r="D89" s="677">
        <f>C89/C12</f>
        <v>0</v>
      </c>
      <c r="E89" s="113"/>
      <c r="F89" s="677">
        <f>E89/E12</f>
        <v>0</v>
      </c>
      <c r="G89" s="113"/>
      <c r="H89" s="702">
        <f>G89/G12</f>
        <v>0</v>
      </c>
      <c r="I89" s="113"/>
      <c r="J89" s="702">
        <f>I89/I12</f>
        <v>0</v>
      </c>
      <c r="K89" s="113"/>
      <c r="L89" s="702">
        <f>K89/K12</f>
        <v>0</v>
      </c>
      <c r="M89" s="113"/>
      <c r="N89" s="702">
        <f>M89/M12</f>
        <v>0</v>
      </c>
      <c r="O89" s="113"/>
      <c r="P89" s="677">
        <f>O89/O12</f>
        <v>0</v>
      </c>
      <c r="Q89" s="113"/>
      <c r="R89" s="677">
        <f>Q89/Q12</f>
        <v>0</v>
      </c>
      <c r="S89" s="113"/>
      <c r="T89" s="677">
        <f>S89/S12</f>
        <v>0</v>
      </c>
      <c r="U89" s="113"/>
      <c r="V89" s="677">
        <f>U89/U12</f>
        <v>0</v>
      </c>
      <c r="W89" s="113"/>
      <c r="X89" s="677">
        <f>W89/W12</f>
        <v>0</v>
      </c>
      <c r="Y89" s="113"/>
      <c r="Z89" s="677">
        <f>Y89/Y12</f>
        <v>0</v>
      </c>
      <c r="AA89" s="144">
        <f t="shared" si="38"/>
        <v>0</v>
      </c>
      <c r="AB89" s="677">
        <f>AA89/AA12</f>
        <v>0</v>
      </c>
      <c r="AC89" s="128">
        <f t="shared" si="32"/>
        <v>0</v>
      </c>
      <c r="AD89" s="677">
        <f>AC89/AC12</f>
        <v>0</v>
      </c>
      <c r="AE89" s="393"/>
      <c r="AF89" s="393"/>
      <c r="AG89" s="393"/>
    </row>
    <row r="90" spans="1:33" s="1" customFormat="1">
      <c r="A90" s="2">
        <v>6214</v>
      </c>
      <c r="B90" s="228" t="s">
        <v>34</v>
      </c>
      <c r="C90" s="75">
        <v>4746.666666666667</v>
      </c>
      <c r="D90" s="677">
        <f>C90/C12</f>
        <v>6.4036833542014957E-3</v>
      </c>
      <c r="E90" s="75">
        <v>4746.666666666667</v>
      </c>
      <c r="F90" s="677">
        <f>E90/E12</f>
        <v>8.2309399816868599E-3</v>
      </c>
      <c r="G90" s="75">
        <v>4746.666666666667</v>
      </c>
      <c r="H90" s="702">
        <f>G90/G12</f>
        <v>4.9620515780972102E-3</v>
      </c>
      <c r="I90" s="75">
        <v>4746.666666666667</v>
      </c>
      <c r="J90" s="702">
        <f>I90/I12</f>
        <v>5.6195739526279176E-3</v>
      </c>
      <c r="K90" s="75">
        <v>4746.666666666667</v>
      </c>
      <c r="L90" s="702">
        <f>K90/K12</f>
        <v>6.144284340080939E-3</v>
      </c>
      <c r="M90" s="75">
        <v>4746.666666666667</v>
      </c>
      <c r="N90" s="702">
        <f>M90/M12</f>
        <v>4.3331060175537672E-3</v>
      </c>
      <c r="O90" s="75">
        <v>4746.666666666667</v>
      </c>
      <c r="P90" s="677">
        <f>O90/O12</f>
        <v>6.8441541771607651E-3</v>
      </c>
      <c r="Q90" s="75">
        <v>4746.666666666667</v>
      </c>
      <c r="R90" s="677">
        <f>Q90/Q12</f>
        <v>5.5117492180401899E-3</v>
      </c>
      <c r="S90" s="75">
        <v>4746.666666666667</v>
      </c>
      <c r="T90" s="677">
        <f>S90/S12</f>
        <v>5.4713744371585717E-3</v>
      </c>
      <c r="U90" s="75">
        <v>4746.666666666667</v>
      </c>
      <c r="V90" s="677">
        <f>U90/U12</f>
        <v>6.8977929899570216E-3</v>
      </c>
      <c r="W90" s="75">
        <v>4746.666666666667</v>
      </c>
      <c r="X90" s="677">
        <f>W90/W12</f>
        <v>6.77954731665771E-3</v>
      </c>
      <c r="Y90" s="75">
        <v>4746.666666666667</v>
      </c>
      <c r="Z90" s="677">
        <f>Y90/Y12</f>
        <v>4.4877945328726052E-3</v>
      </c>
      <c r="AA90" s="144">
        <f t="shared" si="38"/>
        <v>56959.999999999993</v>
      </c>
      <c r="AB90" s="677">
        <f>AA90/AA12</f>
        <v>5.7795694036813731E-3</v>
      </c>
      <c r="AC90" s="128">
        <f t="shared" si="32"/>
        <v>4746.6666666666661</v>
      </c>
      <c r="AD90" s="677">
        <f>AC90/AC12</f>
        <v>5.7795694036813731E-3</v>
      </c>
      <c r="AE90" s="393"/>
      <c r="AF90" s="393"/>
      <c r="AG90" s="393"/>
    </row>
    <row r="91" spans="1:33" s="1" customFormat="1">
      <c r="A91" s="2">
        <v>6215</v>
      </c>
      <c r="B91" s="228" t="s">
        <v>35</v>
      </c>
      <c r="C91" s="61"/>
      <c r="D91" s="24">
        <f>C91/C12</f>
        <v>0</v>
      </c>
      <c r="E91" s="61"/>
      <c r="F91" s="24">
        <f>E91/E12</f>
        <v>0</v>
      </c>
      <c r="G91" s="61"/>
      <c r="H91" s="24">
        <f>G91/G12</f>
        <v>0</v>
      </c>
      <c r="I91" s="61"/>
      <c r="J91" s="24">
        <f>I91/I12</f>
        <v>0</v>
      </c>
      <c r="K91" s="61"/>
      <c r="L91" s="24">
        <f>K91/K12</f>
        <v>0</v>
      </c>
      <c r="M91" s="26"/>
      <c r="N91" s="24">
        <f>M91/M12</f>
        <v>0</v>
      </c>
      <c r="O91" s="61"/>
      <c r="P91" s="24">
        <f>O91/O12</f>
        <v>0</v>
      </c>
      <c r="Q91" s="61"/>
      <c r="R91" s="24">
        <f>Q91/Q12</f>
        <v>0</v>
      </c>
      <c r="S91" s="61"/>
      <c r="T91" s="24">
        <f>S91/S12</f>
        <v>0</v>
      </c>
      <c r="U91" s="61"/>
      <c r="V91" s="24">
        <f>U91/U12</f>
        <v>0</v>
      </c>
      <c r="W91" s="61"/>
      <c r="X91" s="24">
        <f>W91/W12</f>
        <v>0</v>
      </c>
      <c r="Y91" s="61"/>
      <c r="Z91" s="24">
        <f>Y91/Y12</f>
        <v>0</v>
      </c>
      <c r="AA91" s="144">
        <f t="shared" si="38"/>
        <v>0</v>
      </c>
      <c r="AB91" s="24">
        <f>AA91/AA12</f>
        <v>0</v>
      </c>
      <c r="AC91" s="128">
        <f t="shared" si="32"/>
        <v>0</v>
      </c>
      <c r="AD91" s="24">
        <f>AC91/AC12</f>
        <v>0</v>
      </c>
      <c r="AE91" s="579"/>
      <c r="AF91" s="579"/>
      <c r="AG91" s="579"/>
    </row>
    <row r="92" spans="1:33" s="1" customFormat="1">
      <c r="A92" s="2">
        <v>6216</v>
      </c>
      <c r="B92" s="228" t="s">
        <v>91</v>
      </c>
      <c r="C92" s="61"/>
      <c r="D92" s="24">
        <f>C92/C12</f>
        <v>0</v>
      </c>
      <c r="E92" s="61"/>
      <c r="F92" s="24">
        <f>E92/E12</f>
        <v>0</v>
      </c>
      <c r="G92" s="61"/>
      <c r="H92" s="24">
        <f>G92/G12</f>
        <v>0</v>
      </c>
      <c r="I92" s="61"/>
      <c r="J92" s="24">
        <f>I92/I12</f>
        <v>0</v>
      </c>
      <c r="K92" s="61"/>
      <c r="L92" s="24">
        <f>K92/K12</f>
        <v>0</v>
      </c>
      <c r="M92" s="26"/>
      <c r="N92" s="24">
        <f>M92/M12</f>
        <v>0</v>
      </c>
      <c r="O92" s="61"/>
      <c r="P92" s="24">
        <f>O92/O12</f>
        <v>0</v>
      </c>
      <c r="Q92" s="61"/>
      <c r="R92" s="24">
        <f>Q92/Q12</f>
        <v>0</v>
      </c>
      <c r="S92" s="61"/>
      <c r="T92" s="24">
        <f>S92/S12</f>
        <v>0</v>
      </c>
      <c r="U92" s="61"/>
      <c r="V92" s="24">
        <f>U92/U12</f>
        <v>0</v>
      </c>
      <c r="W92" s="61"/>
      <c r="X92" s="24">
        <f>W92/W12</f>
        <v>0</v>
      </c>
      <c r="Y92" s="61"/>
      <c r="Z92" s="24">
        <f>Y92/Y12</f>
        <v>0</v>
      </c>
      <c r="AA92" s="144">
        <f t="shared" si="38"/>
        <v>0</v>
      </c>
      <c r="AB92" s="24">
        <f>AA92/AA12</f>
        <v>0</v>
      </c>
      <c r="AC92" s="128">
        <f t="shared" si="32"/>
        <v>0</v>
      </c>
      <c r="AD92" s="24">
        <f>AC92/AC12</f>
        <v>0</v>
      </c>
      <c r="AE92" s="579"/>
      <c r="AF92" s="579"/>
      <c r="AG92" s="579"/>
    </row>
    <row r="93" spans="1:33" s="1" customFormat="1" ht="15.75" thickBot="1">
      <c r="A93" s="4">
        <v>6299</v>
      </c>
      <c r="B93" s="229" t="s">
        <v>112</v>
      </c>
      <c r="C93" s="79">
        <f>SUM(C77:C92)</f>
        <v>113411.96210045661</v>
      </c>
      <c r="D93" s="396">
        <f>C93/C12</f>
        <v>0.15300301134902211</v>
      </c>
      <c r="E93" s="79">
        <f>SUM(E77:E92)</f>
        <v>113411.96210045661</v>
      </c>
      <c r="F93" s="396">
        <f>E93/E12</f>
        <v>0.19666159829793609</v>
      </c>
      <c r="G93" s="79">
        <f>SUM(G77:G92)</f>
        <v>113411.96210045661</v>
      </c>
      <c r="H93" s="396">
        <f>G93/G12</f>
        <v>0.11855814722942522</v>
      </c>
      <c r="I93" s="79">
        <f>SUM(I77:I92)</f>
        <v>113411.96210045661</v>
      </c>
      <c r="J93" s="396">
        <f>I93/I12</f>
        <v>0.13426830929834632</v>
      </c>
      <c r="K93" s="79">
        <f>SUM(K77:K92)</f>
        <v>113411.96210045661</v>
      </c>
      <c r="L93" s="396">
        <f>K93/K12</f>
        <v>0.14680519860499056</v>
      </c>
      <c r="M93" s="29">
        <f>SUM(M77:M92)</f>
        <v>113411.96210045661</v>
      </c>
      <c r="N93" s="396">
        <f>M93/M12</f>
        <v>0.10353077010675596</v>
      </c>
      <c r="O93" s="79">
        <f>SUM(O77:O92)</f>
        <v>113411.96210045661</v>
      </c>
      <c r="P93" s="396">
        <f>O93/O12</f>
        <v>0.16352716730684799</v>
      </c>
      <c r="Q93" s="79">
        <f>SUM(Q77:Q92)</f>
        <v>113411.96210045661</v>
      </c>
      <c r="R93" s="396">
        <f>Q93/Q12</f>
        <v>0.13169205619879115</v>
      </c>
      <c r="S93" s="79">
        <f>SUM(S77:S92)</f>
        <v>113411.96210045661</v>
      </c>
      <c r="T93" s="396">
        <f>S93/S12</f>
        <v>0.13072738278885568</v>
      </c>
      <c r="U93" s="79">
        <f>SUM(U77:U92)</f>
        <v>113411.96210045661</v>
      </c>
      <c r="V93" s="396">
        <f>U93/U12</f>
        <v>0.16480875782734572</v>
      </c>
      <c r="W93" s="79">
        <f>SUM(W77:W92)</f>
        <v>113411.96210045661</v>
      </c>
      <c r="X93" s="396">
        <f>W93/W12</f>
        <v>0.16198351755653859</v>
      </c>
      <c r="Y93" s="79">
        <f>SUM(Y77:Y92)</f>
        <v>113411.96210045661</v>
      </c>
      <c r="Z93" s="396">
        <f>Y93/Y12</f>
        <v>0.10722673809201916</v>
      </c>
      <c r="AA93" s="79">
        <f>SUM(AA77:AA92)</f>
        <v>1360943.5452054795</v>
      </c>
      <c r="AB93" s="89">
        <f>AA93/AA12</f>
        <v>0.1380910757374868</v>
      </c>
      <c r="AC93" s="79">
        <f>SUM(AC77:AC92)</f>
        <v>113411.96210045661</v>
      </c>
      <c r="AD93" s="89">
        <f>AC93/AC12</f>
        <v>0.13809107573748677</v>
      </c>
      <c r="AE93" s="562"/>
      <c r="AF93" s="562"/>
      <c r="AG93" s="562"/>
    </row>
    <row r="94" spans="1:33" s="1" customFormat="1" ht="15.75" thickTop="1">
      <c r="A94" s="2">
        <v>6301</v>
      </c>
      <c r="B94" s="231" t="s">
        <v>36</v>
      </c>
      <c r="C94" s="992"/>
      <c r="D94" s="994">
        <f t="shared" ref="D94:D101" si="39">C94/C$12</f>
        <v>0</v>
      </c>
      <c r="E94" s="992"/>
      <c r="F94" s="994">
        <f t="shared" ref="F94:F101" si="40">E94/E$12</f>
        <v>0</v>
      </c>
      <c r="G94" s="992"/>
      <c r="H94" s="994">
        <f t="shared" ref="H94:H101" si="41">G94/G$12</f>
        <v>0</v>
      </c>
      <c r="I94" s="992"/>
      <c r="J94" s="994">
        <f t="shared" ref="J94:J101" si="42">I94/I$12</f>
        <v>0</v>
      </c>
      <c r="K94" s="992"/>
      <c r="L94" s="994">
        <f t="shared" ref="L94:L101" si="43">K94/K$12</f>
        <v>0</v>
      </c>
      <c r="M94" s="992"/>
      <c r="N94" s="994">
        <f t="shared" ref="N94:N101" si="44">M94/M$12</f>
        <v>0</v>
      </c>
      <c r="O94" s="992"/>
      <c r="P94" s="994">
        <f t="shared" ref="P94:P101" si="45">O94/O$12</f>
        <v>0</v>
      </c>
      <c r="Q94" s="992"/>
      <c r="R94" s="994">
        <f t="shared" ref="R94:R101" si="46">Q94/Q$12</f>
        <v>0</v>
      </c>
      <c r="S94" s="992"/>
      <c r="T94" s="994">
        <f t="shared" ref="T94:T101" si="47">S94/S$12</f>
        <v>0</v>
      </c>
      <c r="U94" s="992"/>
      <c r="V94" s="994">
        <f t="shared" ref="V94:V101" si="48">U94/U$12</f>
        <v>0</v>
      </c>
      <c r="W94" s="992"/>
      <c r="X94" s="994">
        <f t="shared" ref="X94:X101" si="49">W94/W$12</f>
        <v>0</v>
      </c>
      <c r="Y94" s="992"/>
      <c r="Z94" s="702">
        <f t="shared" ref="Z94:Z101" si="50">Y94/Y$12</f>
        <v>0</v>
      </c>
      <c r="AA94" s="144">
        <f t="shared" ref="AA94:AA114" si="51">C94+E94+G94+I94+K94+M94+O94+Q94+S94+U94+W94+Y94</f>
        <v>0</v>
      </c>
      <c r="AB94" s="702">
        <f>AA94/AA$12</f>
        <v>0</v>
      </c>
      <c r="AC94" s="128">
        <f t="shared" ref="AC94:AC115" si="52">AA94/12</f>
        <v>0</v>
      </c>
      <c r="AD94" s="702">
        <f>AC94/AC$12</f>
        <v>0</v>
      </c>
      <c r="AE94" s="579"/>
      <c r="AF94" s="579"/>
      <c r="AG94" s="579"/>
    </row>
    <row r="95" spans="1:33" s="1" customFormat="1">
      <c r="A95" s="2">
        <v>6302</v>
      </c>
      <c r="B95" s="231" t="s">
        <v>37</v>
      </c>
      <c r="C95" s="678"/>
      <c r="D95" s="702">
        <f t="shared" si="39"/>
        <v>0</v>
      </c>
      <c r="E95" s="678"/>
      <c r="F95" s="702">
        <f t="shared" si="40"/>
        <v>0</v>
      </c>
      <c r="G95" s="678"/>
      <c r="H95" s="702">
        <f t="shared" si="41"/>
        <v>0</v>
      </c>
      <c r="I95" s="678"/>
      <c r="J95" s="702">
        <f t="shared" si="42"/>
        <v>0</v>
      </c>
      <c r="K95" s="678"/>
      <c r="L95" s="702">
        <f t="shared" si="43"/>
        <v>0</v>
      </c>
      <c r="M95" s="678"/>
      <c r="N95" s="702">
        <f t="shared" si="44"/>
        <v>0</v>
      </c>
      <c r="O95" s="678"/>
      <c r="P95" s="702">
        <f t="shared" si="45"/>
        <v>0</v>
      </c>
      <c r="Q95" s="678"/>
      <c r="R95" s="702">
        <f t="shared" si="46"/>
        <v>0</v>
      </c>
      <c r="S95" s="678"/>
      <c r="T95" s="702">
        <f t="shared" si="47"/>
        <v>0</v>
      </c>
      <c r="U95" s="678"/>
      <c r="V95" s="702">
        <f t="shared" si="48"/>
        <v>0</v>
      </c>
      <c r="W95" s="678"/>
      <c r="X95" s="702">
        <f t="shared" si="49"/>
        <v>0</v>
      </c>
      <c r="Y95" s="678"/>
      <c r="Z95" s="702">
        <f t="shared" si="50"/>
        <v>0</v>
      </c>
      <c r="AA95" s="144">
        <f t="shared" si="51"/>
        <v>0</v>
      </c>
      <c r="AB95" s="702">
        <f t="shared" ref="AB95:AB99" si="53">AA95/AA$12</f>
        <v>0</v>
      </c>
      <c r="AC95" s="128">
        <f t="shared" si="52"/>
        <v>0</v>
      </c>
      <c r="AD95" s="702">
        <f t="shared" ref="AD95:AD99" si="54">AC95/AC$12</f>
        <v>0</v>
      </c>
      <c r="AE95" s="393"/>
      <c r="AF95" s="393"/>
      <c r="AG95" s="393"/>
    </row>
    <row r="96" spans="1:33" s="1" customFormat="1">
      <c r="A96" s="2">
        <v>6303</v>
      </c>
      <c r="B96" s="2" t="s">
        <v>132</v>
      </c>
      <c r="C96" s="678"/>
      <c r="D96" s="702">
        <f t="shared" si="39"/>
        <v>0</v>
      </c>
      <c r="E96" s="678"/>
      <c r="F96" s="702">
        <f t="shared" si="40"/>
        <v>0</v>
      </c>
      <c r="G96" s="678"/>
      <c r="H96" s="702">
        <f t="shared" si="41"/>
        <v>0</v>
      </c>
      <c r="I96" s="678"/>
      <c r="J96" s="702">
        <f t="shared" si="42"/>
        <v>0</v>
      </c>
      <c r="K96" s="678"/>
      <c r="L96" s="702">
        <f t="shared" si="43"/>
        <v>0</v>
      </c>
      <c r="M96" s="678"/>
      <c r="N96" s="702">
        <f t="shared" si="44"/>
        <v>0</v>
      </c>
      <c r="O96" s="678"/>
      <c r="P96" s="702">
        <f t="shared" si="45"/>
        <v>0</v>
      </c>
      <c r="Q96" s="678"/>
      <c r="R96" s="702">
        <f t="shared" si="46"/>
        <v>0</v>
      </c>
      <c r="S96" s="678"/>
      <c r="T96" s="702">
        <f t="shared" si="47"/>
        <v>0</v>
      </c>
      <c r="U96" s="678"/>
      <c r="V96" s="702">
        <f t="shared" si="48"/>
        <v>0</v>
      </c>
      <c r="W96" s="678"/>
      <c r="X96" s="702">
        <f t="shared" si="49"/>
        <v>0</v>
      </c>
      <c r="Y96" s="678"/>
      <c r="Z96" s="702">
        <f t="shared" si="50"/>
        <v>0</v>
      </c>
      <c r="AA96" s="144">
        <f t="shared" si="51"/>
        <v>0</v>
      </c>
      <c r="AB96" s="702">
        <f t="shared" si="53"/>
        <v>0</v>
      </c>
      <c r="AC96" s="128">
        <f t="shared" si="52"/>
        <v>0</v>
      </c>
      <c r="AD96" s="702">
        <f t="shared" si="54"/>
        <v>0</v>
      </c>
      <c r="AE96" s="579"/>
      <c r="AF96" s="579"/>
      <c r="AG96" s="579"/>
    </row>
    <row r="97" spans="1:33" s="1" customFormat="1">
      <c r="A97" s="2">
        <v>6304</v>
      </c>
      <c r="B97" s="2" t="s">
        <v>38</v>
      </c>
      <c r="C97" s="753"/>
      <c r="D97" s="702">
        <f t="shared" si="39"/>
        <v>0</v>
      </c>
      <c r="E97" s="753"/>
      <c r="F97" s="702">
        <f t="shared" si="40"/>
        <v>0</v>
      </c>
      <c r="G97" s="753"/>
      <c r="H97" s="702">
        <f t="shared" si="41"/>
        <v>0</v>
      </c>
      <c r="I97" s="753"/>
      <c r="J97" s="702">
        <f t="shared" si="42"/>
        <v>0</v>
      </c>
      <c r="K97" s="753"/>
      <c r="L97" s="702">
        <f t="shared" si="43"/>
        <v>0</v>
      </c>
      <c r="M97" s="753"/>
      <c r="N97" s="702">
        <f t="shared" si="44"/>
        <v>0</v>
      </c>
      <c r="O97" s="753"/>
      <c r="P97" s="702">
        <f t="shared" si="45"/>
        <v>0</v>
      </c>
      <c r="Q97" s="753"/>
      <c r="R97" s="702">
        <f t="shared" si="46"/>
        <v>0</v>
      </c>
      <c r="S97" s="753"/>
      <c r="T97" s="702">
        <f t="shared" si="47"/>
        <v>0</v>
      </c>
      <c r="U97" s="753"/>
      <c r="V97" s="702">
        <f t="shared" si="48"/>
        <v>0</v>
      </c>
      <c r="W97" s="753"/>
      <c r="X97" s="702">
        <f t="shared" si="49"/>
        <v>0</v>
      </c>
      <c r="Y97" s="753"/>
      <c r="Z97" s="702">
        <f t="shared" si="50"/>
        <v>0</v>
      </c>
      <c r="AA97" s="144">
        <f t="shared" si="51"/>
        <v>0</v>
      </c>
      <c r="AB97" s="702">
        <f t="shared" si="53"/>
        <v>0</v>
      </c>
      <c r="AC97" s="128">
        <f t="shared" si="52"/>
        <v>0</v>
      </c>
      <c r="AD97" s="702">
        <f t="shared" si="54"/>
        <v>0</v>
      </c>
      <c r="AE97" s="393"/>
      <c r="AF97" s="393"/>
      <c r="AG97" s="393"/>
    </row>
    <row r="98" spans="1:33" s="1" customFormat="1">
      <c r="A98" s="188">
        <v>6305</v>
      </c>
      <c r="B98" s="2" t="s">
        <v>39</v>
      </c>
      <c r="C98" s="678"/>
      <c r="D98" s="702">
        <f t="shared" si="39"/>
        <v>0</v>
      </c>
      <c r="E98" s="678"/>
      <c r="F98" s="702">
        <f t="shared" si="40"/>
        <v>0</v>
      </c>
      <c r="G98" s="678"/>
      <c r="H98" s="702">
        <f t="shared" si="41"/>
        <v>0</v>
      </c>
      <c r="I98" s="678"/>
      <c r="J98" s="702">
        <f t="shared" si="42"/>
        <v>0</v>
      </c>
      <c r="K98" s="678"/>
      <c r="L98" s="702">
        <f t="shared" si="43"/>
        <v>0</v>
      </c>
      <c r="M98" s="678"/>
      <c r="N98" s="702">
        <f t="shared" si="44"/>
        <v>0</v>
      </c>
      <c r="O98" s="678"/>
      <c r="P98" s="702">
        <f t="shared" si="45"/>
        <v>0</v>
      </c>
      <c r="Q98" s="678"/>
      <c r="R98" s="702">
        <f t="shared" si="46"/>
        <v>0</v>
      </c>
      <c r="S98" s="678"/>
      <c r="T98" s="702">
        <f t="shared" si="47"/>
        <v>0</v>
      </c>
      <c r="U98" s="678"/>
      <c r="V98" s="702">
        <f t="shared" si="48"/>
        <v>0</v>
      </c>
      <c r="W98" s="678"/>
      <c r="X98" s="702">
        <f t="shared" si="49"/>
        <v>0</v>
      </c>
      <c r="Y98" s="678"/>
      <c r="Z98" s="702">
        <f t="shared" si="50"/>
        <v>0</v>
      </c>
      <c r="AA98" s="144">
        <f t="shared" si="51"/>
        <v>0</v>
      </c>
      <c r="AB98" s="702">
        <f t="shared" si="53"/>
        <v>0</v>
      </c>
      <c r="AC98" s="128">
        <f t="shared" si="52"/>
        <v>0</v>
      </c>
      <c r="AD98" s="702">
        <f t="shared" si="54"/>
        <v>0</v>
      </c>
      <c r="AE98" s="393"/>
      <c r="AF98" s="393"/>
      <c r="AG98" s="393"/>
    </row>
    <row r="99" spans="1:33" s="1" customFormat="1">
      <c r="A99" s="2">
        <v>6306</v>
      </c>
      <c r="B99" s="2" t="s">
        <v>40</v>
      </c>
      <c r="C99" s="678"/>
      <c r="D99" s="702">
        <f t="shared" si="39"/>
        <v>0</v>
      </c>
      <c r="E99" s="678"/>
      <c r="F99" s="702">
        <f t="shared" si="40"/>
        <v>0</v>
      </c>
      <c r="G99" s="678"/>
      <c r="H99" s="702">
        <f t="shared" si="41"/>
        <v>0</v>
      </c>
      <c r="I99" s="678"/>
      <c r="J99" s="702">
        <f t="shared" si="42"/>
        <v>0</v>
      </c>
      <c r="K99" s="678"/>
      <c r="L99" s="702">
        <f t="shared" si="43"/>
        <v>0</v>
      </c>
      <c r="M99" s="678"/>
      <c r="N99" s="702">
        <f t="shared" si="44"/>
        <v>0</v>
      </c>
      <c r="O99" s="678"/>
      <c r="P99" s="702">
        <f t="shared" si="45"/>
        <v>0</v>
      </c>
      <c r="Q99" s="678"/>
      <c r="R99" s="702">
        <f t="shared" si="46"/>
        <v>0</v>
      </c>
      <c r="S99" s="678"/>
      <c r="T99" s="702">
        <f t="shared" si="47"/>
        <v>0</v>
      </c>
      <c r="U99" s="678"/>
      <c r="V99" s="702">
        <f t="shared" si="48"/>
        <v>0</v>
      </c>
      <c r="W99" s="678"/>
      <c r="X99" s="702">
        <f t="shared" si="49"/>
        <v>0</v>
      </c>
      <c r="Y99" s="678"/>
      <c r="Z99" s="702">
        <f t="shared" si="50"/>
        <v>0</v>
      </c>
      <c r="AA99" s="144">
        <f t="shared" si="51"/>
        <v>0</v>
      </c>
      <c r="AB99" s="702">
        <f t="shared" si="53"/>
        <v>0</v>
      </c>
      <c r="AC99" s="128">
        <f t="shared" si="52"/>
        <v>0</v>
      </c>
      <c r="AD99" s="702">
        <f t="shared" si="54"/>
        <v>0</v>
      </c>
      <c r="AE99" s="579"/>
      <c r="AF99" s="579"/>
      <c r="AG99" s="579"/>
    </row>
    <row r="100" spans="1:33" s="1" customFormat="1">
      <c r="A100" s="2">
        <v>6307</v>
      </c>
      <c r="B100" s="2" t="s">
        <v>322</v>
      </c>
      <c r="C100" s="678"/>
      <c r="D100" s="702">
        <f t="shared" si="39"/>
        <v>0</v>
      </c>
      <c r="E100" s="678">
        <v>350</v>
      </c>
      <c r="F100" s="702">
        <f t="shared" si="40"/>
        <v>6.0691622055977551E-4</v>
      </c>
      <c r="G100" s="678">
        <v>350</v>
      </c>
      <c r="H100" s="702">
        <f t="shared" si="41"/>
        <v>3.6588161214902182E-4</v>
      </c>
      <c r="I100" s="678">
        <v>985</v>
      </c>
      <c r="J100" s="702">
        <f t="shared" si="42"/>
        <v>1.1661405217707511E-3</v>
      </c>
      <c r="K100" s="678">
        <v>350</v>
      </c>
      <c r="L100" s="702">
        <f t="shared" si="43"/>
        <v>4.5305467395259728E-4</v>
      </c>
      <c r="M100" s="678"/>
      <c r="N100" s="702">
        <f t="shared" si="44"/>
        <v>0</v>
      </c>
      <c r="O100" s="678">
        <v>350</v>
      </c>
      <c r="P100" s="702">
        <f t="shared" si="45"/>
        <v>5.0466024480469126E-4</v>
      </c>
      <c r="Q100" s="678">
        <v>350</v>
      </c>
      <c r="R100" s="702">
        <f t="shared" si="46"/>
        <v>4.0641409262234541E-4</v>
      </c>
      <c r="S100" s="678">
        <v>350</v>
      </c>
      <c r="T100" s="702">
        <f t="shared" si="47"/>
        <v>4.0343701959385533E-4</v>
      </c>
      <c r="U100" s="678">
        <v>350</v>
      </c>
      <c r="V100" s="702">
        <f t="shared" si="48"/>
        <v>5.0861535389430288E-4</v>
      </c>
      <c r="W100" s="678">
        <v>350</v>
      </c>
      <c r="X100" s="702">
        <f t="shared" si="49"/>
        <v>4.9989639624231706E-4</v>
      </c>
      <c r="Y100" s="678">
        <v>350</v>
      </c>
      <c r="Z100" s="702">
        <f t="shared" si="50"/>
        <v>3.3091181597726371E-4</v>
      </c>
      <c r="AA100" s="144">
        <f t="shared" si="51"/>
        <v>4135</v>
      </c>
      <c r="AB100" s="226">
        <f>AA100/AA$12</f>
        <v>4.195667044280632E-4</v>
      </c>
      <c r="AC100" s="128">
        <f t="shared" si="52"/>
        <v>344.58333333333331</v>
      </c>
      <c r="AD100" s="226">
        <f>AC100/AC$12</f>
        <v>4.195667044280632E-4</v>
      </c>
      <c r="AE100" s="579"/>
      <c r="AF100" s="579"/>
      <c r="AG100" s="579"/>
    </row>
    <row r="101" spans="1:33" s="1" customFormat="1">
      <c r="A101" s="2">
        <v>6308</v>
      </c>
      <c r="B101" s="2" t="s">
        <v>151</v>
      </c>
      <c r="C101" s="678"/>
      <c r="D101" s="702">
        <f t="shared" si="39"/>
        <v>0</v>
      </c>
      <c r="E101" s="678"/>
      <c r="F101" s="702">
        <f t="shared" si="40"/>
        <v>0</v>
      </c>
      <c r="G101" s="678"/>
      <c r="H101" s="702">
        <f t="shared" si="41"/>
        <v>0</v>
      </c>
      <c r="I101" s="678"/>
      <c r="J101" s="702">
        <f t="shared" si="42"/>
        <v>0</v>
      </c>
      <c r="K101" s="678"/>
      <c r="L101" s="702">
        <f t="shared" si="43"/>
        <v>0</v>
      </c>
      <c r="M101" s="678"/>
      <c r="N101" s="702">
        <f t="shared" si="44"/>
        <v>0</v>
      </c>
      <c r="O101" s="678"/>
      <c r="P101" s="702">
        <f t="shared" si="45"/>
        <v>0</v>
      </c>
      <c r="Q101" s="678"/>
      <c r="R101" s="702">
        <f t="shared" si="46"/>
        <v>0</v>
      </c>
      <c r="S101" s="678"/>
      <c r="T101" s="702">
        <f t="shared" si="47"/>
        <v>0</v>
      </c>
      <c r="U101" s="678"/>
      <c r="V101" s="702">
        <f t="shared" si="48"/>
        <v>0</v>
      </c>
      <c r="W101" s="678"/>
      <c r="X101" s="702">
        <f t="shared" si="49"/>
        <v>0</v>
      </c>
      <c r="Y101" s="678"/>
      <c r="Z101" s="702">
        <f t="shared" si="50"/>
        <v>0</v>
      </c>
      <c r="AA101" s="144">
        <f t="shared" si="51"/>
        <v>0</v>
      </c>
      <c r="AB101" s="226">
        <f>AA101/AA$12</f>
        <v>0</v>
      </c>
      <c r="AC101" s="128">
        <f t="shared" si="52"/>
        <v>0</v>
      </c>
      <c r="AD101" s="226">
        <f>AC101/AC$12</f>
        <v>0</v>
      </c>
      <c r="AE101" s="579"/>
      <c r="AF101" s="579"/>
      <c r="AG101" s="579"/>
    </row>
    <row r="102" spans="1:33" s="1" customFormat="1">
      <c r="A102" s="2">
        <v>6309</v>
      </c>
      <c r="B102" s="2" t="s">
        <v>152</v>
      </c>
      <c r="C102" s="753">
        <f>(15945.92736496/5)*2</f>
        <v>6378.3709459840002</v>
      </c>
      <c r="D102" s="702">
        <f>C102/C$12</f>
        <v>8.6050002500815004E-3</v>
      </c>
      <c r="E102" s="678">
        <f>(16105.3866386096/5)*2</f>
        <v>6442.1546554438401</v>
      </c>
      <c r="F102" s="702">
        <f>E102/E$12</f>
        <v>1.1170994730695823E-2</v>
      </c>
      <c r="G102" s="678">
        <f>16266.4405049957/5</f>
        <v>3253.2881009991402</v>
      </c>
      <c r="H102" s="702">
        <f>G102/G$12</f>
        <v>3.4009094147965575E-3</v>
      </c>
      <c r="I102" s="678">
        <f>16429.1049100457/5</f>
        <v>3285.8209820091397</v>
      </c>
      <c r="J102" s="702">
        <f>I102/I$12</f>
        <v>3.8900801973659085E-3</v>
      </c>
      <c r="K102" s="753">
        <f>(16593.3959591461/5)*2</f>
        <v>6637.3583836584394</v>
      </c>
      <c r="L102" s="702">
        <f>K102/K$12</f>
        <v>8.59167496689975E-3</v>
      </c>
      <c r="M102" s="678">
        <f>16759.3299187376/5</f>
        <v>3351.8659837475197</v>
      </c>
      <c r="N102" s="702">
        <f>M102/M$12</f>
        <v>3.0598294938644988E-3</v>
      </c>
      <c r="O102" s="993">
        <f>16926.9232179249/5</f>
        <v>3385.38464358498</v>
      </c>
      <c r="P102" s="702">
        <f>O102/O$12</f>
        <v>4.8813401228275386E-3</v>
      </c>
      <c r="Q102" s="678">
        <f>17096.1924501042/5</f>
        <v>3419.2384900208403</v>
      </c>
      <c r="R102" s="702">
        <f>Q102/Q$12</f>
        <v>3.9703620239463378E-3</v>
      </c>
      <c r="S102" s="753">
        <f>(17267.1543746052/5)*2</f>
        <v>6906.8617498420808</v>
      </c>
      <c r="T102" s="702">
        <f>S102/S$12</f>
        <v>7.9613820545802547E-3</v>
      </c>
      <c r="U102" s="678">
        <f>(17439.8259183513/5)*2</f>
        <v>6975.9303673405202</v>
      </c>
      <c r="V102" s="702">
        <f>U102/U$12</f>
        <v>1.013732940721975E-2</v>
      </c>
      <c r="W102" s="753">
        <f>17614.2241775348/5</f>
        <v>3522.8448355069604</v>
      </c>
      <c r="X102" s="702">
        <f>W102/W$12</f>
        <v>5.0315926794022503E-3</v>
      </c>
      <c r="Y102" s="678">
        <f>17790.3664193102/5</f>
        <v>3558.0732838620402</v>
      </c>
      <c r="Z102" s="702">
        <f>Y102/Y$12</f>
        <v>3.3640242621227824E-3</v>
      </c>
      <c r="AA102" s="144">
        <f t="shared" si="51"/>
        <v>57117.192421999505</v>
      </c>
      <c r="AB102" s="226">
        <f>AA102/AA$12</f>
        <v>5.7955192722326182E-3</v>
      </c>
      <c r="AC102" s="128">
        <f t="shared" si="52"/>
        <v>4759.7660351666254</v>
      </c>
      <c r="AD102" s="226">
        <f>AC102/AC$12</f>
        <v>5.7955192722326191E-3</v>
      </c>
      <c r="AE102" s="579"/>
      <c r="AF102" s="579"/>
      <c r="AG102" s="579"/>
    </row>
    <row r="103" spans="1:33" s="1" customFormat="1">
      <c r="A103" s="2">
        <v>6310</v>
      </c>
      <c r="B103" s="2" t="s">
        <v>153</v>
      </c>
      <c r="C103" s="678"/>
      <c r="D103" s="702">
        <f t="shared" ref="D103:D114" si="55">C103/C$12</f>
        <v>0</v>
      </c>
      <c r="E103" s="678">
        <v>14000</v>
      </c>
      <c r="F103" s="702">
        <f t="shared" ref="F103:F114" si="56">E103/E$12</f>
        <v>2.4276648822391021E-2</v>
      </c>
      <c r="G103" s="678">
        <v>12800</v>
      </c>
      <c r="H103" s="702">
        <f t="shared" ref="H103:H114" si="57">G103/G$12</f>
        <v>1.3380813244307083E-2</v>
      </c>
      <c r="I103" s="678">
        <v>6000</v>
      </c>
      <c r="J103" s="702">
        <f t="shared" ref="J103:J114" si="58">I103/I$12</f>
        <v>7.1033940412431546E-3</v>
      </c>
      <c r="K103" s="678">
        <v>7400</v>
      </c>
      <c r="L103" s="702">
        <f t="shared" ref="L103:L114" si="59">K103/K$12</f>
        <v>9.578870249283486E-3</v>
      </c>
      <c r="M103" s="48"/>
      <c r="N103" s="702">
        <f t="shared" ref="N103:P114" si="60">M103/M$12</f>
        <v>0</v>
      </c>
      <c r="O103" s="678">
        <v>1500</v>
      </c>
      <c r="P103" s="702">
        <f t="shared" ref="P103:P114" si="61">O103/O$12</f>
        <v>2.1628296205915337E-3</v>
      </c>
      <c r="Q103" s="678">
        <v>12000</v>
      </c>
      <c r="R103" s="702">
        <f t="shared" ref="R103:R114" si="62">Q103/Q$12</f>
        <v>1.3934197461337557E-2</v>
      </c>
      <c r="S103" s="678">
        <v>12300</v>
      </c>
      <c r="T103" s="702">
        <f t="shared" ref="T103:T114" si="63">S103/S$12</f>
        <v>1.4177929545726916E-2</v>
      </c>
      <c r="U103" s="678">
        <v>7000</v>
      </c>
      <c r="V103" s="702">
        <f t="shared" ref="V103:V114" si="64">U103/U$12</f>
        <v>1.0172307077886057E-2</v>
      </c>
      <c r="W103" s="678"/>
      <c r="X103" s="702">
        <f t="shared" ref="X103:X114" si="65">W103/W$12</f>
        <v>0</v>
      </c>
      <c r="Y103" s="678">
        <v>13000</v>
      </c>
      <c r="Z103" s="702">
        <f t="shared" ref="Z103:Z114" si="66">Y103/Y$12</f>
        <v>1.2291010307726937E-2</v>
      </c>
      <c r="AA103" s="144">
        <f t="shared" si="51"/>
        <v>86000</v>
      </c>
      <c r="AB103" s="226">
        <f t="shared" ref="AB103:AB114" si="67">AA103/AA$12</f>
        <v>8.7261757148279166E-3</v>
      </c>
      <c r="AC103" s="128">
        <f t="shared" si="52"/>
        <v>7166.666666666667</v>
      </c>
      <c r="AD103" s="226">
        <f t="shared" ref="AD103:AD114" si="68">AC103/AC$12</f>
        <v>8.7261757148279183E-3</v>
      </c>
      <c r="AE103" s="393"/>
      <c r="AF103" s="393"/>
      <c r="AG103" s="393"/>
    </row>
    <row r="104" spans="1:33" s="1" customFormat="1">
      <c r="A104" s="2">
        <v>6311</v>
      </c>
      <c r="B104" s="2" t="s">
        <v>154</v>
      </c>
      <c r="C104" s="753">
        <v>10284.905617732022</v>
      </c>
      <c r="D104" s="702">
        <f t="shared" si="55"/>
        <v>1.3875269431981179E-2</v>
      </c>
      <c r="E104" s="678"/>
      <c r="F104" s="702">
        <f t="shared" si="56"/>
        <v>0</v>
      </c>
      <c r="G104" s="678"/>
      <c r="H104" s="702">
        <f t="shared" si="57"/>
        <v>0</v>
      </c>
      <c r="I104" s="678"/>
      <c r="J104" s="702">
        <f t="shared" si="58"/>
        <v>0</v>
      </c>
      <c r="K104" s="678"/>
      <c r="L104" s="702">
        <f t="shared" si="59"/>
        <v>0</v>
      </c>
      <c r="M104" s="678"/>
      <c r="N104" s="702">
        <f t="shared" si="60"/>
        <v>0</v>
      </c>
      <c r="O104" s="678"/>
      <c r="P104" s="702">
        <f t="shared" si="61"/>
        <v>0</v>
      </c>
      <c r="Q104" s="678"/>
      <c r="R104" s="702">
        <f t="shared" si="62"/>
        <v>0</v>
      </c>
      <c r="S104" s="678"/>
      <c r="T104" s="702">
        <f t="shared" si="63"/>
        <v>0</v>
      </c>
      <c r="U104" s="678"/>
      <c r="V104" s="702">
        <f t="shared" si="64"/>
        <v>0</v>
      </c>
      <c r="W104" s="678"/>
      <c r="X104" s="702">
        <f t="shared" si="65"/>
        <v>0</v>
      </c>
      <c r="Y104" s="678"/>
      <c r="Z104" s="702">
        <f t="shared" si="66"/>
        <v>0</v>
      </c>
      <c r="AA104" s="144">
        <f t="shared" si="51"/>
        <v>10284.905617732022</v>
      </c>
      <c r="AB104" s="226">
        <f t="shared" si="67"/>
        <v>1.0435801584970975E-3</v>
      </c>
      <c r="AC104" s="128">
        <f t="shared" si="52"/>
        <v>857.0754681443351</v>
      </c>
      <c r="AD104" s="226">
        <f t="shared" si="68"/>
        <v>1.0435801584970975E-3</v>
      </c>
      <c r="AE104" s="579"/>
      <c r="AF104" s="579"/>
      <c r="AG104" s="579"/>
    </row>
    <row r="105" spans="1:33" s="1" customFormat="1">
      <c r="A105" s="2">
        <v>6312</v>
      </c>
      <c r="B105" s="2" t="s">
        <v>155</v>
      </c>
      <c r="C105" s="678"/>
      <c r="D105" s="702">
        <f t="shared" si="55"/>
        <v>0</v>
      </c>
      <c r="E105" s="678"/>
      <c r="F105" s="702">
        <f t="shared" si="56"/>
        <v>0</v>
      </c>
      <c r="G105" s="678"/>
      <c r="H105" s="702">
        <f t="shared" si="57"/>
        <v>0</v>
      </c>
      <c r="I105" s="678"/>
      <c r="J105" s="702">
        <f t="shared" si="58"/>
        <v>0</v>
      </c>
      <c r="K105" s="678"/>
      <c r="L105" s="702">
        <f t="shared" si="59"/>
        <v>0</v>
      </c>
      <c r="M105" s="678"/>
      <c r="N105" s="702">
        <f t="shared" si="60"/>
        <v>0</v>
      </c>
      <c r="O105" s="678"/>
      <c r="P105" s="702">
        <f t="shared" si="61"/>
        <v>0</v>
      </c>
      <c r="Q105" s="678"/>
      <c r="R105" s="702">
        <f t="shared" si="62"/>
        <v>0</v>
      </c>
      <c r="S105" s="678"/>
      <c r="T105" s="702">
        <f t="shared" si="63"/>
        <v>0</v>
      </c>
      <c r="U105" s="678"/>
      <c r="V105" s="702">
        <f t="shared" si="64"/>
        <v>0</v>
      </c>
      <c r="W105" s="678"/>
      <c r="X105" s="702">
        <f t="shared" si="65"/>
        <v>0</v>
      </c>
      <c r="Y105" s="678"/>
      <c r="Z105" s="702">
        <f t="shared" si="66"/>
        <v>0</v>
      </c>
      <c r="AA105" s="144">
        <f t="shared" si="51"/>
        <v>0</v>
      </c>
      <c r="AB105" s="226">
        <f t="shared" si="67"/>
        <v>0</v>
      </c>
      <c r="AC105" s="128">
        <f t="shared" si="52"/>
        <v>0</v>
      </c>
      <c r="AD105" s="226">
        <f t="shared" si="68"/>
        <v>0</v>
      </c>
      <c r="AE105" s="579"/>
      <c r="AF105" s="579"/>
      <c r="AG105" s="579"/>
    </row>
    <row r="106" spans="1:33" s="1" customFormat="1">
      <c r="A106" s="2">
        <v>6313</v>
      </c>
      <c r="B106" s="2" t="s">
        <v>156</v>
      </c>
      <c r="C106" s="753"/>
      <c r="D106" s="702">
        <f t="shared" si="55"/>
        <v>0</v>
      </c>
      <c r="E106" s="753"/>
      <c r="F106" s="702">
        <f t="shared" si="56"/>
        <v>0</v>
      </c>
      <c r="G106" s="753">
        <f>(27272.7272727273/0.985)/12</f>
        <v>2307.3373327180457</v>
      </c>
      <c r="H106" s="702">
        <f t="shared" si="57"/>
        <v>2.4120351516185787E-3</v>
      </c>
      <c r="I106" s="753"/>
      <c r="J106" s="702">
        <f t="shared" si="58"/>
        <v>0</v>
      </c>
      <c r="K106" s="753">
        <f>(27272.7272727273/0.985)/12</f>
        <v>2307.3373327180457</v>
      </c>
      <c r="L106" s="702">
        <f t="shared" si="59"/>
        <v>2.9867141799235133E-3</v>
      </c>
      <c r="M106" s="753"/>
      <c r="N106" s="702">
        <f t="shared" si="60"/>
        <v>0</v>
      </c>
      <c r="O106" s="753"/>
      <c r="P106" s="702">
        <f t="shared" si="60"/>
        <v>0</v>
      </c>
      <c r="Q106" s="753">
        <f>(27272.7272727273/0.985)/12</f>
        <v>2307.3373327180457</v>
      </c>
      <c r="R106" s="702">
        <f t="shared" si="62"/>
        <v>2.6792411670007637E-3</v>
      </c>
      <c r="S106" s="753"/>
      <c r="T106" s="702">
        <f t="shared" si="63"/>
        <v>0</v>
      </c>
      <c r="U106" s="753"/>
      <c r="V106" s="702">
        <f t="shared" si="64"/>
        <v>0</v>
      </c>
      <c r="W106" s="753"/>
      <c r="X106" s="702">
        <f t="shared" si="65"/>
        <v>0</v>
      </c>
      <c r="Y106" s="753">
        <f>(27272.7272727273/0.985)/12</f>
        <v>2307.3373327180457</v>
      </c>
      <c r="Z106" s="702">
        <f t="shared" si="66"/>
        <v>2.1815005338338984E-3</v>
      </c>
      <c r="AA106" s="144">
        <f t="shared" si="51"/>
        <v>9229.3493308721827</v>
      </c>
      <c r="AB106" s="226">
        <f t="shared" si="67"/>
        <v>9.3647586040372232E-4</v>
      </c>
      <c r="AC106" s="128">
        <f t="shared" si="52"/>
        <v>769.11244423934852</v>
      </c>
      <c r="AD106" s="226">
        <f t="shared" si="68"/>
        <v>9.3647586040372232E-4</v>
      </c>
      <c r="AE106" s="579"/>
      <c r="AF106" s="579"/>
      <c r="AG106" s="579"/>
    </row>
    <row r="107" spans="1:33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55"/>
        <v>1.6863632428550285E-2</v>
      </c>
      <c r="E107" s="678">
        <f>(206850/12)/0.985</f>
        <v>17500</v>
      </c>
      <c r="F107" s="702">
        <f t="shared" si="56"/>
        <v>3.0345811027988775E-2</v>
      </c>
      <c r="G107" s="678">
        <f>(159570/12)/0.985</f>
        <v>13500</v>
      </c>
      <c r="H107" s="702">
        <f t="shared" si="57"/>
        <v>1.4112576468605127E-2</v>
      </c>
      <c r="I107" s="678">
        <f>(159570/12)/0.985</f>
        <v>13500</v>
      </c>
      <c r="J107" s="702">
        <f t="shared" si="58"/>
        <v>1.5982636592797098E-2</v>
      </c>
      <c r="K107" s="678">
        <f>(206850/12)/0.985</f>
        <v>17500</v>
      </c>
      <c r="L107" s="702">
        <f t="shared" si="59"/>
        <v>2.2652733697629865E-2</v>
      </c>
      <c r="M107" s="678">
        <f>(159570/12)/0.985</f>
        <v>13500</v>
      </c>
      <c r="N107" s="702">
        <f t="shared" si="60"/>
        <v>1.2323791693183116E-2</v>
      </c>
      <c r="O107" s="678">
        <f>(159570/12)/0.985</f>
        <v>13500</v>
      </c>
      <c r="P107" s="702">
        <f t="shared" si="60"/>
        <v>1.9465466585323804E-2</v>
      </c>
      <c r="Q107" s="678">
        <f>(206850/12)/0.985</f>
        <v>17500</v>
      </c>
      <c r="R107" s="702">
        <f t="shared" si="62"/>
        <v>2.0320704631117271E-2</v>
      </c>
      <c r="S107" s="678">
        <f>(159570/12)/0.985</f>
        <v>13500</v>
      </c>
      <c r="T107" s="702">
        <f t="shared" si="63"/>
        <v>1.5561142184334419E-2</v>
      </c>
      <c r="U107" s="678">
        <f>(159570/12)/0.985</f>
        <v>13500</v>
      </c>
      <c r="V107" s="702">
        <f t="shared" si="64"/>
        <v>1.9618020793065967E-2</v>
      </c>
      <c r="W107" s="678">
        <f>(206850/12)/0.985</f>
        <v>17500</v>
      </c>
      <c r="X107" s="702">
        <f t="shared" si="65"/>
        <v>2.4994819812115852E-2</v>
      </c>
      <c r="Y107" s="678">
        <f>(159570/12)/0.985</f>
        <v>13500</v>
      </c>
      <c r="Z107" s="702">
        <f t="shared" si="66"/>
        <v>1.2763741473408743E-2</v>
      </c>
      <c r="AA107" s="144">
        <f t="shared" si="51"/>
        <v>177000</v>
      </c>
      <c r="AB107" s="226">
        <f t="shared" si="67"/>
        <v>1.795968722702955E-2</v>
      </c>
      <c r="AC107" s="128">
        <f t="shared" si="52"/>
        <v>14750</v>
      </c>
      <c r="AD107" s="226">
        <f t="shared" si="68"/>
        <v>1.795968722702955E-2</v>
      </c>
      <c r="AE107" s="579"/>
      <c r="AF107" s="579"/>
      <c r="AG107" s="579"/>
    </row>
    <row r="108" spans="1:33" s="1" customFormat="1">
      <c r="A108" s="2">
        <v>6315</v>
      </c>
      <c r="B108" s="2" t="s">
        <v>323</v>
      </c>
      <c r="C108" s="678"/>
      <c r="D108" s="702">
        <f t="shared" si="55"/>
        <v>0</v>
      </c>
      <c r="E108" s="678">
        <v>4042</v>
      </c>
      <c r="F108" s="702">
        <f t="shared" si="56"/>
        <v>7.0090153242931786E-3</v>
      </c>
      <c r="G108" s="678">
        <v>5292</v>
      </c>
      <c r="H108" s="702">
        <f t="shared" si="57"/>
        <v>5.5321299756932096E-3</v>
      </c>
      <c r="I108" s="678">
        <v>4042</v>
      </c>
      <c r="J108" s="702">
        <f t="shared" si="58"/>
        <v>4.785319785784138E-3</v>
      </c>
      <c r="K108" s="678">
        <v>1250</v>
      </c>
      <c r="L108" s="702">
        <f t="shared" si="59"/>
        <v>1.6180524069735617E-3</v>
      </c>
      <c r="M108" s="678"/>
      <c r="N108" s="702">
        <f t="shared" si="60"/>
        <v>0</v>
      </c>
      <c r="O108" s="678">
        <v>875</v>
      </c>
      <c r="P108" s="702">
        <f t="shared" si="61"/>
        <v>1.261650612011728E-3</v>
      </c>
      <c r="Q108" s="678">
        <v>1250</v>
      </c>
      <c r="R108" s="702">
        <f t="shared" si="62"/>
        <v>1.4514789022226622E-3</v>
      </c>
      <c r="S108" s="678"/>
      <c r="T108" s="702">
        <f t="shared" si="63"/>
        <v>0</v>
      </c>
      <c r="U108" s="678">
        <v>875</v>
      </c>
      <c r="V108" s="702">
        <f t="shared" si="64"/>
        <v>1.2715383847357572E-3</v>
      </c>
      <c r="W108" s="678"/>
      <c r="X108" s="702">
        <f t="shared" si="65"/>
        <v>0</v>
      </c>
      <c r="Y108" s="678">
        <v>1250</v>
      </c>
      <c r="Z108" s="702">
        <f t="shared" si="66"/>
        <v>1.1818279142045132E-3</v>
      </c>
      <c r="AA108" s="144">
        <f t="shared" si="51"/>
        <v>18876</v>
      </c>
      <c r="AB108" s="226">
        <f t="shared" si="67"/>
        <v>1.915294102245253E-3</v>
      </c>
      <c r="AC108" s="128">
        <f t="shared" si="52"/>
        <v>1573</v>
      </c>
      <c r="AD108" s="226">
        <f t="shared" si="68"/>
        <v>1.915294102245253E-3</v>
      </c>
      <c r="AE108" s="579"/>
      <c r="AF108" s="579"/>
      <c r="AG108" s="579"/>
    </row>
    <row r="109" spans="1:33" s="1" customFormat="1">
      <c r="A109" s="2">
        <v>6316</v>
      </c>
      <c r="B109" s="2" t="s">
        <v>324</v>
      </c>
      <c r="C109" s="678"/>
      <c r="D109" s="702">
        <f t="shared" si="55"/>
        <v>0</v>
      </c>
      <c r="E109" s="678">
        <v>14722.222222222223</v>
      </c>
      <c r="F109" s="702">
        <f t="shared" si="56"/>
        <v>2.5529015626720716E-2</v>
      </c>
      <c r="G109" s="678"/>
      <c r="H109" s="702">
        <f t="shared" si="57"/>
        <v>0</v>
      </c>
      <c r="I109" s="678"/>
      <c r="J109" s="702">
        <f t="shared" si="58"/>
        <v>0</v>
      </c>
      <c r="K109" s="678">
        <v>15000</v>
      </c>
      <c r="L109" s="702">
        <f t="shared" si="59"/>
        <v>1.941662888368274E-2</v>
      </c>
      <c r="M109" s="678">
        <v>5700</v>
      </c>
      <c r="N109" s="702">
        <f t="shared" si="60"/>
        <v>5.203378714899537E-3</v>
      </c>
      <c r="O109" s="678"/>
      <c r="P109" s="702">
        <f t="shared" si="61"/>
        <v>0</v>
      </c>
      <c r="Q109" s="678">
        <v>17722.222222222223</v>
      </c>
      <c r="R109" s="702">
        <f t="shared" si="62"/>
        <v>2.0578745324845747E-2</v>
      </c>
      <c r="S109" s="678">
        <v>5700</v>
      </c>
      <c r="T109" s="702">
        <f t="shared" si="63"/>
        <v>6.5702600333856437E-3</v>
      </c>
      <c r="U109" s="678">
        <v>5600</v>
      </c>
      <c r="V109" s="702">
        <f t="shared" si="64"/>
        <v>8.1378456623088461E-3</v>
      </c>
      <c r="W109" s="678"/>
      <c r="X109" s="702">
        <f t="shared" si="65"/>
        <v>0</v>
      </c>
      <c r="Y109" s="678"/>
      <c r="Z109" s="702">
        <f t="shared" si="66"/>
        <v>0</v>
      </c>
      <c r="AA109" s="144">
        <f t="shared" si="51"/>
        <v>64444.444444444438</v>
      </c>
      <c r="AB109" s="226">
        <f t="shared" si="67"/>
        <v>6.5389947217056738E-3</v>
      </c>
      <c r="AC109" s="128">
        <f t="shared" si="52"/>
        <v>5370.3703703703695</v>
      </c>
      <c r="AD109" s="226">
        <f t="shared" si="68"/>
        <v>6.5389947217056729E-3</v>
      </c>
      <c r="AE109" s="579"/>
      <c r="AF109" s="579"/>
      <c r="AG109" s="579"/>
    </row>
    <row r="110" spans="1:33" s="1" customFormat="1">
      <c r="A110" s="2">
        <v>6317</v>
      </c>
      <c r="B110" s="2" t="s">
        <v>325</v>
      </c>
      <c r="C110" s="678"/>
      <c r="D110" s="702">
        <f t="shared" si="55"/>
        <v>0</v>
      </c>
      <c r="E110" s="678">
        <v>2750</v>
      </c>
      <c r="F110" s="702">
        <f t="shared" si="56"/>
        <v>4.7686274472553787E-3</v>
      </c>
      <c r="G110" s="678"/>
      <c r="H110" s="702">
        <f t="shared" si="57"/>
        <v>0</v>
      </c>
      <c r="I110" s="678">
        <v>16120</v>
      </c>
      <c r="J110" s="702">
        <f t="shared" si="58"/>
        <v>1.9084451990806609E-2</v>
      </c>
      <c r="K110" s="678">
        <v>3100</v>
      </c>
      <c r="L110" s="702">
        <f t="shared" si="59"/>
        <v>4.0127699692944331E-3</v>
      </c>
      <c r="M110" s="678"/>
      <c r="N110" s="702">
        <f t="shared" si="60"/>
        <v>0</v>
      </c>
      <c r="O110" s="678"/>
      <c r="P110" s="702">
        <f t="shared" si="61"/>
        <v>0</v>
      </c>
      <c r="Q110" s="678">
        <v>10466</v>
      </c>
      <c r="R110" s="702">
        <f t="shared" si="62"/>
        <v>1.2152942552529907E-2</v>
      </c>
      <c r="S110" s="678"/>
      <c r="T110" s="702">
        <f t="shared" si="63"/>
        <v>0</v>
      </c>
      <c r="U110" s="678">
        <v>2750</v>
      </c>
      <c r="V110" s="702">
        <f t="shared" si="64"/>
        <v>3.9962634948838083E-3</v>
      </c>
      <c r="W110" s="678"/>
      <c r="X110" s="702">
        <f t="shared" si="65"/>
        <v>0</v>
      </c>
      <c r="Y110" s="678"/>
      <c r="Z110" s="702">
        <f t="shared" si="66"/>
        <v>0</v>
      </c>
      <c r="AA110" s="144">
        <f t="shared" si="51"/>
        <v>35186</v>
      </c>
      <c r="AB110" s="226">
        <f t="shared" si="67"/>
        <v>3.5702234732783149E-3</v>
      </c>
      <c r="AC110" s="128">
        <f t="shared" si="52"/>
        <v>2932.1666666666665</v>
      </c>
      <c r="AD110" s="226">
        <f t="shared" si="68"/>
        <v>3.5702234732783149E-3</v>
      </c>
      <c r="AE110" s="579"/>
      <c r="AF110" s="579"/>
      <c r="AG110" s="579"/>
    </row>
    <row r="111" spans="1:33" s="1" customFormat="1">
      <c r="A111" s="2">
        <v>6318</v>
      </c>
      <c r="B111" s="2" t="s">
        <v>326</v>
      </c>
      <c r="C111" s="678">
        <f>(6660/12)</f>
        <v>555</v>
      </c>
      <c r="D111" s="702">
        <f t="shared" si="55"/>
        <v>7.4874527982763273E-4</v>
      </c>
      <c r="E111" s="678">
        <f>(6660/12)</f>
        <v>555</v>
      </c>
      <c r="F111" s="702">
        <f t="shared" si="56"/>
        <v>9.6239572117335834E-4</v>
      </c>
      <c r="G111" s="678">
        <f>(6660/12)</f>
        <v>555</v>
      </c>
      <c r="H111" s="702">
        <f t="shared" si="57"/>
        <v>5.801836992648774E-4</v>
      </c>
      <c r="I111" s="678">
        <f>(6660/12)</f>
        <v>555</v>
      </c>
      <c r="J111" s="702">
        <f t="shared" si="58"/>
        <v>6.5706394881499179E-4</v>
      </c>
      <c r="K111" s="678">
        <f>(6660/12)</f>
        <v>555</v>
      </c>
      <c r="L111" s="702">
        <f t="shared" si="59"/>
        <v>7.1841526869626145E-4</v>
      </c>
      <c r="M111" s="678">
        <f>(6660/12)</f>
        <v>555</v>
      </c>
      <c r="N111" s="702">
        <f t="shared" si="60"/>
        <v>5.0664476960863918E-4</v>
      </c>
      <c r="O111" s="678">
        <f>(6660/12)</f>
        <v>555</v>
      </c>
      <c r="P111" s="702">
        <f t="shared" si="60"/>
        <v>8.0024695961886756E-4</v>
      </c>
      <c r="Q111" s="678">
        <f>(6660/12)</f>
        <v>555</v>
      </c>
      <c r="R111" s="702">
        <f t="shared" si="62"/>
        <v>6.4445663258686208E-4</v>
      </c>
      <c r="S111" s="678">
        <f>(6660/12)</f>
        <v>555</v>
      </c>
      <c r="T111" s="702">
        <f t="shared" si="63"/>
        <v>6.3973584535597055E-4</v>
      </c>
      <c r="U111" s="678">
        <f>(6660/12)</f>
        <v>555</v>
      </c>
      <c r="V111" s="702">
        <f t="shared" si="64"/>
        <v>8.0651863260382305E-4</v>
      </c>
      <c r="W111" s="678">
        <f>(6660/12)</f>
        <v>555</v>
      </c>
      <c r="X111" s="702">
        <f t="shared" si="65"/>
        <v>7.926928568985313E-4</v>
      </c>
      <c r="Y111" s="678">
        <f>(6660/12)</f>
        <v>555</v>
      </c>
      <c r="Z111" s="702">
        <f t="shared" si="66"/>
        <v>5.2473159390680391E-4</v>
      </c>
      <c r="AA111" s="144">
        <f t="shared" si="51"/>
        <v>6660</v>
      </c>
      <c r="AB111" s="226">
        <f t="shared" si="67"/>
        <v>6.7577128210178988E-4</v>
      </c>
      <c r="AC111" s="128">
        <f t="shared" si="52"/>
        <v>555</v>
      </c>
      <c r="AD111" s="226">
        <f t="shared" si="68"/>
        <v>6.7577128210178988E-4</v>
      </c>
      <c r="AE111" s="579"/>
      <c r="AF111" s="579"/>
      <c r="AG111" s="579"/>
    </row>
    <row r="112" spans="1:33" s="1" customFormat="1">
      <c r="A112" s="2">
        <v>6319</v>
      </c>
      <c r="B112" s="2" t="s">
        <v>327</v>
      </c>
      <c r="C112" s="678"/>
      <c r="D112" s="702">
        <f t="shared" si="55"/>
        <v>0</v>
      </c>
      <c r="E112" s="678">
        <f>(43504.1666666667/12)/0.985</f>
        <v>3680.5555555555584</v>
      </c>
      <c r="F112" s="702">
        <f t="shared" si="56"/>
        <v>6.3822539066801841E-3</v>
      </c>
      <c r="G112" s="678">
        <f>(43504.1666666667/12)/0.985</f>
        <v>3680.5555555555584</v>
      </c>
      <c r="H112" s="702">
        <f t="shared" si="57"/>
        <v>3.8475645722020179E-3</v>
      </c>
      <c r="I112" s="678">
        <f>(43504.1666666667/12)/0.985</f>
        <v>3680.5555555555584</v>
      </c>
      <c r="J112" s="702">
        <f t="shared" si="58"/>
        <v>4.3574060669662905E-3</v>
      </c>
      <c r="K112" s="678">
        <f>(43504.1666666667/12)/0.985</f>
        <v>3680.5555555555584</v>
      </c>
      <c r="L112" s="702">
        <f t="shared" si="59"/>
        <v>4.764265420533269E-3</v>
      </c>
      <c r="M112" s="678"/>
      <c r="N112" s="702">
        <f t="shared" si="60"/>
        <v>0</v>
      </c>
      <c r="O112" s="678">
        <f>(43504.1666666667/12)/0.985</f>
        <v>3680.5555555555584</v>
      </c>
      <c r="P112" s="702">
        <f t="shared" si="60"/>
        <v>5.3069430505255271E-3</v>
      </c>
      <c r="Q112" s="678">
        <f>(43504.1666666667/12)/0.985</f>
        <v>3680.5555555555584</v>
      </c>
      <c r="R112" s="702">
        <f t="shared" si="62"/>
        <v>4.2737989898778425E-3</v>
      </c>
      <c r="S112" s="678">
        <f>(43504.1666666667/12)/0.985</f>
        <v>3680.5555555555584</v>
      </c>
      <c r="T112" s="702">
        <f t="shared" si="63"/>
        <v>4.2424924679512598E-3</v>
      </c>
      <c r="U112" s="678">
        <f>(43504.1666666667/12)/0.985</f>
        <v>3680.5555555555584</v>
      </c>
      <c r="V112" s="702">
        <f t="shared" si="64"/>
        <v>5.3485344754758074E-3</v>
      </c>
      <c r="W112" s="678">
        <f>(43504.1666666667/12)/0.985</f>
        <v>3680.5555555555584</v>
      </c>
      <c r="X112" s="702">
        <f t="shared" si="65"/>
        <v>5.2568470239767505E-3</v>
      </c>
      <c r="Y112" s="678">
        <f>(43504.1666666667/12)/0.985</f>
        <v>3680.5555555555584</v>
      </c>
      <c r="Z112" s="702">
        <f t="shared" si="66"/>
        <v>3.4798266362688472E-3</v>
      </c>
      <c r="AA112" s="144">
        <f t="shared" si="51"/>
        <v>36805.555555555591</v>
      </c>
      <c r="AB112" s="226">
        <f t="shared" si="67"/>
        <v>3.7345551751120803E-3</v>
      </c>
      <c r="AC112" s="128">
        <f t="shared" si="52"/>
        <v>3067.1296296296327</v>
      </c>
      <c r="AD112" s="226">
        <f t="shared" si="68"/>
        <v>3.7345551751120807E-3</v>
      </c>
      <c r="AE112" s="579"/>
      <c r="AF112" s="579"/>
      <c r="AG112" s="579"/>
    </row>
    <row r="113" spans="1:33" s="1" customFormat="1">
      <c r="A113" s="2">
        <v>6320</v>
      </c>
      <c r="B113" s="2" t="s">
        <v>328</v>
      </c>
      <c r="C113" s="678"/>
      <c r="D113" s="702">
        <f t="shared" si="55"/>
        <v>0</v>
      </c>
      <c r="E113" s="678"/>
      <c r="F113" s="702">
        <f t="shared" si="56"/>
        <v>0</v>
      </c>
      <c r="G113" s="678"/>
      <c r="H113" s="702">
        <f t="shared" si="57"/>
        <v>0</v>
      </c>
      <c r="I113" s="678"/>
      <c r="J113" s="702">
        <f t="shared" si="58"/>
        <v>0</v>
      </c>
      <c r="K113" s="678"/>
      <c r="L113" s="702">
        <f t="shared" si="59"/>
        <v>0</v>
      </c>
      <c r="M113" s="678"/>
      <c r="N113" s="702">
        <f t="shared" si="60"/>
        <v>0</v>
      </c>
      <c r="O113" s="678"/>
      <c r="P113" s="702">
        <f t="shared" si="61"/>
        <v>0</v>
      </c>
      <c r="Q113" s="678"/>
      <c r="R113" s="702">
        <f t="shared" si="62"/>
        <v>0</v>
      </c>
      <c r="S113" s="678"/>
      <c r="T113" s="702">
        <f t="shared" si="63"/>
        <v>0</v>
      </c>
      <c r="U113" s="678"/>
      <c r="V113" s="702">
        <f t="shared" si="64"/>
        <v>0</v>
      </c>
      <c r="W113" s="678"/>
      <c r="X113" s="702">
        <f t="shared" si="65"/>
        <v>0</v>
      </c>
      <c r="Y113" s="678"/>
      <c r="Z113" s="702">
        <f t="shared" si="66"/>
        <v>0</v>
      </c>
      <c r="AA113" s="144">
        <f t="shared" si="51"/>
        <v>0</v>
      </c>
      <c r="AB113" s="226">
        <f t="shared" si="67"/>
        <v>0</v>
      </c>
      <c r="AC113" s="128">
        <f t="shared" si="52"/>
        <v>0</v>
      </c>
      <c r="AD113" s="226">
        <f t="shared" si="68"/>
        <v>0</v>
      </c>
      <c r="AE113" s="579"/>
      <c r="AF113" s="579"/>
      <c r="AG113" s="579"/>
    </row>
    <row r="114" spans="1:33" s="1" customFormat="1">
      <c r="A114" s="2">
        <v>6321</v>
      </c>
      <c r="B114" s="2" t="s">
        <v>329</v>
      </c>
      <c r="C114" s="754"/>
      <c r="D114" s="684">
        <f t="shared" si="55"/>
        <v>0</v>
      </c>
      <c r="E114" s="754"/>
      <c r="F114" s="684">
        <f t="shared" si="56"/>
        <v>0</v>
      </c>
      <c r="G114" s="754"/>
      <c r="H114" s="684">
        <f t="shared" si="57"/>
        <v>0</v>
      </c>
      <c r="I114" s="754"/>
      <c r="J114" s="684">
        <f t="shared" si="58"/>
        <v>0</v>
      </c>
      <c r="K114" s="754"/>
      <c r="L114" s="684">
        <f t="shared" si="59"/>
        <v>0</v>
      </c>
      <c r="M114" s="754"/>
      <c r="N114" s="684">
        <f t="shared" si="60"/>
        <v>0</v>
      </c>
      <c r="O114" s="754"/>
      <c r="P114" s="684">
        <f t="shared" si="61"/>
        <v>0</v>
      </c>
      <c r="Q114" s="754"/>
      <c r="R114" s="684">
        <f t="shared" si="62"/>
        <v>0</v>
      </c>
      <c r="S114" s="754"/>
      <c r="T114" s="684">
        <f t="shared" si="63"/>
        <v>0</v>
      </c>
      <c r="U114" s="754"/>
      <c r="V114" s="684">
        <f t="shared" si="64"/>
        <v>0</v>
      </c>
      <c r="W114" s="754">
        <f>100000/12</f>
        <v>8333.3333333333339</v>
      </c>
      <c r="X114" s="684">
        <f t="shared" si="65"/>
        <v>1.1902295148626597E-2</v>
      </c>
      <c r="Y114" s="754"/>
      <c r="Z114" s="702">
        <f t="shared" si="66"/>
        <v>0</v>
      </c>
      <c r="AA114" s="144">
        <f t="shared" si="51"/>
        <v>8333.3333333333339</v>
      </c>
      <c r="AB114" s="226">
        <f t="shared" si="67"/>
        <v>8.4555966228952689E-4</v>
      </c>
      <c r="AC114" s="128">
        <f t="shared" si="52"/>
        <v>694.44444444444446</v>
      </c>
      <c r="AD114" s="226">
        <f t="shared" si="68"/>
        <v>8.4555966228952689E-4</v>
      </c>
      <c r="AE114" s="579"/>
      <c r="AF114" s="579"/>
      <c r="AG114" s="579"/>
    </row>
    <row r="115" spans="1:33" s="1" customFormat="1" ht="15.75" thickBot="1">
      <c r="A115" s="4">
        <v>6399</v>
      </c>
      <c r="B115" s="229" t="s">
        <v>113</v>
      </c>
      <c r="C115" s="391">
        <f>SUM(C94:C114)</f>
        <v>29718.276563716023</v>
      </c>
      <c r="D115" s="392">
        <f>C115/C12</f>
        <v>4.0092647390440599E-2</v>
      </c>
      <c r="E115" s="391">
        <f>SUM(E94:E114)</f>
        <v>64041.93243322162</v>
      </c>
      <c r="F115" s="392">
        <f>E115/E12</f>
        <v>0.11105167882775821</v>
      </c>
      <c r="G115" s="391">
        <f>SUM(G94:G114)</f>
        <v>41738.180989272747</v>
      </c>
      <c r="H115" s="392">
        <f>G115/G12</f>
        <v>4.3632094138636474E-2</v>
      </c>
      <c r="I115" s="391">
        <f>SUM(I94:I114)</f>
        <v>48168.376537564705</v>
      </c>
      <c r="J115" s="392">
        <f>I115/I12</f>
        <v>5.7026493145548945E-2</v>
      </c>
      <c r="K115" s="391">
        <f>SUM(K94:K114)</f>
        <v>57780.251271932051</v>
      </c>
      <c r="L115" s="392">
        <f>K115/K12</f>
        <v>7.4793179716869482E-2</v>
      </c>
      <c r="M115" s="391">
        <f>SUM(M94:M114)</f>
        <v>23106.865983747521</v>
      </c>
      <c r="N115" s="392">
        <f>M115/M12</f>
        <v>2.1093644671555792E-2</v>
      </c>
      <c r="O115" s="391">
        <f>SUM(O94:O114)</f>
        <v>23845.940199140539</v>
      </c>
      <c r="P115" s="392">
        <f>O115/O12</f>
        <v>3.438313719570369E-2</v>
      </c>
      <c r="Q115" s="391">
        <f>SUM(Q94:Q114)</f>
        <v>69250.353600516668</v>
      </c>
      <c r="R115" s="395">
        <f>Q115/Q12</f>
        <v>8.0412341778087301E-2</v>
      </c>
      <c r="S115" s="391">
        <f>SUM(S94:S114)</f>
        <v>42992.417305397641</v>
      </c>
      <c r="T115" s="392">
        <f>S115/S12</f>
        <v>4.9556379150928323E-2</v>
      </c>
      <c r="U115" s="391">
        <f>SUM(U94:U114)</f>
        <v>41286.485922896085</v>
      </c>
      <c r="V115" s="392">
        <f>U115/U12</f>
        <v>5.999697328207413E-2</v>
      </c>
      <c r="W115" s="391">
        <f>SUM(W94:W114)</f>
        <v>33941.733724395854</v>
      </c>
      <c r="X115" s="392">
        <f>W115/W12</f>
        <v>4.8478143917262302E-2</v>
      </c>
      <c r="Y115" s="391">
        <f>SUM(Y94:Y114)</f>
        <v>38200.966172135639</v>
      </c>
      <c r="Z115" s="392">
        <f>Y115/Y12</f>
        <v>3.6117574537449786E-2</v>
      </c>
      <c r="AA115" s="391">
        <f>SUM(AA94:AA114)</f>
        <v>514071.78070393699</v>
      </c>
      <c r="AB115" s="96">
        <f>AA115/AA12</f>
        <v>5.2161403354151599E-2</v>
      </c>
      <c r="AC115" s="132">
        <f t="shared" si="52"/>
        <v>42839.315058661414</v>
      </c>
      <c r="AD115" s="96">
        <f>AC115/AC12</f>
        <v>5.2161403354151599E-2</v>
      </c>
      <c r="AE115" s="575"/>
      <c r="AF115" s="575"/>
      <c r="AG115" s="575"/>
    </row>
    <row r="116" spans="1:33" s="1" customFormat="1" ht="15.75" thickTop="1">
      <c r="A116" s="21">
        <v>6401</v>
      </c>
      <c r="B116" s="227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144">
        <f t="shared" ref="AA116:AA128" si="69">C116+E116+G116+I116+K116+M116+O116+Q116+S116+U116+W116+Y116</f>
        <v>0</v>
      </c>
      <c r="AB116" s="24">
        <f>AA116/AA12</f>
        <v>0</v>
      </c>
      <c r="AC116" s="128">
        <f t="shared" si="32"/>
        <v>0</v>
      </c>
      <c r="AD116" s="702">
        <f>AC116/AC12</f>
        <v>0</v>
      </c>
      <c r="AE116" s="579"/>
      <c r="AF116" s="579"/>
      <c r="AG116" s="579"/>
    </row>
    <row r="117" spans="1:33" s="1" customFormat="1">
      <c r="A117" s="188">
        <v>6402</v>
      </c>
      <c r="B117" s="2" t="s">
        <v>75</v>
      </c>
      <c r="C117" s="452">
        <v>500</v>
      </c>
      <c r="D117" s="467">
        <f>C117/C12</f>
        <v>6.7454529714201144E-4</v>
      </c>
      <c r="E117" s="452">
        <v>500</v>
      </c>
      <c r="F117" s="467">
        <f>E117/E12</f>
        <v>8.6702317222825073E-4</v>
      </c>
      <c r="G117" s="452">
        <v>500</v>
      </c>
      <c r="H117" s="467">
        <f>G117/G12</f>
        <v>5.2268801735574542E-4</v>
      </c>
      <c r="I117" s="452">
        <v>500</v>
      </c>
      <c r="J117" s="467">
        <f>I117/I12</f>
        <v>5.9194950343692955E-4</v>
      </c>
      <c r="K117" s="452">
        <v>500</v>
      </c>
      <c r="L117" s="467">
        <f>K117/K12</f>
        <v>6.4722096278942468E-4</v>
      </c>
      <c r="M117" s="452">
        <v>500</v>
      </c>
      <c r="N117" s="467">
        <f>M117/M12</f>
        <v>4.5643672937715238E-4</v>
      </c>
      <c r="O117" s="452">
        <v>500</v>
      </c>
      <c r="P117" s="467">
        <f>O117/O12</f>
        <v>7.2094320686384467E-4</v>
      </c>
      <c r="Q117" s="452">
        <v>500</v>
      </c>
      <c r="R117" s="467">
        <f>Q117/Q12</f>
        <v>5.8059156088906489E-4</v>
      </c>
      <c r="S117" s="452">
        <v>500</v>
      </c>
      <c r="T117" s="467">
        <f>S117/S12</f>
        <v>5.7633859941979334E-4</v>
      </c>
      <c r="U117" s="452">
        <v>500</v>
      </c>
      <c r="V117" s="467">
        <f>U117/U12</f>
        <v>7.265933627061469E-4</v>
      </c>
      <c r="W117" s="452">
        <v>500</v>
      </c>
      <c r="X117" s="467">
        <f>W117/W12</f>
        <v>7.1413770891759574E-4</v>
      </c>
      <c r="Y117" s="452">
        <v>500</v>
      </c>
      <c r="Z117" s="467">
        <f>Y117/Y12</f>
        <v>4.727311656818053E-4</v>
      </c>
      <c r="AA117" s="144">
        <f t="shared" si="69"/>
        <v>6000</v>
      </c>
      <c r="AB117" s="677">
        <f>AA117/AA12</f>
        <v>6.0880295684845927E-4</v>
      </c>
      <c r="AC117" s="128">
        <f t="shared" si="32"/>
        <v>500</v>
      </c>
      <c r="AD117" s="677">
        <f>AC117/AC12</f>
        <v>6.0880295684845938E-4</v>
      </c>
      <c r="AE117" s="393" t="s">
        <v>256</v>
      </c>
      <c r="AF117" s="393" t="s">
        <v>255</v>
      </c>
      <c r="AG117" s="393"/>
    </row>
    <row r="118" spans="1:33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144">
        <f t="shared" si="69"/>
        <v>0</v>
      </c>
      <c r="AB118" s="702">
        <f>AA118/AA12</f>
        <v>0</v>
      </c>
      <c r="AC118" s="128">
        <f t="shared" si="32"/>
        <v>0</v>
      </c>
      <c r="AD118" s="702">
        <f>AC118/AC12</f>
        <v>0</v>
      </c>
      <c r="AE118" s="393"/>
      <c r="AF118" s="393"/>
      <c r="AG118" s="393"/>
    </row>
    <row r="119" spans="1:33" s="1" customFormat="1">
      <c r="A119" s="188">
        <v>6404</v>
      </c>
      <c r="B119" s="188" t="s">
        <v>92</v>
      </c>
      <c r="C119" s="707">
        <v>2000</v>
      </c>
      <c r="D119" s="467">
        <f>C119/C12</f>
        <v>2.6981811885680457E-3</v>
      </c>
      <c r="E119" s="707">
        <v>2000</v>
      </c>
      <c r="F119" s="467">
        <f>E119/E12</f>
        <v>3.4680926889130029E-3</v>
      </c>
      <c r="G119" s="707">
        <v>2000</v>
      </c>
      <c r="H119" s="467">
        <f>G119/G12</f>
        <v>2.0907520694229817E-3</v>
      </c>
      <c r="I119" s="707">
        <v>2000</v>
      </c>
      <c r="J119" s="467">
        <f>I119/I12</f>
        <v>2.3677980137477182E-3</v>
      </c>
      <c r="K119" s="707">
        <v>2000</v>
      </c>
      <c r="L119" s="467">
        <f>K119/K12</f>
        <v>2.5888838511576987E-3</v>
      </c>
      <c r="M119" s="707">
        <v>2000</v>
      </c>
      <c r="N119" s="467">
        <f>M119/M12</f>
        <v>1.8257469175086095E-3</v>
      </c>
      <c r="O119" s="707">
        <v>2000</v>
      </c>
      <c r="P119" s="467">
        <f>O119/O12</f>
        <v>2.8837728274553787E-3</v>
      </c>
      <c r="Q119" s="707">
        <v>2000</v>
      </c>
      <c r="R119" s="467">
        <f>Q119/Q12</f>
        <v>2.3223662435562595E-3</v>
      </c>
      <c r="S119" s="707">
        <v>2000</v>
      </c>
      <c r="T119" s="467">
        <f>S119/S12</f>
        <v>2.3053543976791734E-3</v>
      </c>
      <c r="U119" s="707">
        <v>2000</v>
      </c>
      <c r="V119" s="467">
        <f>U119/U12</f>
        <v>2.9063734508245876E-3</v>
      </c>
      <c r="W119" s="707">
        <v>2000</v>
      </c>
      <c r="X119" s="467">
        <f>W119/W12</f>
        <v>2.856550835670383E-3</v>
      </c>
      <c r="Y119" s="707">
        <v>2000</v>
      </c>
      <c r="Z119" s="467">
        <f>Y119/Y12</f>
        <v>1.8909246627272212E-3</v>
      </c>
      <c r="AA119" s="144">
        <f t="shared" si="69"/>
        <v>24000</v>
      </c>
      <c r="AB119" s="702">
        <f>AA119/AA12</f>
        <v>2.4352118273938371E-3</v>
      </c>
      <c r="AC119" s="128">
        <f t="shared" si="32"/>
        <v>2000</v>
      </c>
      <c r="AD119" s="702">
        <f>AC119/AC12</f>
        <v>2.4352118273938375E-3</v>
      </c>
      <c r="AE119" s="645"/>
      <c r="AF119" s="226"/>
      <c r="AG119" s="226"/>
    </row>
    <row r="120" spans="1:33" s="1" customFormat="1">
      <c r="A120" s="188">
        <v>6406</v>
      </c>
      <c r="B120" s="2" t="s">
        <v>72</v>
      </c>
      <c r="C120" s="452">
        <v>750</v>
      </c>
      <c r="D120" s="467">
        <f>C120/C12</f>
        <v>1.0118179457130172E-3</v>
      </c>
      <c r="E120" s="452">
        <v>750</v>
      </c>
      <c r="F120" s="467">
        <f>E120/E12</f>
        <v>1.300534758342376E-3</v>
      </c>
      <c r="G120" s="452">
        <v>750</v>
      </c>
      <c r="H120" s="467">
        <f>G120/G12</f>
        <v>7.8403202603361812E-4</v>
      </c>
      <c r="I120" s="452">
        <v>750</v>
      </c>
      <c r="J120" s="467">
        <f>I120/I12</f>
        <v>8.8792425515539432E-4</v>
      </c>
      <c r="K120" s="452">
        <v>750</v>
      </c>
      <c r="L120" s="467">
        <f>K120/K12</f>
        <v>9.7083144418413708E-4</v>
      </c>
      <c r="M120" s="452">
        <v>750</v>
      </c>
      <c r="N120" s="467">
        <f>M120/M12</f>
        <v>6.8465509406572856E-4</v>
      </c>
      <c r="O120" s="452">
        <v>750</v>
      </c>
      <c r="P120" s="467">
        <f>O120/O12</f>
        <v>1.0814148102957668E-3</v>
      </c>
      <c r="Q120" s="452">
        <v>750</v>
      </c>
      <c r="R120" s="467">
        <f>Q120/Q12</f>
        <v>8.7088734133359733E-4</v>
      </c>
      <c r="S120" s="452">
        <v>750</v>
      </c>
      <c r="T120" s="467">
        <f>S120/S12</f>
        <v>8.6450789912969001E-4</v>
      </c>
      <c r="U120" s="452">
        <v>750</v>
      </c>
      <c r="V120" s="467">
        <f>U120/U12</f>
        <v>1.0898900440592203E-3</v>
      </c>
      <c r="W120" s="452">
        <v>750</v>
      </c>
      <c r="X120" s="467">
        <f>W120/W12</f>
        <v>1.0712065633763936E-3</v>
      </c>
      <c r="Y120" s="452">
        <v>750</v>
      </c>
      <c r="Z120" s="467">
        <f>Y120/Y12</f>
        <v>7.09096748522708E-4</v>
      </c>
      <c r="AA120" s="144">
        <f t="shared" si="69"/>
        <v>9000</v>
      </c>
      <c r="AB120" s="677">
        <f>AA120/AA12</f>
        <v>9.1320443527268891E-4</v>
      </c>
      <c r="AC120" s="128">
        <f t="shared" si="32"/>
        <v>750</v>
      </c>
      <c r="AD120" s="677">
        <f>AC120/AC12</f>
        <v>9.1320443527268902E-4</v>
      </c>
      <c r="AE120" s="393" t="s">
        <v>231</v>
      </c>
      <c r="AF120" s="393"/>
      <c r="AG120" s="393"/>
    </row>
    <row r="121" spans="1:33" s="1" customFormat="1">
      <c r="A121" s="2">
        <v>6407</v>
      </c>
      <c r="B121" s="228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144">
        <f t="shared" si="69"/>
        <v>0</v>
      </c>
      <c r="AB121" s="677">
        <f>AA121/AA12</f>
        <v>0</v>
      </c>
      <c r="AC121" s="128">
        <f t="shared" si="32"/>
        <v>0</v>
      </c>
      <c r="AD121" s="677">
        <f>AC121/AC12</f>
        <v>0</v>
      </c>
      <c r="AE121" s="393"/>
      <c r="AF121" s="393"/>
      <c r="AG121" s="393"/>
    </row>
    <row r="122" spans="1:33" s="1" customFormat="1">
      <c r="A122" s="2">
        <v>6408</v>
      </c>
      <c r="B122" s="228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144">
        <f t="shared" si="69"/>
        <v>0</v>
      </c>
      <c r="AB122" s="677">
        <f>AA122/AA12</f>
        <v>0</v>
      </c>
      <c r="AC122" s="128">
        <f t="shared" si="32"/>
        <v>0</v>
      </c>
      <c r="AD122" s="677">
        <f>AC122/AC12</f>
        <v>0</v>
      </c>
      <c r="AE122" s="393"/>
      <c r="AF122" s="393"/>
      <c r="AG122" s="393"/>
    </row>
    <row r="123" spans="1:33" s="1" customFormat="1">
      <c r="A123" s="2">
        <v>6410</v>
      </c>
      <c r="B123" s="228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144">
        <f t="shared" si="69"/>
        <v>0</v>
      </c>
      <c r="AB123" s="24"/>
      <c r="AC123" s="128">
        <f t="shared" si="32"/>
        <v>0</v>
      </c>
      <c r="AD123" s="24"/>
      <c r="AE123" s="579"/>
      <c r="AF123" s="579"/>
      <c r="AG123" s="579"/>
    </row>
    <row r="124" spans="1:33" s="1" customFormat="1">
      <c r="A124" s="2">
        <v>6411</v>
      </c>
      <c r="B124" s="228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144">
        <f t="shared" si="69"/>
        <v>0</v>
      </c>
      <c r="AB124" s="24"/>
      <c r="AC124" s="128">
        <f t="shared" si="32"/>
        <v>0</v>
      </c>
      <c r="AD124" s="24"/>
      <c r="AE124" s="579"/>
      <c r="AF124" s="579"/>
      <c r="AG124" s="579"/>
    </row>
    <row r="125" spans="1:33" s="1" customFormat="1">
      <c r="A125" s="2">
        <v>6412</v>
      </c>
      <c r="B125" s="228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144">
        <f t="shared" si="69"/>
        <v>0</v>
      </c>
      <c r="AB125" s="24">
        <f>AA125/AA12</f>
        <v>0</v>
      </c>
      <c r="AC125" s="128">
        <f t="shared" si="32"/>
        <v>0</v>
      </c>
      <c r="AD125" s="24">
        <f>AC125/AC12</f>
        <v>0</v>
      </c>
      <c r="AE125" s="579"/>
      <c r="AF125" s="579"/>
      <c r="AG125" s="579"/>
    </row>
    <row r="126" spans="1:33" s="1" customFormat="1">
      <c r="A126" s="2">
        <v>6413</v>
      </c>
      <c r="B126" s="2" t="s">
        <v>41</v>
      </c>
      <c r="C126" s="452">
        <f>C12*1%</f>
        <v>7412.4006514974699</v>
      </c>
      <c r="D126" s="467">
        <f>C126/C12</f>
        <v>0.01</v>
      </c>
      <c r="E126" s="452">
        <f>E12*1%</f>
        <v>5766.8585571363601</v>
      </c>
      <c r="F126" s="467">
        <f>E126/E12</f>
        <v>0.01</v>
      </c>
      <c r="G126" s="452">
        <f>G12*1%</f>
        <v>9565.935766606568</v>
      </c>
      <c r="H126" s="467">
        <f>G126/G12</f>
        <v>0.01</v>
      </c>
      <c r="I126" s="452">
        <f>I12*1%</f>
        <v>8446.6664317976501</v>
      </c>
      <c r="J126" s="467">
        <f>I126/I12</f>
        <v>0.01</v>
      </c>
      <c r="K126" s="452">
        <f>K12*1%</f>
        <v>7725.3369211818399</v>
      </c>
      <c r="L126" s="467">
        <f>K126/K12</f>
        <v>0.01</v>
      </c>
      <c r="M126" s="452">
        <f>M12*1%</f>
        <v>10954.420795239101</v>
      </c>
      <c r="N126" s="467">
        <f>M126/M12</f>
        <v>0.01</v>
      </c>
      <c r="O126" s="452">
        <f>O12*1%</f>
        <v>6935.3590579629199</v>
      </c>
      <c r="P126" s="467">
        <f>O126/O12</f>
        <v>0.01</v>
      </c>
      <c r="Q126" s="452">
        <f>Q12*1%</f>
        <v>8611.9060916825183</v>
      </c>
      <c r="R126" s="467">
        <f>Q126/Q12</f>
        <v>0.01</v>
      </c>
      <c r="S126" s="452">
        <f>S12*1%</f>
        <v>8675.45572174683</v>
      </c>
      <c r="T126" s="467">
        <f>S126/S12</f>
        <v>0.01</v>
      </c>
      <c r="U126" s="452">
        <f>U12*1%</f>
        <v>6881.4281228469317</v>
      </c>
      <c r="V126" s="467">
        <f>U126/U12</f>
        <v>0.01</v>
      </c>
      <c r="W126" s="452">
        <f>W12*1%</f>
        <v>7001.4507532145308</v>
      </c>
      <c r="X126" s="467">
        <f>W126/W12</f>
        <v>0.01</v>
      </c>
      <c r="Y126" s="452">
        <f>Y12*1%</f>
        <v>10576.835975662103</v>
      </c>
      <c r="Z126" s="467">
        <f>Y126/Y12</f>
        <v>0.01</v>
      </c>
      <c r="AA126" s="144">
        <f t="shared" si="69"/>
        <v>98554.054846574829</v>
      </c>
      <c r="AB126" s="677">
        <f>AA126/AA12</f>
        <v>9.9999999999999985E-3</v>
      </c>
      <c r="AC126" s="128">
        <f t="shared" si="32"/>
        <v>8212.8379038812363</v>
      </c>
      <c r="AD126" s="677">
        <f>AC126/AC12</f>
        <v>9.9999999999999985E-3</v>
      </c>
      <c r="AE126" s="393"/>
      <c r="AF126" s="393"/>
      <c r="AG126" s="393"/>
    </row>
    <row r="127" spans="1:33" s="1" customFormat="1">
      <c r="A127" s="2">
        <v>6414</v>
      </c>
      <c r="B127" s="2" t="s">
        <v>43</v>
      </c>
      <c r="C127" s="486">
        <v>250</v>
      </c>
      <c r="D127" s="467">
        <f>C127/C12</f>
        <v>3.3727264857100572E-4</v>
      </c>
      <c r="E127" s="486">
        <v>250</v>
      </c>
      <c r="F127" s="467">
        <f>E127/E12</f>
        <v>4.3351158611412536E-4</v>
      </c>
      <c r="G127" s="486">
        <v>250</v>
      </c>
      <c r="H127" s="467">
        <f>G127/G12</f>
        <v>2.6134400867787271E-4</v>
      </c>
      <c r="I127" s="486">
        <v>250</v>
      </c>
      <c r="J127" s="467">
        <f>I127/I12</f>
        <v>2.9597475171846477E-4</v>
      </c>
      <c r="K127" s="486">
        <v>250</v>
      </c>
      <c r="L127" s="467">
        <f>K127/K12</f>
        <v>3.2361048139471234E-4</v>
      </c>
      <c r="M127" s="486">
        <v>250</v>
      </c>
      <c r="N127" s="467">
        <f>M127/M12</f>
        <v>2.2821836468857619E-4</v>
      </c>
      <c r="O127" s="486">
        <v>250</v>
      </c>
      <c r="P127" s="467">
        <f>O127/O12</f>
        <v>3.6047160343192233E-4</v>
      </c>
      <c r="Q127" s="486">
        <v>250</v>
      </c>
      <c r="R127" s="467">
        <f>Q127/Q12</f>
        <v>2.9029578044453244E-4</v>
      </c>
      <c r="S127" s="486">
        <v>250</v>
      </c>
      <c r="T127" s="467">
        <f>S127/S12</f>
        <v>2.8816929970989667E-4</v>
      </c>
      <c r="U127" s="486">
        <v>250</v>
      </c>
      <c r="V127" s="467">
        <f>U127/U12</f>
        <v>3.6329668135307345E-4</v>
      </c>
      <c r="W127" s="486">
        <v>250</v>
      </c>
      <c r="X127" s="467">
        <f>W127/W12</f>
        <v>3.5706885445879787E-4</v>
      </c>
      <c r="Y127" s="486">
        <v>250</v>
      </c>
      <c r="Z127" s="467">
        <f>Y127/Y12</f>
        <v>2.3636558284090265E-4</v>
      </c>
      <c r="AA127" s="144">
        <f t="shared" si="69"/>
        <v>3000</v>
      </c>
      <c r="AB127" s="677">
        <f>AA127/AA12</f>
        <v>3.0440147842422964E-4</v>
      </c>
      <c r="AC127" s="128">
        <f t="shared" si="32"/>
        <v>250</v>
      </c>
      <c r="AD127" s="677">
        <f>AC127/AC12</f>
        <v>3.0440147842422969E-4</v>
      </c>
      <c r="AE127" s="393" t="s">
        <v>224</v>
      </c>
      <c r="AF127" s="393"/>
      <c r="AG127" s="393"/>
    </row>
    <row r="128" spans="1:33" s="1" customFormat="1">
      <c r="A128" s="2">
        <v>6415</v>
      </c>
      <c r="B128" s="228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144">
        <f t="shared" si="69"/>
        <v>0</v>
      </c>
      <c r="AB128" s="677">
        <f>AA128/AA12</f>
        <v>0</v>
      </c>
      <c r="AC128" s="128">
        <f t="shared" si="32"/>
        <v>0</v>
      </c>
      <c r="AD128" s="677">
        <f>AC128/AC12</f>
        <v>0</v>
      </c>
      <c r="AE128" s="393"/>
      <c r="AF128" s="393"/>
      <c r="AG128" s="393"/>
    </row>
    <row r="129" spans="1:35" s="1" customFormat="1" ht="15.75" thickBot="1">
      <c r="A129" s="4">
        <v>6499</v>
      </c>
      <c r="B129" s="229" t="s">
        <v>114</v>
      </c>
      <c r="C129" s="76">
        <f>SUM(C116:C128)</f>
        <v>10912.40065149747</v>
      </c>
      <c r="D129" s="23">
        <f>C129/C12</f>
        <v>1.4721817079994081E-2</v>
      </c>
      <c r="E129" s="116">
        <f>SUM(E116:E128)</f>
        <v>9266.8585571363601</v>
      </c>
      <c r="F129" s="23">
        <f>E129/E12</f>
        <v>1.6069162205597756E-2</v>
      </c>
      <c r="G129" s="76">
        <f>SUM(G116:G128)</f>
        <v>13065.935766606568</v>
      </c>
      <c r="H129" s="23">
        <f>G129/G12</f>
        <v>1.3658816121490218E-2</v>
      </c>
      <c r="I129" s="76">
        <f>SUM(I116:I128)</f>
        <v>11946.66643179765</v>
      </c>
      <c r="J129" s="23">
        <f>I129/I12</f>
        <v>1.4143646524058508E-2</v>
      </c>
      <c r="K129" s="28">
        <f>SUM(K116:K128)</f>
        <v>11225.336921181839</v>
      </c>
      <c r="L129" s="23">
        <f>K129/K12</f>
        <v>1.4530546739525972E-2</v>
      </c>
      <c r="M129" s="28">
        <f>SUM(M116:M128)</f>
        <v>14454.420795239101</v>
      </c>
      <c r="N129" s="23">
        <f>M129/M12</f>
        <v>1.3195057105640067E-2</v>
      </c>
      <c r="O129" s="28">
        <f>SUM(O116:O128)</f>
        <v>10435.35905796292</v>
      </c>
      <c r="P129" s="23">
        <f>O129/O12</f>
        <v>1.5046602448046911E-2</v>
      </c>
      <c r="Q129" s="28">
        <f>SUM(Q116:Q128)</f>
        <v>12111.906091682518</v>
      </c>
      <c r="R129" s="23">
        <f>Q129/Q12</f>
        <v>1.4064140926223455E-2</v>
      </c>
      <c r="S129" s="28">
        <f>SUM(S116:S128)</f>
        <v>12175.45572174683</v>
      </c>
      <c r="T129" s="23">
        <f>S129/S12</f>
        <v>1.4034370195938553E-2</v>
      </c>
      <c r="U129" s="76">
        <f>SUM(U116:U128)</f>
        <v>10381.428122846932</v>
      </c>
      <c r="V129" s="23">
        <f>U129/U12</f>
        <v>1.5086153538943029E-2</v>
      </c>
      <c r="W129" s="76">
        <f>SUM(W116:W128)</f>
        <v>10501.450753214531</v>
      </c>
      <c r="X129" s="23">
        <f>W129/W12</f>
        <v>1.4998963962423171E-2</v>
      </c>
      <c r="Y129" s="76">
        <f>SUM(Y116:Y128)</f>
        <v>14076.835975662103</v>
      </c>
      <c r="Z129" s="23">
        <f>Y129/Y12</f>
        <v>1.3309118159772638E-2</v>
      </c>
      <c r="AA129" s="196">
        <f>SUM(AA116:AA128)</f>
        <v>140554.05484657484</v>
      </c>
      <c r="AB129" s="23">
        <f>AA129/AA12</f>
        <v>1.4261620697939214E-2</v>
      </c>
      <c r="AC129" s="52">
        <f t="shared" si="32"/>
        <v>11712.837903881236</v>
      </c>
      <c r="AD129" s="23">
        <f>AC129/AC12</f>
        <v>1.4261620697939214E-2</v>
      </c>
      <c r="AE129" s="575"/>
      <c r="AF129" s="575"/>
      <c r="AG129" s="575"/>
    </row>
    <row r="130" spans="1:35" s="1" customFormat="1" ht="15.75" thickTop="1">
      <c r="A130" s="222"/>
      <c r="B130" s="230"/>
      <c r="C130" s="82"/>
      <c r="D130" s="233"/>
      <c r="E130" s="114"/>
      <c r="F130" s="233"/>
      <c r="G130" s="82"/>
      <c r="H130" s="233"/>
      <c r="I130" s="82"/>
      <c r="J130" s="233"/>
      <c r="K130" s="32"/>
      <c r="L130" s="233"/>
      <c r="M130" s="32"/>
      <c r="N130" s="233"/>
      <c r="O130" s="32"/>
      <c r="P130" s="233"/>
      <c r="Q130" s="32"/>
      <c r="R130" s="233"/>
      <c r="S130" s="32"/>
      <c r="T130" s="233"/>
      <c r="U130" s="82"/>
      <c r="V130" s="233"/>
      <c r="W130" s="82"/>
      <c r="X130" s="233"/>
      <c r="Y130" s="82"/>
      <c r="Z130" s="233"/>
      <c r="AA130" s="201"/>
      <c r="AB130" s="233"/>
      <c r="AC130" s="201">
        <f t="shared" si="32"/>
        <v>0</v>
      </c>
      <c r="AD130" s="233"/>
      <c r="AE130" s="574"/>
      <c r="AF130" s="574"/>
      <c r="AG130" s="574"/>
    </row>
    <row r="131" spans="1:35" s="1" customFormat="1" ht="15.75" thickBot="1">
      <c r="A131" s="4"/>
      <c r="B131" s="229" t="s">
        <v>133</v>
      </c>
      <c r="C131" s="278">
        <f>C37-C41-C76-C93-C115-C129</f>
        <v>93681.946932360835</v>
      </c>
      <c r="D131" s="259">
        <f>C131/C12</f>
        <v>0.12638543346066297</v>
      </c>
      <c r="E131" s="278">
        <f>E37-E41-E76-E93-E115-E129</f>
        <v>38483.02458473319</v>
      </c>
      <c r="F131" s="259">
        <f>E131/E12</f>
        <v>6.6731348104786259E-2</v>
      </c>
      <c r="G131" s="278">
        <f>G37-G41-G76-G93-G115-G129</f>
        <v>213136.38510996237</v>
      </c>
      <c r="H131" s="259">
        <f>G131/G12</f>
        <v>0.22280766911899372</v>
      </c>
      <c r="I131" s="278">
        <f>I37-I41-I76-I93-I115-I129</f>
        <v>168795.50480054351</v>
      </c>
      <c r="J131" s="259">
        <f>I131/I12</f>
        <v>0.19983683049813517</v>
      </c>
      <c r="K131" s="287">
        <f>K37-K41-K76-K93-K115-K129</f>
        <v>139241.20479653616</v>
      </c>
      <c r="L131" s="259">
        <f>K131/K12</f>
        <v>0.18023965325674718</v>
      </c>
      <c r="M131" s="287">
        <f>M37-M41-M76-M93-M115-M129</f>
        <v>274941.82990766951</v>
      </c>
      <c r="N131" s="259">
        <f>M131/M12</f>
        <v>0.25098709922405205</v>
      </c>
      <c r="O131" s="287">
        <f>O37-O41-O76-O93-O115-O129</f>
        <v>146011.8178325397</v>
      </c>
      <c r="P131" s="259">
        <f>O131/O12</f>
        <v>0.21053245637642135</v>
      </c>
      <c r="Q131" s="287">
        <f>Q37-Q41-Q76-Q93-Q115-Q129</f>
        <v>149182.9914878823</v>
      </c>
      <c r="R131" s="259">
        <f>Q131/Q12</f>
        <v>0.17322877177209933</v>
      </c>
      <c r="S131" s="287">
        <f>S37-S41-S76-S93-S115-S129</f>
        <v>130705.22370165087</v>
      </c>
      <c r="T131" s="259">
        <f>S131/S12</f>
        <v>0.15066093113012047</v>
      </c>
      <c r="U131" s="252">
        <f>U37-U41-U76-U93-U115-U129</f>
        <v>106345.81352086081</v>
      </c>
      <c r="V131" s="259">
        <f>U131/U12</f>
        <v>0.15454032451168617</v>
      </c>
      <c r="W131" s="252">
        <f>W37-W41-W76-W93-W115-W129</f>
        <v>92727.714173192537</v>
      </c>
      <c r="X131" s="259">
        <f>W131/W12</f>
        <v>0.13244071470561877</v>
      </c>
      <c r="Y131" s="252">
        <f>Y37-Y41-Y76-Y93-Y115-Y129</f>
        <v>213082.46343086477</v>
      </c>
      <c r="Z131" s="259">
        <f>Y131/Y12</f>
        <v>0.20146144264804669</v>
      </c>
      <c r="AA131" s="256">
        <f>AA37-AA41-AA76-AA93-AA115-AA129</f>
        <v>1766335.9202788002</v>
      </c>
      <c r="AB131" s="259">
        <f>AA131/AA12</f>
        <v>0.17922508850889635</v>
      </c>
      <c r="AC131" s="254">
        <f t="shared" si="32"/>
        <v>147194.66002323336</v>
      </c>
      <c r="AD131" s="259">
        <f>AC131/AC12</f>
        <v>0.17922508850889637</v>
      </c>
      <c r="AE131" s="565"/>
      <c r="AF131" s="565"/>
      <c r="AG131" s="565"/>
    </row>
    <row r="132" spans="1:35" s="1" customFormat="1" ht="15.75" thickTop="1">
      <c r="A132" s="222"/>
      <c r="B132" s="230"/>
      <c r="C132" s="82"/>
      <c r="D132" s="233"/>
      <c r="E132" s="114"/>
      <c r="F132" s="233"/>
      <c r="G132" s="82"/>
      <c r="H132" s="233"/>
      <c r="I132" s="82"/>
      <c r="J132" s="233"/>
      <c r="K132" s="32"/>
      <c r="L132" s="233"/>
      <c r="M132" s="32"/>
      <c r="N132" s="233"/>
      <c r="O132" s="32"/>
      <c r="P132" s="233"/>
      <c r="Q132" s="32"/>
      <c r="R132" s="233"/>
      <c r="S132" s="32"/>
      <c r="T132" s="233"/>
      <c r="U132" s="82"/>
      <c r="V132" s="233"/>
      <c r="W132" s="82"/>
      <c r="X132" s="233"/>
      <c r="Y132" s="82"/>
      <c r="Z132" s="233"/>
      <c r="AA132" s="201"/>
      <c r="AB132" s="233"/>
      <c r="AC132" s="201">
        <f t="shared" si="32"/>
        <v>0</v>
      </c>
      <c r="AD132" s="233"/>
      <c r="AE132" s="574"/>
      <c r="AF132" s="574"/>
      <c r="AG132" s="574"/>
    </row>
    <row r="133" spans="1:35" s="1" customFormat="1" ht="15.75" thickBot="1">
      <c r="A133" s="72"/>
      <c r="B133" s="4" t="s">
        <v>149</v>
      </c>
      <c r="C133" s="76"/>
      <c r="D133" s="107"/>
      <c r="E133" s="274"/>
      <c r="F133" s="107"/>
      <c r="G133" s="274"/>
      <c r="H133" s="107"/>
      <c r="I133" s="274"/>
      <c r="J133" s="107"/>
      <c r="K133" s="28"/>
      <c r="L133" s="107"/>
      <c r="M133" s="28"/>
      <c r="N133" s="107"/>
      <c r="O133" s="28"/>
      <c r="P133" s="107"/>
      <c r="Q133" s="28"/>
      <c r="R133" s="107"/>
      <c r="S133" s="28"/>
      <c r="T133" s="107"/>
      <c r="U133" s="28"/>
      <c r="V133" s="107"/>
      <c r="W133" s="28"/>
      <c r="X133" s="107"/>
      <c r="Y133" s="28"/>
      <c r="Z133" s="107"/>
      <c r="AA133" s="197">
        <f>C133+E133+G133+I133+K133+M133+O133+Q133+S133+U133+W133+Y133</f>
        <v>0</v>
      </c>
      <c r="AB133" s="107"/>
      <c r="AC133" s="264">
        <f t="shared" si="32"/>
        <v>0</v>
      </c>
      <c r="AD133" s="107"/>
      <c r="AE133" s="583"/>
      <c r="AF133" s="583"/>
      <c r="AG133" s="583"/>
    </row>
    <row r="134" spans="1:35" s="1" customFormat="1" ht="15.75" thickTop="1">
      <c r="A134" s="222"/>
      <c r="B134" s="222"/>
      <c r="C134" s="82"/>
      <c r="D134" s="233"/>
      <c r="E134" s="114"/>
      <c r="F134" s="233"/>
      <c r="G134" s="82"/>
      <c r="H134" s="233"/>
      <c r="I134" s="82"/>
      <c r="J134" s="233"/>
      <c r="K134" s="32"/>
      <c r="L134" s="233"/>
      <c r="M134" s="32"/>
      <c r="N134" s="233"/>
      <c r="O134" s="32"/>
      <c r="P134" s="233"/>
      <c r="Q134" s="32"/>
      <c r="R134" s="233"/>
      <c r="S134" s="32"/>
      <c r="T134" s="233"/>
      <c r="U134" s="82"/>
      <c r="V134" s="233"/>
      <c r="W134" s="82"/>
      <c r="X134" s="233"/>
      <c r="Y134" s="82"/>
      <c r="Z134" s="233"/>
      <c r="AA134" s="201"/>
      <c r="AB134" s="233"/>
      <c r="AC134" s="201">
        <f t="shared" si="32"/>
        <v>0</v>
      </c>
      <c r="AD134" s="233"/>
      <c r="AE134" s="574"/>
      <c r="AF134" s="574"/>
      <c r="AG134" s="574"/>
    </row>
    <row r="135" spans="1:35" s="1" customFormat="1" ht="15.75" thickBot="1">
      <c r="A135" s="4"/>
      <c r="B135" s="4" t="s">
        <v>140</v>
      </c>
      <c r="C135" s="76">
        <f>C131-C133</f>
        <v>93681.946932360835</v>
      </c>
      <c r="D135" s="89">
        <f>C135/C12</f>
        <v>0.12638543346066297</v>
      </c>
      <c r="E135" s="76">
        <f>E131-E133</f>
        <v>38483.02458473319</v>
      </c>
      <c r="F135" s="89">
        <f>E135/E12</f>
        <v>6.6731348104786259E-2</v>
      </c>
      <c r="G135" s="76">
        <f>G131-G133</f>
        <v>213136.38510996237</v>
      </c>
      <c r="H135" s="89">
        <f>G135/G12</f>
        <v>0.22280766911899372</v>
      </c>
      <c r="I135" s="76">
        <f>I131-I133</f>
        <v>168795.50480054351</v>
      </c>
      <c r="J135" s="89">
        <f>I135/I12</f>
        <v>0.19983683049813517</v>
      </c>
      <c r="K135" s="28">
        <f>K131-K133</f>
        <v>139241.20479653616</v>
      </c>
      <c r="L135" s="89">
        <f>K135/K12</f>
        <v>0.18023965325674718</v>
      </c>
      <c r="M135" s="28">
        <f>M131-M133</f>
        <v>274941.82990766951</v>
      </c>
      <c r="N135" s="89">
        <f>M135/M12</f>
        <v>0.25098709922405205</v>
      </c>
      <c r="O135" s="28">
        <f>O131-O133</f>
        <v>146011.8178325397</v>
      </c>
      <c r="P135" s="89">
        <f>O135/O12</f>
        <v>0.21053245637642135</v>
      </c>
      <c r="Q135" s="28">
        <f>Q131-Q133</f>
        <v>149182.9914878823</v>
      </c>
      <c r="R135" s="89">
        <f>Q135/Q12</f>
        <v>0.17322877177209933</v>
      </c>
      <c r="S135" s="28">
        <f>S131-S133</f>
        <v>130705.22370165087</v>
      </c>
      <c r="T135" s="89">
        <f>S135/S12</f>
        <v>0.15066093113012047</v>
      </c>
      <c r="U135" s="52">
        <f>U131-U133</f>
        <v>106345.81352086081</v>
      </c>
      <c r="V135" s="89">
        <f>U135/U12</f>
        <v>0.15454032451168617</v>
      </c>
      <c r="W135" s="52">
        <f>W131-W133</f>
        <v>92727.714173192537</v>
      </c>
      <c r="X135" s="89">
        <f>W135/W12</f>
        <v>0.13244071470561877</v>
      </c>
      <c r="Y135" s="52">
        <f>Y131-Y133</f>
        <v>213082.46343086477</v>
      </c>
      <c r="Z135" s="89">
        <f>Y135/Y12</f>
        <v>0.20146144264804669</v>
      </c>
      <c r="AA135" s="52">
        <f>AA131-AA133</f>
        <v>1766335.9202788002</v>
      </c>
      <c r="AB135" s="89">
        <f>AA135/AA12</f>
        <v>0.17922508850889635</v>
      </c>
      <c r="AC135" s="52">
        <f t="shared" si="32"/>
        <v>147194.66002323336</v>
      </c>
      <c r="AD135" s="89">
        <f>AC135/AC12</f>
        <v>0.17922508850889637</v>
      </c>
      <c r="AE135" s="562"/>
      <c r="AF135" s="562"/>
      <c r="AG135" s="562"/>
    </row>
    <row r="136" spans="1:35" s="1" customFormat="1" ht="15.75" thickTop="1">
      <c r="A136" s="21">
        <v>6501</v>
      </c>
      <c r="B136" s="21" t="s">
        <v>148</v>
      </c>
      <c r="C136" s="82"/>
      <c r="D136" s="24">
        <f>C136/C12</f>
        <v>0</v>
      </c>
      <c r="E136" s="114"/>
      <c r="F136" s="24">
        <f>E136/E12</f>
        <v>0</v>
      </c>
      <c r="G136" s="82"/>
      <c r="H136" s="24">
        <f>G136/G12</f>
        <v>0</v>
      </c>
      <c r="I136" s="82"/>
      <c r="J136" s="24">
        <f>I136/I12</f>
        <v>0</v>
      </c>
      <c r="K136" s="32"/>
      <c r="L136" s="24">
        <f>K136/K12</f>
        <v>0</v>
      </c>
      <c r="M136" s="32">
        <v>0</v>
      </c>
      <c r="N136" s="24">
        <f>M136/M12</f>
        <v>0</v>
      </c>
      <c r="O136" s="32"/>
      <c r="P136" s="24">
        <f>O136/O12</f>
        <v>0</v>
      </c>
      <c r="Q136" s="32"/>
      <c r="R136" s="24">
        <f>Q136/Q12</f>
        <v>0</v>
      </c>
      <c r="S136" s="32"/>
      <c r="T136" s="24">
        <f>S136/S12</f>
        <v>0</v>
      </c>
      <c r="U136" s="82"/>
      <c r="V136" s="24">
        <f>U136/U12</f>
        <v>0</v>
      </c>
      <c r="W136" s="82"/>
      <c r="X136" s="24">
        <f>W136/W12</f>
        <v>0</v>
      </c>
      <c r="Y136" s="82"/>
      <c r="Z136" s="24">
        <f>Y136/Y12</f>
        <v>0</v>
      </c>
      <c r="AA136" s="144">
        <f t="shared" ref="AA136:AA143" si="70">C136+E136+G136+I136+K136+M136+O136+Q136+S136+U136+W136+Y136</f>
        <v>0</v>
      </c>
      <c r="AB136" s="24">
        <f>AA136/AA12</f>
        <v>0</v>
      </c>
      <c r="AC136" s="128">
        <f t="shared" si="32"/>
        <v>0</v>
      </c>
      <c r="AD136" s="24">
        <f>AC136/AC12</f>
        <v>0</v>
      </c>
      <c r="AE136" s="579"/>
      <c r="AF136" s="579"/>
      <c r="AG136" s="579"/>
    </row>
    <row r="137" spans="1:35" s="1" customFormat="1">
      <c r="A137" s="188">
        <v>6502</v>
      </c>
      <c r="B137" s="21" t="s">
        <v>136</v>
      </c>
      <c r="C137" s="572">
        <v>30320</v>
      </c>
      <c r="D137" s="24">
        <f>C137/C12</f>
        <v>4.0904426818691574E-2</v>
      </c>
      <c r="E137" s="572">
        <v>30321</v>
      </c>
      <c r="F137" s="24">
        <f>E137/E12</f>
        <v>5.2578019210265579E-2</v>
      </c>
      <c r="G137" s="371">
        <v>30320</v>
      </c>
      <c r="H137" s="24">
        <f>G137/G12</f>
        <v>3.1695801372452405E-2</v>
      </c>
      <c r="I137" s="572">
        <v>30321</v>
      </c>
      <c r="J137" s="24">
        <f>I137/I12</f>
        <v>3.5897001787422278E-2</v>
      </c>
      <c r="K137" s="572">
        <v>30320</v>
      </c>
      <c r="L137" s="24">
        <f>K137/K12</f>
        <v>3.9247479183550711E-2</v>
      </c>
      <c r="M137" s="33">
        <v>30321</v>
      </c>
      <c r="N137" s="24">
        <f>M137/M12</f>
        <v>2.7679236142889276E-2</v>
      </c>
      <c r="O137" s="371">
        <v>30320</v>
      </c>
      <c r="P137" s="24">
        <f>O137/O12</f>
        <v>4.3717996064223538E-2</v>
      </c>
      <c r="Q137" s="572">
        <v>30321.83</v>
      </c>
      <c r="R137" s="24">
        <f>Q137/Q12</f>
        <v>3.5209197217425749E-2</v>
      </c>
      <c r="S137" s="572">
        <v>30321.83</v>
      </c>
      <c r="T137" s="24">
        <f>S137/S12</f>
        <v>3.4951282068090145E-2</v>
      </c>
      <c r="U137" s="572">
        <v>30321</v>
      </c>
      <c r="V137" s="24">
        <f>U137/U12</f>
        <v>4.406207470122616E-2</v>
      </c>
      <c r="W137" s="572">
        <v>30321</v>
      </c>
      <c r="X137" s="24">
        <f>W137/W12</f>
        <v>4.3306738944180842E-2</v>
      </c>
      <c r="Y137" s="572">
        <v>30321</v>
      </c>
      <c r="Z137" s="24">
        <f>Y137/Y12</f>
        <v>2.8667363349276036E-2</v>
      </c>
      <c r="AA137" s="144">
        <f t="shared" si="70"/>
        <v>363849.66000000003</v>
      </c>
      <c r="AB137" s="24">
        <f>AA137/AA12</f>
        <v>3.6918791476051101E-2</v>
      </c>
      <c r="AC137" s="128">
        <f t="shared" si="32"/>
        <v>30320.805000000004</v>
      </c>
      <c r="AD137" s="24">
        <f>AC137/AC12</f>
        <v>3.6918791476051108E-2</v>
      </c>
      <c r="AE137" s="579"/>
      <c r="AF137" s="579"/>
      <c r="AG137" s="579"/>
      <c r="AI137" s="732" t="e">
        <f>#REF!+#REF!</f>
        <v>#REF!</v>
      </c>
    </row>
    <row r="138" spans="1:35" s="1" customFormat="1">
      <c r="A138" s="188">
        <v>6503</v>
      </c>
      <c r="B138" s="21" t="s">
        <v>137</v>
      </c>
      <c r="C138" s="513">
        <v>9076</v>
      </c>
      <c r="D138" s="24">
        <f>C138/C12</f>
        <v>1.2244346233721792E-2</v>
      </c>
      <c r="E138" s="513">
        <v>9076</v>
      </c>
      <c r="F138" s="24">
        <f>E138/E12</f>
        <v>1.5738204622287207E-2</v>
      </c>
      <c r="G138" s="371">
        <v>9076</v>
      </c>
      <c r="H138" s="24">
        <f>G138/G12</f>
        <v>9.4878328910414905E-3</v>
      </c>
      <c r="I138" s="513">
        <v>9076</v>
      </c>
      <c r="J138" s="24">
        <f>I138/I12</f>
        <v>1.0745067386387145E-2</v>
      </c>
      <c r="K138" s="513">
        <v>9075</v>
      </c>
      <c r="L138" s="24">
        <f>K138/K12</f>
        <v>1.1747060474628057E-2</v>
      </c>
      <c r="M138" s="33">
        <v>9076</v>
      </c>
      <c r="N138" s="702">
        <f>M138/M12</f>
        <v>8.2852395116540696E-3</v>
      </c>
      <c r="O138" s="371">
        <v>9076</v>
      </c>
      <c r="P138" s="24">
        <f>O138/O12</f>
        <v>1.3086561090992507E-2</v>
      </c>
      <c r="Q138" s="513">
        <v>9075.77</v>
      </c>
      <c r="R138" s="24">
        <f>Q138/Q12</f>
        <v>1.0538630941140298E-2</v>
      </c>
      <c r="S138" s="513">
        <v>9075.77</v>
      </c>
      <c r="T138" s="24">
        <f>S138/S12</f>
        <v>1.0461433140912356E-2</v>
      </c>
      <c r="U138" s="513">
        <v>9075</v>
      </c>
      <c r="V138" s="24">
        <f>U138/U12</f>
        <v>1.3187669533116567E-2</v>
      </c>
      <c r="W138" s="513">
        <v>9075</v>
      </c>
      <c r="X138" s="24">
        <f>W138/W12</f>
        <v>1.2961599416854363E-2</v>
      </c>
      <c r="Y138" s="513">
        <v>9075</v>
      </c>
      <c r="Z138" s="24">
        <f>Y138/Y12</f>
        <v>8.5800706571247665E-3</v>
      </c>
      <c r="AA138" s="144">
        <f t="shared" si="70"/>
        <v>108907.54000000001</v>
      </c>
      <c r="AB138" s="326">
        <f>AA138/AA12</f>
        <v>1.1050538729181977E-2</v>
      </c>
      <c r="AC138" s="128">
        <f t="shared" si="32"/>
        <v>9075.628333333334</v>
      </c>
      <c r="AD138" s="326">
        <f>AC138/AC12</f>
        <v>1.1050538729181977E-2</v>
      </c>
      <c r="AE138" s="584"/>
      <c r="AF138" s="584"/>
      <c r="AG138" s="584"/>
    </row>
    <row r="139" spans="1:35" s="1" customFormat="1">
      <c r="A139" s="188">
        <v>6504</v>
      </c>
      <c r="B139" s="21" t="s">
        <v>138</v>
      </c>
      <c r="C139" s="83"/>
      <c r="D139" s="24">
        <f>C139/C12</f>
        <v>0</v>
      </c>
      <c r="E139" s="121"/>
      <c r="F139" s="24">
        <f>E139/E12</f>
        <v>0</v>
      </c>
      <c r="G139" s="83"/>
      <c r="H139" s="24">
        <f>G139/G12</f>
        <v>0</v>
      </c>
      <c r="I139" s="83">
        <v>0</v>
      </c>
      <c r="J139" s="24">
        <f>I139/I12</f>
        <v>0</v>
      </c>
      <c r="K139" s="83">
        <v>0</v>
      </c>
      <c r="L139" s="24">
        <f>K139/K12</f>
        <v>0</v>
      </c>
      <c r="M139" s="33"/>
      <c r="N139" s="24">
        <f>M139/M12</f>
        <v>0</v>
      </c>
      <c r="O139" s="33"/>
      <c r="P139" s="24">
        <f>O139/O12</f>
        <v>0</v>
      </c>
      <c r="Q139" s="33"/>
      <c r="R139" s="24">
        <f>Q139/Q12</f>
        <v>0</v>
      </c>
      <c r="S139" s="33"/>
      <c r="T139" s="24">
        <f>S139/S12</f>
        <v>0</v>
      </c>
      <c r="U139" s="83"/>
      <c r="V139" s="24">
        <f>U139/U12</f>
        <v>0</v>
      </c>
      <c r="W139" s="83"/>
      <c r="X139" s="24">
        <f>W139/W12</f>
        <v>0</v>
      </c>
      <c r="Y139" s="83"/>
      <c r="Z139" s="24">
        <f>Y139/Y12</f>
        <v>0</v>
      </c>
      <c r="AA139" s="144">
        <f t="shared" si="70"/>
        <v>0</v>
      </c>
      <c r="AB139" s="24">
        <f>AA139/AA12</f>
        <v>0</v>
      </c>
      <c r="AC139" s="128">
        <f t="shared" si="32"/>
        <v>0</v>
      </c>
      <c r="AD139" s="24">
        <f>AC139/AC12</f>
        <v>0</v>
      </c>
      <c r="AE139" s="579"/>
      <c r="AF139" s="579"/>
      <c r="AG139" s="579"/>
    </row>
    <row r="140" spans="1:35" s="1" customFormat="1">
      <c r="A140" s="188">
        <v>6505</v>
      </c>
      <c r="B140" s="188" t="s">
        <v>139</v>
      </c>
      <c r="C140" s="83"/>
      <c r="D140" s="24">
        <f>C140/C12</f>
        <v>0</v>
      </c>
      <c r="E140" s="121"/>
      <c r="F140" s="24">
        <f>E140/E12</f>
        <v>0</v>
      </c>
      <c r="G140" s="83"/>
      <c r="H140" s="24">
        <f>G140/G12</f>
        <v>0</v>
      </c>
      <c r="I140" s="83">
        <v>0</v>
      </c>
      <c r="J140" s="24">
        <f>I140/I12</f>
        <v>0</v>
      </c>
      <c r="K140" s="83">
        <v>0</v>
      </c>
      <c r="L140" s="24">
        <f>K140/K12</f>
        <v>0</v>
      </c>
      <c r="M140" s="33"/>
      <c r="N140" s="24">
        <f>M140/M12</f>
        <v>0</v>
      </c>
      <c r="O140" s="33"/>
      <c r="P140" s="24">
        <f>O140/O12</f>
        <v>0</v>
      </c>
      <c r="Q140" s="33"/>
      <c r="R140" s="24">
        <f>Q140/Q12</f>
        <v>0</v>
      </c>
      <c r="S140" s="33"/>
      <c r="T140" s="24">
        <f>S140/S12</f>
        <v>0</v>
      </c>
      <c r="U140" s="83"/>
      <c r="V140" s="24">
        <f>U140/U12</f>
        <v>0</v>
      </c>
      <c r="W140" s="83"/>
      <c r="X140" s="24">
        <f>W140/W12</f>
        <v>0</v>
      </c>
      <c r="Y140" s="83"/>
      <c r="Z140" s="24">
        <f>Y140/Y12</f>
        <v>0</v>
      </c>
      <c r="AA140" s="144">
        <f t="shared" si="70"/>
        <v>0</v>
      </c>
      <c r="AB140" s="24">
        <f>AA140/AA12</f>
        <v>0</v>
      </c>
      <c r="AC140" s="128">
        <f t="shared" si="32"/>
        <v>0</v>
      </c>
      <c r="AD140" s="24">
        <f>AC140/AC12</f>
        <v>0</v>
      </c>
      <c r="AE140" s="579"/>
      <c r="AF140" s="579"/>
      <c r="AG140" s="579"/>
    </row>
    <row r="141" spans="1:35" s="1" customFormat="1">
      <c r="A141" s="188">
        <v>6506</v>
      </c>
      <c r="B141" s="188" t="s">
        <v>229</v>
      </c>
      <c r="C141" s="33"/>
      <c r="D141" s="106">
        <f>C141/C12</f>
        <v>0</v>
      </c>
      <c r="E141" s="33"/>
      <c r="F141" s="106">
        <f>E141/E12</f>
        <v>0</v>
      </c>
      <c r="G141" s="33"/>
      <c r="H141" s="106">
        <f>G141/G12</f>
        <v>0</v>
      </c>
      <c r="I141" s="33">
        <v>0</v>
      </c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/>
      <c r="T141" s="106">
        <f>S141/S12</f>
        <v>0</v>
      </c>
      <c r="U141" s="33"/>
      <c r="V141" s="106">
        <f>U141/U12</f>
        <v>0</v>
      </c>
      <c r="W141" s="33"/>
      <c r="X141" s="106">
        <f>W141/W12</f>
        <v>0</v>
      </c>
      <c r="Y141" s="33"/>
      <c r="Z141" s="106">
        <f>Y141/Y12</f>
        <v>0</v>
      </c>
      <c r="AA141" s="144">
        <f t="shared" si="70"/>
        <v>0</v>
      </c>
      <c r="AB141" s="106">
        <f>AA141/AA12</f>
        <v>0</v>
      </c>
      <c r="AC141" s="144">
        <f t="shared" si="32"/>
        <v>0</v>
      </c>
      <c r="AD141" s="106">
        <f>AC141/AC12</f>
        <v>0</v>
      </c>
      <c r="AE141" s="567"/>
      <c r="AF141" s="567"/>
      <c r="AG141" s="567"/>
    </row>
    <row r="142" spans="1:35" s="1" customFormat="1">
      <c r="A142" s="188">
        <v>6604</v>
      </c>
      <c r="B142" s="188" t="s">
        <v>145</v>
      </c>
      <c r="C142" s="26">
        <v>43791</v>
      </c>
      <c r="D142" s="106">
        <f>C142/C12</f>
        <v>5.9078026214291646E-2</v>
      </c>
      <c r="E142" s="26">
        <v>43791</v>
      </c>
      <c r="F142" s="106">
        <f>E142/E12</f>
        <v>7.5935623470094651E-2</v>
      </c>
      <c r="G142" s="26">
        <v>43791</v>
      </c>
      <c r="H142" s="106">
        <f>G142/G12</f>
        <v>4.5778061936050898E-2</v>
      </c>
      <c r="I142" s="26">
        <v>43791</v>
      </c>
      <c r="J142" s="106">
        <f>I142/I12</f>
        <v>5.1844121410013162E-2</v>
      </c>
      <c r="K142" s="26">
        <v>43791</v>
      </c>
      <c r="L142" s="106">
        <f>K142/K12</f>
        <v>5.6684906363023396E-2</v>
      </c>
      <c r="M142" s="26">
        <v>43791</v>
      </c>
      <c r="N142" s="106">
        <f>M142/M12</f>
        <v>3.9975641632309759E-2</v>
      </c>
      <c r="O142" s="26">
        <v>43791</v>
      </c>
      <c r="P142" s="106">
        <f>O142/O12</f>
        <v>6.3141647943549234E-2</v>
      </c>
      <c r="Q142" s="26">
        <v>43791</v>
      </c>
      <c r="R142" s="106">
        <f>Q142/Q12</f>
        <v>5.0849370085786084E-2</v>
      </c>
      <c r="S142" s="26">
        <v>43791</v>
      </c>
      <c r="T142" s="106">
        <f>S142/S12</f>
        <v>5.0476887214384335E-2</v>
      </c>
      <c r="U142" s="26">
        <v>43791</v>
      </c>
      <c r="V142" s="106">
        <f>U142/U12</f>
        <v>6.3636499892529758E-2</v>
      </c>
      <c r="W142" s="26">
        <v>43791</v>
      </c>
      <c r="X142" s="106">
        <f>W142/W12</f>
        <v>6.254560882242087E-2</v>
      </c>
      <c r="Y142" s="26">
        <v>43791</v>
      </c>
      <c r="Z142" s="106">
        <f>Y142/Y12</f>
        <v>4.140274095274387E-2</v>
      </c>
      <c r="AA142" s="144">
        <f t="shared" si="70"/>
        <v>525492</v>
      </c>
      <c r="AB142" s="106">
        <f>AA142/AA12</f>
        <v>5.3320180566701764E-2</v>
      </c>
      <c r="AC142" s="128">
        <f t="shared" si="32"/>
        <v>43791</v>
      </c>
      <c r="AD142" s="106">
        <f>AC142/AC12</f>
        <v>5.3320180566701764E-2</v>
      </c>
      <c r="AE142" s="567"/>
      <c r="AF142" s="567"/>
      <c r="AG142" s="567"/>
    </row>
    <row r="143" spans="1:35" s="1" customFormat="1">
      <c r="A143" s="2"/>
      <c r="B143" s="2"/>
      <c r="C143" s="61"/>
      <c r="D143" s="24">
        <f>C143/C12</f>
        <v>0</v>
      </c>
      <c r="E143" s="114"/>
      <c r="F143" s="24">
        <f>E143/E12</f>
        <v>0</v>
      </c>
      <c r="G143" s="61"/>
      <c r="H143" s="24">
        <f>G143/G12</f>
        <v>0</v>
      </c>
      <c r="I143" s="61">
        <v>0</v>
      </c>
      <c r="J143" s="24">
        <f>I143/I12</f>
        <v>0</v>
      </c>
      <c r="K143" s="61">
        <v>0</v>
      </c>
      <c r="L143" s="24">
        <f>K143/K12</f>
        <v>0</v>
      </c>
      <c r="M143" s="26"/>
      <c r="N143" s="24">
        <f>M143/M12</f>
        <v>0</v>
      </c>
      <c r="O143" s="26"/>
      <c r="P143" s="24">
        <f>O143/O12</f>
        <v>0</v>
      </c>
      <c r="Q143" s="26"/>
      <c r="R143" s="24">
        <f>Q143/Q12</f>
        <v>0</v>
      </c>
      <c r="S143" s="26"/>
      <c r="T143" s="24">
        <f>S143/S12</f>
        <v>0</v>
      </c>
      <c r="U143" s="61"/>
      <c r="V143" s="24">
        <f>U143/U12</f>
        <v>0</v>
      </c>
      <c r="W143" s="61"/>
      <c r="X143" s="24">
        <f>W143/W12</f>
        <v>0</v>
      </c>
      <c r="Y143" s="61"/>
      <c r="Z143" s="24">
        <f>Y143/Y12</f>
        <v>0</v>
      </c>
      <c r="AA143" s="144">
        <f t="shared" si="70"/>
        <v>0</v>
      </c>
      <c r="AB143" s="24">
        <f>AA143/AA12</f>
        <v>0</v>
      </c>
      <c r="AC143" s="128">
        <f t="shared" si="32"/>
        <v>0</v>
      </c>
      <c r="AD143" s="24">
        <f>AC143/AC12</f>
        <v>0</v>
      </c>
      <c r="AE143" s="579"/>
      <c r="AF143" s="579"/>
      <c r="AG143" s="579"/>
    </row>
    <row r="144" spans="1:35" s="1" customFormat="1" ht="15" customHeight="1">
      <c r="A144" s="63">
        <v>6798</v>
      </c>
      <c r="B144" s="63" t="s">
        <v>205</v>
      </c>
      <c r="C144" s="79">
        <f>SUM(C136:C143)</f>
        <v>83187</v>
      </c>
      <c r="D144" s="87">
        <f>C144/C12</f>
        <v>0.11222679926670502</v>
      </c>
      <c r="E144" s="79">
        <f>SUM(E136:E143)</f>
        <v>83188</v>
      </c>
      <c r="F144" s="87">
        <f>E144/E12</f>
        <v>0.14425184730264745</v>
      </c>
      <c r="G144" s="79">
        <f>SUM(G136:G143)</f>
        <v>83187</v>
      </c>
      <c r="H144" s="87">
        <f>G144/G12</f>
        <v>8.6961696199544788E-2</v>
      </c>
      <c r="I144" s="79">
        <f>SUM(I136:I143)</f>
        <v>83188</v>
      </c>
      <c r="J144" s="87">
        <f>I144/I12</f>
        <v>9.8486190583822589E-2</v>
      </c>
      <c r="K144" s="79">
        <f>SUM(K136:K143)</f>
        <v>83186</v>
      </c>
      <c r="L144" s="87">
        <f>K144/K12</f>
        <v>0.10767944602120216</v>
      </c>
      <c r="M144" s="29">
        <f>SUM(M136:M143)</f>
        <v>83188</v>
      </c>
      <c r="N144" s="87">
        <f>M144/M12</f>
        <v>7.5940117286853112E-2</v>
      </c>
      <c r="O144" s="79">
        <f>SUM(O136:O143)</f>
        <v>83187</v>
      </c>
      <c r="P144" s="87">
        <f>O144/O12</f>
        <v>0.11994620509876529</v>
      </c>
      <c r="Q144" s="79">
        <f>SUM(Q136:Q143)</f>
        <v>83188.600000000006</v>
      </c>
      <c r="R144" s="87">
        <f>Q144/Q12</f>
        <v>9.6597198244352131E-2</v>
      </c>
      <c r="S144" s="79">
        <f>SUM(S136:S143)</f>
        <v>83188.600000000006</v>
      </c>
      <c r="T144" s="87">
        <f t="shared" ref="T144" si="71">S144/S$12</f>
        <v>9.5889602423386844E-2</v>
      </c>
      <c r="U144" s="79">
        <f>SUM(U136:U143)</f>
        <v>83187</v>
      </c>
      <c r="V144" s="87">
        <f>U144/U12</f>
        <v>0.12088624412687249</v>
      </c>
      <c r="W144" s="79">
        <f>SUM(W136:W143)</f>
        <v>83187</v>
      </c>
      <c r="X144" s="87">
        <f>W144/W12</f>
        <v>0.11881394718345607</v>
      </c>
      <c r="Y144" s="79">
        <f>SUM(Y136:Y143)</f>
        <v>83187</v>
      </c>
      <c r="Z144" s="87">
        <f t="shared" ref="Z144" si="72">Y144/Y$12</f>
        <v>7.865017495914467E-2</v>
      </c>
      <c r="AA144" s="152">
        <f>SUM(AA136:AA143)</f>
        <v>998249.20000000007</v>
      </c>
      <c r="AB144" s="153">
        <f t="shared" ref="AB144" si="73">AA144/AA$12</f>
        <v>0.10128951077193485</v>
      </c>
      <c r="AC144" s="137">
        <f t="shared" ref="AC144:AC152" si="74">AA144/12</f>
        <v>83187.433333333334</v>
      </c>
      <c r="AD144" s="138">
        <f t="shared" ref="AD144" si="75">AC144/AC$12</f>
        <v>0.10128951077193485</v>
      </c>
      <c r="AE144" s="568"/>
      <c r="AF144" s="568"/>
      <c r="AG144" s="568"/>
    </row>
    <row r="145" spans="1:35" s="1" customFormat="1">
      <c r="A145" s="200">
        <v>6799</v>
      </c>
      <c r="B145" s="63" t="s">
        <v>135</v>
      </c>
      <c r="C145" s="203">
        <f>C41+C76+C93+C115+C129+C144+C133</f>
        <v>342826.56414406851</v>
      </c>
      <c r="D145" s="202">
        <f>C145/C12</f>
        <v>0.4625040931574711</v>
      </c>
      <c r="E145" s="203">
        <f>E41+E76+E93+E115+E129+E144+E133</f>
        <v>366880.03734476073</v>
      </c>
      <c r="F145" s="202">
        <f>E145/E12</f>
        <v>0.63618698761174708</v>
      </c>
      <c r="G145" s="203">
        <f>G41+G76+G93+G115+G129+G144+G133</f>
        <v>368281.52768790594</v>
      </c>
      <c r="H145" s="202">
        <f>G145/G12</f>
        <v>0.38499268307187323</v>
      </c>
      <c r="I145" s="203">
        <f>I41+I76+I93+I115+I129+I144+I133</f>
        <v>367728.48258699029</v>
      </c>
      <c r="J145" s="202">
        <f>I145/I12</f>
        <v>0.43535338533396895</v>
      </c>
      <c r="K145" s="298">
        <f>K41+K76+K93+K115+K129+K144+K133</f>
        <v>372837.26117511495</v>
      </c>
      <c r="L145" s="202">
        <f>K145/K12</f>
        <v>0.48261618228306019</v>
      </c>
      <c r="M145" s="298">
        <f>M41+M76+M93+M115+M129+M144+M133</f>
        <v>358565.35926104774</v>
      </c>
      <c r="N145" s="202">
        <f>M145/M12</f>
        <v>0.32732479969811257</v>
      </c>
      <c r="O145" s="298">
        <f>O41+O76+O93+O115+O129+O144+O133</f>
        <v>333974.48823583743</v>
      </c>
      <c r="P145" s="202">
        <f>O145/O12</f>
        <v>0.48155327711891199</v>
      </c>
      <c r="Q145" s="298">
        <f>Q41+Q76+Q93+Q115+Q129+Q144+Q133</f>
        <v>389842.15512762382</v>
      </c>
      <c r="R145" s="202">
        <f>Q145/Q12</f>
        <v>0.45267813069180818</v>
      </c>
      <c r="S145" s="298">
        <f>S41+S76+S93+S115+S129+S144+S133</f>
        <v>364230.76852410613</v>
      </c>
      <c r="T145" s="202">
        <f>S145/S12</f>
        <v>0.41984050199355655</v>
      </c>
      <c r="U145" s="201">
        <f>U41+U76+U93+U115+U129+U144+U133</f>
        <v>351078.50492446916</v>
      </c>
      <c r="V145" s="202">
        <f>U145/U12</f>
        <v>0.51018262293383321</v>
      </c>
      <c r="W145" s="201">
        <f>W41+W76+W93+W115+W129+W144+W133</f>
        <v>344482.69393946277</v>
      </c>
      <c r="X145" s="202">
        <f>W145/W12</f>
        <v>0.49201616362337858</v>
      </c>
      <c r="Y145" s="201">
        <f>Y41+Y76+Y93+Y115+Y129+Y144+Y133</f>
        <v>371302.33017527539</v>
      </c>
      <c r="Z145" s="202">
        <f>Y145/Y12</f>
        <v>0.35105236672825696</v>
      </c>
      <c r="AA145" s="201">
        <f>AA41+AA76+AA93+AA115+AA129+AA144+AA133</f>
        <v>4332030.1731266631</v>
      </c>
      <c r="AB145" s="690">
        <f>AA145/AA12</f>
        <v>0.43955879642604256</v>
      </c>
      <c r="AC145" s="201">
        <f t="shared" si="74"/>
        <v>361002.5144272219</v>
      </c>
      <c r="AD145" s="202">
        <f>AC145/AC12</f>
        <v>0.43955879642604256</v>
      </c>
      <c r="AE145" s="585"/>
      <c r="AF145" s="585"/>
      <c r="AG145" s="585"/>
      <c r="AI145" s="686" t="e">
        <f>#REF!-#REF!</f>
        <v>#REF!</v>
      </c>
    </row>
    <row r="146" spans="1:35" s="1" customFormat="1" ht="15.75" thickBot="1">
      <c r="A146" s="11">
        <v>6999</v>
      </c>
      <c r="B146" s="11" t="s">
        <v>144</v>
      </c>
      <c r="C146" s="80">
        <f>C135-C144</f>
        <v>10494.946932360835</v>
      </c>
      <c r="D146" s="88">
        <f>C146/C12</f>
        <v>1.4158634193957962E-2</v>
      </c>
      <c r="E146" s="80">
        <f>E135-E144</f>
        <v>-44704.97541526681</v>
      </c>
      <c r="F146" s="88">
        <f>E146/E12</f>
        <v>-7.7520499197861178E-2</v>
      </c>
      <c r="G146" s="80">
        <f>G135-G144</f>
        <v>129949.38510996237</v>
      </c>
      <c r="H146" s="88">
        <f>G146/G12</f>
        <v>0.13584597291944892</v>
      </c>
      <c r="I146" s="80">
        <f>I135-I144</f>
        <v>85607.504800543509</v>
      </c>
      <c r="J146" s="88">
        <f>I146/I12</f>
        <v>0.10135063991431258</v>
      </c>
      <c r="K146" s="30">
        <f>K135-K144</f>
        <v>56055.204796536156</v>
      </c>
      <c r="L146" s="88">
        <f>K146/K12</f>
        <v>7.2560207235545016E-2</v>
      </c>
      <c r="M146" s="30">
        <f>M135-M144</f>
        <v>191753.82990766951</v>
      </c>
      <c r="N146" s="88">
        <f>M146/M12</f>
        <v>0.17504698193719892</v>
      </c>
      <c r="O146" s="30">
        <f>O135-O144</f>
        <v>62824.817832539702</v>
      </c>
      <c r="P146" s="88">
        <f>O146/O12</f>
        <v>9.0586251277656044E-2</v>
      </c>
      <c r="Q146" s="300">
        <f>Q135-Q144</f>
        <v>65994.391487882298</v>
      </c>
      <c r="R146" s="88">
        <f>Q146/Q12</f>
        <v>7.6631573527747202E-2</v>
      </c>
      <c r="S146" s="30">
        <f>S135-S144</f>
        <v>47516.623701650868</v>
      </c>
      <c r="T146" s="88">
        <f>S146/S12</f>
        <v>5.4771328706733631E-2</v>
      </c>
      <c r="U146" s="30">
        <f>U135-U144</f>
        <v>23158.813520860815</v>
      </c>
      <c r="V146" s="88">
        <f>U146/U12</f>
        <v>3.3654080384813684E-2</v>
      </c>
      <c r="W146" s="300">
        <f>W135-W144</f>
        <v>9540.7141731925367</v>
      </c>
      <c r="X146" s="88">
        <f>W146/W12</f>
        <v>1.3626767522162705E-2</v>
      </c>
      <c r="Y146" s="30">
        <f>Y135-Y144</f>
        <v>129895.46343086477</v>
      </c>
      <c r="Z146" s="88">
        <f>Y146/Y12</f>
        <v>0.12281126768890202</v>
      </c>
      <c r="AA146" s="389">
        <f>AA135-AA144</f>
        <v>768086.72027880012</v>
      </c>
      <c r="AB146" s="88">
        <f>AA146/AA12</f>
        <v>7.7935577736961498E-2</v>
      </c>
      <c r="AC146" s="132">
        <f t="shared" si="74"/>
        <v>64007.22668990001</v>
      </c>
      <c r="AD146" s="88">
        <f>AC146/AC12</f>
        <v>7.7935577736961498E-2</v>
      </c>
      <c r="AE146" s="569"/>
      <c r="AF146" s="569"/>
      <c r="AG146" s="569"/>
    </row>
    <row r="147" spans="1:35" s="1" customFormat="1" ht="15.75" thickTop="1">
      <c r="C147" s="83"/>
      <c r="D147" s="19"/>
      <c r="E147" s="83"/>
      <c r="F147" s="19"/>
      <c r="G147" s="83"/>
      <c r="H147" s="19"/>
      <c r="I147" s="83"/>
      <c r="J147" s="19"/>
      <c r="K147" s="3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>
        <f t="shared" si="74"/>
        <v>0</v>
      </c>
      <c r="AD147" s="19"/>
      <c r="AE147" s="586"/>
      <c r="AF147" s="586"/>
      <c r="AG147" s="586"/>
    </row>
    <row r="148" spans="1:35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si="74"/>
        <v>0</v>
      </c>
      <c r="AD148" s="246">
        <f>AC148/AC12</f>
        <v>0</v>
      </c>
      <c r="AE148" s="570"/>
      <c r="AF148" s="570"/>
      <c r="AG148" s="570"/>
    </row>
    <row r="149" spans="1:35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>
        <f t="shared" si="74"/>
        <v>0</v>
      </c>
      <c r="AD149" s="106"/>
      <c r="AE149" s="567"/>
      <c r="AF149" s="567"/>
      <c r="AG149" s="567"/>
    </row>
    <row r="150" spans="1:35" s="1" customFormat="1" ht="15.75" customHeight="1" thickBot="1">
      <c r="A150" s="223"/>
      <c r="B150" s="404" t="s">
        <v>232</v>
      </c>
      <c r="C150" s="685">
        <f>C146*10%</f>
        <v>1049.4946932360835</v>
      </c>
      <c r="D150" s="406"/>
      <c r="E150" s="685">
        <f>E146*10%</f>
        <v>-4470.4975415266808</v>
      </c>
      <c r="F150" s="407"/>
      <c r="G150" s="685">
        <f>G146*10%</f>
        <v>12994.938510996239</v>
      </c>
      <c r="H150" s="407"/>
      <c r="I150" s="685">
        <f>I146*10%</f>
        <v>8560.750480054352</v>
      </c>
      <c r="J150" s="407"/>
      <c r="K150" s="685">
        <f>K146*10%</f>
        <v>5605.5204796536163</v>
      </c>
      <c r="L150" s="407"/>
      <c r="M150" s="685">
        <f>M146*10%</f>
        <v>19175.382990766953</v>
      </c>
      <c r="N150" s="407"/>
      <c r="O150" s="685">
        <f>O146*10%</f>
        <v>6282.4817832539702</v>
      </c>
      <c r="P150" s="407"/>
      <c r="Q150" s="685">
        <f>Q146*10%</f>
        <v>6599.4391487882303</v>
      </c>
      <c r="R150" s="407"/>
      <c r="S150" s="685">
        <f>S146*10%</f>
        <v>4751.6623701650869</v>
      </c>
      <c r="T150" s="407"/>
      <c r="U150" s="685">
        <f>U146*10%</f>
        <v>2315.8813520860817</v>
      </c>
      <c r="V150" s="407"/>
      <c r="W150" s="685">
        <f>W146*10%</f>
        <v>954.07141731925367</v>
      </c>
      <c r="X150" s="407"/>
      <c r="Y150" s="685">
        <f>Y146*10%</f>
        <v>12989.546343086477</v>
      </c>
      <c r="Z150" s="407"/>
      <c r="AA150" s="405">
        <f>C150+E150+G150+I150+K150+M150+O150+Q150+S150+U150+W150+Y150</f>
        <v>76808.672027879657</v>
      </c>
      <c r="AB150" s="407"/>
      <c r="AC150" s="405">
        <f t="shared" si="74"/>
        <v>6400.7226689899717</v>
      </c>
      <c r="AD150" s="407"/>
      <c r="AE150" s="649"/>
      <c r="AF150" s="363" t="s">
        <v>245</v>
      </c>
      <c r="AG150" s="363"/>
    </row>
    <row r="151" spans="1:35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>
        <f t="shared" si="74"/>
        <v>0</v>
      </c>
      <c r="AD151" s="106"/>
      <c r="AE151" s="567"/>
      <c r="AF151" s="567"/>
      <c r="AG151" s="567"/>
    </row>
    <row r="152" spans="1:35" s="1" customFormat="1" ht="19.5" customHeight="1" thickBot="1">
      <c r="A152" s="224"/>
      <c r="B152" s="232" t="s">
        <v>206</v>
      </c>
      <c r="C152" s="237">
        <f>C146-C148-C150</f>
        <v>9445.4522391247519</v>
      </c>
      <c r="D152" s="246">
        <f>C152/C12</f>
        <v>1.2742770774562167E-2</v>
      </c>
      <c r="E152" s="237">
        <f>E146-E148-E150</f>
        <v>-40234.477873740128</v>
      </c>
      <c r="F152" s="246">
        <f>E152/E12</f>
        <v>-6.9768449278075059E-2</v>
      </c>
      <c r="G152" s="237">
        <f>G146-G148-G150</f>
        <v>116954.44659896614</v>
      </c>
      <c r="H152" s="246">
        <f>G152/G12</f>
        <v>0.12226137562750403</v>
      </c>
      <c r="I152" s="237">
        <f>I146-I148-I150</f>
        <v>77046.754320489155</v>
      </c>
      <c r="J152" s="246">
        <f>I152/I12</f>
        <v>9.121557592288132E-2</v>
      </c>
      <c r="K152" s="237">
        <f>K146-K148-K150</f>
        <v>50449.684316882543</v>
      </c>
      <c r="L152" s="246">
        <f>K152/K12</f>
        <v>6.530418651199052E-2</v>
      </c>
      <c r="M152" s="237">
        <f>M146-M148-M150</f>
        <v>172578.44691690255</v>
      </c>
      <c r="N152" s="246">
        <f>M152/M12</f>
        <v>0.15754228374347903</v>
      </c>
      <c r="O152" s="237">
        <f>O146-O148-O150</f>
        <v>56542.336049285732</v>
      </c>
      <c r="P152" s="246">
        <f>O152/O12</f>
        <v>8.1527626149890439E-2</v>
      </c>
      <c r="Q152" s="237">
        <f>Q146-Q148-Q150</f>
        <v>59394.952339094067</v>
      </c>
      <c r="R152" s="246">
        <f>Q152/Q12</f>
        <v>6.8968416174972486E-2</v>
      </c>
      <c r="S152" s="237">
        <f>S146-S148-S150</f>
        <v>42764.961331485778</v>
      </c>
      <c r="T152" s="246">
        <f>S152/S12</f>
        <v>4.9294195836060262E-2</v>
      </c>
      <c r="U152" s="237">
        <f>U146-U148-U150</f>
        <v>20842.932168774732</v>
      </c>
      <c r="V152" s="246">
        <f>U152/U12</f>
        <v>3.0288672346332313E-2</v>
      </c>
      <c r="W152" s="237">
        <f>W146-W148-W150</f>
        <v>8586.642755873283</v>
      </c>
      <c r="X152" s="246">
        <f>W152/W12</f>
        <v>1.2264090769946435E-2</v>
      </c>
      <c r="Y152" s="237">
        <f>Y146-Y148-Y150</f>
        <v>116905.91708777829</v>
      </c>
      <c r="Z152" s="246">
        <f>Y152/Y12</f>
        <v>0.11053014092001183</v>
      </c>
      <c r="AA152" s="270">
        <f>AA146-AA148-AA150</f>
        <v>691278.04825092049</v>
      </c>
      <c r="AB152" s="689">
        <f>AA152/$AA$12</f>
        <v>7.0142019963265384E-2</v>
      </c>
      <c r="AC152" s="271">
        <f t="shared" si="74"/>
        <v>57606.504020910041</v>
      </c>
      <c r="AD152" s="246">
        <f>AC152/AC12</f>
        <v>7.0142019963265384E-2</v>
      </c>
      <c r="AE152" s="570"/>
      <c r="AF152" s="570"/>
      <c r="AG152" s="570"/>
    </row>
    <row r="153" spans="1:35" s="1" customFormat="1" ht="15.75" thickTop="1">
      <c r="C153" s="686">
        <f>C151*0.985</f>
        <v>0</v>
      </c>
      <c r="D153" s="20"/>
      <c r="E153" s="686"/>
      <c r="F153" s="20"/>
      <c r="G153" s="686"/>
      <c r="H153" s="20"/>
      <c r="I153" s="686"/>
      <c r="J153" s="20"/>
      <c r="K153" s="33"/>
      <c r="L153" s="20"/>
      <c r="M153" s="33"/>
      <c r="N153" s="20"/>
      <c r="O153" s="33"/>
      <c r="P153" s="93"/>
      <c r="Q153" s="33"/>
      <c r="R153" s="93"/>
      <c r="S153" s="33"/>
      <c r="T153" s="93"/>
      <c r="U153" s="686"/>
      <c r="V153" s="93"/>
      <c r="W153" s="686"/>
      <c r="X153" s="93"/>
      <c r="Y153" s="686"/>
      <c r="Z153" s="93"/>
      <c r="AA153" s="142"/>
      <c r="AB153" s="143"/>
      <c r="AC153" s="126"/>
      <c r="AD153" s="127"/>
      <c r="AE153" s="557"/>
      <c r="AF153" s="557"/>
      <c r="AG153" s="557"/>
    </row>
    <row r="154" spans="1:35" s="1" customFormat="1">
      <c r="B154" s="85" t="s">
        <v>214</v>
      </c>
      <c r="C154" s="686">
        <f>C152</f>
        <v>9445.4522391247519</v>
      </c>
      <c r="D154" s="20"/>
      <c r="E154" s="686">
        <f>E152+C154</f>
        <v>-30789.025634615376</v>
      </c>
      <c r="F154" s="93"/>
      <c r="G154" s="686">
        <f>G152+E154</f>
        <v>86165.420964350764</v>
      </c>
      <c r="H154" s="93"/>
      <c r="I154" s="686">
        <f>I152+G154</f>
        <v>163212.17528483993</v>
      </c>
      <c r="J154" s="93"/>
      <c r="K154" s="686">
        <f>K152+I154</f>
        <v>213661.85960172248</v>
      </c>
      <c r="L154" s="93"/>
      <c r="M154" s="33">
        <f>M152+K154</f>
        <v>386240.306518625</v>
      </c>
      <c r="N154" s="93"/>
      <c r="O154" s="686">
        <f>O152+M154</f>
        <v>442782.64256791072</v>
      </c>
      <c r="P154" s="93"/>
      <c r="Q154" s="686">
        <f>Q152+O154</f>
        <v>502177.59490700479</v>
      </c>
      <c r="R154" s="93"/>
      <c r="S154" s="686">
        <f>S152+Q154</f>
        <v>544942.55623849062</v>
      </c>
      <c r="T154" s="93"/>
      <c r="U154" s="686">
        <f>U152+S154</f>
        <v>565785.48840726539</v>
      </c>
      <c r="V154" s="93"/>
      <c r="W154" s="686">
        <f>W152+U154</f>
        <v>574372.13116313866</v>
      </c>
      <c r="X154" s="93"/>
      <c r="Y154" s="686">
        <f>Y152+W154</f>
        <v>691278.048250917</v>
      </c>
      <c r="Z154" s="93"/>
      <c r="AA154" s="688"/>
      <c r="AB154" s="143"/>
      <c r="AC154" s="126"/>
      <c r="AD154" s="127"/>
      <c r="AE154" s="557"/>
      <c r="AF154" s="557"/>
      <c r="AG154" s="557"/>
    </row>
    <row r="156" spans="1:35">
      <c r="C156" s="269">
        <f>C152</f>
        <v>9445.4522391247519</v>
      </c>
      <c r="E156" s="269">
        <f>E152</f>
        <v>-40234.477873740128</v>
      </c>
      <c r="I156" s="269">
        <f>I152</f>
        <v>77046.754320489155</v>
      </c>
      <c r="K156" s="32">
        <f>K152</f>
        <v>50449.684316882543</v>
      </c>
      <c r="M156" s="32">
        <f>M36*0.985</f>
        <v>536946.04699986498</v>
      </c>
      <c r="O156" s="734"/>
      <c r="Q156" s="32">
        <f>Q152</f>
        <v>59394.952339094067</v>
      </c>
      <c r="S156" s="32">
        <f>S152</f>
        <v>42764.961331485778</v>
      </c>
    </row>
    <row r="157" spans="1:35">
      <c r="C157" s="269">
        <f>C150</f>
        <v>1049.4946932360835</v>
      </c>
      <c r="E157" s="269">
        <f>E150+E42</f>
        <v>24363.795244155121</v>
      </c>
      <c r="I157" s="269">
        <f>I42</f>
        <v>42233.332158988254</v>
      </c>
      <c r="K157" s="32">
        <f>K138+K137+K150+K90+K59+K52+K43+K42</f>
        <v>134771.79175222947</v>
      </c>
      <c r="M157" s="32">
        <f>SUM(M145-M142)*0.985</f>
        <v>310052.74387213204</v>
      </c>
      <c r="O157" s="269"/>
      <c r="Q157" s="32">
        <f>Q42</f>
        <v>43059.530458412599</v>
      </c>
      <c r="S157" s="32">
        <f>S87+S86+S85+S42</f>
        <v>56624.607375857435</v>
      </c>
    </row>
    <row r="158" spans="1:35">
      <c r="C158" s="269">
        <f>C156+C157</f>
        <v>10494.946932360835</v>
      </c>
      <c r="E158" s="269">
        <f>E156+E157</f>
        <v>-15870.682629585008</v>
      </c>
      <c r="I158" s="269">
        <f>I156+I157</f>
        <v>119280.08647947741</v>
      </c>
      <c r="K158" s="32">
        <f>K156+K157</f>
        <v>185221.47606911202</v>
      </c>
      <c r="M158" s="32">
        <f>SUM(M152+M142)*0.985</f>
        <v>213123.905213149</v>
      </c>
      <c r="O158" s="434"/>
      <c r="Q158" s="32">
        <f>Q156+Q157</f>
        <v>102454.48279750667</v>
      </c>
      <c r="S158" s="32">
        <f>S156+S157</f>
        <v>99389.56870734322</v>
      </c>
    </row>
    <row r="160" spans="1:35" ht="15" hidden="1" customHeight="1">
      <c r="B160" s="213" t="s">
        <v>144</v>
      </c>
      <c r="C160" s="32">
        <f>C152</f>
        <v>9445.4522391247519</v>
      </c>
      <c r="D160" s="32"/>
      <c r="E160" s="32">
        <f>E152</f>
        <v>-40234.477873740128</v>
      </c>
      <c r="F160" s="32"/>
      <c r="G160" s="32">
        <f>G152</f>
        <v>116954.44659896614</v>
      </c>
      <c r="H160" s="32"/>
      <c r="I160" s="32">
        <f>I152</f>
        <v>77046.754320489155</v>
      </c>
      <c r="J160" s="32"/>
      <c r="K160" s="32">
        <f>K152</f>
        <v>50449.684316882543</v>
      </c>
      <c r="L160" s="32"/>
      <c r="M160" s="32">
        <f>M152</f>
        <v>172578.44691690255</v>
      </c>
      <c r="N160" s="32"/>
      <c r="O160" s="32">
        <f>O152</f>
        <v>56542.336049285732</v>
      </c>
      <c r="P160" s="32"/>
      <c r="R160" s="32"/>
      <c r="S160" s="32">
        <f>S152</f>
        <v>42764.961331485778</v>
      </c>
      <c r="T160" s="32"/>
      <c r="U160" s="32">
        <f>U152</f>
        <v>20842.932168774732</v>
      </c>
      <c r="V160" s="32"/>
      <c r="W160" s="32">
        <f>W152</f>
        <v>8586.642755873283</v>
      </c>
      <c r="X160" s="32"/>
      <c r="Y160" s="32">
        <f>Y152</f>
        <v>116905.91708777829</v>
      </c>
      <c r="Z160" s="32"/>
      <c r="AA160" s="32">
        <f>AA152</f>
        <v>691278.04825092049</v>
      </c>
      <c r="AB160" s="32"/>
      <c r="AC160" s="32">
        <f>AC152</f>
        <v>57606.504020910041</v>
      </c>
      <c r="AD160" s="32"/>
      <c r="AE160" s="721"/>
      <c r="AF160" s="721"/>
      <c r="AG160" s="721"/>
    </row>
    <row r="161" spans="2:33" ht="15" hidden="1" customHeight="1">
      <c r="C161" s="32"/>
      <c r="D161" s="226"/>
      <c r="E161" s="32"/>
      <c r="F161" s="218"/>
      <c r="G161" s="32"/>
      <c r="H161" s="218"/>
      <c r="I161" s="32"/>
      <c r="J161" s="218"/>
      <c r="L161" s="218"/>
      <c r="N161" s="218"/>
      <c r="P161" s="218"/>
      <c r="R161" s="218"/>
      <c r="T161" s="218"/>
      <c r="U161" s="32"/>
      <c r="V161" s="218"/>
      <c r="W161" s="32"/>
      <c r="X161" s="218"/>
      <c r="Y161" s="32"/>
      <c r="Z161" s="218"/>
      <c r="AB161" s="218"/>
      <c r="AD161" s="218"/>
      <c r="AE161" s="393"/>
      <c r="AF161" s="393"/>
      <c r="AG161" s="393"/>
    </row>
    <row r="162" spans="2:33" ht="15" hidden="1" customHeight="1">
      <c r="B162" s="213" t="s">
        <v>237</v>
      </c>
      <c r="C162" s="32">
        <f>C150</f>
        <v>1049.4946932360835</v>
      </c>
      <c r="D162" s="226"/>
      <c r="E162" s="32">
        <f>E150</f>
        <v>-4470.4975415266808</v>
      </c>
      <c r="F162" s="218"/>
      <c r="G162" s="32">
        <f>G150</f>
        <v>12994.938510996239</v>
      </c>
      <c r="H162" s="218"/>
      <c r="I162" s="32">
        <f>I150</f>
        <v>8560.750480054352</v>
      </c>
      <c r="J162" s="218"/>
      <c r="K162" s="32">
        <f>K150</f>
        <v>5605.5204796536163</v>
      </c>
      <c r="L162" s="218"/>
      <c r="M162" s="32">
        <f>M150</f>
        <v>19175.382990766953</v>
      </c>
      <c r="N162" s="218"/>
      <c r="O162" s="32">
        <f>O150</f>
        <v>6282.4817832539702</v>
      </c>
      <c r="P162" s="218"/>
      <c r="R162" s="218"/>
      <c r="S162" s="32">
        <f>S150</f>
        <v>4751.6623701650869</v>
      </c>
      <c r="T162" s="218"/>
      <c r="U162" s="32">
        <f>U150</f>
        <v>2315.8813520860817</v>
      </c>
      <c r="V162" s="218"/>
      <c r="W162" s="32">
        <f>W150</f>
        <v>954.07141731925367</v>
      </c>
      <c r="X162" s="218"/>
      <c r="Y162" s="32">
        <f>Y150</f>
        <v>12989.546343086477</v>
      </c>
      <c r="Z162" s="218"/>
      <c r="AA162" s="32">
        <f>AA150</f>
        <v>76808.672027879657</v>
      </c>
      <c r="AB162" s="218"/>
      <c r="AC162" s="32">
        <f>AC150</f>
        <v>6400.7226689899717</v>
      </c>
      <c r="AD162" s="218"/>
      <c r="AE162" s="393"/>
      <c r="AF162" s="393"/>
      <c r="AG162" s="393"/>
    </row>
    <row r="163" spans="2:33" ht="15" hidden="1" customHeight="1">
      <c r="C163" s="32"/>
      <c r="D163" s="226"/>
      <c r="E163" s="32"/>
      <c r="F163" s="218"/>
      <c r="G163" s="32"/>
      <c r="H163" s="218"/>
      <c r="I163" s="32"/>
      <c r="J163" s="218"/>
      <c r="L163" s="218"/>
      <c r="N163" s="218"/>
      <c r="P163" s="218"/>
      <c r="R163" s="218"/>
      <c r="T163" s="218"/>
      <c r="U163" s="32"/>
      <c r="V163" s="218"/>
      <c r="W163" s="32"/>
      <c r="X163" s="218"/>
      <c r="Y163" s="32"/>
      <c r="Z163" s="218"/>
      <c r="AB163" s="218"/>
      <c r="AD163" s="218"/>
      <c r="AE163" s="393"/>
      <c r="AF163" s="393"/>
      <c r="AG163" s="393"/>
    </row>
    <row r="164" spans="2:33" ht="15" hidden="1" customHeight="1">
      <c r="B164" s="213" t="s">
        <v>241</v>
      </c>
      <c r="C164" s="32">
        <f>C142</f>
        <v>43791</v>
      </c>
      <c r="D164" s="32"/>
      <c r="E164" s="32">
        <f>E142</f>
        <v>43791</v>
      </c>
      <c r="F164" s="32"/>
      <c r="G164" s="32">
        <f>G142</f>
        <v>43791</v>
      </c>
      <c r="H164" s="32"/>
      <c r="I164" s="32">
        <f>I142</f>
        <v>43791</v>
      </c>
      <c r="J164" s="32"/>
      <c r="K164" s="32">
        <f>K142</f>
        <v>43791</v>
      </c>
      <c r="L164" s="32"/>
      <c r="M164" s="32">
        <f>M142</f>
        <v>43791</v>
      </c>
      <c r="N164" s="32"/>
      <c r="O164" s="32">
        <f>O142</f>
        <v>43791</v>
      </c>
      <c r="P164" s="32"/>
      <c r="R164" s="32"/>
      <c r="S164" s="32">
        <f>S142</f>
        <v>43791</v>
      </c>
      <c r="T164" s="32"/>
      <c r="U164" s="32">
        <f>U142</f>
        <v>43791</v>
      </c>
      <c r="V164" s="32"/>
      <c r="W164" s="32">
        <f>W142</f>
        <v>43791</v>
      </c>
      <c r="X164" s="32"/>
      <c r="Y164" s="32">
        <f>Y142</f>
        <v>43791</v>
      </c>
      <c r="Z164" s="32"/>
      <c r="AA164" s="32">
        <f>AA142</f>
        <v>525492</v>
      </c>
      <c r="AB164" s="32"/>
      <c r="AC164" s="32">
        <f>AC142</f>
        <v>43791</v>
      </c>
      <c r="AD164" s="32"/>
      <c r="AE164" s="721"/>
      <c r="AF164" s="721"/>
      <c r="AG164" s="721"/>
    </row>
    <row r="165" spans="2:33" ht="15" hidden="1" customHeight="1">
      <c r="C165" s="32"/>
      <c r="D165" s="226"/>
      <c r="E165" s="32"/>
      <c r="F165" s="218"/>
      <c r="G165" s="32"/>
      <c r="H165" s="218"/>
      <c r="I165" s="32"/>
      <c r="J165" s="218"/>
      <c r="L165" s="218"/>
      <c r="N165" s="218"/>
      <c r="P165" s="218"/>
      <c r="R165" s="218"/>
      <c r="T165" s="218"/>
      <c r="U165" s="32"/>
      <c r="V165" s="218"/>
      <c r="W165" s="32"/>
      <c r="X165" s="218"/>
      <c r="Y165" s="32"/>
      <c r="Z165" s="218"/>
      <c r="AA165" s="32"/>
      <c r="AB165" s="218"/>
      <c r="AC165" s="32"/>
      <c r="AD165" s="218"/>
      <c r="AE165" s="393"/>
      <c r="AF165" s="393"/>
      <c r="AG165" s="393"/>
    </row>
    <row r="166" spans="2:33" ht="15" hidden="1" customHeight="1">
      <c r="B166" s="213" t="s">
        <v>238</v>
      </c>
      <c r="C166" s="32">
        <f>C144-C142</f>
        <v>39396</v>
      </c>
      <c r="D166" s="32"/>
      <c r="E166" s="32">
        <f>E144-E142</f>
        <v>39397</v>
      </c>
      <c r="F166" s="32"/>
      <c r="G166" s="32">
        <f>G144-G142</f>
        <v>39396</v>
      </c>
      <c r="H166" s="32"/>
      <c r="I166" s="32">
        <f>I144-I142</f>
        <v>39397</v>
      </c>
      <c r="J166" s="32"/>
      <c r="K166" s="32">
        <f>K144-K142</f>
        <v>39395</v>
      </c>
      <c r="L166" s="32"/>
      <c r="M166" s="32">
        <f>M144-M142</f>
        <v>39397</v>
      </c>
      <c r="N166" s="32"/>
      <c r="O166" s="32">
        <f>O144-O142</f>
        <v>39396</v>
      </c>
      <c r="P166" s="32"/>
      <c r="R166" s="32"/>
      <c r="S166" s="32">
        <f>S144-S142</f>
        <v>39397.600000000006</v>
      </c>
      <c r="T166" s="32"/>
      <c r="U166" s="32">
        <f>U144-U142</f>
        <v>39396</v>
      </c>
      <c r="V166" s="32"/>
      <c r="W166" s="32">
        <f>W144-W142</f>
        <v>39396</v>
      </c>
      <c r="X166" s="32"/>
      <c r="Y166" s="32">
        <f>Y144-Y142</f>
        <v>39396</v>
      </c>
      <c r="Z166" s="32"/>
      <c r="AA166" s="32">
        <f>AA144-AA142</f>
        <v>472757.20000000007</v>
      </c>
      <c r="AB166" s="32"/>
      <c r="AC166" s="32">
        <f>AC144-AC142</f>
        <v>39396.433333333334</v>
      </c>
      <c r="AD166" s="32"/>
      <c r="AE166" s="721"/>
      <c r="AF166" s="721"/>
      <c r="AG166" s="721"/>
    </row>
    <row r="167" spans="2:33" ht="15" hidden="1" customHeight="1">
      <c r="C167" s="32"/>
      <c r="D167" s="226"/>
      <c r="E167" s="32"/>
      <c r="F167" s="218"/>
      <c r="G167" s="32"/>
      <c r="H167" s="218"/>
      <c r="I167" s="32"/>
      <c r="J167" s="218"/>
      <c r="L167" s="218"/>
      <c r="N167" s="218"/>
      <c r="P167" s="218"/>
      <c r="R167" s="218"/>
      <c r="T167" s="218"/>
      <c r="U167" s="32"/>
      <c r="V167" s="218"/>
      <c r="W167" s="32"/>
      <c r="X167" s="218"/>
      <c r="Y167" s="32"/>
      <c r="Z167" s="218"/>
      <c r="AB167" s="218"/>
      <c r="AC167" s="32"/>
      <c r="AD167" s="218"/>
      <c r="AE167" s="393"/>
      <c r="AF167" s="393"/>
      <c r="AG167" s="393"/>
    </row>
    <row r="168" spans="2:33" ht="15" hidden="1" customHeight="1">
      <c r="C168" s="32"/>
      <c r="D168" s="226"/>
      <c r="E168" s="32"/>
      <c r="F168" s="218"/>
      <c r="G168" s="32"/>
      <c r="H168" s="218"/>
      <c r="I168" s="32"/>
      <c r="J168" s="218"/>
      <c r="L168" s="218"/>
      <c r="N168" s="218"/>
      <c r="P168" s="218"/>
      <c r="R168" s="218"/>
      <c r="T168" s="218"/>
      <c r="U168" s="32"/>
      <c r="V168" s="218"/>
      <c r="W168" s="32"/>
      <c r="X168" s="218"/>
      <c r="Y168" s="32"/>
      <c r="Z168" s="218"/>
      <c r="AB168" s="218"/>
      <c r="AD168" s="218"/>
      <c r="AE168" s="393"/>
      <c r="AF168" s="393"/>
      <c r="AG168" s="393"/>
    </row>
    <row r="169" spans="2:33" ht="15" hidden="1" customHeight="1">
      <c r="B169" s="722" t="s">
        <v>239</v>
      </c>
      <c r="C169" s="723">
        <f>C162+C160+C164+C166</f>
        <v>93681.946932360835</v>
      </c>
      <c r="D169" s="724"/>
      <c r="E169" s="723">
        <f>E162+E160+E164+E166</f>
        <v>38483.02458473319</v>
      </c>
      <c r="F169" s="723"/>
      <c r="G169" s="723">
        <f>G162+G160+G164+G166</f>
        <v>213136.38510996237</v>
      </c>
      <c r="H169" s="723"/>
      <c r="I169" s="723">
        <f>I162+I160+I164+I166</f>
        <v>168795.50480054351</v>
      </c>
      <c r="J169" s="723"/>
      <c r="K169" s="723">
        <f>K162+K160+K164+K166</f>
        <v>139241.20479653616</v>
      </c>
      <c r="L169" s="723"/>
      <c r="M169" s="723">
        <f>M162+M160+M164+M166</f>
        <v>274941.82990766951</v>
      </c>
      <c r="N169" s="723"/>
      <c r="O169" s="723">
        <f>O162+O160+O164+O166</f>
        <v>146011.8178325397</v>
      </c>
      <c r="P169" s="723"/>
      <c r="Q169" s="723"/>
      <c r="R169" s="723"/>
      <c r="S169" s="723">
        <f>S162+S160+S164+S166</f>
        <v>130705.22370165087</v>
      </c>
      <c r="T169" s="723"/>
      <c r="U169" s="723">
        <f>U162+U160+U164+U166</f>
        <v>106345.81352086081</v>
      </c>
      <c r="V169" s="723"/>
      <c r="W169" s="723">
        <f>W162+W160+W164+W166</f>
        <v>92727.714173192537</v>
      </c>
      <c r="X169" s="723"/>
      <c r="Y169" s="723">
        <f>Y162+Y160+Y164+Y166</f>
        <v>213082.46343086477</v>
      </c>
      <c r="Z169" s="723"/>
      <c r="AA169" s="723">
        <f>AA162+AA160+AA164+AA166</f>
        <v>1766335.9202788002</v>
      </c>
      <c r="AB169" s="218"/>
      <c r="AC169" s="32">
        <f>AA169/12</f>
        <v>147194.66002323336</v>
      </c>
      <c r="AD169" s="218"/>
      <c r="AE169" s="393"/>
      <c r="AF169" s="393"/>
      <c r="AG169" s="393"/>
    </row>
    <row r="170" spans="2:33" ht="15" hidden="1" customHeight="1">
      <c r="C170" s="32"/>
      <c r="D170" s="226"/>
      <c r="E170" s="32"/>
      <c r="F170" s="218"/>
      <c r="G170" s="32"/>
      <c r="H170" s="218"/>
      <c r="I170" s="32"/>
      <c r="J170" s="218"/>
      <c r="L170" s="218"/>
      <c r="N170" s="218"/>
      <c r="P170" s="218"/>
      <c r="R170" s="218"/>
      <c r="T170" s="218"/>
      <c r="U170" s="32"/>
      <c r="V170" s="218"/>
      <c r="W170" s="32"/>
      <c r="X170" s="218"/>
      <c r="Y170" s="32"/>
      <c r="Z170" s="218"/>
      <c r="AB170" s="218"/>
      <c r="AD170" s="218"/>
      <c r="AE170" s="393"/>
      <c r="AF170" s="393"/>
      <c r="AG170" s="393"/>
    </row>
    <row r="171" spans="2:33" ht="15" hidden="1" customHeight="1">
      <c r="B171" s="722"/>
      <c r="C171" s="32"/>
      <c r="D171" s="226"/>
      <c r="E171" s="32"/>
      <c r="F171" s="218"/>
      <c r="G171" s="32"/>
      <c r="H171" s="218"/>
      <c r="I171" s="32"/>
      <c r="J171" s="218"/>
      <c r="L171" s="218"/>
      <c r="N171" s="218"/>
      <c r="P171" s="218"/>
      <c r="R171" s="218"/>
      <c r="T171" s="218"/>
      <c r="U171" s="32"/>
      <c r="V171" s="218"/>
      <c r="W171" s="32"/>
      <c r="X171" s="218"/>
      <c r="Y171" s="32"/>
      <c r="Z171" s="218"/>
      <c r="AB171" s="218"/>
      <c r="AD171" s="218"/>
      <c r="AE171" s="393"/>
      <c r="AF171" s="393"/>
      <c r="AG171" s="393"/>
    </row>
    <row r="172" spans="2:33" ht="15" hidden="1" customHeight="1">
      <c r="B172" s="722" t="s">
        <v>240</v>
      </c>
      <c r="C172" s="32">
        <f>C169</f>
        <v>93681.946932360835</v>
      </c>
      <c r="D172" s="32"/>
      <c r="E172" s="32">
        <f>C172+E169</f>
        <v>132164.97151709403</v>
      </c>
      <c r="F172" s="32"/>
      <c r="G172" s="32">
        <f>E172+G169</f>
        <v>345301.35662705638</v>
      </c>
      <c r="H172" s="32"/>
      <c r="I172" s="32">
        <f>G172+I169</f>
        <v>514096.86142759991</v>
      </c>
      <c r="J172" s="32"/>
      <c r="K172" s="32">
        <f>I172+K169</f>
        <v>653338.06622413604</v>
      </c>
      <c r="L172" s="32"/>
      <c r="M172" s="32">
        <f>K172+M169</f>
        <v>928279.89613180561</v>
      </c>
      <c r="N172" s="32"/>
      <c r="O172" s="32">
        <f>M172+O169</f>
        <v>1074291.7139643454</v>
      </c>
      <c r="P172" s="32"/>
      <c r="R172" s="32"/>
      <c r="S172" s="32">
        <f>Q172+S169</f>
        <v>130705.22370165087</v>
      </c>
      <c r="T172" s="32"/>
      <c r="U172" s="32">
        <f>S172+U169</f>
        <v>237051.03722251169</v>
      </c>
      <c r="V172" s="32"/>
      <c r="W172" s="32">
        <f>U172+W169</f>
        <v>329778.75139570422</v>
      </c>
      <c r="X172" s="32"/>
      <c r="Y172" s="32">
        <f>W172+Y169</f>
        <v>542861.21482656896</v>
      </c>
      <c r="Z172" s="32"/>
      <c r="AA172" s="32"/>
      <c r="AB172" s="32"/>
      <c r="AC172" s="32"/>
      <c r="AD172" s="32"/>
      <c r="AE172" s="721"/>
      <c r="AF172" s="721"/>
      <c r="AG172" s="721"/>
    </row>
  </sheetData>
  <mergeCells count="1">
    <mergeCell ref="A1:AD1"/>
  </mergeCells>
  <conditionalFormatting sqref="W146 Q146">
    <cfRule type="cellIs" dxfId="1" priority="2" operator="lessThan">
      <formula>0</formula>
    </cfRule>
  </conditionalFormatting>
  <printOptions horizontalCentered="1" gridLines="1"/>
  <pageMargins left="0" right="0" top="0.74803149606299202" bottom="0.74803149606299202" header="0.31496062992126" footer="0.31496062992126"/>
  <pageSetup paperSize="8" scale="55" fitToHeight="3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BG182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ColWidth="9.140625" defaultRowHeight="15"/>
  <cols>
    <col min="1" max="1" width="11.28515625" style="213" bestFit="1" customWidth="1"/>
    <col min="2" max="2" width="36.28515625" style="213" bestFit="1" customWidth="1"/>
    <col min="3" max="3" width="15.140625" style="213" bestFit="1" customWidth="1"/>
    <col min="4" max="4" width="7.85546875" style="218" bestFit="1" customWidth="1"/>
    <col min="5" max="5" width="14.140625" style="269" customWidth="1"/>
    <col min="6" max="6" width="7.85546875" style="218" bestFit="1" customWidth="1"/>
    <col min="7" max="7" width="14" style="269" bestFit="1" customWidth="1"/>
    <col min="8" max="8" width="7.85546875" style="218" customWidth="1"/>
    <col min="9" max="9" width="14" style="269" bestFit="1" customWidth="1"/>
    <col min="10" max="10" width="7.85546875" style="218" bestFit="1" customWidth="1"/>
    <col min="11" max="11" width="14" style="269" bestFit="1" customWidth="1"/>
    <col min="12" max="12" width="7.85546875" style="218" bestFit="1" customWidth="1"/>
    <col min="13" max="13" width="14" style="269" bestFit="1" customWidth="1"/>
    <col min="14" max="14" width="7.85546875" style="218" bestFit="1" customWidth="1"/>
    <col min="15" max="15" width="13.42578125" style="269" bestFit="1" customWidth="1"/>
    <col min="16" max="16" width="7.85546875" style="218" bestFit="1" customWidth="1"/>
    <col min="17" max="17" width="13.42578125" style="213" bestFit="1" customWidth="1"/>
    <col min="18" max="18" width="7.85546875" style="218" bestFit="1" customWidth="1"/>
    <col min="19" max="19" width="13.42578125" style="269" bestFit="1" customWidth="1"/>
    <col min="20" max="20" width="7.28515625" style="542" customWidth="1"/>
    <col min="21" max="21" width="13.42578125" style="269" bestFit="1" customWidth="1"/>
    <col min="22" max="22" width="7.85546875" style="218" bestFit="1" customWidth="1"/>
    <col min="23" max="23" width="13.42578125" style="213" bestFit="1" customWidth="1"/>
    <col min="24" max="24" width="7.85546875" style="218" bestFit="1" customWidth="1"/>
    <col min="25" max="25" width="13.42578125" style="269" bestFit="1" customWidth="1"/>
    <col min="26" max="26" width="7.85546875" style="218" bestFit="1" customWidth="1"/>
    <col min="27" max="27" width="13.42578125" style="213" bestFit="1" customWidth="1"/>
    <col min="28" max="28" width="9.28515625" style="363" customWidth="1"/>
    <col min="29" max="29" width="12.42578125" style="213" bestFit="1" customWidth="1"/>
    <col min="30" max="30" width="10.42578125" style="363" customWidth="1"/>
    <col min="31" max="31" width="70" style="213" hidden="1" customWidth="1"/>
    <col min="32" max="36" width="9.140625" style="213" hidden="1" customWidth="1"/>
    <col min="37" max="37" width="14.28515625" style="213" hidden="1" customWidth="1"/>
    <col min="38" max="38" width="14.42578125" style="5" hidden="1" customWidth="1"/>
    <col min="39" max="39" width="10.28515625" style="213" hidden="1" customWidth="1"/>
    <col min="40" max="50" width="9.140625" style="213" hidden="1" customWidth="1"/>
    <col min="51" max="56" width="9.140625" style="213" customWidth="1"/>
    <col min="57" max="57" width="23" style="213" customWidth="1"/>
    <col min="58" max="58" width="9.140625" style="213"/>
    <col min="59" max="59" width="6.140625" style="213" bestFit="1" customWidth="1"/>
    <col min="60" max="16384" width="9.140625" style="213"/>
  </cols>
  <sheetData>
    <row r="1" spans="1:39" s="1" customFormat="1">
      <c r="A1" s="995" t="s">
        <v>373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K1" s="5"/>
      <c r="AL1" s="5"/>
      <c r="AM1" s="5"/>
    </row>
    <row r="2" spans="1:39" s="1" customFormat="1">
      <c r="A2" s="43"/>
      <c r="B2" s="43"/>
      <c r="C2" s="728" t="s">
        <v>64</v>
      </c>
      <c r="D2" s="108"/>
      <c r="E2" s="1001" t="s">
        <v>65</v>
      </c>
      <c r="F2" s="1003"/>
      <c r="G2" s="728" t="s">
        <v>81</v>
      </c>
      <c r="H2" s="108"/>
      <c r="I2" s="1001" t="s">
        <v>82</v>
      </c>
      <c r="J2" s="1003"/>
      <c r="K2" s="1001" t="s">
        <v>83</v>
      </c>
      <c r="L2" s="1003"/>
      <c r="M2" s="1001" t="s">
        <v>84</v>
      </c>
      <c r="N2" s="1002"/>
      <c r="O2" s="1001" t="s">
        <v>85</v>
      </c>
      <c r="P2" s="1003"/>
      <c r="Q2" s="1001" t="s">
        <v>86</v>
      </c>
      <c r="R2" s="1002"/>
      <c r="S2" s="1009" t="s">
        <v>87</v>
      </c>
      <c r="T2" s="1010"/>
      <c r="U2" s="1001" t="s">
        <v>123</v>
      </c>
      <c r="V2" s="1003"/>
      <c r="W2" s="1001" t="s">
        <v>124</v>
      </c>
      <c r="X2" s="1002"/>
      <c r="Y2" s="1002" t="s">
        <v>125</v>
      </c>
      <c r="Z2" s="1002"/>
      <c r="AA2" s="1007" t="s">
        <v>120</v>
      </c>
      <c r="AB2" s="1007"/>
      <c r="AC2" s="1008" t="s">
        <v>121</v>
      </c>
      <c r="AD2" s="1008"/>
      <c r="AK2" s="5"/>
      <c r="AL2" s="5"/>
      <c r="AM2" s="5"/>
    </row>
    <row r="3" spans="1:39" s="1" customFormat="1" ht="15.75" thickBot="1">
      <c r="A3" s="65"/>
      <c r="B3" s="42" t="s">
        <v>69</v>
      </c>
      <c r="C3" s="111" t="s">
        <v>115</v>
      </c>
      <c r="D3" s="101"/>
      <c r="E3" s="73" t="s">
        <v>115</v>
      </c>
      <c r="F3" s="101"/>
      <c r="G3" s="111" t="s">
        <v>115</v>
      </c>
      <c r="H3" s="101"/>
      <c r="I3" s="73" t="s">
        <v>115</v>
      </c>
      <c r="J3" s="101"/>
      <c r="K3" s="73" t="s">
        <v>115</v>
      </c>
      <c r="L3" s="101"/>
      <c r="M3" s="73" t="s">
        <v>115</v>
      </c>
      <c r="N3" s="101"/>
      <c r="O3" s="73" t="s">
        <v>115</v>
      </c>
      <c r="P3" s="101"/>
      <c r="Q3" s="66" t="s">
        <v>115</v>
      </c>
      <c r="R3" s="101"/>
      <c r="S3" s="73" t="s">
        <v>115</v>
      </c>
      <c r="T3" s="530"/>
      <c r="U3" s="73" t="s">
        <v>115</v>
      </c>
      <c r="V3" s="101"/>
      <c r="W3" s="66" t="s">
        <v>115</v>
      </c>
      <c r="X3" s="101"/>
      <c r="Y3" s="73" t="s">
        <v>115</v>
      </c>
      <c r="Z3" s="101"/>
      <c r="AA3" s="140" t="s">
        <v>115</v>
      </c>
      <c r="AB3" s="141"/>
      <c r="AC3" s="124" t="s">
        <v>115</v>
      </c>
      <c r="AD3" s="125"/>
      <c r="AK3" s="5"/>
      <c r="AL3" s="5"/>
      <c r="AM3" s="5"/>
    </row>
    <row r="4" spans="1:39" s="1" customFormat="1">
      <c r="B4" s="20"/>
      <c r="C4" s="112"/>
      <c r="D4" s="102"/>
      <c r="E4" s="74"/>
      <c r="F4" s="102"/>
      <c r="G4" s="112"/>
      <c r="H4" s="102"/>
      <c r="I4" s="74"/>
      <c r="J4" s="102"/>
      <c r="K4" s="74"/>
      <c r="L4" s="102"/>
      <c r="M4" s="74"/>
      <c r="N4" s="102"/>
      <c r="O4" s="74"/>
      <c r="P4" s="102"/>
      <c r="Q4" s="5"/>
      <c r="R4" s="102"/>
      <c r="S4" s="74"/>
      <c r="T4" s="531"/>
      <c r="U4" s="74"/>
      <c r="V4" s="102"/>
      <c r="W4" s="5"/>
      <c r="X4" s="102"/>
      <c r="Y4" s="74"/>
      <c r="Z4" s="102"/>
      <c r="AA4" s="142"/>
      <c r="AB4" s="143"/>
      <c r="AC4" s="126"/>
      <c r="AD4" s="127"/>
      <c r="AK4" s="5"/>
      <c r="AL4" s="5"/>
      <c r="AM4" s="5"/>
    </row>
    <row r="5" spans="1:39" s="5" customFormat="1">
      <c r="A5" s="6">
        <v>5004</v>
      </c>
      <c r="B5" s="759" t="s">
        <v>71</v>
      </c>
      <c r="C5" s="113">
        <f>-5276214.34+5276214.34</f>
        <v>0</v>
      </c>
      <c r="D5" s="22"/>
      <c r="E5" s="75">
        <f>-4113949.69+4113949.69</f>
        <v>0</v>
      </c>
      <c r="F5" s="22"/>
      <c r="G5" s="113">
        <f>-4972008.74--4972008.74</f>
        <v>0</v>
      </c>
      <c r="H5" s="22"/>
      <c r="I5" s="75">
        <v>0</v>
      </c>
      <c r="J5" s="22"/>
      <c r="K5" s="75">
        <f>-5237539.24+5237539.24</f>
        <v>0</v>
      </c>
      <c r="L5" s="22"/>
      <c r="M5" s="75"/>
      <c r="N5" s="22"/>
      <c r="O5" s="75">
        <f>4406686.71-4406686.71</f>
        <v>0</v>
      </c>
      <c r="P5" s="22"/>
      <c r="Q5" s="764">
        <f>-5741636.45+5741636.45</f>
        <v>0</v>
      </c>
      <c r="R5" s="22"/>
      <c r="S5" s="31">
        <f>-5618939.1+5693442.87-74503.77</f>
        <v>4.8021320253610611E-10</v>
      </c>
      <c r="T5" s="24"/>
      <c r="U5" s="75">
        <v>0</v>
      </c>
      <c r="V5" s="22"/>
      <c r="W5" s="50">
        <v>0</v>
      </c>
      <c r="X5" s="22"/>
      <c r="Y5" s="75">
        <v>0</v>
      </c>
      <c r="Z5" s="22"/>
      <c r="AA5" s="144">
        <f>C5+E5+G5+I5+K5+M5+O5+Q5+S5+U5+W5+Y5</f>
        <v>4.8021320253610611E-10</v>
      </c>
      <c r="AB5" s="183"/>
      <c r="AC5" s="128">
        <f>AA5/12</f>
        <v>4.0017766878008842E-11</v>
      </c>
      <c r="AD5" s="183"/>
      <c r="AK5" s="74"/>
      <c r="AL5" s="74">
        <f>C5*0.985+E5*0.985+G5*0.985+I5*0.985+K5*0.985+M5*0.985+O5*0.985+Q5*0.985+S5*0.985+U5*0.985+W5*0.985+Y5*0.985</f>
        <v>4.7301000449806456E-10</v>
      </c>
      <c r="AM5" s="74"/>
    </row>
    <row r="6" spans="1:39" s="1" customFormat="1">
      <c r="A6" s="5">
        <v>5005</v>
      </c>
      <c r="B6" s="17" t="s">
        <v>67</v>
      </c>
      <c r="C6" s="703"/>
      <c r="D6" s="102"/>
      <c r="E6" s="61"/>
      <c r="F6" s="102"/>
      <c r="G6" s="703"/>
      <c r="H6" s="102"/>
      <c r="I6" s="61"/>
      <c r="J6" s="102"/>
      <c r="K6" s="61"/>
      <c r="L6" s="102"/>
      <c r="M6" s="61"/>
      <c r="N6" s="102"/>
      <c r="O6" s="75"/>
      <c r="P6" s="102"/>
      <c r="Q6" s="50"/>
      <c r="R6" s="102"/>
      <c r="S6" s="61"/>
      <c r="T6" s="531"/>
      <c r="U6" s="75"/>
      <c r="V6" s="102"/>
      <c r="W6" s="50"/>
      <c r="X6" s="102"/>
      <c r="Y6" s="61"/>
      <c r="Z6" s="102"/>
      <c r="AA6" s="144">
        <f>C6+E6+G6+I6+K6+M6+O6+Q6+S6+U6+W6+Y6</f>
        <v>0</v>
      </c>
      <c r="AB6" s="146"/>
      <c r="AC6" s="128">
        <f t="shared" ref="AC6:AC9" si="0">AA6/12</f>
        <v>0</v>
      </c>
      <c r="AD6" s="130"/>
      <c r="AK6" s="74"/>
      <c r="AL6" s="74">
        <f>C6*0.985+E6*0.985+G6*0.985+I6*0.985+K6*0.985+M6*0.985+O6*0.985+Q6*0.985+S6*0.985+U6*0.985+W6*0.985+Y6*0.985</f>
        <v>0</v>
      </c>
      <c r="AM6" s="74"/>
    </row>
    <row r="7" spans="1:39" s="1" customFormat="1">
      <c r="A7" s="6">
        <v>5051</v>
      </c>
      <c r="B7" s="759" t="s">
        <v>118</v>
      </c>
      <c r="C7" s="115"/>
      <c r="D7" s="702"/>
      <c r="E7" s="81"/>
      <c r="F7" s="702"/>
      <c r="G7" s="115">
        <v>0</v>
      </c>
      <c r="H7" s="702"/>
      <c r="I7" s="81">
        <v>0</v>
      </c>
      <c r="J7" s="702"/>
      <c r="K7" s="75"/>
      <c r="L7" s="702"/>
      <c r="M7" s="81"/>
      <c r="N7" s="702"/>
      <c r="O7" s="75">
        <v>0</v>
      </c>
      <c r="P7" s="702"/>
      <c r="Q7" s="50">
        <v>0</v>
      </c>
      <c r="R7" s="702"/>
      <c r="S7" s="75"/>
      <c r="T7" s="24"/>
      <c r="U7" s="75"/>
      <c r="V7" s="702"/>
      <c r="W7" s="50"/>
      <c r="X7" s="702"/>
      <c r="Y7" s="75"/>
      <c r="Z7" s="702"/>
      <c r="AA7" s="144">
        <f>C7+E7+G7+I7+K7+M7+O7+Q7+S7+U7+W7+Y7</f>
        <v>0</v>
      </c>
      <c r="AB7" s="147"/>
      <c r="AC7" s="128">
        <f t="shared" si="0"/>
        <v>0</v>
      </c>
      <c r="AD7" s="131"/>
      <c r="AK7" s="74"/>
      <c r="AL7" s="74">
        <f>C7*0.985+E7*0.985+G7*0.985+I7*0.985+K7*0.985+M7*0.985+O7*0.985+Q7*0.985+S7*0.985+U7*0.985+W7*0.985+Y7*0.985</f>
        <v>0</v>
      </c>
      <c r="AM7" s="74"/>
    </row>
    <row r="8" spans="1:39" s="1" customFormat="1">
      <c r="A8" s="5">
        <v>5052</v>
      </c>
      <c r="B8" s="17" t="s">
        <v>90</v>
      </c>
      <c r="C8" s="703"/>
      <c r="D8" s="702"/>
      <c r="E8" s="61"/>
      <c r="F8" s="702"/>
      <c r="G8" s="703"/>
      <c r="H8" s="702"/>
      <c r="I8" s="61"/>
      <c r="J8" s="702"/>
      <c r="K8" s="61"/>
      <c r="L8" s="702"/>
      <c r="M8" s="61"/>
      <c r="N8" s="702"/>
      <c r="O8" s="61"/>
      <c r="P8" s="702"/>
      <c r="Q8" s="51"/>
      <c r="R8" s="702"/>
      <c r="S8" s="61"/>
      <c r="T8" s="24"/>
      <c r="U8" s="61"/>
      <c r="V8" s="702"/>
      <c r="W8" s="51"/>
      <c r="X8" s="702"/>
      <c r="Y8" s="61"/>
      <c r="Z8" s="702"/>
      <c r="AA8" s="144">
        <f>C8+E8+G8+I8+K8+M8+O8+Q8+S8+U8+W8+Y8</f>
        <v>0</v>
      </c>
      <c r="AB8" s="147"/>
      <c r="AC8" s="128">
        <f t="shared" si="0"/>
        <v>0</v>
      </c>
      <c r="AD8" s="131"/>
      <c r="AK8" s="74"/>
      <c r="AL8" s="74">
        <f>C8*0.985+E8*0.985+G8*0.985+I8*0.985+K8*0.985+M8*0.985+O8*0.985+Q8*0.985+S8*0.985+U8*0.985+W8*0.985+Y8*0.985</f>
        <v>0</v>
      </c>
      <c r="AM8" s="74"/>
    </row>
    <row r="9" spans="1:39" s="1" customFormat="1">
      <c r="A9" s="5">
        <v>5101</v>
      </c>
      <c r="B9" s="17" t="s">
        <v>46</v>
      </c>
      <c r="C9" s="703"/>
      <c r="D9" s="702"/>
      <c r="E9" s="61"/>
      <c r="F9" s="702"/>
      <c r="G9" s="703"/>
      <c r="H9" s="702"/>
      <c r="I9" s="61"/>
      <c r="J9" s="702"/>
      <c r="K9" s="61"/>
      <c r="L9" s="702"/>
      <c r="M9" s="61"/>
      <c r="N9" s="702"/>
      <c r="O9" s="61"/>
      <c r="P9" s="702"/>
      <c r="Q9" s="51"/>
      <c r="R9" s="702"/>
      <c r="S9" s="61"/>
      <c r="T9" s="24"/>
      <c r="U9" s="61"/>
      <c r="V9" s="702"/>
      <c r="W9" s="51"/>
      <c r="X9" s="702"/>
      <c r="Y9" s="61"/>
      <c r="Z9" s="702"/>
      <c r="AA9" s="144">
        <f>C9+E9+G9+I9+K9+M9+O9+Q9+S9+U9+W9+Y9</f>
        <v>0</v>
      </c>
      <c r="AB9" s="147"/>
      <c r="AC9" s="128">
        <f t="shared" si="0"/>
        <v>0</v>
      </c>
      <c r="AD9" s="131"/>
      <c r="AK9" s="74"/>
      <c r="AL9" s="74">
        <f>C9*0.985+E9*0.985+G9*0.985+I9*0.985+K9*0.985+M9*0.985+O9*0.985+Q9*0.985+S9*0.985+U9*0.985+W9*0.985+Y9*0.985</f>
        <v>0</v>
      </c>
      <c r="AM9" s="74"/>
    </row>
    <row r="10" spans="1:39" s="1" customFormat="1">
      <c r="A10" s="5">
        <v>5102</v>
      </c>
      <c r="B10" s="5" t="s">
        <v>220</v>
      </c>
      <c r="C10" s="31"/>
      <c r="D10" s="702"/>
      <c r="E10" s="26"/>
      <c r="F10" s="702"/>
      <c r="G10" s="26"/>
      <c r="H10" s="702"/>
      <c r="I10" s="26"/>
      <c r="J10" s="702"/>
      <c r="K10" s="26"/>
      <c r="L10" s="702"/>
      <c r="M10" s="26"/>
      <c r="N10" s="702"/>
      <c r="O10" s="26"/>
      <c r="P10" s="702"/>
      <c r="Q10" s="26"/>
      <c r="R10" s="702"/>
      <c r="S10" s="26"/>
      <c r="T10" s="24"/>
      <c r="U10" s="26"/>
      <c r="V10" s="702"/>
      <c r="W10" s="26"/>
      <c r="X10" s="702"/>
      <c r="Y10" s="26"/>
      <c r="Z10" s="702"/>
      <c r="AA10" s="144"/>
      <c r="AB10" s="702"/>
      <c r="AC10" s="128"/>
      <c r="AD10" s="702"/>
      <c r="AK10" s="74"/>
      <c r="AL10" s="74"/>
      <c r="AM10" s="74"/>
    </row>
    <row r="11" spans="1:39" s="1" customFormat="1">
      <c r="A11" s="5">
        <v>5103</v>
      </c>
      <c r="B11" s="5" t="s">
        <v>63</v>
      </c>
      <c r="C11" s="26"/>
      <c r="D11" s="702"/>
      <c r="E11" s="27">
        <v>0</v>
      </c>
      <c r="F11" s="702"/>
      <c r="G11" s="26"/>
      <c r="H11" s="702"/>
      <c r="I11" s="26"/>
      <c r="J11" s="702"/>
      <c r="K11" s="26"/>
      <c r="L11" s="702"/>
      <c r="M11" s="26"/>
      <c r="N11" s="702"/>
      <c r="O11" s="26"/>
      <c r="P11" s="702"/>
      <c r="Q11" s="26"/>
      <c r="R11" s="702"/>
      <c r="S11" s="26"/>
      <c r="T11" s="24"/>
      <c r="U11" s="26"/>
      <c r="V11" s="702"/>
      <c r="W11" s="26"/>
      <c r="X11" s="702"/>
      <c r="Y11" s="26"/>
      <c r="Z11" s="702"/>
      <c r="AA11" s="144">
        <f>C11+E11+G11+I11+K11+M11+O11+Q11+S11+U11+W11+Y11</f>
        <v>0</v>
      </c>
      <c r="AB11" s="702"/>
      <c r="AC11" s="128">
        <f t="shared" ref="AC11" si="1">AA11/12</f>
        <v>0</v>
      </c>
      <c r="AD11" s="702"/>
      <c r="AK11" s="74"/>
      <c r="AL11" s="74">
        <f t="shared" ref="AL11:AL42" si="2">C11*0.985+E11*0.985+G11*0.985+I11*0.985+K11*0.985+M11*0.985+O11*0.985+Q11*0.985+S11*0.985+U11*0.985+W11*0.985+Y11*0.985</f>
        <v>0</v>
      </c>
      <c r="AM11" s="74"/>
    </row>
    <row r="12" spans="1:39" s="1" customFormat="1" ht="15.75" thickBot="1">
      <c r="A12" s="7">
        <v>5149</v>
      </c>
      <c r="B12" s="242" t="s">
        <v>66</v>
      </c>
      <c r="C12" s="116">
        <f>C5+C6-C7-C8-C9+C11</f>
        <v>0</v>
      </c>
      <c r="D12" s="23"/>
      <c r="E12" s="76">
        <f>E5+E6-E7-E8-E9+E11</f>
        <v>0</v>
      </c>
      <c r="F12" s="23"/>
      <c r="G12" s="116">
        <f>G5+G6-G7-G8-G9+G11</f>
        <v>0</v>
      </c>
      <c r="H12" s="23"/>
      <c r="I12" s="76">
        <f>I5+I6-I7-I8-I9+I11</f>
        <v>0</v>
      </c>
      <c r="J12" s="23"/>
      <c r="K12" s="76">
        <f>K5+K6-K7-K8-K9+K11</f>
        <v>0</v>
      </c>
      <c r="L12" s="23"/>
      <c r="M12" s="76">
        <f>M5+M6-M7-M8-M9+M11</f>
        <v>0</v>
      </c>
      <c r="N12" s="23"/>
      <c r="O12" s="76">
        <f>O5+O6-O7-O8-O9+O11</f>
        <v>0</v>
      </c>
      <c r="P12" s="23"/>
      <c r="Q12" s="52">
        <f>Q5+Q6-Q7-Q8-Q9+Q11</f>
        <v>0</v>
      </c>
      <c r="R12" s="23"/>
      <c r="S12" s="76">
        <f>S5+S6-S7-S8-S9+S11</f>
        <v>4.8021320253610611E-10</v>
      </c>
      <c r="T12" s="532"/>
      <c r="U12" s="76">
        <f>U5+U6-U7-U8-U9+U11</f>
        <v>0</v>
      </c>
      <c r="V12" s="23"/>
      <c r="W12" s="52">
        <f>W5+W6-W7-W8-W9+W11</f>
        <v>0</v>
      </c>
      <c r="X12" s="23"/>
      <c r="Y12" s="76">
        <f>Y5+Y6-Y7-Y8-Y9+Y11</f>
        <v>0</v>
      </c>
      <c r="Z12" s="23"/>
      <c r="AA12" s="158">
        <f>AA5+AA6-AA7-AA8-AA9+AA11</f>
        <v>4.8021320253610611E-10</v>
      </c>
      <c r="AB12" s="155"/>
      <c r="AC12" s="186">
        <f>AC5+AC6-AC7-AC8-AC9+AC11</f>
        <v>4.0017766878008842E-11</v>
      </c>
      <c r="AD12" s="156"/>
      <c r="AK12" s="74"/>
      <c r="AL12" s="74">
        <f t="shared" si="2"/>
        <v>4.7301000449806456E-10</v>
      </c>
      <c r="AM12" s="74"/>
    </row>
    <row r="13" spans="1:39" s="1" customFormat="1" ht="15.75" thickTop="1">
      <c r="A13" s="5">
        <v>5151</v>
      </c>
      <c r="B13" s="17" t="s">
        <v>47</v>
      </c>
      <c r="C13" s="703"/>
      <c r="D13" s="102"/>
      <c r="E13" s="61"/>
      <c r="F13" s="102"/>
      <c r="G13" s="703"/>
      <c r="H13" s="102"/>
      <c r="I13" s="61"/>
      <c r="J13" s="102"/>
      <c r="K13" s="61"/>
      <c r="L13" s="102"/>
      <c r="M13" s="61"/>
      <c r="N13" s="102"/>
      <c r="O13" s="61"/>
      <c r="P13" s="102"/>
      <c r="Q13" s="51"/>
      <c r="R13" s="102"/>
      <c r="S13" s="61"/>
      <c r="T13" s="531"/>
      <c r="U13" s="61"/>
      <c r="V13" s="102"/>
      <c r="W13" s="51"/>
      <c r="X13" s="102"/>
      <c r="Y13" s="61"/>
      <c r="Z13" s="102"/>
      <c r="AA13" s="144">
        <f>C13+E13+G13+I13+K13+M13+O13+Q13+S13+U13+W13+Y13</f>
        <v>0</v>
      </c>
      <c r="AB13" s="146"/>
      <c r="AC13" s="128">
        <f>AA13/12</f>
        <v>0</v>
      </c>
      <c r="AD13" s="130"/>
      <c r="AK13" s="74"/>
      <c r="AL13" s="74">
        <f t="shared" si="2"/>
        <v>0</v>
      </c>
      <c r="AM13" s="74"/>
    </row>
    <row r="14" spans="1:39" s="1" customFormat="1">
      <c r="A14" s="5">
        <v>5152</v>
      </c>
      <c r="B14" s="17" t="s">
        <v>48</v>
      </c>
      <c r="C14" s="703"/>
      <c r="D14" s="102"/>
      <c r="E14" s="61"/>
      <c r="F14" s="102"/>
      <c r="G14" s="703"/>
      <c r="H14" s="102"/>
      <c r="I14" s="61"/>
      <c r="J14" s="102"/>
      <c r="K14" s="61"/>
      <c r="L14" s="102"/>
      <c r="M14" s="61"/>
      <c r="N14" s="102"/>
      <c r="O14" s="61"/>
      <c r="P14" s="102"/>
      <c r="Q14" s="51"/>
      <c r="R14" s="102"/>
      <c r="S14" s="61"/>
      <c r="T14" s="531"/>
      <c r="U14" s="61"/>
      <c r="V14" s="102"/>
      <c r="W14" s="51"/>
      <c r="X14" s="102"/>
      <c r="Y14" s="61"/>
      <c r="Z14" s="102"/>
      <c r="AA14" s="144">
        <f>C14+E14+G14+I14+K14+M14+O14+Q14+S14+U14+W14+Y14</f>
        <v>0</v>
      </c>
      <c r="AB14" s="176"/>
      <c r="AC14" s="356">
        <f>AA14/12</f>
        <v>0</v>
      </c>
      <c r="AD14" s="130"/>
      <c r="AK14" s="74"/>
      <c r="AL14" s="74">
        <f t="shared" si="2"/>
        <v>0</v>
      </c>
      <c r="AM14" s="74"/>
    </row>
    <row r="15" spans="1:39" s="1" customFormat="1" ht="15.75" thickBot="1">
      <c r="A15" s="53">
        <v>5198</v>
      </c>
      <c r="B15" s="243" t="s">
        <v>106</v>
      </c>
      <c r="C15" s="117">
        <f>C13+C14</f>
        <v>0</v>
      </c>
      <c r="D15" s="103"/>
      <c r="E15" s="77">
        <f>E13+E14</f>
        <v>0</v>
      </c>
      <c r="F15" s="103"/>
      <c r="G15" s="117">
        <f>G13+G14</f>
        <v>0</v>
      </c>
      <c r="H15" s="103"/>
      <c r="I15" s="77">
        <f>I13+I14</f>
        <v>0</v>
      </c>
      <c r="J15" s="103"/>
      <c r="K15" s="77">
        <f>K13+K14</f>
        <v>0</v>
      </c>
      <c r="L15" s="103"/>
      <c r="M15" s="77">
        <f>M13+M14</f>
        <v>0</v>
      </c>
      <c r="N15" s="103"/>
      <c r="O15" s="77">
        <f>O13+O14</f>
        <v>0</v>
      </c>
      <c r="P15" s="103"/>
      <c r="Q15" s="54">
        <f>Q13+Q14</f>
        <v>0</v>
      </c>
      <c r="R15" s="103"/>
      <c r="S15" s="77">
        <f>S13+S14</f>
        <v>0</v>
      </c>
      <c r="T15" s="533"/>
      <c r="U15" s="77">
        <f>U13+U14</f>
        <v>0</v>
      </c>
      <c r="V15" s="103"/>
      <c r="W15" s="54">
        <f>W13+W14</f>
        <v>0</v>
      </c>
      <c r="X15" s="103"/>
      <c r="Y15" s="77">
        <f>Y13+Y14</f>
        <v>0</v>
      </c>
      <c r="Z15" s="103"/>
      <c r="AA15" s="158">
        <f>AA13+AA14</f>
        <v>0</v>
      </c>
      <c r="AB15" s="169"/>
      <c r="AC15" s="135">
        <f>AC13+AC14</f>
        <v>0</v>
      </c>
      <c r="AD15" s="134"/>
      <c r="AK15" s="74"/>
      <c r="AL15" s="74">
        <f t="shared" si="2"/>
        <v>0</v>
      </c>
      <c r="AM15" s="74"/>
    </row>
    <row r="16" spans="1:39" s="1" customFormat="1" ht="16.5" thickTop="1" thickBot="1">
      <c r="A16" s="55">
        <v>5199</v>
      </c>
      <c r="B16" s="244" t="s">
        <v>70</v>
      </c>
      <c r="C16" s="118">
        <f>C12+C15</f>
        <v>0</v>
      </c>
      <c r="D16" s="57"/>
      <c r="E16" s="78">
        <f>E12+E15</f>
        <v>0</v>
      </c>
      <c r="F16" s="57"/>
      <c r="G16" s="118">
        <f>G12+G15</f>
        <v>0</v>
      </c>
      <c r="H16" s="57"/>
      <c r="I16" s="78">
        <f>I12+I15</f>
        <v>0</v>
      </c>
      <c r="J16" s="57"/>
      <c r="K16" s="78">
        <f>K12+K15</f>
        <v>0</v>
      </c>
      <c r="L16" s="57"/>
      <c r="M16" s="78">
        <f>M12+M15</f>
        <v>0</v>
      </c>
      <c r="N16" s="57"/>
      <c r="O16" s="78">
        <f>O12+O15</f>
        <v>0</v>
      </c>
      <c r="P16" s="57"/>
      <c r="Q16" s="56">
        <f>Q12+Q15</f>
        <v>0</v>
      </c>
      <c r="R16" s="57"/>
      <c r="S16" s="78">
        <f>S12+S15</f>
        <v>4.8021320253610611E-10</v>
      </c>
      <c r="T16" s="534"/>
      <c r="U16" s="78">
        <f>U12+U15</f>
        <v>0</v>
      </c>
      <c r="V16" s="57"/>
      <c r="W16" s="56">
        <f>W12+W15</f>
        <v>0</v>
      </c>
      <c r="X16" s="57"/>
      <c r="Y16" s="78">
        <f>Y12+Y15</f>
        <v>0</v>
      </c>
      <c r="Z16" s="57"/>
      <c r="AA16" s="174">
        <f>AA12+AA15</f>
        <v>4.8021320253610611E-10</v>
      </c>
      <c r="AB16" s="155"/>
      <c r="AC16" s="135">
        <f>AC12+AC15</f>
        <v>4.0017766878008842E-11</v>
      </c>
      <c r="AD16" s="157"/>
      <c r="AK16" s="74"/>
      <c r="AL16" s="74">
        <f t="shared" si="2"/>
        <v>4.7301000449806456E-10</v>
      </c>
      <c r="AM16" s="74"/>
    </row>
    <row r="17" spans="1:39" s="1" customFormat="1" ht="15.75" thickTop="1">
      <c r="A17" s="13">
        <v>5502</v>
      </c>
      <c r="B17" s="17" t="s">
        <v>49</v>
      </c>
      <c r="C17" s="703">
        <v>0</v>
      </c>
      <c r="D17" s="702"/>
      <c r="E17" s="703">
        <v>0</v>
      </c>
      <c r="F17" s="702"/>
      <c r="G17" s="703">
        <v>0</v>
      </c>
      <c r="H17" s="702"/>
      <c r="I17" s="703">
        <v>0</v>
      </c>
      <c r="J17" s="702"/>
      <c r="K17" s="703">
        <v>0</v>
      </c>
      <c r="L17" s="702"/>
      <c r="M17" s="703">
        <v>0</v>
      </c>
      <c r="N17" s="702"/>
      <c r="O17" s="703">
        <v>0</v>
      </c>
      <c r="P17" s="702"/>
      <c r="Q17" s="703">
        <v>0</v>
      </c>
      <c r="R17" s="702"/>
      <c r="S17" s="703">
        <v>0</v>
      </c>
      <c r="T17" s="24"/>
      <c r="U17" s="703">
        <v>0</v>
      </c>
      <c r="V17" s="702"/>
      <c r="W17" s="703">
        <v>0</v>
      </c>
      <c r="X17" s="702"/>
      <c r="Y17" s="703">
        <v>0</v>
      </c>
      <c r="Z17" s="702"/>
      <c r="AA17" s="144">
        <f>C17+E17+G17+I17+K17+M17+O17+Q17+S17+U17+W17+Y17</f>
        <v>0</v>
      </c>
      <c r="AB17" s="147"/>
      <c r="AC17" s="128">
        <f t="shared" ref="AC17:AC20" si="3">AA17/12</f>
        <v>0</v>
      </c>
      <c r="AD17" s="131"/>
      <c r="AK17" s="74"/>
      <c r="AL17" s="74">
        <f t="shared" si="2"/>
        <v>0</v>
      </c>
      <c r="AM17" s="74"/>
    </row>
    <row r="18" spans="1:39" s="1" customFormat="1">
      <c r="A18" s="187">
        <v>5503</v>
      </c>
      <c r="B18" s="758" t="s">
        <v>50</v>
      </c>
      <c r="C18" s="703"/>
      <c r="D18" s="102"/>
      <c r="E18" s="703"/>
      <c r="F18" s="102"/>
      <c r="G18" s="703"/>
      <c r="H18" s="102"/>
      <c r="I18" s="703"/>
      <c r="J18" s="102"/>
      <c r="K18" s="703"/>
      <c r="L18" s="102"/>
      <c r="M18" s="703"/>
      <c r="N18" s="102"/>
      <c r="O18" s="703"/>
      <c r="P18" s="102"/>
      <c r="Q18" s="703"/>
      <c r="R18" s="102"/>
      <c r="S18" s="703"/>
      <c r="T18" s="531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46"/>
      <c r="AC18" s="128">
        <f t="shared" si="3"/>
        <v>0</v>
      </c>
      <c r="AD18" s="130"/>
      <c r="AK18" s="74"/>
      <c r="AL18" s="74">
        <f t="shared" si="2"/>
        <v>0</v>
      </c>
      <c r="AM18" s="74"/>
    </row>
    <row r="19" spans="1:39" s="1" customFormat="1">
      <c r="A19" s="187">
        <v>5504</v>
      </c>
      <c r="B19" s="758" t="s">
        <v>51</v>
      </c>
      <c r="C19" s="26">
        <v>0</v>
      </c>
      <c r="D19" s="702"/>
      <c r="E19" s="26">
        <v>0</v>
      </c>
      <c r="F19" s="702"/>
      <c r="G19" s="26">
        <v>0</v>
      </c>
      <c r="H19" s="702"/>
      <c r="I19" s="26">
        <v>0</v>
      </c>
      <c r="J19" s="702"/>
      <c r="K19" s="26">
        <v>0</v>
      </c>
      <c r="L19" s="702"/>
      <c r="M19" s="26">
        <v>0</v>
      </c>
      <c r="N19" s="702"/>
      <c r="O19" s="26">
        <v>0</v>
      </c>
      <c r="P19" s="702"/>
      <c r="Q19" s="26">
        <v>0</v>
      </c>
      <c r="R19" s="702"/>
      <c r="S19" s="26">
        <v>0</v>
      </c>
      <c r="T19" s="702"/>
      <c r="U19" s="26"/>
      <c r="V19" s="702"/>
      <c r="W19" s="26"/>
      <c r="X19" s="702"/>
      <c r="Y19" s="26"/>
      <c r="Z19" s="702"/>
      <c r="AA19" s="144">
        <f>C19+E19+G19+I19+K19+M19+O19+Q19+S19+U19+W19+Y19</f>
        <v>0</v>
      </c>
      <c r="AB19" s="147"/>
      <c r="AC19" s="128">
        <f t="shared" si="3"/>
        <v>0</v>
      </c>
      <c r="AD19" s="131"/>
      <c r="AK19" s="74"/>
      <c r="AL19" s="74">
        <f t="shared" si="2"/>
        <v>0</v>
      </c>
      <c r="AM19" s="74"/>
    </row>
    <row r="20" spans="1:39" s="1" customFormat="1">
      <c r="A20" s="187">
        <v>5505</v>
      </c>
      <c r="B20" s="758" t="s">
        <v>52</v>
      </c>
      <c r="C20" s="703"/>
      <c r="D20" s="102"/>
      <c r="E20" s="61"/>
      <c r="F20" s="102"/>
      <c r="G20" s="703"/>
      <c r="H20" s="102"/>
      <c r="I20" s="61"/>
      <c r="J20" s="102"/>
      <c r="K20" s="61"/>
      <c r="L20" s="102"/>
      <c r="M20" s="61">
        <v>0</v>
      </c>
      <c r="N20" s="102"/>
      <c r="O20" s="61"/>
      <c r="P20" s="102"/>
      <c r="Q20" s="51"/>
      <c r="R20" s="102"/>
      <c r="S20" s="61"/>
      <c r="T20" s="531"/>
      <c r="U20" s="61"/>
      <c r="V20" s="102"/>
      <c r="W20" s="51"/>
      <c r="X20" s="102"/>
      <c r="Y20" s="61"/>
      <c r="Z20" s="102"/>
      <c r="AA20" s="354">
        <f>C20+E20+G20+I20+K20+M20+O20+Q20+S20+U20+W20+Y20</f>
        <v>0</v>
      </c>
      <c r="AB20" s="176"/>
      <c r="AC20" s="168">
        <f t="shared" si="3"/>
        <v>0</v>
      </c>
      <c r="AD20" s="355"/>
      <c r="AK20" s="74"/>
      <c r="AL20" s="74">
        <f t="shared" si="2"/>
        <v>0</v>
      </c>
      <c r="AM20" s="74"/>
    </row>
    <row r="21" spans="1:39" s="1" customFormat="1" ht="15.75" thickBot="1">
      <c r="A21" s="8">
        <v>5599</v>
      </c>
      <c r="B21" s="245" t="s">
        <v>107</v>
      </c>
      <c r="C21" s="116">
        <f>SUM(C17:C20)</f>
        <v>0</v>
      </c>
      <c r="D21" s="89"/>
      <c r="E21" s="76">
        <f>SUM(E17:E20)</f>
        <v>0</v>
      </c>
      <c r="F21" s="89"/>
      <c r="G21" s="116">
        <f>SUM(G17:G20)</f>
        <v>0</v>
      </c>
      <c r="H21" s="89"/>
      <c r="I21" s="76">
        <f>SUM(I17:I20)</f>
        <v>0</v>
      </c>
      <c r="J21" s="89"/>
      <c r="K21" s="76">
        <f>SUM(K17:K20)</f>
        <v>0</v>
      </c>
      <c r="L21" s="89"/>
      <c r="M21" s="76">
        <f>SUM(M17:M20)</f>
        <v>0</v>
      </c>
      <c r="N21" s="89"/>
      <c r="O21" s="76">
        <f>SUM(O17:O20)</f>
        <v>0</v>
      </c>
      <c r="P21" s="89"/>
      <c r="Q21" s="52">
        <f>SUM(Q17:Q20)</f>
        <v>0</v>
      </c>
      <c r="R21" s="89"/>
      <c r="S21" s="76">
        <f>SUM(S17:S20)</f>
        <v>0</v>
      </c>
      <c r="T21" s="532"/>
      <c r="U21" s="76">
        <f>SUM(U17:U20)</f>
        <v>0</v>
      </c>
      <c r="V21" s="89"/>
      <c r="W21" s="52">
        <f>SUM(W17:W20)</f>
        <v>0</v>
      </c>
      <c r="X21" s="89"/>
      <c r="Y21" s="76">
        <f>SUM(Y17:Y20)</f>
        <v>0</v>
      </c>
      <c r="Z21" s="89"/>
      <c r="AA21" s="150">
        <f>SUM(AA17:AA20)</f>
        <v>0</v>
      </c>
      <c r="AB21" s="151"/>
      <c r="AC21" s="135">
        <f>SUM(AC17:AC20)</f>
        <v>0</v>
      </c>
      <c r="AD21" s="136"/>
      <c r="AK21" s="74"/>
      <c r="AL21" s="74">
        <f t="shared" si="2"/>
        <v>0</v>
      </c>
      <c r="AM21" s="74"/>
    </row>
    <row r="22" spans="1:39" s="1" customFormat="1" ht="15.75" thickTop="1">
      <c r="A22" s="187">
        <v>5601</v>
      </c>
      <c r="B22" s="758" t="s">
        <v>53</v>
      </c>
      <c r="C22" s="705">
        <v>0</v>
      </c>
      <c r="D22" s="702"/>
      <c r="E22" s="705">
        <v>0</v>
      </c>
      <c r="F22" s="702"/>
      <c r="G22" s="26"/>
      <c r="H22" s="702"/>
      <c r="I22" s="26">
        <v>0</v>
      </c>
      <c r="J22" s="702"/>
      <c r="K22" s="26">
        <v>0</v>
      </c>
      <c r="L22" s="702"/>
      <c r="M22" s="26"/>
      <c r="N22" s="702"/>
      <c r="O22" s="26">
        <v>0</v>
      </c>
      <c r="P22" s="702"/>
      <c r="Q22" s="26">
        <v>0</v>
      </c>
      <c r="R22" s="702"/>
      <c r="S22" s="26">
        <v>0</v>
      </c>
      <c r="T22" s="24"/>
      <c r="U22" s="26">
        <v>0</v>
      </c>
      <c r="V22" s="702"/>
      <c r="W22" s="26">
        <v>0</v>
      </c>
      <c r="X22" s="702"/>
      <c r="Y22" s="26">
        <v>0</v>
      </c>
      <c r="Z22" s="702"/>
      <c r="AA22" s="144">
        <f t="shared" ref="AA22:AA34" si="4">C22+E22+G22+I22+K22+M22+O22+Q22+S22+U22+W22+Y22</f>
        <v>0</v>
      </c>
      <c r="AB22" s="147"/>
      <c r="AC22" s="128">
        <f t="shared" ref="AC22:AC34" si="5">AA22/12</f>
        <v>0</v>
      </c>
      <c r="AD22" s="131"/>
      <c r="AK22" s="74"/>
      <c r="AL22" s="74">
        <f t="shared" si="2"/>
        <v>0</v>
      </c>
      <c r="AM22" s="74"/>
    </row>
    <row r="23" spans="1:39" s="1" customFormat="1">
      <c r="A23" s="187">
        <v>5602</v>
      </c>
      <c r="B23" s="758" t="s">
        <v>54</v>
      </c>
      <c r="C23" s="61"/>
      <c r="D23" s="702"/>
      <c r="E23" s="61"/>
      <c r="F23" s="702"/>
      <c r="G23" s="61"/>
      <c r="H23" s="702"/>
      <c r="I23" s="61"/>
      <c r="J23" s="702"/>
      <c r="K23" s="61"/>
      <c r="L23" s="702"/>
      <c r="M23" s="61"/>
      <c r="N23" s="702"/>
      <c r="O23" s="61"/>
      <c r="P23" s="702"/>
      <c r="Q23" s="61"/>
      <c r="R23" s="702"/>
      <c r="S23" s="61"/>
      <c r="T23" s="24"/>
      <c r="U23" s="61"/>
      <c r="V23" s="702"/>
      <c r="W23" s="51"/>
      <c r="X23" s="702"/>
      <c r="Y23" s="61"/>
      <c r="Z23" s="702"/>
      <c r="AA23" s="144">
        <f t="shared" si="4"/>
        <v>0</v>
      </c>
      <c r="AB23" s="147"/>
      <c r="AC23" s="128">
        <f t="shared" si="5"/>
        <v>0</v>
      </c>
      <c r="AD23" s="131"/>
      <c r="AK23" s="74"/>
      <c r="AL23" s="74">
        <f t="shared" si="2"/>
        <v>0</v>
      </c>
      <c r="AM23" s="74"/>
    </row>
    <row r="24" spans="1:39" s="1" customFormat="1">
      <c r="A24" s="187">
        <v>5603</v>
      </c>
      <c r="B24" s="758" t="s">
        <v>55</v>
      </c>
      <c r="C24" s="61"/>
      <c r="D24" s="702"/>
      <c r="E24" s="61"/>
      <c r="F24" s="702"/>
      <c r="G24" s="61"/>
      <c r="H24" s="702"/>
      <c r="I24" s="61"/>
      <c r="J24" s="702"/>
      <c r="K24" s="61"/>
      <c r="L24" s="702"/>
      <c r="M24" s="61"/>
      <c r="N24" s="702"/>
      <c r="O24" s="61"/>
      <c r="P24" s="702"/>
      <c r="Q24" s="61"/>
      <c r="R24" s="702"/>
      <c r="S24" s="61"/>
      <c r="T24" s="24"/>
      <c r="U24" s="61"/>
      <c r="V24" s="702"/>
      <c r="W24" s="51"/>
      <c r="X24" s="702"/>
      <c r="Y24" s="61"/>
      <c r="Z24" s="702"/>
      <c r="AA24" s="144">
        <f t="shared" si="4"/>
        <v>0</v>
      </c>
      <c r="AB24" s="147"/>
      <c r="AC24" s="128">
        <f t="shared" si="5"/>
        <v>0</v>
      </c>
      <c r="AD24" s="131"/>
      <c r="AK24" s="74"/>
      <c r="AL24" s="74">
        <f t="shared" si="2"/>
        <v>0</v>
      </c>
      <c r="AM24" s="74"/>
    </row>
    <row r="25" spans="1:39" s="1" customFormat="1">
      <c r="A25" s="187">
        <v>5604</v>
      </c>
      <c r="B25" s="758" t="s">
        <v>56</v>
      </c>
      <c r="C25" s="26">
        <v>500</v>
      </c>
      <c r="D25" s="702"/>
      <c r="E25" s="26">
        <v>500</v>
      </c>
      <c r="F25" s="702"/>
      <c r="G25" s="26">
        <v>500</v>
      </c>
      <c r="H25" s="702"/>
      <c r="I25" s="26">
        <v>500</v>
      </c>
      <c r="J25" s="702"/>
      <c r="K25" s="26">
        <v>500</v>
      </c>
      <c r="L25" s="702"/>
      <c r="M25" s="26">
        <v>500</v>
      </c>
      <c r="N25" s="702"/>
      <c r="O25" s="26">
        <v>500</v>
      </c>
      <c r="P25" s="702"/>
      <c r="Q25" s="26">
        <v>500</v>
      </c>
      <c r="R25" s="702"/>
      <c r="S25" s="26">
        <v>500</v>
      </c>
      <c r="T25" s="24"/>
      <c r="U25" s="26">
        <v>500</v>
      </c>
      <c r="V25" s="702"/>
      <c r="W25" s="26">
        <v>500</v>
      </c>
      <c r="X25" s="702"/>
      <c r="Y25" s="26">
        <v>500</v>
      </c>
      <c r="Z25" s="702"/>
      <c r="AA25" s="144">
        <f t="shared" si="4"/>
        <v>6000</v>
      </c>
      <c r="AB25" s="147"/>
      <c r="AC25" s="128">
        <f t="shared" si="5"/>
        <v>500</v>
      </c>
      <c r="AD25" s="131"/>
      <c r="AE25" s="1" t="s">
        <v>321</v>
      </c>
      <c r="AK25" s="74"/>
      <c r="AL25" s="74">
        <f t="shared" si="2"/>
        <v>5910</v>
      </c>
      <c r="AM25" s="74"/>
    </row>
    <row r="26" spans="1:39" s="1" customFormat="1">
      <c r="A26" s="187">
        <v>5605</v>
      </c>
      <c r="B26" s="758" t="s">
        <v>14</v>
      </c>
      <c r="C26" s="61"/>
      <c r="D26" s="702"/>
      <c r="E26" s="61"/>
      <c r="F26" s="702"/>
      <c r="G26" s="61"/>
      <c r="H26" s="702"/>
      <c r="I26" s="61"/>
      <c r="J26" s="702"/>
      <c r="K26" s="61"/>
      <c r="L26" s="702"/>
      <c r="M26" s="61"/>
      <c r="N26" s="702"/>
      <c r="O26" s="61"/>
      <c r="P26" s="702"/>
      <c r="Q26" s="61"/>
      <c r="R26" s="702"/>
      <c r="S26" s="61"/>
      <c r="T26" s="24"/>
      <c r="U26" s="61"/>
      <c r="V26" s="702"/>
      <c r="W26" s="26">
        <v>0</v>
      </c>
      <c r="X26" s="702"/>
      <c r="Y26" s="26">
        <v>0</v>
      </c>
      <c r="Z26" s="702"/>
      <c r="AA26" s="144">
        <f t="shared" si="4"/>
        <v>0</v>
      </c>
      <c r="AB26" s="147"/>
      <c r="AC26" s="128">
        <f t="shared" si="5"/>
        <v>0</v>
      </c>
      <c r="AD26" s="131"/>
      <c r="AK26" s="74"/>
      <c r="AL26" s="74">
        <f t="shared" si="2"/>
        <v>0</v>
      </c>
      <c r="AM26" s="74"/>
    </row>
    <row r="27" spans="1:39" s="1" customFormat="1">
      <c r="A27" s="187">
        <v>5606</v>
      </c>
      <c r="B27" s="758" t="s">
        <v>77</v>
      </c>
      <c r="C27" s="703">
        <v>1000</v>
      </c>
      <c r="D27" s="702"/>
      <c r="E27" s="703">
        <v>1000</v>
      </c>
      <c r="F27" s="702"/>
      <c r="G27" s="703">
        <v>1000</v>
      </c>
      <c r="H27" s="702"/>
      <c r="I27" s="703">
        <v>1000</v>
      </c>
      <c r="J27" s="702"/>
      <c r="K27" s="703">
        <v>1000</v>
      </c>
      <c r="L27" s="702"/>
      <c r="M27" s="703">
        <v>1000</v>
      </c>
      <c r="N27" s="702"/>
      <c r="O27" s="703">
        <v>1000</v>
      </c>
      <c r="P27" s="702"/>
      <c r="Q27" s="703">
        <v>1000</v>
      </c>
      <c r="R27" s="702"/>
      <c r="S27" s="703">
        <v>1000</v>
      </c>
      <c r="T27" s="24"/>
      <c r="U27" s="703">
        <v>1000</v>
      </c>
      <c r="V27" s="702"/>
      <c r="W27" s="703">
        <v>1000</v>
      </c>
      <c r="X27" s="702"/>
      <c r="Y27" s="703">
        <v>1000</v>
      </c>
      <c r="Z27" s="702"/>
      <c r="AA27" s="144">
        <f t="shared" si="4"/>
        <v>12000</v>
      </c>
      <c r="AB27" s="147"/>
      <c r="AC27" s="128">
        <f t="shared" si="5"/>
        <v>1000</v>
      </c>
      <c r="AD27" s="131"/>
      <c r="AE27" s="1" t="s">
        <v>321</v>
      </c>
      <c r="AK27" s="74"/>
      <c r="AL27" s="74">
        <f t="shared" si="2"/>
        <v>11820</v>
      </c>
      <c r="AM27" s="74"/>
    </row>
    <row r="28" spans="1:39" s="1" customFormat="1">
      <c r="A28" s="187">
        <v>5607</v>
      </c>
      <c r="B28" s="758" t="s">
        <v>57</v>
      </c>
      <c r="C28" s="703"/>
      <c r="D28" s="702"/>
      <c r="E28" s="61"/>
      <c r="F28" s="702"/>
      <c r="G28" s="703"/>
      <c r="H28" s="702"/>
      <c r="I28" s="61"/>
      <c r="J28" s="702"/>
      <c r="K28" s="61"/>
      <c r="L28" s="702"/>
      <c r="M28" s="26">
        <v>0</v>
      </c>
      <c r="N28" s="702"/>
      <c r="O28" s="26">
        <v>0</v>
      </c>
      <c r="P28" s="702"/>
      <c r="Q28" s="51"/>
      <c r="R28" s="702"/>
      <c r="S28" s="26">
        <v>0</v>
      </c>
      <c r="T28" s="24"/>
      <c r="U28" s="61"/>
      <c r="V28" s="702"/>
      <c r="W28" s="26">
        <v>0</v>
      </c>
      <c r="X28" s="702"/>
      <c r="Y28" s="61"/>
      <c r="Z28" s="702"/>
      <c r="AA28" s="144">
        <f t="shared" si="4"/>
        <v>0</v>
      </c>
      <c r="AB28" s="147"/>
      <c r="AC28" s="128">
        <f t="shared" si="5"/>
        <v>0</v>
      </c>
      <c r="AD28" s="131"/>
      <c r="AK28" s="74"/>
      <c r="AL28" s="74">
        <f t="shared" si="2"/>
        <v>0</v>
      </c>
      <c r="AM28" s="74"/>
    </row>
    <row r="29" spans="1:39" s="1" customFormat="1">
      <c r="A29" s="187">
        <v>5608</v>
      </c>
      <c r="B29" s="758" t="s">
        <v>58</v>
      </c>
      <c r="C29" s="703"/>
      <c r="D29" s="702"/>
      <c r="E29" s="61"/>
      <c r="F29" s="702"/>
      <c r="G29" s="703"/>
      <c r="H29" s="702"/>
      <c r="I29" s="61"/>
      <c r="J29" s="702"/>
      <c r="K29" s="61"/>
      <c r="L29" s="702"/>
      <c r="M29" s="26">
        <v>0</v>
      </c>
      <c r="N29" s="702"/>
      <c r="O29" s="26">
        <v>0</v>
      </c>
      <c r="P29" s="702"/>
      <c r="Q29" s="51"/>
      <c r="R29" s="702"/>
      <c r="S29" s="26">
        <v>0</v>
      </c>
      <c r="T29" s="24"/>
      <c r="U29" s="61"/>
      <c r="V29" s="702"/>
      <c r="W29" s="51"/>
      <c r="X29" s="702"/>
      <c r="Y29" s="61"/>
      <c r="Z29" s="702"/>
      <c r="AA29" s="144">
        <f t="shared" si="4"/>
        <v>0</v>
      </c>
      <c r="AB29" s="147"/>
      <c r="AC29" s="128">
        <f t="shared" si="5"/>
        <v>0</v>
      </c>
      <c r="AD29" s="131"/>
      <c r="AK29" s="74"/>
      <c r="AL29" s="74">
        <f t="shared" si="2"/>
        <v>0</v>
      </c>
      <c r="AM29" s="74"/>
    </row>
    <row r="30" spans="1:39" s="1" customFormat="1">
      <c r="A30" s="187">
        <v>5609</v>
      </c>
      <c r="B30" s="758" t="s">
        <v>59</v>
      </c>
      <c r="C30" s="703"/>
      <c r="D30" s="702"/>
      <c r="E30" s="61"/>
      <c r="F30" s="702"/>
      <c r="G30" s="703"/>
      <c r="H30" s="702"/>
      <c r="I30" s="61"/>
      <c r="J30" s="702"/>
      <c r="K30" s="61"/>
      <c r="L30" s="702"/>
      <c r="M30" s="26">
        <v>0</v>
      </c>
      <c r="N30" s="702"/>
      <c r="O30" s="26">
        <v>0</v>
      </c>
      <c r="P30" s="702"/>
      <c r="Q30" s="51"/>
      <c r="R30" s="702"/>
      <c r="S30" s="26">
        <v>0</v>
      </c>
      <c r="T30" s="24"/>
      <c r="U30" s="61"/>
      <c r="V30" s="702"/>
      <c r="W30" s="51"/>
      <c r="X30" s="702"/>
      <c r="Y30" s="61"/>
      <c r="Z30" s="702"/>
      <c r="AA30" s="144">
        <f t="shared" si="4"/>
        <v>0</v>
      </c>
      <c r="AB30" s="147"/>
      <c r="AC30" s="128">
        <f t="shared" si="5"/>
        <v>0</v>
      </c>
      <c r="AD30" s="131"/>
      <c r="AK30" s="74"/>
      <c r="AL30" s="74">
        <f t="shared" si="2"/>
        <v>0</v>
      </c>
      <c r="AM30" s="74"/>
    </row>
    <row r="31" spans="1:39" s="1" customFormat="1">
      <c r="A31" s="187">
        <v>5610</v>
      </c>
      <c r="B31" s="758" t="s">
        <v>60</v>
      </c>
      <c r="C31" s="703"/>
      <c r="D31" s="702"/>
      <c r="E31" s="61"/>
      <c r="F31" s="702"/>
      <c r="G31" s="703"/>
      <c r="H31" s="702"/>
      <c r="I31" s="61"/>
      <c r="J31" s="702"/>
      <c r="K31" s="61"/>
      <c r="L31" s="702"/>
      <c r="M31" s="26">
        <v>0</v>
      </c>
      <c r="N31" s="702"/>
      <c r="O31" s="26">
        <v>0</v>
      </c>
      <c r="P31" s="702"/>
      <c r="Q31" s="51"/>
      <c r="R31" s="702"/>
      <c r="S31" s="26">
        <v>0</v>
      </c>
      <c r="T31" s="24"/>
      <c r="U31" s="61"/>
      <c r="V31" s="702"/>
      <c r="W31" s="51"/>
      <c r="X31" s="702"/>
      <c r="Y31" s="61"/>
      <c r="Z31" s="702"/>
      <c r="AA31" s="144">
        <f t="shared" si="4"/>
        <v>0</v>
      </c>
      <c r="AB31" s="147"/>
      <c r="AC31" s="128">
        <f t="shared" si="5"/>
        <v>0</v>
      </c>
      <c r="AD31" s="131"/>
      <c r="AK31" s="74"/>
      <c r="AL31" s="74">
        <f t="shared" si="2"/>
        <v>0</v>
      </c>
      <c r="AM31" s="74"/>
    </row>
    <row r="32" spans="1:39" s="1" customFormat="1">
      <c r="A32" s="187">
        <v>5611</v>
      </c>
      <c r="B32" s="758" t="s">
        <v>108</v>
      </c>
      <c r="C32" s="703"/>
      <c r="D32" s="702"/>
      <c r="E32" s="61"/>
      <c r="F32" s="702"/>
      <c r="G32" s="703"/>
      <c r="H32" s="702"/>
      <c r="I32" s="61"/>
      <c r="J32" s="702"/>
      <c r="K32" s="61"/>
      <c r="L32" s="702"/>
      <c r="M32" s="26">
        <v>0</v>
      </c>
      <c r="N32" s="702"/>
      <c r="O32" s="26">
        <v>0</v>
      </c>
      <c r="P32" s="702"/>
      <c r="Q32" s="51"/>
      <c r="R32" s="702"/>
      <c r="S32" s="26">
        <v>0</v>
      </c>
      <c r="T32" s="24"/>
      <c r="U32" s="61"/>
      <c r="V32" s="702"/>
      <c r="W32" s="51"/>
      <c r="X32" s="702"/>
      <c r="Y32" s="61"/>
      <c r="Z32" s="702"/>
      <c r="AA32" s="144">
        <f t="shared" si="4"/>
        <v>0</v>
      </c>
      <c r="AB32" s="147"/>
      <c r="AC32" s="128">
        <f t="shared" si="5"/>
        <v>0</v>
      </c>
      <c r="AD32" s="131"/>
      <c r="AK32" s="74"/>
      <c r="AL32" s="74">
        <f t="shared" si="2"/>
        <v>0</v>
      </c>
      <c r="AM32" s="74"/>
    </row>
    <row r="33" spans="1:39" s="1" customFormat="1">
      <c r="A33" s="187">
        <v>5612</v>
      </c>
      <c r="B33" s="758" t="s">
        <v>61</v>
      </c>
      <c r="C33" s="703"/>
      <c r="D33" s="702"/>
      <c r="E33" s="61"/>
      <c r="F33" s="702"/>
      <c r="G33" s="703"/>
      <c r="H33" s="702"/>
      <c r="I33" s="61"/>
      <c r="J33" s="702"/>
      <c r="K33" s="61"/>
      <c r="L33" s="702"/>
      <c r="M33" s="26">
        <v>0</v>
      </c>
      <c r="N33" s="702"/>
      <c r="O33" s="26">
        <v>0</v>
      </c>
      <c r="P33" s="702"/>
      <c r="Q33" s="51"/>
      <c r="R33" s="702"/>
      <c r="S33" s="26">
        <v>0</v>
      </c>
      <c r="T33" s="24"/>
      <c r="U33" s="61"/>
      <c r="V33" s="702"/>
      <c r="W33" s="51"/>
      <c r="X33" s="702"/>
      <c r="Y33" s="61"/>
      <c r="Z33" s="702"/>
      <c r="AA33" s="144">
        <f t="shared" si="4"/>
        <v>0</v>
      </c>
      <c r="AB33" s="147"/>
      <c r="AC33" s="128">
        <f t="shared" si="5"/>
        <v>0</v>
      </c>
      <c r="AD33" s="131"/>
      <c r="AK33" s="74"/>
      <c r="AL33" s="74">
        <f t="shared" si="2"/>
        <v>0</v>
      </c>
      <c r="AM33" s="74"/>
    </row>
    <row r="34" spans="1:39" s="1" customFormat="1">
      <c r="A34" s="187">
        <v>5613</v>
      </c>
      <c r="B34" s="758" t="s">
        <v>62</v>
      </c>
      <c r="C34" s="703"/>
      <c r="D34" s="702"/>
      <c r="E34" s="61"/>
      <c r="F34" s="702"/>
      <c r="G34" s="703"/>
      <c r="H34" s="702"/>
      <c r="I34" s="61"/>
      <c r="J34" s="702"/>
      <c r="K34" s="61"/>
      <c r="L34" s="702"/>
      <c r="M34" s="26">
        <v>0</v>
      </c>
      <c r="N34" s="702"/>
      <c r="O34" s="26">
        <v>0</v>
      </c>
      <c r="P34" s="702"/>
      <c r="Q34" s="51"/>
      <c r="R34" s="702"/>
      <c r="S34" s="26">
        <v>0</v>
      </c>
      <c r="T34" s="24"/>
      <c r="U34" s="61"/>
      <c r="V34" s="702"/>
      <c r="W34" s="51"/>
      <c r="X34" s="702"/>
      <c r="Y34" s="61"/>
      <c r="Z34" s="702"/>
      <c r="AA34" s="144">
        <f t="shared" si="4"/>
        <v>0</v>
      </c>
      <c r="AB34" s="147"/>
      <c r="AC34" s="128">
        <f t="shared" si="5"/>
        <v>0</v>
      </c>
      <c r="AD34" s="131"/>
      <c r="AK34" s="74"/>
      <c r="AL34" s="74">
        <f t="shared" si="2"/>
        <v>0</v>
      </c>
      <c r="AM34" s="74"/>
    </row>
    <row r="35" spans="1:39" s="1" customFormat="1">
      <c r="A35" s="9">
        <v>5699</v>
      </c>
      <c r="B35" s="239" t="s">
        <v>109</v>
      </c>
      <c r="C35" s="119">
        <f>SUM(C22:C34)</f>
        <v>1500</v>
      </c>
      <c r="D35" s="87"/>
      <c r="E35" s="79">
        <f>SUM(E22:E34)</f>
        <v>1500</v>
      </c>
      <c r="F35" s="87"/>
      <c r="G35" s="119">
        <f>SUM(G22:G34)</f>
        <v>1500</v>
      </c>
      <c r="H35" s="87"/>
      <c r="I35" s="79">
        <f>SUM(I22:I34)</f>
        <v>1500</v>
      </c>
      <c r="J35" s="87"/>
      <c r="K35" s="79">
        <f>SUM(K22:K34)</f>
        <v>1500</v>
      </c>
      <c r="L35" s="87"/>
      <c r="M35" s="79">
        <f>SUM(M22:M34)</f>
        <v>1500</v>
      </c>
      <c r="N35" s="87"/>
      <c r="O35" s="79">
        <f>SUM(O22:O34)</f>
        <v>1500</v>
      </c>
      <c r="P35" s="87"/>
      <c r="Q35" s="58">
        <f>SUM(Q22:Q34)</f>
        <v>1500</v>
      </c>
      <c r="R35" s="87"/>
      <c r="S35" s="79">
        <f>SUM(S22:S34)</f>
        <v>1500</v>
      </c>
      <c r="T35" s="535"/>
      <c r="U35" s="79">
        <f>SUM(U22:U34)</f>
        <v>1500</v>
      </c>
      <c r="V35" s="87"/>
      <c r="W35" s="58">
        <f>SUM(W22:W34)</f>
        <v>1500</v>
      </c>
      <c r="X35" s="87"/>
      <c r="Y35" s="79">
        <f>SUM(Y22:Y34)</f>
        <v>1500</v>
      </c>
      <c r="Z35" s="87"/>
      <c r="AA35" s="165">
        <f>SUM(AA22:AA34)</f>
        <v>18000</v>
      </c>
      <c r="AB35" s="167"/>
      <c r="AC35" s="173">
        <f>SUM(AC22:AC34)</f>
        <v>1500</v>
      </c>
      <c r="AD35" s="138"/>
      <c r="AK35" s="74"/>
      <c r="AL35" s="74">
        <f t="shared" si="2"/>
        <v>17730</v>
      </c>
      <c r="AM35" s="74"/>
    </row>
    <row r="36" spans="1:39" s="1" customFormat="1">
      <c r="A36" s="9">
        <v>5999</v>
      </c>
      <c r="B36" s="239" t="s">
        <v>110</v>
      </c>
      <c r="C36" s="119">
        <f>C21+C35</f>
        <v>1500</v>
      </c>
      <c r="D36" s="87"/>
      <c r="E36" s="79">
        <f>E21+E35</f>
        <v>1500</v>
      </c>
      <c r="F36" s="87"/>
      <c r="G36" s="119">
        <f>G21+G35</f>
        <v>1500</v>
      </c>
      <c r="H36" s="87"/>
      <c r="I36" s="79">
        <f>I21+I35</f>
        <v>1500</v>
      </c>
      <c r="J36" s="87"/>
      <c r="K36" s="79">
        <f>K21+K35</f>
        <v>1500</v>
      </c>
      <c r="L36" s="87"/>
      <c r="M36" s="79">
        <f>M21+M35</f>
        <v>1500</v>
      </c>
      <c r="N36" s="87"/>
      <c r="O36" s="79">
        <f>O21+O35</f>
        <v>1500</v>
      </c>
      <c r="P36" s="87"/>
      <c r="Q36" s="58">
        <f>Q21+Q35</f>
        <v>1500</v>
      </c>
      <c r="R36" s="87"/>
      <c r="S36" s="79">
        <f>S21+S35</f>
        <v>1500</v>
      </c>
      <c r="T36" s="535"/>
      <c r="U36" s="79">
        <f>U21+U35</f>
        <v>1500</v>
      </c>
      <c r="V36" s="87"/>
      <c r="W36" s="58">
        <f>W21+W35</f>
        <v>1500</v>
      </c>
      <c r="X36" s="87"/>
      <c r="Y36" s="79">
        <f>Y21+Y35</f>
        <v>1500</v>
      </c>
      <c r="Z36" s="87"/>
      <c r="AA36" s="165">
        <f>AA21+AA35</f>
        <v>18000</v>
      </c>
      <c r="AB36" s="167"/>
      <c r="AC36" s="173">
        <f>AC21+AC35</f>
        <v>1500</v>
      </c>
      <c r="AD36" s="138"/>
      <c r="AK36" s="74"/>
      <c r="AL36" s="74">
        <f t="shared" si="2"/>
        <v>17730</v>
      </c>
      <c r="AM36" s="74"/>
    </row>
    <row r="37" spans="1:39" s="1" customFormat="1" ht="15.75" thickBot="1">
      <c r="A37" s="10"/>
      <c r="B37" s="240" t="s">
        <v>68</v>
      </c>
      <c r="C37" s="120">
        <f>(C16-C36)</f>
        <v>-1500</v>
      </c>
      <c r="D37" s="88"/>
      <c r="E37" s="80">
        <f>(E16-E36)</f>
        <v>-1500</v>
      </c>
      <c r="F37" s="88"/>
      <c r="G37" s="120">
        <f>(G16-G36)</f>
        <v>-1500</v>
      </c>
      <c r="H37" s="88"/>
      <c r="I37" s="80">
        <f>(I16-I36)</f>
        <v>-1500</v>
      </c>
      <c r="J37" s="88"/>
      <c r="K37" s="80">
        <f>(K16-K36)</f>
        <v>-1500</v>
      </c>
      <c r="L37" s="88"/>
      <c r="M37" s="80">
        <f>(M16-M36)</f>
        <v>-1500</v>
      </c>
      <c r="N37" s="88"/>
      <c r="O37" s="80">
        <f>(O16-O36)</f>
        <v>-1500</v>
      </c>
      <c r="P37" s="88"/>
      <c r="Q37" s="59">
        <f>(Q16-Q36)</f>
        <v>-1500</v>
      </c>
      <c r="R37" s="88"/>
      <c r="S37" s="80">
        <f>(S16-S36)</f>
        <v>-1499.9999999995198</v>
      </c>
      <c r="T37" s="361"/>
      <c r="U37" s="80">
        <f>(U16-U36)</f>
        <v>-1500</v>
      </c>
      <c r="V37" s="88"/>
      <c r="W37" s="59">
        <f>(W16-W36)</f>
        <v>-1500</v>
      </c>
      <c r="X37" s="88"/>
      <c r="Y37" s="80">
        <f>(Y16-Y36)</f>
        <v>-1500</v>
      </c>
      <c r="Z37" s="88"/>
      <c r="AA37" s="150">
        <f>(AA16-AA36)</f>
        <v>-17999.99999999952</v>
      </c>
      <c r="AB37" s="151"/>
      <c r="AC37" s="135">
        <f>(AC16-AC36)</f>
        <v>-1499.99999999996</v>
      </c>
      <c r="AD37" s="133"/>
      <c r="AK37" s="74"/>
      <c r="AL37" s="74">
        <f t="shared" si="2"/>
        <v>-17729.999999999527</v>
      </c>
      <c r="AM37" s="74"/>
    </row>
    <row r="38" spans="1:39" s="1" customFormat="1" ht="15.75" thickTop="1">
      <c r="A38" s="188">
        <v>6002</v>
      </c>
      <c r="B38" s="227" t="s">
        <v>45</v>
      </c>
      <c r="C38" s="703"/>
      <c r="D38" s="702"/>
      <c r="E38" s="61"/>
      <c r="F38" s="702"/>
      <c r="G38" s="703"/>
      <c r="H38" s="702"/>
      <c r="I38" s="61"/>
      <c r="J38" s="702"/>
      <c r="K38" s="61"/>
      <c r="L38" s="702"/>
      <c r="M38" s="26">
        <v>0</v>
      </c>
      <c r="N38" s="702"/>
      <c r="O38" s="61"/>
      <c r="P38" s="702"/>
      <c r="Q38" s="51"/>
      <c r="R38" s="702"/>
      <c r="S38" s="26">
        <v>0</v>
      </c>
      <c r="T38" s="24"/>
      <c r="U38" s="61"/>
      <c r="V38" s="702"/>
      <c r="W38" s="51"/>
      <c r="X38" s="702"/>
      <c r="Y38" s="61"/>
      <c r="Z38" s="702"/>
      <c r="AA38" s="144">
        <f>C38+E38+G38+I38+K38+M38+O38+Q38+S38+U38+W38+Y38</f>
        <v>0</v>
      </c>
      <c r="AB38" s="147"/>
      <c r="AC38" s="128">
        <f>AA38/12</f>
        <v>0</v>
      </c>
      <c r="AD38" s="131"/>
      <c r="AK38" s="74"/>
      <c r="AL38" s="74">
        <f t="shared" si="2"/>
        <v>0</v>
      </c>
      <c r="AM38" s="74"/>
    </row>
    <row r="39" spans="1:39" s="1" customFormat="1">
      <c r="A39" s="188">
        <v>6003</v>
      </c>
      <c r="B39" s="227" t="s">
        <v>0</v>
      </c>
      <c r="C39" s="703"/>
      <c r="D39" s="702"/>
      <c r="E39" s="61"/>
      <c r="F39" s="702"/>
      <c r="G39" s="703"/>
      <c r="H39" s="702"/>
      <c r="I39" s="26">
        <v>0</v>
      </c>
      <c r="J39" s="702"/>
      <c r="K39" s="26">
        <v>0</v>
      </c>
      <c r="L39" s="702"/>
      <c r="M39" s="26">
        <v>0</v>
      </c>
      <c r="N39" s="702"/>
      <c r="O39" s="26">
        <v>0</v>
      </c>
      <c r="P39" s="702"/>
      <c r="Q39" s="26">
        <v>0</v>
      </c>
      <c r="R39" s="702"/>
      <c r="S39" s="26">
        <v>0</v>
      </c>
      <c r="T39" s="24"/>
      <c r="U39" s="26">
        <v>0</v>
      </c>
      <c r="V39" s="702"/>
      <c r="W39" s="703">
        <v>0</v>
      </c>
      <c r="X39" s="702"/>
      <c r="Y39" s="26">
        <v>0</v>
      </c>
      <c r="Z39" s="702"/>
      <c r="AA39" s="144">
        <f>C39+E39+G39+I39+K39+M39+O39+Q39+S39+U39+W39+Y39</f>
        <v>0</v>
      </c>
      <c r="AB39" s="147"/>
      <c r="AC39" s="128">
        <f t="shared" ref="AC39:AC40" si="6">AA39/12</f>
        <v>0</v>
      </c>
      <c r="AD39" s="131"/>
      <c r="AK39" s="74"/>
      <c r="AL39" s="74">
        <f t="shared" si="2"/>
        <v>0</v>
      </c>
      <c r="AM39" s="74"/>
    </row>
    <row r="40" spans="1:39" s="1" customFormat="1">
      <c r="A40" s="188">
        <v>6004</v>
      </c>
      <c r="B40" s="227" t="s">
        <v>1</v>
      </c>
      <c r="C40" s="703"/>
      <c r="D40" s="702"/>
      <c r="E40" s="61"/>
      <c r="F40" s="702"/>
      <c r="G40" s="703"/>
      <c r="H40" s="702"/>
      <c r="I40" s="61"/>
      <c r="J40" s="702"/>
      <c r="K40" s="61"/>
      <c r="L40" s="702"/>
      <c r="M40" s="26">
        <v>0</v>
      </c>
      <c r="N40" s="702"/>
      <c r="O40" s="61"/>
      <c r="P40" s="702"/>
      <c r="Q40" s="51"/>
      <c r="R40" s="702"/>
      <c r="S40" s="61"/>
      <c r="T40" s="24"/>
      <c r="U40" s="61"/>
      <c r="V40" s="702"/>
      <c r="W40" s="51"/>
      <c r="X40" s="702"/>
      <c r="Y40" s="61"/>
      <c r="Z40" s="702"/>
      <c r="AA40" s="144">
        <f>C40+E40+G40+I40+K40+M40+O40+Q40+S40+U40+W40+Y40</f>
        <v>0</v>
      </c>
      <c r="AB40" s="170"/>
      <c r="AC40" s="128">
        <f t="shared" si="6"/>
        <v>0</v>
      </c>
      <c r="AD40" s="131"/>
      <c r="AK40" s="74"/>
      <c r="AL40" s="74">
        <f t="shared" si="2"/>
        <v>0</v>
      </c>
      <c r="AM40" s="74"/>
    </row>
    <row r="41" spans="1:39" s="1" customFormat="1" ht="15.75" thickBot="1">
      <c r="A41" s="4">
        <v>6099</v>
      </c>
      <c r="B41" s="229" t="s">
        <v>111</v>
      </c>
      <c r="C41" s="116">
        <f>SUM(C38:C40)</f>
        <v>0</v>
      </c>
      <c r="D41" s="89"/>
      <c r="E41" s="76">
        <f>SUM(E38:E40)</f>
        <v>0</v>
      </c>
      <c r="F41" s="89"/>
      <c r="G41" s="116">
        <f>SUM(G38:G40)</f>
        <v>0</v>
      </c>
      <c r="H41" s="89"/>
      <c r="I41" s="76">
        <f>SUM(I38:I40)</f>
        <v>0</v>
      </c>
      <c r="J41" s="89"/>
      <c r="K41" s="76">
        <f>SUM(K38:K40)</f>
        <v>0</v>
      </c>
      <c r="L41" s="89"/>
      <c r="M41" s="76">
        <f>SUM(M38:M40)</f>
        <v>0</v>
      </c>
      <c r="N41" s="89"/>
      <c r="O41" s="76">
        <f>SUM(O38:O40)</f>
        <v>0</v>
      </c>
      <c r="P41" s="89"/>
      <c r="Q41" s="76">
        <f>SUM(Q38:Q40)</f>
        <v>0</v>
      </c>
      <c r="R41" s="89"/>
      <c r="S41" s="76">
        <f>SUM(S38:S40)</f>
        <v>0</v>
      </c>
      <c r="T41" s="532"/>
      <c r="U41" s="76">
        <f>SUM(U38:U40)</f>
        <v>0</v>
      </c>
      <c r="V41" s="89"/>
      <c r="W41" s="76">
        <f>SUM(W38:W40)</f>
        <v>0</v>
      </c>
      <c r="X41" s="89"/>
      <c r="Y41" s="76">
        <f>SUM(Y38:Y40)</f>
        <v>0</v>
      </c>
      <c r="Z41" s="89"/>
      <c r="AA41" s="76">
        <f>SUM(AA38:AA40)</f>
        <v>0</v>
      </c>
      <c r="AB41" s="89"/>
      <c r="AC41" s="76">
        <f>SUM(AC38:AC40)</f>
        <v>0</v>
      </c>
      <c r="AD41" s="89"/>
      <c r="AK41" s="74"/>
      <c r="AL41" s="74">
        <f t="shared" si="2"/>
        <v>0</v>
      </c>
      <c r="AM41" s="74"/>
    </row>
    <row r="42" spans="1:39" s="1" customFormat="1" ht="15.75" thickTop="1">
      <c r="A42" s="757">
        <v>6101</v>
      </c>
      <c r="B42" s="227" t="s">
        <v>2</v>
      </c>
      <c r="C42" s="703"/>
      <c r="D42" s="702"/>
      <c r="E42" s="703"/>
      <c r="F42" s="702"/>
      <c r="G42" s="703"/>
      <c r="H42" s="702"/>
      <c r="I42" s="26">
        <v>0</v>
      </c>
      <c r="J42" s="702"/>
      <c r="K42" s="26">
        <v>0</v>
      </c>
      <c r="L42" s="702"/>
      <c r="M42" s="26">
        <v>0</v>
      </c>
      <c r="N42" s="702"/>
      <c r="O42" s="26">
        <v>0</v>
      </c>
      <c r="P42" s="702"/>
      <c r="Q42" s="26">
        <v>0</v>
      </c>
      <c r="R42" s="702"/>
      <c r="S42" s="26"/>
      <c r="T42" s="24"/>
      <c r="U42" s="703"/>
      <c r="V42" s="702"/>
      <c r="W42" s="703">
        <v>0</v>
      </c>
      <c r="X42" s="702"/>
      <c r="Y42" s="703">
        <v>0</v>
      </c>
      <c r="Z42" s="702"/>
      <c r="AA42" s="144">
        <f t="shared" ref="AA42:AA75" si="7">C42+E42+G42+I42+K42+M42+O42+Q42+S42+U42+W42+Y42</f>
        <v>0</v>
      </c>
      <c r="AB42" s="147"/>
      <c r="AC42" s="128">
        <f>AA42/12</f>
        <v>0</v>
      </c>
      <c r="AD42" s="131"/>
      <c r="AK42" s="74"/>
      <c r="AL42" s="74">
        <f t="shared" si="2"/>
        <v>0</v>
      </c>
      <c r="AM42" s="74"/>
    </row>
    <row r="43" spans="1:39" s="1" customFormat="1">
      <c r="A43" s="188">
        <v>6102</v>
      </c>
      <c r="B43" s="227" t="s">
        <v>3</v>
      </c>
      <c r="C43" s="113"/>
      <c r="D43" s="702"/>
      <c r="E43" s="75"/>
      <c r="F43" s="702"/>
      <c r="G43" s="113"/>
      <c r="H43" s="702"/>
      <c r="I43" s="26">
        <v>0</v>
      </c>
      <c r="J43" s="702"/>
      <c r="K43" s="26">
        <v>0</v>
      </c>
      <c r="L43" s="702"/>
      <c r="M43" s="26">
        <v>0</v>
      </c>
      <c r="N43" s="702"/>
      <c r="O43" s="26">
        <v>0</v>
      </c>
      <c r="P43" s="702"/>
      <c r="Q43" s="26">
        <v>0</v>
      </c>
      <c r="R43" s="702"/>
      <c r="S43" s="26">
        <v>0</v>
      </c>
      <c r="T43" s="24"/>
      <c r="U43" s="26">
        <v>0</v>
      </c>
      <c r="V43" s="702"/>
      <c r="W43" s="703">
        <v>0</v>
      </c>
      <c r="X43" s="702"/>
      <c r="Y43" s="26">
        <v>0</v>
      </c>
      <c r="Z43" s="702"/>
      <c r="AA43" s="144">
        <f t="shared" si="7"/>
        <v>0</v>
      </c>
      <c r="AB43" s="147"/>
      <c r="AC43" s="128">
        <f t="shared" ref="AC43:AC75" si="8">AA43/12</f>
        <v>0</v>
      </c>
      <c r="AD43" s="131"/>
      <c r="AK43" s="74"/>
      <c r="AL43" s="74">
        <f t="shared" ref="AL43:AL69" si="9">C43*0.985+E43*0.985+G43*0.985+I43*0.985+K43*0.985+M43*0.985+O43*0.985+Q43*0.985+S43*0.985+U43*0.985+W43*0.985+Y43*0.985</f>
        <v>0</v>
      </c>
      <c r="AM43" s="74"/>
    </row>
    <row r="44" spans="1:39" s="1" customFormat="1">
      <c r="A44" s="188">
        <v>6103</v>
      </c>
      <c r="B44" s="227" t="s">
        <v>4</v>
      </c>
      <c r="C44" s="703"/>
      <c r="D44" s="702"/>
      <c r="E44" s="703"/>
      <c r="F44" s="702"/>
      <c r="G44" s="703"/>
      <c r="H44" s="702"/>
      <c r="I44" s="26">
        <v>0</v>
      </c>
      <c r="J44" s="702"/>
      <c r="K44" s="26">
        <v>0</v>
      </c>
      <c r="L44" s="702"/>
      <c r="M44" s="26">
        <v>0</v>
      </c>
      <c r="N44" s="702"/>
      <c r="O44" s="26">
        <v>0</v>
      </c>
      <c r="P44" s="702"/>
      <c r="Q44" s="26">
        <v>0</v>
      </c>
      <c r="R44" s="702"/>
      <c r="S44" s="26">
        <v>0</v>
      </c>
      <c r="T44" s="24"/>
      <c r="U44" s="26">
        <v>0</v>
      </c>
      <c r="V44" s="702"/>
      <c r="W44" s="703">
        <v>0</v>
      </c>
      <c r="X44" s="702"/>
      <c r="Y44" s="26">
        <v>0</v>
      </c>
      <c r="Z44" s="702"/>
      <c r="AA44" s="144">
        <f t="shared" si="7"/>
        <v>0</v>
      </c>
      <c r="AB44" s="147"/>
      <c r="AC44" s="128">
        <f t="shared" si="8"/>
        <v>0</v>
      </c>
      <c r="AD44" s="131"/>
      <c r="AK44" s="74"/>
      <c r="AL44" s="74">
        <f t="shared" si="9"/>
        <v>0</v>
      </c>
      <c r="AM44" s="74"/>
    </row>
    <row r="45" spans="1:39" s="1" customFormat="1">
      <c r="A45" s="188">
        <v>6104</v>
      </c>
      <c r="B45" s="227" t="s">
        <v>5</v>
      </c>
      <c r="C45" s="113"/>
      <c r="D45" s="702"/>
      <c r="E45" s="113"/>
      <c r="F45" s="702"/>
      <c r="G45" s="113"/>
      <c r="H45" s="702"/>
      <c r="I45" s="26">
        <v>0</v>
      </c>
      <c r="J45" s="702"/>
      <c r="K45" s="26">
        <v>0</v>
      </c>
      <c r="L45" s="702"/>
      <c r="M45" s="26">
        <v>0</v>
      </c>
      <c r="N45" s="702"/>
      <c r="O45" s="26">
        <v>0</v>
      </c>
      <c r="P45" s="702"/>
      <c r="Q45" s="26">
        <v>0</v>
      </c>
      <c r="R45" s="702"/>
      <c r="S45" s="26">
        <v>0</v>
      </c>
      <c r="T45" s="24"/>
      <c r="U45" s="26">
        <v>0</v>
      </c>
      <c r="V45" s="702"/>
      <c r="W45" s="703">
        <v>0</v>
      </c>
      <c r="X45" s="702"/>
      <c r="Y45" s="26">
        <v>0</v>
      </c>
      <c r="Z45" s="702"/>
      <c r="AA45" s="144">
        <f t="shared" si="7"/>
        <v>0</v>
      </c>
      <c r="AB45" s="147"/>
      <c r="AC45" s="128">
        <f t="shared" si="8"/>
        <v>0</v>
      </c>
      <c r="AD45" s="131"/>
      <c r="AK45" s="74"/>
      <c r="AL45" s="74">
        <f t="shared" si="9"/>
        <v>0</v>
      </c>
      <c r="AM45" s="74"/>
    </row>
    <row r="46" spans="1:39" s="1" customFormat="1">
      <c r="A46" s="188">
        <v>6105</v>
      </c>
      <c r="B46" s="227" t="s">
        <v>39</v>
      </c>
      <c r="C46" s="113"/>
      <c r="D46" s="702"/>
      <c r="E46" s="75"/>
      <c r="F46" s="702"/>
      <c r="G46" s="113"/>
      <c r="H46" s="702"/>
      <c r="I46" s="26">
        <v>0</v>
      </c>
      <c r="J46" s="702"/>
      <c r="K46" s="26">
        <v>0</v>
      </c>
      <c r="L46" s="702"/>
      <c r="M46" s="26">
        <v>0</v>
      </c>
      <c r="N46" s="702"/>
      <c r="O46" s="26">
        <v>0</v>
      </c>
      <c r="P46" s="702"/>
      <c r="Q46" s="26">
        <v>0</v>
      </c>
      <c r="R46" s="702"/>
      <c r="S46" s="26">
        <v>0</v>
      </c>
      <c r="T46" s="24"/>
      <c r="U46" s="26">
        <v>0</v>
      </c>
      <c r="V46" s="702"/>
      <c r="W46" s="703">
        <v>0</v>
      </c>
      <c r="X46" s="702"/>
      <c r="Y46" s="26">
        <v>0</v>
      </c>
      <c r="Z46" s="702"/>
      <c r="AA46" s="144">
        <f t="shared" si="7"/>
        <v>0</v>
      </c>
      <c r="AB46" s="147"/>
      <c r="AC46" s="128">
        <f t="shared" si="8"/>
        <v>0</v>
      </c>
      <c r="AD46" s="131"/>
      <c r="AK46" s="74"/>
      <c r="AL46" s="74">
        <f t="shared" si="9"/>
        <v>0</v>
      </c>
      <c r="AM46" s="74"/>
    </row>
    <row r="47" spans="1:39" s="1" customFormat="1">
      <c r="A47" s="188">
        <v>6106</v>
      </c>
      <c r="B47" s="227" t="s">
        <v>6</v>
      </c>
      <c r="C47" s="31"/>
      <c r="D47" s="702"/>
      <c r="E47" s="31"/>
      <c r="F47" s="702"/>
      <c r="G47" s="31"/>
      <c r="H47" s="702"/>
      <c r="I47" s="26">
        <v>0</v>
      </c>
      <c r="J47" s="702"/>
      <c r="K47" s="26">
        <v>0</v>
      </c>
      <c r="L47" s="702"/>
      <c r="M47" s="26">
        <v>0</v>
      </c>
      <c r="N47" s="702"/>
      <c r="O47" s="26">
        <v>0</v>
      </c>
      <c r="P47" s="702"/>
      <c r="Q47" s="26">
        <v>0</v>
      </c>
      <c r="R47" s="702"/>
      <c r="S47" s="26">
        <v>0</v>
      </c>
      <c r="T47" s="24"/>
      <c r="U47" s="26">
        <v>0</v>
      </c>
      <c r="V47" s="702"/>
      <c r="W47" s="703">
        <v>0</v>
      </c>
      <c r="X47" s="702"/>
      <c r="Y47" s="26">
        <v>0</v>
      </c>
      <c r="Z47" s="702"/>
      <c r="AA47" s="144">
        <f t="shared" si="7"/>
        <v>0</v>
      </c>
      <c r="AB47" s="147"/>
      <c r="AC47" s="128">
        <f t="shared" si="8"/>
        <v>0</v>
      </c>
      <c r="AD47" s="131"/>
      <c r="AK47" s="74"/>
      <c r="AL47" s="74">
        <f t="shared" si="9"/>
        <v>0</v>
      </c>
      <c r="AM47" s="74"/>
    </row>
    <row r="48" spans="1:39" s="1" customFormat="1">
      <c r="A48" s="188">
        <v>6107</v>
      </c>
      <c r="B48" s="227" t="s">
        <v>7</v>
      </c>
      <c r="C48" s="31"/>
      <c r="D48" s="702"/>
      <c r="E48" s="31"/>
      <c r="F48" s="702"/>
      <c r="G48" s="31"/>
      <c r="H48" s="702"/>
      <c r="I48" s="26">
        <v>0</v>
      </c>
      <c r="J48" s="702"/>
      <c r="K48" s="26">
        <v>0</v>
      </c>
      <c r="L48" s="702"/>
      <c r="M48" s="26">
        <v>0</v>
      </c>
      <c r="N48" s="702"/>
      <c r="O48" s="26">
        <v>0</v>
      </c>
      <c r="P48" s="702"/>
      <c r="Q48" s="26">
        <v>0</v>
      </c>
      <c r="R48" s="702"/>
      <c r="S48" s="26">
        <v>0</v>
      </c>
      <c r="T48" s="24"/>
      <c r="U48" s="26">
        <v>0</v>
      </c>
      <c r="V48" s="702"/>
      <c r="W48" s="703">
        <v>0</v>
      </c>
      <c r="X48" s="702"/>
      <c r="Y48" s="26">
        <v>0</v>
      </c>
      <c r="Z48" s="702"/>
      <c r="AA48" s="144">
        <f t="shared" si="7"/>
        <v>0</v>
      </c>
      <c r="AB48" s="147"/>
      <c r="AC48" s="128">
        <f t="shared" si="8"/>
        <v>0</v>
      </c>
      <c r="AD48" s="131"/>
      <c r="AK48" s="74"/>
      <c r="AL48" s="74">
        <f t="shared" si="9"/>
        <v>0</v>
      </c>
      <c r="AM48" s="74"/>
    </row>
    <row r="49" spans="1:39" s="1" customFormat="1">
      <c r="A49" s="188">
        <v>6108</v>
      </c>
      <c r="B49" s="227" t="s">
        <v>8</v>
      </c>
      <c r="C49" s="31"/>
      <c r="D49" s="702"/>
      <c r="E49" s="31"/>
      <c r="F49" s="702"/>
      <c r="G49" s="31"/>
      <c r="H49" s="702"/>
      <c r="I49" s="26">
        <v>0</v>
      </c>
      <c r="J49" s="702"/>
      <c r="K49" s="26">
        <v>0</v>
      </c>
      <c r="L49" s="702"/>
      <c r="M49" s="26">
        <v>0</v>
      </c>
      <c r="N49" s="702"/>
      <c r="O49" s="26">
        <v>0</v>
      </c>
      <c r="P49" s="702"/>
      <c r="Q49" s="26">
        <v>0</v>
      </c>
      <c r="R49" s="702"/>
      <c r="S49" s="26">
        <v>0</v>
      </c>
      <c r="T49" s="24"/>
      <c r="U49" s="26">
        <v>0</v>
      </c>
      <c r="V49" s="702"/>
      <c r="W49" s="703">
        <v>0</v>
      </c>
      <c r="X49" s="702"/>
      <c r="Y49" s="26">
        <v>0</v>
      </c>
      <c r="Z49" s="702"/>
      <c r="AA49" s="144">
        <f t="shared" si="7"/>
        <v>0</v>
      </c>
      <c r="AB49" s="147"/>
      <c r="AC49" s="128">
        <f t="shared" si="8"/>
        <v>0</v>
      </c>
      <c r="AD49" s="131"/>
      <c r="AK49" s="74"/>
      <c r="AL49" s="74">
        <f t="shared" si="9"/>
        <v>0</v>
      </c>
      <c r="AM49" s="74"/>
    </row>
    <row r="50" spans="1:39" s="1" customFormat="1">
      <c r="A50" s="188">
        <v>6109</v>
      </c>
      <c r="B50" s="227" t="s">
        <v>79</v>
      </c>
      <c r="C50" s="113"/>
      <c r="D50" s="702"/>
      <c r="E50" s="113"/>
      <c r="F50" s="702"/>
      <c r="G50" s="113"/>
      <c r="H50" s="702"/>
      <c r="I50" s="26">
        <v>0</v>
      </c>
      <c r="J50" s="702"/>
      <c r="K50" s="26">
        <v>0</v>
      </c>
      <c r="L50" s="702"/>
      <c r="M50" s="26">
        <v>0</v>
      </c>
      <c r="N50" s="702"/>
      <c r="O50" s="26">
        <v>0</v>
      </c>
      <c r="P50" s="702"/>
      <c r="Q50" s="26">
        <v>0</v>
      </c>
      <c r="R50" s="702"/>
      <c r="S50" s="26">
        <v>0</v>
      </c>
      <c r="T50" s="24"/>
      <c r="U50" s="26">
        <v>0</v>
      </c>
      <c r="V50" s="702"/>
      <c r="W50" s="703">
        <v>0</v>
      </c>
      <c r="X50" s="702"/>
      <c r="Y50" s="26">
        <v>0</v>
      </c>
      <c r="Z50" s="702"/>
      <c r="AA50" s="144">
        <f t="shared" si="7"/>
        <v>0</v>
      </c>
      <c r="AB50" s="147"/>
      <c r="AC50" s="128">
        <f t="shared" si="8"/>
        <v>0</v>
      </c>
      <c r="AD50" s="131"/>
      <c r="AK50" s="74"/>
      <c r="AL50" s="74">
        <f t="shared" si="9"/>
        <v>0</v>
      </c>
      <c r="AM50" s="74"/>
    </row>
    <row r="51" spans="1:39" s="1" customFormat="1">
      <c r="A51" s="188">
        <v>6110</v>
      </c>
      <c r="B51" s="227" t="s">
        <v>9</v>
      </c>
      <c r="C51" s="31"/>
      <c r="D51" s="702"/>
      <c r="E51" s="31"/>
      <c r="F51" s="702"/>
      <c r="G51" s="31"/>
      <c r="H51" s="702"/>
      <c r="I51" s="26">
        <v>0</v>
      </c>
      <c r="J51" s="702"/>
      <c r="K51" s="26">
        <v>0</v>
      </c>
      <c r="L51" s="702"/>
      <c r="M51" s="26">
        <v>0</v>
      </c>
      <c r="N51" s="702"/>
      <c r="O51" s="26">
        <v>0</v>
      </c>
      <c r="P51" s="702"/>
      <c r="Q51" s="26">
        <v>0</v>
      </c>
      <c r="R51" s="702"/>
      <c r="S51" s="26">
        <v>0</v>
      </c>
      <c r="T51" s="24"/>
      <c r="U51" s="26">
        <v>0</v>
      </c>
      <c r="V51" s="702"/>
      <c r="W51" s="703">
        <v>0</v>
      </c>
      <c r="X51" s="702"/>
      <c r="Y51" s="26">
        <v>0</v>
      </c>
      <c r="Z51" s="702"/>
      <c r="AA51" s="144">
        <f t="shared" si="7"/>
        <v>0</v>
      </c>
      <c r="AB51" s="147"/>
      <c r="AC51" s="128">
        <f t="shared" si="8"/>
        <v>0</v>
      </c>
      <c r="AD51" s="131"/>
      <c r="AK51" s="74"/>
      <c r="AL51" s="74">
        <f t="shared" si="9"/>
        <v>0</v>
      </c>
      <c r="AM51" s="74"/>
    </row>
    <row r="52" spans="1:39" s="1" customFormat="1">
      <c r="A52" s="757">
        <v>6111</v>
      </c>
      <c r="B52" s="227" t="s">
        <v>10</v>
      </c>
      <c r="C52" s="703"/>
      <c r="D52" s="702"/>
      <c r="E52" s="703"/>
      <c r="F52" s="702"/>
      <c r="G52" s="703"/>
      <c r="H52" s="702"/>
      <c r="I52" s="26">
        <v>0</v>
      </c>
      <c r="J52" s="702"/>
      <c r="K52" s="26">
        <v>0</v>
      </c>
      <c r="L52" s="702"/>
      <c r="M52" s="26">
        <v>0</v>
      </c>
      <c r="N52" s="702"/>
      <c r="O52" s="26">
        <v>0</v>
      </c>
      <c r="P52" s="702"/>
      <c r="Q52" s="26">
        <v>0</v>
      </c>
      <c r="R52" s="702"/>
      <c r="S52" s="26">
        <v>0</v>
      </c>
      <c r="T52" s="24"/>
      <c r="U52" s="26">
        <v>0</v>
      </c>
      <c r="V52" s="702"/>
      <c r="W52" s="703">
        <v>0</v>
      </c>
      <c r="X52" s="702"/>
      <c r="Y52" s="26">
        <v>0</v>
      </c>
      <c r="Z52" s="702"/>
      <c r="AA52" s="144">
        <f t="shared" si="7"/>
        <v>0</v>
      </c>
      <c r="AB52" s="147"/>
      <c r="AC52" s="128">
        <f t="shared" si="8"/>
        <v>0</v>
      </c>
      <c r="AD52" s="131"/>
      <c r="AK52" s="74"/>
      <c r="AL52" s="74">
        <f t="shared" si="9"/>
        <v>0</v>
      </c>
      <c r="AM52" s="74"/>
    </row>
    <row r="53" spans="1:39" s="1" customFormat="1">
      <c r="A53" s="188">
        <v>6112</v>
      </c>
      <c r="B53" s="227" t="s">
        <v>11</v>
      </c>
      <c r="C53" s="703"/>
      <c r="D53" s="702"/>
      <c r="E53" s="703"/>
      <c r="F53" s="702"/>
      <c r="G53" s="703"/>
      <c r="H53" s="702"/>
      <c r="I53" s="26">
        <v>0</v>
      </c>
      <c r="J53" s="702"/>
      <c r="K53" s="26">
        <v>0</v>
      </c>
      <c r="L53" s="702"/>
      <c r="M53" s="26">
        <v>0</v>
      </c>
      <c r="N53" s="702"/>
      <c r="O53" s="26">
        <v>0</v>
      </c>
      <c r="P53" s="702"/>
      <c r="Q53" s="26">
        <v>0</v>
      </c>
      <c r="R53" s="702"/>
      <c r="S53" s="26">
        <v>0</v>
      </c>
      <c r="T53" s="24"/>
      <c r="U53" s="26">
        <v>0</v>
      </c>
      <c r="V53" s="702"/>
      <c r="W53" s="703">
        <v>0</v>
      </c>
      <c r="X53" s="702"/>
      <c r="Y53" s="26">
        <v>0</v>
      </c>
      <c r="Z53" s="702"/>
      <c r="AA53" s="144">
        <f t="shared" si="7"/>
        <v>0</v>
      </c>
      <c r="AB53" s="147"/>
      <c r="AC53" s="128">
        <f t="shared" si="8"/>
        <v>0</v>
      </c>
      <c r="AD53" s="131"/>
      <c r="AK53" s="74"/>
      <c r="AL53" s="74">
        <f t="shared" si="9"/>
        <v>0</v>
      </c>
      <c r="AM53" s="74"/>
    </row>
    <row r="54" spans="1:39" s="1" customFormat="1">
      <c r="A54" s="188">
        <v>6113</v>
      </c>
      <c r="B54" s="227" t="s">
        <v>12</v>
      </c>
      <c r="C54" s="703"/>
      <c r="D54" s="702"/>
      <c r="E54" s="61"/>
      <c r="F54" s="702"/>
      <c r="G54" s="703"/>
      <c r="H54" s="702"/>
      <c r="I54" s="26">
        <v>0</v>
      </c>
      <c r="J54" s="702"/>
      <c r="K54" s="26">
        <v>0</v>
      </c>
      <c r="L54" s="702"/>
      <c r="M54" s="26">
        <v>0</v>
      </c>
      <c r="N54" s="702"/>
      <c r="O54" s="26">
        <v>0</v>
      </c>
      <c r="P54" s="702"/>
      <c r="Q54" s="26">
        <v>0</v>
      </c>
      <c r="R54" s="702"/>
      <c r="S54" s="26">
        <v>0</v>
      </c>
      <c r="T54" s="24"/>
      <c r="U54" s="26">
        <v>0</v>
      </c>
      <c r="V54" s="702"/>
      <c r="W54" s="703">
        <v>0</v>
      </c>
      <c r="X54" s="702"/>
      <c r="Y54" s="26">
        <v>0</v>
      </c>
      <c r="Z54" s="702"/>
      <c r="AA54" s="144">
        <f t="shared" si="7"/>
        <v>0</v>
      </c>
      <c r="AB54" s="147"/>
      <c r="AC54" s="128">
        <f t="shared" si="8"/>
        <v>0</v>
      </c>
      <c r="AD54" s="131"/>
      <c r="AK54" s="74"/>
      <c r="AL54" s="74">
        <f t="shared" si="9"/>
        <v>0</v>
      </c>
      <c r="AM54" s="74"/>
    </row>
    <row r="55" spans="1:39" s="1" customFormat="1">
      <c r="A55" s="188">
        <v>6114</v>
      </c>
      <c r="B55" s="227" t="s">
        <v>88</v>
      </c>
      <c r="C55" s="31"/>
      <c r="D55" s="702"/>
      <c r="E55" s="31"/>
      <c r="F55" s="702"/>
      <c r="G55" s="31"/>
      <c r="H55" s="702"/>
      <c r="I55" s="26">
        <v>0</v>
      </c>
      <c r="J55" s="702"/>
      <c r="K55" s="26">
        <v>0</v>
      </c>
      <c r="L55" s="702"/>
      <c r="M55" s="26">
        <v>0</v>
      </c>
      <c r="N55" s="702"/>
      <c r="O55" s="26">
        <v>0</v>
      </c>
      <c r="P55" s="702"/>
      <c r="Q55" s="26">
        <v>0</v>
      </c>
      <c r="R55" s="702"/>
      <c r="S55" s="26">
        <v>0</v>
      </c>
      <c r="T55" s="24"/>
      <c r="U55" s="26">
        <v>0</v>
      </c>
      <c r="V55" s="702"/>
      <c r="W55" s="703">
        <v>0</v>
      </c>
      <c r="X55" s="702"/>
      <c r="Y55" s="26">
        <v>0</v>
      </c>
      <c r="Z55" s="702"/>
      <c r="AA55" s="144">
        <f t="shared" si="7"/>
        <v>0</v>
      </c>
      <c r="AB55" s="147"/>
      <c r="AC55" s="128">
        <f t="shared" si="8"/>
        <v>0</v>
      </c>
      <c r="AD55" s="131"/>
      <c r="AK55" s="74"/>
      <c r="AL55" s="74">
        <f t="shared" si="9"/>
        <v>0</v>
      </c>
      <c r="AM55" s="74"/>
    </row>
    <row r="56" spans="1:39" s="1" customFormat="1">
      <c r="A56" s="188">
        <v>6115</v>
      </c>
      <c r="B56" s="227" t="s">
        <v>13</v>
      </c>
      <c r="C56" s="31"/>
      <c r="D56" s="702"/>
      <c r="E56" s="31">
        <v>0</v>
      </c>
      <c r="F56" s="702"/>
      <c r="G56" s="31">
        <v>0</v>
      </c>
      <c r="H56" s="702"/>
      <c r="I56" s="26">
        <v>0</v>
      </c>
      <c r="J56" s="702"/>
      <c r="K56" s="26">
        <v>0</v>
      </c>
      <c r="L56" s="702"/>
      <c r="M56" s="26"/>
      <c r="N56" s="702"/>
      <c r="O56" s="26">
        <v>0</v>
      </c>
      <c r="P56" s="702"/>
      <c r="Q56" s="26">
        <v>0</v>
      </c>
      <c r="R56" s="702"/>
      <c r="S56" s="31">
        <v>0</v>
      </c>
      <c r="T56" s="24"/>
      <c r="U56" s="31">
        <v>0</v>
      </c>
      <c r="V56" s="702"/>
      <c r="W56" s="31">
        <v>0</v>
      </c>
      <c r="X56" s="702"/>
      <c r="Y56" s="31">
        <v>0</v>
      </c>
      <c r="Z56" s="702"/>
      <c r="AA56" s="144">
        <f t="shared" si="7"/>
        <v>0</v>
      </c>
      <c r="AB56" s="147"/>
      <c r="AC56" s="128">
        <f t="shared" si="8"/>
        <v>0</v>
      </c>
      <c r="AD56" s="131"/>
      <c r="AK56" s="74"/>
      <c r="AL56" s="74">
        <f t="shared" si="9"/>
        <v>0</v>
      </c>
      <c r="AM56" s="74"/>
    </row>
    <row r="57" spans="1:39" s="1" customFormat="1">
      <c r="A57" s="188">
        <v>6116</v>
      </c>
      <c r="B57" s="227" t="s">
        <v>14</v>
      </c>
      <c r="C57" s="31"/>
      <c r="D57" s="702"/>
      <c r="E57" s="31"/>
      <c r="F57" s="702"/>
      <c r="G57" s="31"/>
      <c r="H57" s="702"/>
      <c r="I57" s="26">
        <v>0</v>
      </c>
      <c r="J57" s="702"/>
      <c r="K57" s="26">
        <v>0</v>
      </c>
      <c r="L57" s="702"/>
      <c r="M57" s="26">
        <v>0</v>
      </c>
      <c r="N57" s="702"/>
      <c r="O57" s="26">
        <v>0</v>
      </c>
      <c r="P57" s="702"/>
      <c r="Q57" s="26">
        <v>0</v>
      </c>
      <c r="R57" s="702"/>
      <c r="S57" s="26">
        <v>0</v>
      </c>
      <c r="T57" s="24"/>
      <c r="U57" s="26">
        <v>0</v>
      </c>
      <c r="V57" s="702"/>
      <c r="W57" s="703">
        <v>0</v>
      </c>
      <c r="X57" s="702"/>
      <c r="Y57" s="26">
        <v>0</v>
      </c>
      <c r="Z57" s="702"/>
      <c r="AA57" s="144">
        <f t="shared" si="7"/>
        <v>0</v>
      </c>
      <c r="AB57" s="147"/>
      <c r="AC57" s="128">
        <f t="shared" si="8"/>
        <v>0</v>
      </c>
      <c r="AD57" s="131"/>
      <c r="AK57" s="74"/>
      <c r="AL57" s="74">
        <f t="shared" si="9"/>
        <v>0</v>
      </c>
      <c r="AM57" s="74"/>
    </row>
    <row r="58" spans="1:39" s="1" customFormat="1">
      <c r="A58" s="188">
        <v>6117</v>
      </c>
      <c r="B58" s="227" t="s">
        <v>15</v>
      </c>
      <c r="C58" s="703"/>
      <c r="D58" s="702"/>
      <c r="E58" s="61"/>
      <c r="F58" s="702"/>
      <c r="G58" s="703"/>
      <c r="H58" s="702"/>
      <c r="I58" s="26">
        <v>0</v>
      </c>
      <c r="J58" s="702"/>
      <c r="K58" s="26">
        <v>0</v>
      </c>
      <c r="L58" s="702"/>
      <c r="M58" s="26">
        <v>0</v>
      </c>
      <c r="N58" s="702"/>
      <c r="O58" s="26">
        <v>0</v>
      </c>
      <c r="P58" s="702"/>
      <c r="Q58" s="26">
        <v>0</v>
      </c>
      <c r="R58" s="702"/>
      <c r="S58" s="26">
        <v>0</v>
      </c>
      <c r="T58" s="24"/>
      <c r="U58" s="26">
        <v>0</v>
      </c>
      <c r="V58" s="702"/>
      <c r="W58" s="703">
        <v>0</v>
      </c>
      <c r="X58" s="702"/>
      <c r="Y58" s="26">
        <v>0</v>
      </c>
      <c r="Z58" s="702"/>
      <c r="AA58" s="144">
        <f t="shared" si="7"/>
        <v>0</v>
      </c>
      <c r="AB58" s="147"/>
      <c r="AC58" s="128">
        <f t="shared" si="8"/>
        <v>0</v>
      </c>
      <c r="AD58" s="131"/>
      <c r="AK58" s="74"/>
      <c r="AL58" s="74">
        <f t="shared" si="9"/>
        <v>0</v>
      </c>
      <c r="AM58" s="74"/>
    </row>
    <row r="59" spans="1:39" s="1" customFormat="1">
      <c r="A59" s="188">
        <v>6118</v>
      </c>
      <c r="B59" s="227" t="s">
        <v>16</v>
      </c>
      <c r="C59" s="113"/>
      <c r="D59" s="702"/>
      <c r="E59" s="113"/>
      <c r="F59" s="702"/>
      <c r="G59" s="113"/>
      <c r="H59" s="702"/>
      <c r="I59" s="26">
        <v>0</v>
      </c>
      <c r="J59" s="702"/>
      <c r="K59" s="26">
        <v>0</v>
      </c>
      <c r="L59" s="702"/>
      <c r="M59" s="26">
        <v>0</v>
      </c>
      <c r="N59" s="702"/>
      <c r="O59" s="26">
        <v>0</v>
      </c>
      <c r="P59" s="702"/>
      <c r="Q59" s="26">
        <v>0</v>
      </c>
      <c r="R59" s="702"/>
      <c r="S59" s="26">
        <v>0</v>
      </c>
      <c r="T59" s="24"/>
      <c r="U59" s="26">
        <v>0</v>
      </c>
      <c r="V59" s="702"/>
      <c r="W59" s="703">
        <v>0</v>
      </c>
      <c r="X59" s="702"/>
      <c r="Y59" s="26">
        <v>0</v>
      </c>
      <c r="Z59" s="702"/>
      <c r="AA59" s="144">
        <f t="shared" si="7"/>
        <v>0</v>
      </c>
      <c r="AB59" s="147"/>
      <c r="AC59" s="128">
        <f t="shared" si="8"/>
        <v>0</v>
      </c>
      <c r="AD59" s="131"/>
      <c r="AK59" s="74"/>
      <c r="AL59" s="74">
        <f t="shared" si="9"/>
        <v>0</v>
      </c>
      <c r="AM59" s="74"/>
    </row>
    <row r="60" spans="1:39" s="1" customFormat="1">
      <c r="A60" s="188">
        <v>6119</v>
      </c>
      <c r="B60" s="227" t="s">
        <v>17</v>
      </c>
      <c r="C60" s="703"/>
      <c r="D60" s="702"/>
      <c r="E60" s="61"/>
      <c r="F60" s="702"/>
      <c r="G60" s="703"/>
      <c r="H60" s="702"/>
      <c r="I60" s="26">
        <v>0</v>
      </c>
      <c r="J60" s="702"/>
      <c r="K60" s="26">
        <v>0</v>
      </c>
      <c r="L60" s="702"/>
      <c r="M60" s="26">
        <v>0</v>
      </c>
      <c r="N60" s="702"/>
      <c r="O60" s="26">
        <v>0</v>
      </c>
      <c r="P60" s="702"/>
      <c r="Q60" s="26">
        <v>0</v>
      </c>
      <c r="R60" s="702"/>
      <c r="S60" s="26">
        <v>0</v>
      </c>
      <c r="T60" s="24"/>
      <c r="U60" s="26">
        <v>0</v>
      </c>
      <c r="V60" s="702"/>
      <c r="W60" s="703">
        <v>0</v>
      </c>
      <c r="X60" s="702"/>
      <c r="Y60" s="26">
        <v>0</v>
      </c>
      <c r="Z60" s="702"/>
      <c r="AA60" s="144">
        <f t="shared" si="7"/>
        <v>0</v>
      </c>
      <c r="AB60" s="147"/>
      <c r="AC60" s="128">
        <f t="shared" si="8"/>
        <v>0</v>
      </c>
      <c r="AD60" s="131"/>
      <c r="AK60" s="74"/>
      <c r="AL60" s="74">
        <f t="shared" si="9"/>
        <v>0</v>
      </c>
      <c r="AM60" s="74"/>
    </row>
    <row r="61" spans="1:39" s="1" customFormat="1">
      <c r="A61" s="188">
        <v>6120</v>
      </c>
      <c r="B61" s="227" t="s">
        <v>18</v>
      </c>
      <c r="C61" s="703"/>
      <c r="D61" s="702"/>
      <c r="E61" s="61"/>
      <c r="F61" s="702"/>
      <c r="G61" s="703"/>
      <c r="H61" s="702"/>
      <c r="I61" s="26">
        <v>0</v>
      </c>
      <c r="J61" s="702"/>
      <c r="K61" s="26">
        <v>0</v>
      </c>
      <c r="L61" s="702"/>
      <c r="M61" s="26">
        <v>0</v>
      </c>
      <c r="N61" s="702"/>
      <c r="O61" s="26">
        <v>0</v>
      </c>
      <c r="P61" s="702"/>
      <c r="Q61" s="26">
        <v>0</v>
      </c>
      <c r="R61" s="702"/>
      <c r="S61" s="26">
        <v>0</v>
      </c>
      <c r="T61" s="24"/>
      <c r="U61" s="26">
        <v>0</v>
      </c>
      <c r="V61" s="702"/>
      <c r="W61" s="703">
        <v>0</v>
      </c>
      <c r="X61" s="702"/>
      <c r="Y61" s="26">
        <v>0</v>
      </c>
      <c r="Z61" s="702"/>
      <c r="AA61" s="144">
        <f t="shared" si="7"/>
        <v>0</v>
      </c>
      <c r="AB61" s="147"/>
      <c r="AC61" s="128">
        <f t="shared" si="8"/>
        <v>0</v>
      </c>
      <c r="AD61" s="131"/>
      <c r="AK61" s="74"/>
      <c r="AL61" s="74">
        <f t="shared" si="9"/>
        <v>0</v>
      </c>
      <c r="AM61" s="74"/>
    </row>
    <row r="62" spans="1:39" s="1" customFormat="1">
      <c r="A62" s="188">
        <v>6121</v>
      </c>
      <c r="B62" s="227" t="s">
        <v>19</v>
      </c>
      <c r="C62" s="26"/>
      <c r="D62" s="702"/>
      <c r="E62" s="26"/>
      <c r="F62" s="702"/>
      <c r="G62" s="26"/>
      <c r="H62" s="702"/>
      <c r="I62" s="26">
        <v>0</v>
      </c>
      <c r="J62" s="702"/>
      <c r="K62" s="26">
        <v>0</v>
      </c>
      <c r="L62" s="702"/>
      <c r="M62" s="26">
        <v>0</v>
      </c>
      <c r="N62" s="702"/>
      <c r="O62" s="26">
        <v>0</v>
      </c>
      <c r="P62" s="702"/>
      <c r="Q62" s="26">
        <v>0</v>
      </c>
      <c r="R62" s="702"/>
      <c r="S62" s="26">
        <v>0</v>
      </c>
      <c r="T62" s="24"/>
      <c r="U62" s="26">
        <v>0</v>
      </c>
      <c r="V62" s="702"/>
      <c r="W62" s="703">
        <v>0</v>
      </c>
      <c r="X62" s="702"/>
      <c r="Y62" s="26">
        <v>0</v>
      </c>
      <c r="Z62" s="702"/>
      <c r="AA62" s="144">
        <f t="shared" si="7"/>
        <v>0</v>
      </c>
      <c r="AB62" s="147"/>
      <c r="AC62" s="128">
        <f t="shared" si="8"/>
        <v>0</v>
      </c>
      <c r="AD62" s="131"/>
      <c r="AK62" s="74"/>
      <c r="AL62" s="74">
        <f t="shared" si="9"/>
        <v>0</v>
      </c>
      <c r="AM62" s="74"/>
    </row>
    <row r="63" spans="1:39" s="1" customFormat="1">
      <c r="A63" s="188">
        <v>6122</v>
      </c>
      <c r="B63" s="227" t="s">
        <v>20</v>
      </c>
      <c r="C63" s="703"/>
      <c r="D63" s="702"/>
      <c r="E63" s="61"/>
      <c r="F63" s="702"/>
      <c r="G63" s="703"/>
      <c r="H63" s="702"/>
      <c r="I63" s="26">
        <v>0</v>
      </c>
      <c r="J63" s="702"/>
      <c r="K63" s="26">
        <v>0</v>
      </c>
      <c r="L63" s="702"/>
      <c r="M63" s="26">
        <v>0</v>
      </c>
      <c r="N63" s="702"/>
      <c r="O63" s="26">
        <v>0</v>
      </c>
      <c r="P63" s="702"/>
      <c r="Q63" s="26">
        <v>0</v>
      </c>
      <c r="R63" s="702"/>
      <c r="S63" s="26">
        <v>0</v>
      </c>
      <c r="T63" s="24"/>
      <c r="U63" s="26">
        <v>0</v>
      </c>
      <c r="V63" s="702"/>
      <c r="W63" s="703">
        <v>0</v>
      </c>
      <c r="X63" s="702"/>
      <c r="Y63" s="26">
        <v>0</v>
      </c>
      <c r="Z63" s="702"/>
      <c r="AA63" s="144">
        <f t="shared" si="7"/>
        <v>0</v>
      </c>
      <c r="AB63" s="147"/>
      <c r="AC63" s="128">
        <f t="shared" si="8"/>
        <v>0</v>
      </c>
      <c r="AD63" s="131"/>
      <c r="AK63" s="74"/>
      <c r="AL63" s="74">
        <f t="shared" si="9"/>
        <v>0</v>
      </c>
      <c r="AM63" s="74"/>
    </row>
    <row r="64" spans="1:39" s="1" customFormat="1">
      <c r="A64" s="188">
        <v>6123</v>
      </c>
      <c r="B64" s="227" t="s">
        <v>21</v>
      </c>
      <c r="C64" s="703"/>
      <c r="D64" s="702"/>
      <c r="E64" s="61"/>
      <c r="F64" s="702"/>
      <c r="G64" s="703"/>
      <c r="H64" s="702"/>
      <c r="I64" s="26">
        <v>0</v>
      </c>
      <c r="J64" s="702"/>
      <c r="K64" s="26">
        <v>0</v>
      </c>
      <c r="L64" s="702"/>
      <c r="M64" s="26">
        <v>0</v>
      </c>
      <c r="N64" s="702"/>
      <c r="O64" s="26">
        <v>0</v>
      </c>
      <c r="P64" s="702"/>
      <c r="Q64" s="26">
        <v>0</v>
      </c>
      <c r="R64" s="702"/>
      <c r="S64" s="26">
        <v>0</v>
      </c>
      <c r="T64" s="24"/>
      <c r="U64" s="26">
        <v>0</v>
      </c>
      <c r="V64" s="702"/>
      <c r="W64" s="703">
        <v>0</v>
      </c>
      <c r="X64" s="702"/>
      <c r="Y64" s="26">
        <v>0</v>
      </c>
      <c r="Z64" s="702"/>
      <c r="AA64" s="144">
        <f t="shared" si="7"/>
        <v>0</v>
      </c>
      <c r="AB64" s="147"/>
      <c r="AC64" s="128">
        <f t="shared" si="8"/>
        <v>0</v>
      </c>
      <c r="AD64" s="131"/>
      <c r="AK64" s="74"/>
      <c r="AL64" s="74">
        <f t="shared" si="9"/>
        <v>0</v>
      </c>
      <c r="AM64" s="74"/>
    </row>
    <row r="65" spans="1:39" s="1" customFormat="1">
      <c r="A65" s="188">
        <v>6124</v>
      </c>
      <c r="B65" s="227" t="s">
        <v>22</v>
      </c>
      <c r="C65" s="51"/>
      <c r="D65" s="702"/>
      <c r="E65" s="51"/>
      <c r="F65" s="702"/>
      <c r="G65" s="51"/>
      <c r="H65" s="702"/>
      <c r="I65" s="26">
        <v>0</v>
      </c>
      <c r="J65" s="702"/>
      <c r="K65" s="26">
        <v>0</v>
      </c>
      <c r="L65" s="702"/>
      <c r="M65" s="26">
        <v>0</v>
      </c>
      <c r="N65" s="702"/>
      <c r="O65" s="26">
        <v>0</v>
      </c>
      <c r="P65" s="702"/>
      <c r="Q65" s="26">
        <v>0</v>
      </c>
      <c r="R65" s="702"/>
      <c r="S65" s="26">
        <v>0</v>
      </c>
      <c r="T65" s="24"/>
      <c r="U65" s="26">
        <v>0</v>
      </c>
      <c r="V65" s="702"/>
      <c r="W65" s="703">
        <v>0</v>
      </c>
      <c r="X65" s="702"/>
      <c r="Y65" s="26">
        <v>0</v>
      </c>
      <c r="Z65" s="702"/>
      <c r="AA65" s="144">
        <f t="shared" si="7"/>
        <v>0</v>
      </c>
      <c r="AB65" s="147"/>
      <c r="AC65" s="128">
        <f t="shared" si="8"/>
        <v>0</v>
      </c>
      <c r="AD65" s="131"/>
      <c r="AK65" s="74"/>
      <c r="AL65" s="74">
        <f t="shared" si="9"/>
        <v>0</v>
      </c>
      <c r="AM65" s="74"/>
    </row>
    <row r="66" spans="1:39" s="1" customFormat="1">
      <c r="A66" s="188">
        <v>6125</v>
      </c>
      <c r="B66" s="227" t="s">
        <v>78</v>
      </c>
      <c r="C66" s="26"/>
      <c r="D66" s="702"/>
      <c r="E66" s="26"/>
      <c r="F66" s="702"/>
      <c r="G66" s="26"/>
      <c r="H66" s="102"/>
      <c r="I66" s="26">
        <v>0</v>
      </c>
      <c r="J66" s="702"/>
      <c r="K66" s="26">
        <v>0</v>
      </c>
      <c r="L66" s="702"/>
      <c r="M66" s="26">
        <v>0</v>
      </c>
      <c r="N66" s="702"/>
      <c r="O66" s="26">
        <v>0</v>
      </c>
      <c r="P66" s="702"/>
      <c r="Q66" s="26">
        <v>610</v>
      </c>
      <c r="R66" s="702"/>
      <c r="S66" s="26">
        <v>0</v>
      </c>
      <c r="T66" s="24"/>
      <c r="U66" s="26">
        <v>0</v>
      </c>
      <c r="V66" s="702"/>
      <c r="W66" s="703">
        <v>0</v>
      </c>
      <c r="X66" s="702"/>
      <c r="Y66" s="26">
        <v>0</v>
      </c>
      <c r="Z66" s="702"/>
      <c r="AA66" s="144">
        <f t="shared" si="7"/>
        <v>610</v>
      </c>
      <c r="AB66" s="147"/>
      <c r="AC66" s="128">
        <f t="shared" si="8"/>
        <v>50.833333333333336</v>
      </c>
      <c r="AD66" s="131"/>
      <c r="AK66" s="74"/>
      <c r="AL66" s="74">
        <f t="shared" si="9"/>
        <v>600.85</v>
      </c>
      <c r="AM66" s="74"/>
    </row>
    <row r="67" spans="1:39" s="1" customFormat="1">
      <c r="A67" s="188">
        <v>6126</v>
      </c>
      <c r="B67" s="227" t="s">
        <v>116</v>
      </c>
      <c r="C67" s="703"/>
      <c r="D67" s="702"/>
      <c r="E67" s="61"/>
      <c r="F67" s="702"/>
      <c r="G67" s="703"/>
      <c r="H67" s="702"/>
      <c r="I67" s="26">
        <v>0</v>
      </c>
      <c r="J67" s="702"/>
      <c r="K67" s="26">
        <v>0</v>
      </c>
      <c r="L67" s="702"/>
      <c r="M67" s="26">
        <v>0</v>
      </c>
      <c r="N67" s="702"/>
      <c r="O67" s="26">
        <v>0</v>
      </c>
      <c r="P67" s="702"/>
      <c r="Q67" s="26">
        <v>0</v>
      </c>
      <c r="R67" s="702"/>
      <c r="S67" s="26">
        <v>0</v>
      </c>
      <c r="T67" s="24"/>
      <c r="U67" s="26">
        <v>0</v>
      </c>
      <c r="V67" s="702"/>
      <c r="W67" s="703">
        <v>0</v>
      </c>
      <c r="X67" s="702"/>
      <c r="Y67" s="26">
        <v>0</v>
      </c>
      <c r="Z67" s="702"/>
      <c r="AA67" s="144">
        <f t="shared" si="7"/>
        <v>0</v>
      </c>
      <c r="AB67" s="147"/>
      <c r="AC67" s="128">
        <f t="shared" si="8"/>
        <v>0</v>
      </c>
      <c r="AD67" s="131"/>
      <c r="AK67" s="74"/>
      <c r="AL67" s="74">
        <f t="shared" si="9"/>
        <v>0</v>
      </c>
      <c r="AM67" s="74"/>
    </row>
    <row r="68" spans="1:39" s="1" customFormat="1">
      <c r="A68" s="188">
        <v>6127</v>
      </c>
      <c r="B68" s="227" t="s">
        <v>76</v>
      </c>
      <c r="C68" s="26"/>
      <c r="D68" s="702"/>
      <c r="E68" s="26"/>
      <c r="F68" s="702"/>
      <c r="G68" s="26"/>
      <c r="H68" s="702"/>
      <c r="I68" s="26">
        <v>0</v>
      </c>
      <c r="J68" s="702"/>
      <c r="K68" s="26">
        <v>0</v>
      </c>
      <c r="L68" s="702"/>
      <c r="M68" s="26">
        <v>0</v>
      </c>
      <c r="N68" s="702"/>
      <c r="O68" s="26">
        <v>0</v>
      </c>
      <c r="P68" s="702"/>
      <c r="Q68" s="26">
        <v>0</v>
      </c>
      <c r="R68" s="702"/>
      <c r="S68" s="26">
        <v>0</v>
      </c>
      <c r="T68" s="24"/>
      <c r="U68" s="26">
        <v>0</v>
      </c>
      <c r="V68" s="702"/>
      <c r="W68" s="703">
        <v>0</v>
      </c>
      <c r="X68" s="702"/>
      <c r="Y68" s="26">
        <v>0</v>
      </c>
      <c r="Z68" s="702"/>
      <c r="AA68" s="144">
        <f t="shared" si="7"/>
        <v>0</v>
      </c>
      <c r="AB68" s="147"/>
      <c r="AC68" s="128">
        <f t="shared" si="8"/>
        <v>0</v>
      </c>
      <c r="AD68" s="131"/>
      <c r="AK68" s="74"/>
      <c r="AL68" s="74">
        <f t="shared" si="9"/>
        <v>0</v>
      </c>
      <c r="AM68" s="74"/>
    </row>
    <row r="69" spans="1:39" s="1" customFormat="1">
      <c r="A69" s="188">
        <v>6129</v>
      </c>
      <c r="B69" s="188" t="s">
        <v>270</v>
      </c>
      <c r="C69" s="703"/>
      <c r="D69" s="702"/>
      <c r="E69" s="61"/>
      <c r="F69" s="702"/>
      <c r="G69" s="703"/>
      <c r="H69" s="702"/>
      <c r="I69" s="26">
        <v>0</v>
      </c>
      <c r="J69" s="702"/>
      <c r="K69" s="26">
        <v>0</v>
      </c>
      <c r="L69" s="702"/>
      <c r="M69" s="26">
        <v>0</v>
      </c>
      <c r="N69" s="702"/>
      <c r="O69" s="26">
        <v>0</v>
      </c>
      <c r="P69" s="702"/>
      <c r="Q69" s="26">
        <v>0</v>
      </c>
      <c r="R69" s="702"/>
      <c r="S69" s="26">
        <v>0</v>
      </c>
      <c r="T69" s="24"/>
      <c r="U69" s="26">
        <v>0</v>
      </c>
      <c r="V69" s="702"/>
      <c r="W69" s="703">
        <v>0</v>
      </c>
      <c r="X69" s="702"/>
      <c r="Y69" s="26">
        <v>0</v>
      </c>
      <c r="Z69" s="702"/>
      <c r="AA69" s="144">
        <f t="shared" si="7"/>
        <v>0</v>
      </c>
      <c r="AB69" s="147"/>
      <c r="AC69" s="128">
        <f t="shared" si="8"/>
        <v>0</v>
      </c>
      <c r="AD69" s="131"/>
      <c r="AK69" s="74"/>
      <c r="AL69" s="74">
        <f t="shared" si="9"/>
        <v>0</v>
      </c>
      <c r="AM69" s="74"/>
    </row>
    <row r="70" spans="1:39" s="1" customFormat="1">
      <c r="A70" s="188">
        <v>6131</v>
      </c>
      <c r="B70" s="188" t="s">
        <v>314</v>
      </c>
      <c r="C70" s="676"/>
      <c r="D70" s="702"/>
      <c r="E70" s="676"/>
      <c r="F70" s="702"/>
      <c r="G70" s="676"/>
      <c r="H70" s="702"/>
      <c r="I70" s="676"/>
      <c r="J70" s="702"/>
      <c r="K70" s="676"/>
      <c r="L70" s="702"/>
      <c r="M70" s="676"/>
      <c r="N70" s="702"/>
      <c r="O70" s="26"/>
      <c r="P70" s="702"/>
      <c r="Q70" s="26"/>
      <c r="R70" s="702"/>
      <c r="S70" s="26"/>
      <c r="T70" s="702"/>
      <c r="U70" s="26"/>
      <c r="V70" s="702"/>
      <c r="W70" s="26"/>
      <c r="X70" s="702"/>
      <c r="Y70" s="26"/>
      <c r="Z70" s="702"/>
      <c r="AA70" s="144">
        <f t="shared" si="7"/>
        <v>0</v>
      </c>
      <c r="AB70" s="702"/>
      <c r="AC70" s="128">
        <f t="shared" si="8"/>
        <v>0</v>
      </c>
      <c r="AD70" s="702"/>
      <c r="AE70" s="645"/>
      <c r="AF70" s="226"/>
      <c r="AG70" s="226"/>
    </row>
    <row r="71" spans="1:39" s="1" customFormat="1">
      <c r="A71" s="188">
        <v>6132</v>
      </c>
      <c r="B71" s="188" t="s">
        <v>315</v>
      </c>
      <c r="C71" s="676"/>
      <c r="D71" s="702"/>
      <c r="E71" s="676"/>
      <c r="F71" s="702"/>
      <c r="G71" s="676"/>
      <c r="H71" s="702"/>
      <c r="I71" s="676"/>
      <c r="J71" s="702"/>
      <c r="K71" s="676"/>
      <c r="L71" s="702"/>
      <c r="M71" s="676"/>
      <c r="N71" s="702"/>
      <c r="O71" s="26"/>
      <c r="P71" s="702"/>
      <c r="Q71" s="26"/>
      <c r="R71" s="702"/>
      <c r="S71" s="26"/>
      <c r="T71" s="702"/>
      <c r="U71" s="26"/>
      <c r="V71" s="702"/>
      <c r="W71" s="26"/>
      <c r="X71" s="702"/>
      <c r="Y71" s="26"/>
      <c r="Z71" s="702"/>
      <c r="AA71" s="144">
        <f t="shared" si="7"/>
        <v>0</v>
      </c>
      <c r="AB71" s="702"/>
      <c r="AC71" s="128">
        <f t="shared" si="8"/>
        <v>0</v>
      </c>
      <c r="AD71" s="702"/>
      <c r="AE71" s="645"/>
      <c r="AF71" s="226"/>
      <c r="AG71" s="226"/>
    </row>
    <row r="72" spans="1:39" s="1" customFormat="1">
      <c r="A72" s="188">
        <v>6133</v>
      </c>
      <c r="B72" s="188" t="s">
        <v>316</v>
      </c>
      <c r="C72" s="676"/>
      <c r="D72" s="702"/>
      <c r="E72" s="676"/>
      <c r="F72" s="702"/>
      <c r="G72" s="676"/>
      <c r="H72" s="702"/>
      <c r="I72" s="676"/>
      <c r="J72" s="702"/>
      <c r="K72" s="676"/>
      <c r="L72" s="702"/>
      <c r="M72" s="676"/>
      <c r="N72" s="702"/>
      <c r="O72" s="26"/>
      <c r="P72" s="702"/>
      <c r="Q72" s="26"/>
      <c r="R72" s="702"/>
      <c r="S72" s="26"/>
      <c r="T72" s="702"/>
      <c r="U72" s="26"/>
      <c r="V72" s="702"/>
      <c r="W72" s="26"/>
      <c r="X72" s="702"/>
      <c r="Y72" s="26"/>
      <c r="Z72" s="702"/>
      <c r="AA72" s="144">
        <f t="shared" si="7"/>
        <v>0</v>
      </c>
      <c r="AB72" s="702"/>
      <c r="AC72" s="128">
        <f t="shared" si="8"/>
        <v>0</v>
      </c>
      <c r="AD72" s="702"/>
      <c r="AE72" s="645"/>
      <c r="AF72" s="226"/>
      <c r="AG72" s="226"/>
    </row>
    <row r="73" spans="1:39" s="1" customFormat="1">
      <c r="A73" s="188">
        <v>6134</v>
      </c>
      <c r="B73" s="188" t="s">
        <v>317</v>
      </c>
      <c r="C73" s="676"/>
      <c r="D73" s="702"/>
      <c r="E73" s="676"/>
      <c r="F73" s="702"/>
      <c r="G73" s="676"/>
      <c r="H73" s="702"/>
      <c r="I73" s="676"/>
      <c r="J73" s="702"/>
      <c r="K73" s="676"/>
      <c r="L73" s="702"/>
      <c r="M73" s="676"/>
      <c r="N73" s="702"/>
      <c r="O73" s="26"/>
      <c r="P73" s="702"/>
      <c r="Q73" s="26"/>
      <c r="R73" s="702"/>
      <c r="S73" s="26"/>
      <c r="T73" s="702"/>
      <c r="U73" s="26"/>
      <c r="V73" s="702"/>
      <c r="W73" s="26"/>
      <c r="X73" s="702"/>
      <c r="Y73" s="26"/>
      <c r="Z73" s="702"/>
      <c r="AA73" s="144">
        <f t="shared" si="7"/>
        <v>0</v>
      </c>
      <c r="AB73" s="702"/>
      <c r="AC73" s="128">
        <f t="shared" si="8"/>
        <v>0</v>
      </c>
      <c r="AD73" s="702"/>
      <c r="AE73" s="645"/>
      <c r="AF73" s="226"/>
      <c r="AG73" s="226"/>
    </row>
    <row r="74" spans="1:39" s="1" customFormat="1">
      <c r="A74" s="188">
        <v>6135</v>
      </c>
      <c r="B74" s="188" t="s">
        <v>318</v>
      </c>
      <c r="C74" s="676"/>
      <c r="D74" s="702"/>
      <c r="E74" s="676"/>
      <c r="F74" s="702"/>
      <c r="G74" s="676"/>
      <c r="H74" s="702"/>
      <c r="I74" s="676"/>
      <c r="J74" s="702"/>
      <c r="K74" s="676"/>
      <c r="L74" s="702"/>
      <c r="M74" s="676"/>
      <c r="N74" s="702"/>
      <c r="O74" s="26"/>
      <c r="P74" s="702"/>
      <c r="Q74" s="26"/>
      <c r="R74" s="702"/>
      <c r="S74" s="26"/>
      <c r="T74" s="702"/>
      <c r="U74" s="26"/>
      <c r="V74" s="702"/>
      <c r="W74" s="26"/>
      <c r="X74" s="702"/>
      <c r="Y74" s="26"/>
      <c r="Z74" s="702"/>
      <c r="AA74" s="144">
        <f t="shared" si="7"/>
        <v>0</v>
      </c>
      <c r="AB74" s="702"/>
      <c r="AC74" s="128">
        <f t="shared" si="8"/>
        <v>0</v>
      </c>
      <c r="AD74" s="702"/>
      <c r="AE74" s="645"/>
      <c r="AF74" s="226"/>
      <c r="AG74" s="226"/>
    </row>
    <row r="75" spans="1:39" s="1" customFormat="1">
      <c r="A75" s="188">
        <v>6136</v>
      </c>
      <c r="B75" s="188" t="s">
        <v>330</v>
      </c>
      <c r="C75" s="676"/>
      <c r="D75" s="702"/>
      <c r="E75" s="676"/>
      <c r="F75" s="702"/>
      <c r="G75" s="676"/>
      <c r="H75" s="702"/>
      <c r="I75" s="676"/>
      <c r="J75" s="702"/>
      <c r="K75" s="676"/>
      <c r="L75" s="702"/>
      <c r="M75" s="676"/>
      <c r="N75" s="702"/>
      <c r="O75" s="26"/>
      <c r="P75" s="702"/>
      <c r="Q75" s="26"/>
      <c r="R75" s="702"/>
      <c r="S75" s="26"/>
      <c r="T75" s="702"/>
      <c r="U75" s="26"/>
      <c r="V75" s="702"/>
      <c r="W75" s="26"/>
      <c r="X75" s="702"/>
      <c r="Y75" s="26"/>
      <c r="Z75" s="702"/>
      <c r="AA75" s="144">
        <f t="shared" si="7"/>
        <v>0</v>
      </c>
      <c r="AB75" s="702"/>
      <c r="AC75" s="128">
        <f t="shared" si="8"/>
        <v>0</v>
      </c>
      <c r="AD75" s="702"/>
      <c r="AE75" s="645"/>
      <c r="AF75" s="226"/>
      <c r="AG75" s="226"/>
    </row>
    <row r="76" spans="1:39" s="1" customFormat="1" ht="15.75" thickBot="1">
      <c r="A76" s="4">
        <v>6199</v>
      </c>
      <c r="B76" s="229" t="s">
        <v>23</v>
      </c>
      <c r="C76" s="116">
        <f>SUM(C42:C75)</f>
        <v>0</v>
      </c>
      <c r="D76" s="89"/>
      <c r="E76" s="116">
        <f>SUM(E42:E75)</f>
        <v>0</v>
      </c>
      <c r="F76" s="89"/>
      <c r="G76" s="116">
        <f>SUM(G42:G75)</f>
        <v>0</v>
      </c>
      <c r="H76" s="89"/>
      <c r="I76" s="116">
        <f>SUM(I42:I75)</f>
        <v>0</v>
      </c>
      <c r="J76" s="89"/>
      <c r="K76" s="116">
        <f>SUM(K42:K75)</f>
        <v>0</v>
      </c>
      <c r="L76" s="89"/>
      <c r="M76" s="116">
        <f>SUM(M42:M75)</f>
        <v>0</v>
      </c>
      <c r="N76" s="89"/>
      <c r="O76" s="116">
        <f>SUM(O42:O75)</f>
        <v>0</v>
      </c>
      <c r="P76" s="89"/>
      <c r="Q76" s="116">
        <f>SUM(Q42:Q75)</f>
        <v>610</v>
      </c>
      <c r="R76" s="89"/>
      <c r="S76" s="116">
        <f>SUM(S42:S75)</f>
        <v>0</v>
      </c>
      <c r="T76" s="89"/>
      <c r="U76" s="116">
        <f>SUM(U42:U75)</f>
        <v>0</v>
      </c>
      <c r="V76" s="89"/>
      <c r="W76" s="116">
        <f>SUM(W42:W75)</f>
        <v>0</v>
      </c>
      <c r="X76" s="89"/>
      <c r="Y76" s="116">
        <f>SUM(Y42:Y75)</f>
        <v>0</v>
      </c>
      <c r="Z76" s="89"/>
      <c r="AA76" s="116">
        <f>SUM(AA42:AA75)</f>
        <v>610</v>
      </c>
      <c r="AB76" s="89"/>
      <c r="AC76" s="116">
        <f>SUM(AC42:AC75)</f>
        <v>50.833333333333336</v>
      </c>
      <c r="AD76" s="89"/>
      <c r="AK76" s="74"/>
      <c r="AL76" s="74">
        <f t="shared" ref="AL76:AL105" si="10">C76*0.985+E76*0.985+G76*0.985+I76*0.985+K76*0.985+M76*0.985+O76*0.985+Q76*0.985+S76*0.985+U76*0.985+W76*0.985+Y76*0.985</f>
        <v>600.85</v>
      </c>
      <c r="AM76" s="74"/>
    </row>
    <row r="77" spans="1:39" s="1" customFormat="1" ht="15.75" thickTop="1">
      <c r="A77" s="188">
        <v>6201</v>
      </c>
      <c r="B77" s="227" t="s">
        <v>24</v>
      </c>
      <c r="C77" s="703">
        <v>0</v>
      </c>
      <c r="D77" s="702"/>
      <c r="E77" s="703"/>
      <c r="F77" s="702"/>
      <c r="G77" s="703"/>
      <c r="H77" s="702"/>
      <c r="I77" s="26">
        <v>0</v>
      </c>
      <c r="J77" s="702"/>
      <c r="K77" s="26">
        <v>0</v>
      </c>
      <c r="L77" s="702"/>
      <c r="M77" s="26">
        <v>0</v>
      </c>
      <c r="N77" s="702"/>
      <c r="O77" s="26">
        <v>0</v>
      </c>
      <c r="P77" s="702"/>
      <c r="Q77" s="26">
        <v>0</v>
      </c>
      <c r="R77" s="702"/>
      <c r="S77" s="26">
        <v>0</v>
      </c>
      <c r="T77" s="24"/>
      <c r="U77" s="26">
        <v>0</v>
      </c>
      <c r="V77" s="702"/>
      <c r="W77" s="703">
        <v>0</v>
      </c>
      <c r="X77" s="702"/>
      <c r="Y77" s="26">
        <v>0</v>
      </c>
      <c r="Z77" s="702"/>
      <c r="AA77" s="144">
        <f t="shared" ref="AA77:AA92" si="11">C77+E77+G77+I77+K77+M77+O77+Q77+S77+U77+W77+Y77</f>
        <v>0</v>
      </c>
      <c r="AB77" s="147"/>
      <c r="AC77" s="128">
        <f>AA77/12</f>
        <v>0</v>
      </c>
      <c r="AD77" s="131"/>
      <c r="AK77" s="74"/>
      <c r="AL77" s="74">
        <f t="shared" si="10"/>
        <v>0</v>
      </c>
      <c r="AM77" s="74"/>
    </row>
    <row r="78" spans="1:39" s="1" customFormat="1">
      <c r="A78" s="188">
        <v>6202</v>
      </c>
      <c r="B78" s="227" t="s">
        <v>25</v>
      </c>
      <c r="C78" s="703"/>
      <c r="D78" s="702"/>
      <c r="E78" s="703"/>
      <c r="F78" s="702"/>
      <c r="G78" s="703"/>
      <c r="H78" s="702"/>
      <c r="I78" s="26">
        <v>0</v>
      </c>
      <c r="J78" s="702"/>
      <c r="K78" s="26">
        <v>0</v>
      </c>
      <c r="L78" s="702"/>
      <c r="M78" s="26">
        <v>0</v>
      </c>
      <c r="N78" s="702"/>
      <c r="O78" s="26">
        <v>0</v>
      </c>
      <c r="P78" s="702"/>
      <c r="Q78" s="26">
        <v>0</v>
      </c>
      <c r="R78" s="702"/>
      <c r="S78" s="26">
        <v>0</v>
      </c>
      <c r="T78" s="24"/>
      <c r="U78" s="26">
        <v>0</v>
      </c>
      <c r="V78" s="702"/>
      <c r="W78" s="703">
        <v>0</v>
      </c>
      <c r="X78" s="702"/>
      <c r="Y78" s="26">
        <v>0</v>
      </c>
      <c r="Z78" s="702"/>
      <c r="AA78" s="144">
        <f t="shared" si="11"/>
        <v>0</v>
      </c>
      <c r="AB78" s="147"/>
      <c r="AC78" s="128">
        <f>AA78/12</f>
        <v>0</v>
      </c>
      <c r="AD78" s="131"/>
      <c r="AK78" s="74"/>
      <c r="AL78" s="74">
        <f t="shared" si="10"/>
        <v>0</v>
      </c>
      <c r="AM78" s="74"/>
    </row>
    <row r="79" spans="1:39" s="1" customFormat="1">
      <c r="A79" s="188">
        <v>6203</v>
      </c>
      <c r="B79" s="227" t="s">
        <v>26</v>
      </c>
      <c r="C79" s="703"/>
      <c r="D79" s="702"/>
      <c r="E79" s="703"/>
      <c r="F79" s="702"/>
      <c r="G79" s="703"/>
      <c r="H79" s="702"/>
      <c r="I79" s="26">
        <v>0</v>
      </c>
      <c r="J79" s="702"/>
      <c r="K79" s="26">
        <v>0</v>
      </c>
      <c r="L79" s="702"/>
      <c r="M79" s="26">
        <v>0</v>
      </c>
      <c r="N79" s="702"/>
      <c r="O79" s="26">
        <v>0</v>
      </c>
      <c r="P79" s="702"/>
      <c r="Q79" s="26">
        <v>0</v>
      </c>
      <c r="R79" s="702"/>
      <c r="S79" s="26">
        <v>0</v>
      </c>
      <c r="T79" s="24"/>
      <c r="U79" s="26">
        <v>0</v>
      </c>
      <c r="V79" s="702"/>
      <c r="W79" s="703">
        <v>0</v>
      </c>
      <c r="X79" s="702"/>
      <c r="Y79" s="26">
        <v>0</v>
      </c>
      <c r="Z79" s="702"/>
      <c r="AA79" s="144">
        <f t="shared" si="11"/>
        <v>0</v>
      </c>
      <c r="AB79" s="147"/>
      <c r="AC79" s="128">
        <f>AA79/12</f>
        <v>0</v>
      </c>
      <c r="AD79" s="131"/>
      <c r="AK79" s="74"/>
      <c r="AL79" s="74">
        <f t="shared" si="10"/>
        <v>0</v>
      </c>
      <c r="AM79" s="74"/>
    </row>
    <row r="80" spans="1:39" s="1" customFormat="1">
      <c r="A80" s="188">
        <v>6204</v>
      </c>
      <c r="B80" s="227" t="s">
        <v>27</v>
      </c>
      <c r="C80" s="703"/>
      <c r="D80" s="702"/>
      <c r="E80" s="703"/>
      <c r="F80" s="702"/>
      <c r="G80" s="703"/>
      <c r="H80" s="702"/>
      <c r="I80" s="26">
        <v>0</v>
      </c>
      <c r="J80" s="702"/>
      <c r="K80" s="26">
        <v>0</v>
      </c>
      <c r="L80" s="702"/>
      <c r="M80" s="26">
        <v>0</v>
      </c>
      <c r="N80" s="702"/>
      <c r="O80" s="26">
        <v>0</v>
      </c>
      <c r="P80" s="702"/>
      <c r="Q80" s="26">
        <v>0</v>
      </c>
      <c r="R80" s="702"/>
      <c r="S80" s="26">
        <v>0</v>
      </c>
      <c r="T80" s="24"/>
      <c r="U80" s="26">
        <v>0</v>
      </c>
      <c r="V80" s="702"/>
      <c r="W80" s="703">
        <v>0</v>
      </c>
      <c r="X80" s="702"/>
      <c r="Y80" s="26">
        <v>0</v>
      </c>
      <c r="Z80" s="702"/>
      <c r="AA80" s="144">
        <f t="shared" si="11"/>
        <v>0</v>
      </c>
      <c r="AB80" s="147"/>
      <c r="AC80" s="128">
        <f t="shared" ref="AC80:AC92" si="12">AA80/12</f>
        <v>0</v>
      </c>
      <c r="AD80" s="131"/>
      <c r="AK80" s="74"/>
      <c r="AL80" s="74">
        <f t="shared" si="10"/>
        <v>0</v>
      </c>
      <c r="AM80" s="74"/>
    </row>
    <row r="81" spans="1:39" s="1" customFormat="1">
      <c r="A81" s="188">
        <v>6205</v>
      </c>
      <c r="B81" s="227" t="s">
        <v>28</v>
      </c>
      <c r="C81" s="703"/>
      <c r="D81" s="702"/>
      <c r="E81" s="703"/>
      <c r="F81" s="702"/>
      <c r="G81" s="703"/>
      <c r="H81" s="702"/>
      <c r="I81" s="26">
        <v>0</v>
      </c>
      <c r="J81" s="702"/>
      <c r="K81" s="26">
        <v>0</v>
      </c>
      <c r="L81" s="702"/>
      <c r="M81" s="26">
        <v>0</v>
      </c>
      <c r="N81" s="702"/>
      <c r="O81" s="26">
        <v>0</v>
      </c>
      <c r="P81" s="702"/>
      <c r="Q81" s="26">
        <v>0</v>
      </c>
      <c r="R81" s="702"/>
      <c r="S81" s="26">
        <v>0</v>
      </c>
      <c r="T81" s="24"/>
      <c r="U81" s="26">
        <v>0</v>
      </c>
      <c r="V81" s="702"/>
      <c r="W81" s="703">
        <v>0</v>
      </c>
      <c r="X81" s="702"/>
      <c r="Y81" s="26">
        <v>0</v>
      </c>
      <c r="Z81" s="702"/>
      <c r="AA81" s="144">
        <f t="shared" si="11"/>
        <v>0</v>
      </c>
      <c r="AB81" s="147"/>
      <c r="AC81" s="128">
        <f t="shared" si="12"/>
        <v>0</v>
      </c>
      <c r="AD81" s="131"/>
      <c r="AK81" s="74"/>
      <c r="AL81" s="74">
        <f t="shared" si="10"/>
        <v>0</v>
      </c>
      <c r="AM81" s="74"/>
    </row>
    <row r="82" spans="1:39" s="1" customFormat="1">
      <c r="A82" s="188">
        <v>6206</v>
      </c>
      <c r="B82" s="188" t="s">
        <v>217</v>
      </c>
      <c r="C82" s="703"/>
      <c r="D82" s="702"/>
      <c r="E82" s="703"/>
      <c r="F82" s="702"/>
      <c r="G82" s="703"/>
      <c r="H82" s="702"/>
      <c r="I82" s="26">
        <v>0</v>
      </c>
      <c r="J82" s="702"/>
      <c r="K82" s="26">
        <v>0</v>
      </c>
      <c r="L82" s="702"/>
      <c r="M82" s="26">
        <v>0</v>
      </c>
      <c r="N82" s="702"/>
      <c r="O82" s="26">
        <v>0</v>
      </c>
      <c r="P82" s="702"/>
      <c r="Q82" s="26">
        <v>0</v>
      </c>
      <c r="R82" s="702"/>
      <c r="S82" s="26">
        <v>0</v>
      </c>
      <c r="T82" s="24"/>
      <c r="U82" s="26">
        <v>0</v>
      </c>
      <c r="V82" s="702"/>
      <c r="W82" s="703">
        <v>0</v>
      </c>
      <c r="X82" s="702"/>
      <c r="Y82" s="26">
        <v>0</v>
      </c>
      <c r="Z82" s="702"/>
      <c r="AA82" s="144">
        <f t="shared" si="11"/>
        <v>0</v>
      </c>
      <c r="AB82" s="147"/>
      <c r="AC82" s="128">
        <f t="shared" si="12"/>
        <v>0</v>
      </c>
      <c r="AD82" s="131"/>
      <c r="AK82" s="74"/>
      <c r="AL82" s="74">
        <f t="shared" si="10"/>
        <v>0</v>
      </c>
      <c r="AM82" s="74"/>
    </row>
    <row r="83" spans="1:39" s="1" customFormat="1">
      <c r="A83" s="188">
        <v>6207</v>
      </c>
      <c r="B83" s="188" t="s">
        <v>218</v>
      </c>
      <c r="C83" s="703"/>
      <c r="D83" s="702"/>
      <c r="E83" s="703"/>
      <c r="F83" s="702"/>
      <c r="G83" s="703"/>
      <c r="H83" s="702"/>
      <c r="I83" s="26">
        <v>0</v>
      </c>
      <c r="J83" s="702"/>
      <c r="K83" s="26">
        <v>0</v>
      </c>
      <c r="L83" s="702"/>
      <c r="M83" s="26">
        <v>0</v>
      </c>
      <c r="N83" s="702"/>
      <c r="O83" s="26">
        <v>0</v>
      </c>
      <c r="P83" s="702"/>
      <c r="Q83" s="26">
        <v>0</v>
      </c>
      <c r="R83" s="702"/>
      <c r="S83" s="26">
        <v>0</v>
      </c>
      <c r="T83" s="24"/>
      <c r="U83" s="26">
        <v>0</v>
      </c>
      <c r="V83" s="702"/>
      <c r="W83" s="703">
        <v>0</v>
      </c>
      <c r="X83" s="702"/>
      <c r="Y83" s="26">
        <v>0</v>
      </c>
      <c r="Z83" s="702"/>
      <c r="AA83" s="144">
        <f t="shared" si="11"/>
        <v>0</v>
      </c>
      <c r="AB83" s="147"/>
      <c r="AC83" s="128">
        <f t="shared" si="12"/>
        <v>0</v>
      </c>
      <c r="AD83" s="131"/>
      <c r="AK83" s="74"/>
      <c r="AL83" s="74">
        <f t="shared" si="10"/>
        <v>0</v>
      </c>
      <c r="AM83" s="74"/>
    </row>
    <row r="84" spans="1:39" s="1" customFormat="1">
      <c r="A84" s="188">
        <v>6208</v>
      </c>
      <c r="B84" s="188" t="s">
        <v>219</v>
      </c>
      <c r="C84" s="703"/>
      <c r="D84" s="702"/>
      <c r="E84" s="703"/>
      <c r="F84" s="702"/>
      <c r="G84" s="703"/>
      <c r="H84" s="702"/>
      <c r="I84" s="26">
        <v>0</v>
      </c>
      <c r="J84" s="702"/>
      <c r="K84" s="26">
        <v>0</v>
      </c>
      <c r="L84" s="702"/>
      <c r="M84" s="26">
        <v>0</v>
      </c>
      <c r="N84" s="702"/>
      <c r="O84" s="26">
        <v>0</v>
      </c>
      <c r="P84" s="702"/>
      <c r="Q84" s="26">
        <v>0</v>
      </c>
      <c r="R84" s="702"/>
      <c r="S84" s="26">
        <v>0</v>
      </c>
      <c r="T84" s="24"/>
      <c r="U84" s="26">
        <v>0</v>
      </c>
      <c r="V84" s="702"/>
      <c r="W84" s="703">
        <v>0</v>
      </c>
      <c r="X84" s="702"/>
      <c r="Y84" s="26">
        <v>0</v>
      </c>
      <c r="Z84" s="702"/>
      <c r="AA84" s="144">
        <f t="shared" si="11"/>
        <v>0</v>
      </c>
      <c r="AB84" s="147"/>
      <c r="AC84" s="128">
        <f t="shared" si="12"/>
        <v>0</v>
      </c>
      <c r="AD84" s="131"/>
      <c r="AK84" s="74"/>
      <c r="AL84" s="74">
        <f t="shared" si="10"/>
        <v>0</v>
      </c>
      <c r="AM84" s="74"/>
    </row>
    <row r="85" spans="1:39" s="1" customFormat="1">
      <c r="A85" s="188">
        <v>6209</v>
      </c>
      <c r="B85" s="227" t="s">
        <v>29</v>
      </c>
      <c r="C85" s="703"/>
      <c r="D85" s="702"/>
      <c r="E85" s="703"/>
      <c r="F85" s="702"/>
      <c r="G85" s="703"/>
      <c r="H85" s="702"/>
      <c r="I85" s="26">
        <v>0</v>
      </c>
      <c r="J85" s="702"/>
      <c r="K85" s="26">
        <v>0</v>
      </c>
      <c r="L85" s="702"/>
      <c r="M85" s="26">
        <v>0</v>
      </c>
      <c r="N85" s="702"/>
      <c r="O85" s="26">
        <v>0</v>
      </c>
      <c r="P85" s="702"/>
      <c r="Q85" s="26">
        <v>0</v>
      </c>
      <c r="R85" s="702"/>
      <c r="S85" s="26">
        <v>0</v>
      </c>
      <c r="T85" s="24"/>
      <c r="U85" s="26">
        <v>0</v>
      </c>
      <c r="V85" s="702"/>
      <c r="W85" s="703">
        <v>0</v>
      </c>
      <c r="X85" s="702"/>
      <c r="Y85" s="26">
        <v>0</v>
      </c>
      <c r="Z85" s="702"/>
      <c r="AA85" s="144">
        <f t="shared" si="11"/>
        <v>0</v>
      </c>
      <c r="AB85" s="147"/>
      <c r="AC85" s="128">
        <f t="shared" si="12"/>
        <v>0</v>
      </c>
      <c r="AD85" s="131"/>
      <c r="AK85" s="74"/>
      <c r="AL85" s="74">
        <f t="shared" si="10"/>
        <v>0</v>
      </c>
      <c r="AM85" s="74"/>
    </row>
    <row r="86" spans="1:39" s="1" customFormat="1">
      <c r="A86" s="188">
        <v>6210</v>
      </c>
      <c r="B86" s="227" t="s">
        <v>30</v>
      </c>
      <c r="C86" s="703"/>
      <c r="D86" s="702"/>
      <c r="E86" s="703"/>
      <c r="F86" s="702"/>
      <c r="G86" s="703"/>
      <c r="H86" s="702"/>
      <c r="I86" s="26">
        <v>0</v>
      </c>
      <c r="J86" s="702"/>
      <c r="K86" s="26">
        <v>0</v>
      </c>
      <c r="L86" s="702"/>
      <c r="M86" s="26">
        <v>0</v>
      </c>
      <c r="N86" s="702"/>
      <c r="O86" s="26">
        <v>0</v>
      </c>
      <c r="P86" s="702"/>
      <c r="Q86" s="26">
        <v>0</v>
      </c>
      <c r="R86" s="702"/>
      <c r="S86" s="26">
        <v>0</v>
      </c>
      <c r="T86" s="24"/>
      <c r="U86" s="26">
        <v>0</v>
      </c>
      <c r="V86" s="702"/>
      <c r="W86" s="703">
        <v>0</v>
      </c>
      <c r="X86" s="702"/>
      <c r="Y86" s="26">
        <v>0</v>
      </c>
      <c r="Z86" s="702"/>
      <c r="AA86" s="144">
        <f t="shared" si="11"/>
        <v>0</v>
      </c>
      <c r="AB86" s="147"/>
      <c r="AC86" s="128">
        <f t="shared" si="12"/>
        <v>0</v>
      </c>
      <c r="AD86" s="131"/>
      <c r="AK86" s="74"/>
      <c r="AL86" s="74">
        <f t="shared" si="10"/>
        <v>0</v>
      </c>
      <c r="AM86" s="74"/>
    </row>
    <row r="87" spans="1:39" s="1" customFormat="1">
      <c r="A87" s="188">
        <v>6211</v>
      </c>
      <c r="B87" s="227" t="s">
        <v>31</v>
      </c>
      <c r="C87" s="703"/>
      <c r="D87" s="702"/>
      <c r="E87" s="703"/>
      <c r="F87" s="702"/>
      <c r="G87" s="703"/>
      <c r="H87" s="702"/>
      <c r="I87" s="26">
        <v>0</v>
      </c>
      <c r="J87" s="702"/>
      <c r="K87" s="26">
        <v>0</v>
      </c>
      <c r="L87" s="702"/>
      <c r="M87" s="26">
        <v>0</v>
      </c>
      <c r="N87" s="702"/>
      <c r="O87" s="26">
        <v>0</v>
      </c>
      <c r="P87" s="702"/>
      <c r="Q87" s="26">
        <v>0</v>
      </c>
      <c r="R87" s="702"/>
      <c r="S87" s="26">
        <v>0</v>
      </c>
      <c r="T87" s="24"/>
      <c r="U87" s="26">
        <v>0</v>
      </c>
      <c r="V87" s="702"/>
      <c r="W87" s="703">
        <v>0</v>
      </c>
      <c r="X87" s="702"/>
      <c r="Y87" s="26">
        <v>0</v>
      </c>
      <c r="Z87" s="702"/>
      <c r="AA87" s="144">
        <f t="shared" si="11"/>
        <v>0</v>
      </c>
      <c r="AB87" s="147"/>
      <c r="AC87" s="128">
        <f t="shared" si="12"/>
        <v>0</v>
      </c>
      <c r="AD87" s="131"/>
      <c r="AK87" s="74"/>
      <c r="AL87" s="74">
        <f t="shared" si="10"/>
        <v>0</v>
      </c>
      <c r="AM87" s="74"/>
    </row>
    <row r="88" spans="1:39" s="1" customFormat="1">
      <c r="A88" s="188">
        <v>6212</v>
      </c>
      <c r="B88" s="227" t="s">
        <v>32</v>
      </c>
      <c r="C88" s="31"/>
      <c r="D88" s="702"/>
      <c r="E88" s="31"/>
      <c r="F88" s="702"/>
      <c r="G88" s="31"/>
      <c r="H88" s="702"/>
      <c r="I88" s="26">
        <v>0</v>
      </c>
      <c r="J88" s="702"/>
      <c r="K88" s="26">
        <v>0</v>
      </c>
      <c r="L88" s="702"/>
      <c r="M88" s="26">
        <v>0</v>
      </c>
      <c r="N88" s="702"/>
      <c r="O88" s="26">
        <v>0</v>
      </c>
      <c r="P88" s="702"/>
      <c r="Q88" s="26">
        <v>0</v>
      </c>
      <c r="R88" s="702"/>
      <c r="S88" s="26">
        <v>0</v>
      </c>
      <c r="T88" s="24"/>
      <c r="U88" s="26">
        <v>0</v>
      </c>
      <c r="V88" s="702"/>
      <c r="W88" s="703">
        <v>0</v>
      </c>
      <c r="X88" s="702"/>
      <c r="Y88" s="26">
        <v>0</v>
      </c>
      <c r="Z88" s="702"/>
      <c r="AA88" s="144">
        <f t="shared" si="11"/>
        <v>0</v>
      </c>
      <c r="AB88" s="147"/>
      <c r="AC88" s="128">
        <f t="shared" si="12"/>
        <v>0</v>
      </c>
      <c r="AD88" s="131"/>
      <c r="AK88" s="74"/>
      <c r="AL88" s="74">
        <f t="shared" si="10"/>
        <v>0</v>
      </c>
      <c r="AM88" s="74"/>
    </row>
    <row r="89" spans="1:39" s="1" customFormat="1">
      <c r="A89" s="188">
        <v>6213</v>
      </c>
      <c r="B89" s="227" t="s">
        <v>33</v>
      </c>
      <c r="C89" s="113"/>
      <c r="D89" s="702"/>
      <c r="E89" s="113"/>
      <c r="F89" s="702"/>
      <c r="G89" s="113"/>
      <c r="H89" s="702"/>
      <c r="I89" s="26">
        <v>0</v>
      </c>
      <c r="J89" s="702"/>
      <c r="K89" s="26">
        <v>0</v>
      </c>
      <c r="L89" s="702"/>
      <c r="M89" s="26">
        <v>0</v>
      </c>
      <c r="N89" s="702"/>
      <c r="O89" s="26">
        <v>0</v>
      </c>
      <c r="P89" s="702"/>
      <c r="Q89" s="26">
        <v>0</v>
      </c>
      <c r="R89" s="702"/>
      <c r="S89" s="26">
        <v>0</v>
      </c>
      <c r="T89" s="24"/>
      <c r="U89" s="26">
        <v>0</v>
      </c>
      <c r="V89" s="702"/>
      <c r="W89" s="703">
        <v>0</v>
      </c>
      <c r="X89" s="702"/>
      <c r="Y89" s="26">
        <v>0</v>
      </c>
      <c r="Z89" s="702"/>
      <c r="AA89" s="144">
        <f t="shared" si="11"/>
        <v>0</v>
      </c>
      <c r="AB89" s="147"/>
      <c r="AC89" s="128">
        <f t="shared" si="12"/>
        <v>0</v>
      </c>
      <c r="AD89" s="131"/>
      <c r="AK89" s="74"/>
      <c r="AL89" s="74">
        <f t="shared" si="10"/>
        <v>0</v>
      </c>
      <c r="AM89" s="74"/>
    </row>
    <row r="90" spans="1:39" s="1" customFormat="1">
      <c r="A90" s="188">
        <v>6214</v>
      </c>
      <c r="B90" s="227" t="s">
        <v>34</v>
      </c>
      <c r="C90" s="113"/>
      <c r="D90" s="702"/>
      <c r="E90" s="113"/>
      <c r="F90" s="702"/>
      <c r="G90" s="113"/>
      <c r="H90" s="702"/>
      <c r="I90" s="26">
        <v>0</v>
      </c>
      <c r="J90" s="702"/>
      <c r="K90" s="26">
        <v>0</v>
      </c>
      <c r="L90" s="702"/>
      <c r="M90" s="26">
        <v>0</v>
      </c>
      <c r="N90" s="702"/>
      <c r="O90" s="26">
        <v>0</v>
      </c>
      <c r="P90" s="702"/>
      <c r="Q90" s="26">
        <v>0</v>
      </c>
      <c r="R90" s="702"/>
      <c r="S90" s="26">
        <v>0</v>
      </c>
      <c r="T90" s="24"/>
      <c r="U90" s="26">
        <v>0</v>
      </c>
      <c r="V90" s="702"/>
      <c r="W90" s="703">
        <v>0</v>
      </c>
      <c r="X90" s="702"/>
      <c r="Y90" s="26">
        <v>0</v>
      </c>
      <c r="Z90" s="702"/>
      <c r="AA90" s="144">
        <f t="shared" si="11"/>
        <v>0</v>
      </c>
      <c r="AB90" s="147"/>
      <c r="AC90" s="128">
        <f t="shared" si="12"/>
        <v>0</v>
      </c>
      <c r="AD90" s="131"/>
      <c r="AK90" s="74"/>
      <c r="AL90" s="74">
        <f t="shared" si="10"/>
        <v>0</v>
      </c>
      <c r="AM90" s="74"/>
    </row>
    <row r="91" spans="1:39" s="1" customFormat="1">
      <c r="A91" s="188">
        <v>6215</v>
      </c>
      <c r="B91" s="227" t="s">
        <v>35</v>
      </c>
      <c r="C91" s="703"/>
      <c r="D91" s="702"/>
      <c r="E91" s="703"/>
      <c r="F91" s="702"/>
      <c r="G91" s="703"/>
      <c r="H91" s="702"/>
      <c r="I91" s="26">
        <v>0</v>
      </c>
      <c r="J91" s="702"/>
      <c r="K91" s="26">
        <v>0</v>
      </c>
      <c r="L91" s="702"/>
      <c r="M91" s="26">
        <v>0</v>
      </c>
      <c r="N91" s="702"/>
      <c r="O91" s="26">
        <v>0</v>
      </c>
      <c r="P91" s="702"/>
      <c r="Q91" s="26">
        <v>0</v>
      </c>
      <c r="R91" s="702"/>
      <c r="S91" s="26">
        <v>0</v>
      </c>
      <c r="T91" s="24"/>
      <c r="U91" s="26">
        <v>0</v>
      </c>
      <c r="V91" s="702"/>
      <c r="W91" s="703">
        <v>0</v>
      </c>
      <c r="X91" s="702"/>
      <c r="Y91" s="26">
        <v>0</v>
      </c>
      <c r="Z91" s="702"/>
      <c r="AA91" s="144">
        <f t="shared" si="11"/>
        <v>0</v>
      </c>
      <c r="AB91" s="147"/>
      <c r="AC91" s="128">
        <f t="shared" si="12"/>
        <v>0</v>
      </c>
      <c r="AD91" s="131"/>
      <c r="AK91" s="74"/>
      <c r="AL91" s="74">
        <f t="shared" si="10"/>
        <v>0</v>
      </c>
      <c r="AM91" s="74"/>
    </row>
    <row r="92" spans="1:39" s="1" customFormat="1">
      <c r="A92" s="188">
        <v>6216</v>
      </c>
      <c r="B92" s="227" t="s">
        <v>126</v>
      </c>
      <c r="C92" s="703"/>
      <c r="D92" s="702"/>
      <c r="E92" s="703"/>
      <c r="F92" s="702"/>
      <c r="G92" s="703"/>
      <c r="H92" s="702"/>
      <c r="I92" s="26">
        <v>0</v>
      </c>
      <c r="J92" s="702"/>
      <c r="K92" s="26">
        <v>0</v>
      </c>
      <c r="L92" s="702"/>
      <c r="M92" s="26">
        <v>0</v>
      </c>
      <c r="N92" s="702"/>
      <c r="O92" s="26">
        <v>0</v>
      </c>
      <c r="P92" s="702"/>
      <c r="Q92" s="26">
        <v>0</v>
      </c>
      <c r="R92" s="702"/>
      <c r="S92" s="26">
        <v>0</v>
      </c>
      <c r="T92" s="24"/>
      <c r="U92" s="26">
        <v>0</v>
      </c>
      <c r="V92" s="702"/>
      <c r="W92" s="703">
        <v>0</v>
      </c>
      <c r="X92" s="702"/>
      <c r="Y92" s="26">
        <v>0</v>
      </c>
      <c r="Z92" s="702"/>
      <c r="AA92" s="144">
        <f t="shared" si="11"/>
        <v>0</v>
      </c>
      <c r="AB92" s="147"/>
      <c r="AC92" s="128">
        <f t="shared" si="12"/>
        <v>0</v>
      </c>
      <c r="AD92" s="131"/>
      <c r="AK92" s="74"/>
      <c r="AL92" s="74">
        <f t="shared" si="10"/>
        <v>0</v>
      </c>
      <c r="AM92" s="74"/>
    </row>
    <row r="93" spans="1:39" s="1" customFormat="1" ht="15.75" thickBot="1">
      <c r="A93" s="4">
        <v>6299</v>
      </c>
      <c r="B93" s="229" t="s">
        <v>112</v>
      </c>
      <c r="C93" s="116">
        <f>SUM(C77:C92)</f>
        <v>0</v>
      </c>
      <c r="D93" s="89"/>
      <c r="E93" s="76">
        <f>SUM(E77:E92)</f>
        <v>0</v>
      </c>
      <c r="F93" s="89"/>
      <c r="G93" s="116">
        <f>SUM(G77:G92)</f>
        <v>0</v>
      </c>
      <c r="H93" s="89"/>
      <c r="I93" s="76">
        <f>SUM(I77:I92)</f>
        <v>0</v>
      </c>
      <c r="J93" s="89"/>
      <c r="K93" s="76">
        <f>SUM(K77:K92)</f>
        <v>0</v>
      </c>
      <c r="L93" s="89"/>
      <c r="M93" s="76">
        <f>SUM(M77:M92)</f>
        <v>0</v>
      </c>
      <c r="N93" s="89"/>
      <c r="O93" s="76">
        <f>SUM(O77:O92)</f>
        <v>0</v>
      </c>
      <c r="P93" s="89"/>
      <c r="Q93" s="76">
        <f>SUM(Q77:Q92)</f>
        <v>0</v>
      </c>
      <c r="R93" s="89"/>
      <c r="S93" s="76">
        <f>SUM(S77:S92)</f>
        <v>0</v>
      </c>
      <c r="T93" s="532"/>
      <c r="U93" s="76">
        <f>SUM(U77:U92)</f>
        <v>0</v>
      </c>
      <c r="V93" s="89"/>
      <c r="W93" s="76">
        <f>SUM(W77:W92)</f>
        <v>0</v>
      </c>
      <c r="X93" s="89"/>
      <c r="Y93" s="76">
        <f>SUM(Y77:Y92)</f>
        <v>0</v>
      </c>
      <c r="Z93" s="89"/>
      <c r="AA93" s="148">
        <f>SUM(AA77:AA92)</f>
        <v>0</v>
      </c>
      <c r="AB93" s="149"/>
      <c r="AC93" s="132">
        <f>SUM(AC77:AC92)</f>
        <v>0</v>
      </c>
      <c r="AD93" s="133"/>
      <c r="AK93" s="74"/>
      <c r="AL93" s="74">
        <f t="shared" si="10"/>
        <v>0</v>
      </c>
      <c r="AM93" s="74"/>
    </row>
    <row r="94" spans="1:39" s="1" customFormat="1" ht="15.75" thickTop="1">
      <c r="A94" s="188">
        <v>6301</v>
      </c>
      <c r="B94" s="227" t="s">
        <v>36</v>
      </c>
      <c r="C94" s="674"/>
      <c r="D94" s="394" t="e">
        <f>C94/C12</f>
        <v>#DIV/0!</v>
      </c>
      <c r="E94" s="674"/>
      <c r="F94" s="394" t="e">
        <f>E94/E12</f>
        <v>#DIV/0!</v>
      </c>
      <c r="G94" s="674"/>
      <c r="H94" s="330" t="e">
        <f>G94/G12</f>
        <v>#DIV/0!</v>
      </c>
      <c r="I94" s="674"/>
      <c r="J94" s="330" t="e">
        <f>I94/I12</f>
        <v>#DIV/0!</v>
      </c>
      <c r="K94" s="674"/>
      <c r="L94" s="330" t="e">
        <f>K94/K12</f>
        <v>#DIV/0!</v>
      </c>
      <c r="M94" s="674"/>
      <c r="N94" s="330" t="e">
        <f>M94/M12</f>
        <v>#DIV/0!</v>
      </c>
      <c r="O94" s="674"/>
      <c r="P94" s="330" t="e">
        <f>O94/O12</f>
        <v>#DIV/0!</v>
      </c>
      <c r="Q94" s="674"/>
      <c r="R94" s="330" t="e">
        <f>Q94/Q12</f>
        <v>#DIV/0!</v>
      </c>
      <c r="S94" s="674"/>
      <c r="T94" s="399">
        <f>S94/S12</f>
        <v>0</v>
      </c>
      <c r="U94" s="674"/>
      <c r="V94" s="402" t="e">
        <f>U94/U12</f>
        <v>#DIV/0!</v>
      </c>
      <c r="W94" s="674"/>
      <c r="X94" s="399" t="e">
        <f>W94/W12</f>
        <v>#DIV/0!</v>
      </c>
      <c r="Y94" s="674"/>
      <c r="Z94" s="330" t="e">
        <f>Y94/Y12</f>
        <v>#DIV/0!</v>
      </c>
      <c r="AA94" s="144">
        <f t="shared" ref="AA94:AA114" si="13">C94+E94+G94+I94+K94+M94+O94+Q94+S94+U94+W94+Y94</f>
        <v>0</v>
      </c>
      <c r="AB94" s="702">
        <f>AA94/AA$12</f>
        <v>0</v>
      </c>
      <c r="AC94" s="128">
        <f t="shared" ref="AC94:AC115" si="14">AA94/12</f>
        <v>0</v>
      </c>
      <c r="AD94" s="702">
        <f>AC94/AC$12</f>
        <v>0</v>
      </c>
      <c r="AK94" s="74"/>
      <c r="AL94" s="74">
        <f t="shared" si="10"/>
        <v>0</v>
      </c>
      <c r="AM94" s="74"/>
    </row>
    <row r="95" spans="1:39" s="1" customFormat="1">
      <c r="A95" s="188">
        <v>6302</v>
      </c>
      <c r="B95" s="227" t="s">
        <v>37</v>
      </c>
      <c r="C95" s="674"/>
      <c r="D95" s="226" t="e">
        <f>C95/C12</f>
        <v>#DIV/0!</v>
      </c>
      <c r="E95" s="674"/>
      <c r="F95" s="226" t="e">
        <f>E95/E12</f>
        <v>#DIV/0!</v>
      </c>
      <c r="G95" s="674"/>
      <c r="H95" s="702" t="e">
        <f>G95/G12</f>
        <v>#DIV/0!</v>
      </c>
      <c r="I95" s="674"/>
      <c r="J95" s="702" t="e">
        <f>I95/I12</f>
        <v>#DIV/0!</v>
      </c>
      <c r="K95" s="674"/>
      <c r="L95" s="702" t="e">
        <f>K95/K12</f>
        <v>#DIV/0!</v>
      </c>
      <c r="M95" s="674"/>
      <c r="N95" s="702" t="e">
        <f>M95/M12</f>
        <v>#DIV/0!</v>
      </c>
      <c r="O95" s="674"/>
      <c r="P95" s="702" t="e">
        <f>O95/O12</f>
        <v>#DIV/0!</v>
      </c>
      <c r="Q95" s="674"/>
      <c r="R95" s="702" t="e">
        <f>Q95/Q12</f>
        <v>#DIV/0!</v>
      </c>
      <c r="S95" s="674"/>
      <c r="T95" s="702">
        <f>S95/S12</f>
        <v>0</v>
      </c>
      <c r="U95" s="674"/>
      <c r="V95" s="226" t="e">
        <f>U95/U12</f>
        <v>#DIV/0!</v>
      </c>
      <c r="W95" s="674"/>
      <c r="X95" s="702" t="e">
        <f>W95/W12</f>
        <v>#DIV/0!</v>
      </c>
      <c r="Y95" s="674"/>
      <c r="Z95" s="702" t="e">
        <f>Y95/Y12</f>
        <v>#DIV/0!</v>
      </c>
      <c r="AA95" s="144">
        <f t="shared" si="13"/>
        <v>0</v>
      </c>
      <c r="AB95" s="702">
        <f t="shared" ref="AB95:AB99" si="15">AA95/AA$12</f>
        <v>0</v>
      </c>
      <c r="AC95" s="128">
        <f t="shared" si="14"/>
        <v>0</v>
      </c>
      <c r="AD95" s="702">
        <f t="shared" ref="AD95:AD99" si="16">AC95/AC$12</f>
        <v>0</v>
      </c>
      <c r="AK95" s="74"/>
      <c r="AL95" s="74">
        <f t="shared" si="10"/>
        <v>0</v>
      </c>
      <c r="AM95" s="74"/>
    </row>
    <row r="96" spans="1:39" s="1" customFormat="1">
      <c r="A96" s="188">
        <v>6303</v>
      </c>
      <c r="B96" s="227" t="s">
        <v>132</v>
      </c>
      <c r="C96" s="674"/>
      <c r="D96" s="226" t="e">
        <f>C96/C12</f>
        <v>#DIV/0!</v>
      </c>
      <c r="E96" s="674"/>
      <c r="F96" s="226" t="e">
        <f>E96/E12</f>
        <v>#DIV/0!</v>
      </c>
      <c r="G96" s="674"/>
      <c r="H96" s="702" t="e">
        <f>G96/G12</f>
        <v>#DIV/0!</v>
      </c>
      <c r="I96" s="674"/>
      <c r="J96" s="702" t="e">
        <f>I96/I12</f>
        <v>#DIV/0!</v>
      </c>
      <c r="K96" s="674"/>
      <c r="L96" s="702" t="e">
        <f>K96/K12</f>
        <v>#DIV/0!</v>
      </c>
      <c r="M96" s="674"/>
      <c r="N96" s="702" t="e">
        <f>M96/M12</f>
        <v>#DIV/0!</v>
      </c>
      <c r="O96" s="674"/>
      <c r="P96" s="702" t="e">
        <f>O96/O12</f>
        <v>#DIV/0!</v>
      </c>
      <c r="Q96" s="674"/>
      <c r="R96" s="702" t="e">
        <f>Q96/Q12</f>
        <v>#DIV/0!</v>
      </c>
      <c r="S96" s="674"/>
      <c r="T96" s="702">
        <f>S96/S12</f>
        <v>0</v>
      </c>
      <c r="U96" s="674"/>
      <c r="V96" s="226" t="e">
        <f>U96/U12</f>
        <v>#DIV/0!</v>
      </c>
      <c r="W96" s="674"/>
      <c r="X96" s="702" t="e">
        <f>W96/W12</f>
        <v>#DIV/0!</v>
      </c>
      <c r="Y96" s="674"/>
      <c r="Z96" s="702" t="e">
        <f>Y96/Y12</f>
        <v>#DIV/0!</v>
      </c>
      <c r="AA96" s="144">
        <f t="shared" si="13"/>
        <v>0</v>
      </c>
      <c r="AB96" s="702">
        <f t="shared" si="15"/>
        <v>0</v>
      </c>
      <c r="AC96" s="128">
        <f t="shared" si="14"/>
        <v>0</v>
      </c>
      <c r="AD96" s="702">
        <f t="shared" si="16"/>
        <v>0</v>
      </c>
      <c r="AK96" s="74"/>
      <c r="AL96" s="74">
        <f t="shared" si="10"/>
        <v>0</v>
      </c>
      <c r="AM96" s="74"/>
    </row>
    <row r="97" spans="1:39" s="1" customFormat="1">
      <c r="A97" s="188">
        <v>6304</v>
      </c>
      <c r="B97" s="227" t="s">
        <v>38</v>
      </c>
      <c r="C97" s="674"/>
      <c r="D97" s="226" t="e">
        <f>C97/C12</f>
        <v>#DIV/0!</v>
      </c>
      <c r="E97" s="674"/>
      <c r="F97" s="226" t="e">
        <f>E97/E12</f>
        <v>#DIV/0!</v>
      </c>
      <c r="G97" s="674"/>
      <c r="H97" s="702" t="e">
        <f>G97/G12</f>
        <v>#DIV/0!</v>
      </c>
      <c r="I97" s="674"/>
      <c r="J97" s="702" t="e">
        <f>I97/I12</f>
        <v>#DIV/0!</v>
      </c>
      <c r="K97" s="674"/>
      <c r="L97" s="702" t="e">
        <f>K97/K12</f>
        <v>#DIV/0!</v>
      </c>
      <c r="M97" s="674"/>
      <c r="N97" s="702" t="e">
        <f>M97/M12</f>
        <v>#DIV/0!</v>
      </c>
      <c r="O97" s="674"/>
      <c r="P97" s="702" t="e">
        <f>O97/O12</f>
        <v>#DIV/0!</v>
      </c>
      <c r="Q97" s="674"/>
      <c r="R97" s="702" t="e">
        <f>Q97/Q12</f>
        <v>#DIV/0!</v>
      </c>
      <c r="S97" s="674"/>
      <c r="T97" s="702">
        <f>S97/S12</f>
        <v>0</v>
      </c>
      <c r="U97" s="674"/>
      <c r="V97" s="226" t="e">
        <f>U97/U12</f>
        <v>#DIV/0!</v>
      </c>
      <c r="W97" s="674"/>
      <c r="X97" s="702" t="e">
        <f>W97/W12</f>
        <v>#DIV/0!</v>
      </c>
      <c r="Y97" s="674"/>
      <c r="Z97" s="702" t="e">
        <f>Y97/Y12</f>
        <v>#DIV/0!</v>
      </c>
      <c r="AA97" s="144">
        <f t="shared" si="13"/>
        <v>0</v>
      </c>
      <c r="AB97" s="702">
        <f t="shared" si="15"/>
        <v>0</v>
      </c>
      <c r="AC97" s="128">
        <f t="shared" si="14"/>
        <v>0</v>
      </c>
      <c r="AD97" s="702">
        <f t="shared" si="16"/>
        <v>0</v>
      </c>
      <c r="AK97" s="74"/>
      <c r="AL97" s="74">
        <f t="shared" si="10"/>
        <v>0</v>
      </c>
      <c r="AM97" s="74"/>
    </row>
    <row r="98" spans="1:39" s="1" customFormat="1">
      <c r="A98" s="188">
        <v>6305</v>
      </c>
      <c r="B98" s="227" t="s">
        <v>39</v>
      </c>
      <c r="C98" s="674"/>
      <c r="D98" s="226" t="e">
        <f>C98/C12</f>
        <v>#DIV/0!</v>
      </c>
      <c r="E98" s="674"/>
      <c r="F98" s="226" t="e">
        <f>E98/E12</f>
        <v>#DIV/0!</v>
      </c>
      <c r="G98" s="674"/>
      <c r="H98" s="702">
        <v>2.4172858107885053E-3</v>
      </c>
      <c r="I98" s="674"/>
      <c r="J98" s="702">
        <v>2.282921148507532E-3</v>
      </c>
      <c r="K98" s="674"/>
      <c r="L98" s="702">
        <v>1.4480363095715567E-3</v>
      </c>
      <c r="M98" s="674"/>
      <c r="N98" s="702">
        <v>1.4265472348621291E-3</v>
      </c>
      <c r="O98" s="674"/>
      <c r="P98" s="702">
        <v>0</v>
      </c>
      <c r="Q98" s="674"/>
      <c r="R98" s="702">
        <v>0</v>
      </c>
      <c r="S98" s="674"/>
      <c r="T98" s="702">
        <f>S98/S12</f>
        <v>0</v>
      </c>
      <c r="U98" s="674"/>
      <c r="V98" s="226" t="e">
        <f>U98/U12</f>
        <v>#DIV/0!</v>
      </c>
      <c r="W98" s="674"/>
      <c r="X98" s="702" t="e">
        <f>W98/W12</f>
        <v>#DIV/0!</v>
      </c>
      <c r="Y98" s="674"/>
      <c r="Z98" s="702" t="e">
        <f>Y98/Y12</f>
        <v>#DIV/0!</v>
      </c>
      <c r="AA98" s="144">
        <f t="shared" si="13"/>
        <v>0</v>
      </c>
      <c r="AB98" s="702">
        <f t="shared" si="15"/>
        <v>0</v>
      </c>
      <c r="AC98" s="128">
        <f t="shared" si="14"/>
        <v>0</v>
      </c>
      <c r="AD98" s="702">
        <f t="shared" si="16"/>
        <v>0</v>
      </c>
      <c r="AK98" s="74"/>
      <c r="AL98" s="74">
        <f t="shared" si="10"/>
        <v>0</v>
      </c>
      <c r="AM98" s="74"/>
    </row>
    <row r="99" spans="1:39" s="1" customFormat="1">
      <c r="A99" s="188">
        <v>6306</v>
      </c>
      <c r="B99" s="227" t="s">
        <v>40</v>
      </c>
      <c r="C99" s="674"/>
      <c r="D99" s="226" t="e">
        <f>C99/C12</f>
        <v>#DIV/0!</v>
      </c>
      <c r="E99" s="674"/>
      <c r="F99" s="226" t="e">
        <f>E99/E12</f>
        <v>#DIV/0!</v>
      </c>
      <c r="G99" s="674"/>
      <c r="H99" s="702" t="e">
        <f>G99/G12</f>
        <v>#DIV/0!</v>
      </c>
      <c r="I99" s="674"/>
      <c r="J99" s="702" t="e">
        <f>I99/I12</f>
        <v>#DIV/0!</v>
      </c>
      <c r="K99" s="674"/>
      <c r="L99" s="702" t="e">
        <f>K99/K12</f>
        <v>#DIV/0!</v>
      </c>
      <c r="M99" s="674"/>
      <c r="N99" s="702" t="e">
        <f>M99/M12</f>
        <v>#DIV/0!</v>
      </c>
      <c r="O99" s="674"/>
      <c r="P99" s="702" t="e">
        <f>O99/O12</f>
        <v>#DIV/0!</v>
      </c>
      <c r="Q99" s="674"/>
      <c r="R99" s="702" t="e">
        <f>Q99/Q12</f>
        <v>#DIV/0!</v>
      </c>
      <c r="S99" s="674"/>
      <c r="T99" s="702">
        <f>S99/S12</f>
        <v>0</v>
      </c>
      <c r="U99" s="674"/>
      <c r="V99" s="226" t="e">
        <f>U99/U12</f>
        <v>#DIV/0!</v>
      </c>
      <c r="W99" s="674"/>
      <c r="X99" s="702" t="e">
        <f>W99/W12</f>
        <v>#DIV/0!</v>
      </c>
      <c r="Y99" s="674"/>
      <c r="Z99" s="702" t="e">
        <f>Y99/Y12</f>
        <v>#DIV/0!</v>
      </c>
      <c r="AA99" s="144">
        <f t="shared" si="13"/>
        <v>0</v>
      </c>
      <c r="AB99" s="702">
        <f t="shared" si="15"/>
        <v>0</v>
      </c>
      <c r="AC99" s="128">
        <f t="shared" si="14"/>
        <v>0</v>
      </c>
      <c r="AD99" s="702">
        <f t="shared" si="16"/>
        <v>0</v>
      </c>
      <c r="AK99" s="74"/>
      <c r="AL99" s="74">
        <f t="shared" si="10"/>
        <v>0</v>
      </c>
      <c r="AM99" s="74"/>
    </row>
    <row r="100" spans="1:39" s="1" customFormat="1">
      <c r="A100" s="188">
        <v>6315</v>
      </c>
      <c r="B100" s="21" t="s">
        <v>322</v>
      </c>
      <c r="C100" s="674"/>
      <c r="D100" s="226" t="e">
        <f>C100/C$12</f>
        <v>#DIV/0!</v>
      </c>
      <c r="E100" s="674"/>
      <c r="F100" s="226" t="e">
        <f>E100/E$12</f>
        <v>#DIV/0!</v>
      </c>
      <c r="G100" s="674"/>
      <c r="H100" s="226" t="e">
        <f>G100/G$12</f>
        <v>#DIV/0!</v>
      </c>
      <c r="I100" s="674"/>
      <c r="J100" s="226" t="e">
        <f>I100/I$12</f>
        <v>#DIV/0!</v>
      </c>
      <c r="K100" s="674"/>
      <c r="L100" s="226" t="e">
        <f>K100/K$12</f>
        <v>#DIV/0!</v>
      </c>
      <c r="M100" s="674"/>
      <c r="N100" s="226" t="e">
        <f>M100/M$12</f>
        <v>#DIV/0!</v>
      </c>
      <c r="O100" s="674"/>
      <c r="P100" s="226" t="e">
        <f>O100/O$12</f>
        <v>#DIV/0!</v>
      </c>
      <c r="Q100" s="674"/>
      <c r="R100" s="226" t="e">
        <f>Q100/Q$12</f>
        <v>#DIV/0!</v>
      </c>
      <c r="S100" s="674"/>
      <c r="T100" s="226">
        <f>S100/S$12</f>
        <v>0</v>
      </c>
      <c r="U100" s="674"/>
      <c r="V100" s="226" t="e">
        <f>U100/U$12</f>
        <v>#DIV/0!</v>
      </c>
      <c r="W100" s="674"/>
      <c r="X100" s="226" t="e">
        <f>W100/W$12</f>
        <v>#DIV/0!</v>
      </c>
      <c r="Y100" s="674"/>
      <c r="Z100" s="226" t="e">
        <f>Y100/Y$12</f>
        <v>#DIV/0!</v>
      </c>
      <c r="AA100" s="144">
        <f t="shared" si="13"/>
        <v>0</v>
      </c>
      <c r="AB100" s="226">
        <f>AA100/AA$12</f>
        <v>0</v>
      </c>
      <c r="AC100" s="128">
        <f t="shared" si="14"/>
        <v>0</v>
      </c>
      <c r="AD100" s="226">
        <f>AC100/AC$12</f>
        <v>0</v>
      </c>
      <c r="AK100" s="74"/>
      <c r="AL100" s="74"/>
      <c r="AM100" s="74"/>
    </row>
    <row r="101" spans="1:39" s="1" customFormat="1">
      <c r="A101" s="188">
        <v>6308</v>
      </c>
      <c r="B101" s="188" t="s">
        <v>151</v>
      </c>
      <c r="C101" s="674"/>
      <c r="D101" s="226" t="e">
        <f>C101/C$12</f>
        <v>#DIV/0!</v>
      </c>
      <c r="E101" s="674"/>
      <c r="F101" s="226" t="e">
        <f>E101/E$12</f>
        <v>#DIV/0!</v>
      </c>
      <c r="G101" s="674"/>
      <c r="H101" s="226" t="e">
        <f>G101/G$12</f>
        <v>#DIV/0!</v>
      </c>
      <c r="I101" s="674"/>
      <c r="J101" s="226" t="e">
        <f>I101/I$12</f>
        <v>#DIV/0!</v>
      </c>
      <c r="K101" s="674"/>
      <c r="L101" s="226" t="e">
        <f>K101/K$12</f>
        <v>#DIV/0!</v>
      </c>
      <c r="M101" s="674"/>
      <c r="N101" s="226" t="e">
        <f>M101/M$12</f>
        <v>#DIV/0!</v>
      </c>
      <c r="O101" s="674"/>
      <c r="P101" s="226" t="e">
        <f>O101/O$12</f>
        <v>#DIV/0!</v>
      </c>
      <c r="Q101" s="674"/>
      <c r="R101" s="226" t="e">
        <f>Q101/Q$12</f>
        <v>#DIV/0!</v>
      </c>
      <c r="S101" s="674"/>
      <c r="T101" s="226">
        <f>S101/S$12</f>
        <v>0</v>
      </c>
      <c r="U101" s="674"/>
      <c r="V101" s="226" t="e">
        <f>U101/U$12</f>
        <v>#DIV/0!</v>
      </c>
      <c r="W101" s="674"/>
      <c r="X101" s="226" t="e">
        <f>W101/W$12</f>
        <v>#DIV/0!</v>
      </c>
      <c r="Y101" s="674"/>
      <c r="Z101" s="226" t="e">
        <f>Y101/Y$12</f>
        <v>#DIV/0!</v>
      </c>
      <c r="AA101" s="144">
        <f t="shared" si="13"/>
        <v>0</v>
      </c>
      <c r="AB101" s="226">
        <f>AA101/AA$12</f>
        <v>0</v>
      </c>
      <c r="AC101" s="128">
        <f t="shared" si="14"/>
        <v>0</v>
      </c>
      <c r="AD101" s="226">
        <f>AC101/AC$12</f>
        <v>0</v>
      </c>
      <c r="AK101" s="74"/>
      <c r="AL101" s="74">
        <f t="shared" si="10"/>
        <v>0</v>
      </c>
      <c r="AM101" s="74"/>
    </row>
    <row r="102" spans="1:39" s="1" customFormat="1">
      <c r="A102" s="188">
        <v>6309</v>
      </c>
      <c r="B102" s="188" t="s">
        <v>152</v>
      </c>
      <c r="C102" s="675"/>
      <c r="D102" s="226" t="e">
        <f>C102/C$12</f>
        <v>#DIV/0!</v>
      </c>
      <c r="E102" s="675"/>
      <c r="F102" s="226" t="e">
        <f>E102/E$12</f>
        <v>#DIV/0!</v>
      </c>
      <c r="G102" s="675"/>
      <c r="H102" s="226" t="e">
        <f>G102/G$12</f>
        <v>#DIV/0!</v>
      </c>
      <c r="I102" s="675"/>
      <c r="J102" s="226" t="e">
        <f>I102/I$12</f>
        <v>#DIV/0!</v>
      </c>
      <c r="K102" s="675"/>
      <c r="L102" s="226" t="e">
        <f>K102/K$12</f>
        <v>#DIV/0!</v>
      </c>
      <c r="M102" s="675"/>
      <c r="N102" s="226" t="e">
        <f>M102/M$12</f>
        <v>#DIV/0!</v>
      </c>
      <c r="O102" s="675"/>
      <c r="P102" s="226" t="e">
        <f>O102/O$12</f>
        <v>#DIV/0!</v>
      </c>
      <c r="Q102" s="675"/>
      <c r="R102" s="226" t="e">
        <f>Q102/Q$12</f>
        <v>#DIV/0!</v>
      </c>
      <c r="S102" s="675"/>
      <c r="T102" s="226">
        <f>S102/S$12</f>
        <v>0</v>
      </c>
      <c r="U102" s="675"/>
      <c r="V102" s="226" t="e">
        <f>U102/U$12</f>
        <v>#DIV/0!</v>
      </c>
      <c r="W102" s="675"/>
      <c r="X102" s="226" t="e">
        <f>W102/W$12</f>
        <v>#DIV/0!</v>
      </c>
      <c r="Y102" s="675"/>
      <c r="Z102" s="226" t="e">
        <f>Y102/Y$12</f>
        <v>#DIV/0!</v>
      </c>
      <c r="AA102" s="144">
        <f t="shared" si="13"/>
        <v>0</v>
      </c>
      <c r="AB102" s="226">
        <f>AA102/AA$12</f>
        <v>0</v>
      </c>
      <c r="AC102" s="128">
        <f t="shared" si="14"/>
        <v>0</v>
      </c>
      <c r="AD102" s="226">
        <f>AC102/AC$12</f>
        <v>0</v>
      </c>
      <c r="AK102" s="74"/>
      <c r="AL102" s="74">
        <f t="shared" si="10"/>
        <v>0</v>
      </c>
      <c r="AM102" s="74"/>
    </row>
    <row r="103" spans="1:39" s="1" customFormat="1">
      <c r="A103" s="188">
        <v>6310</v>
      </c>
      <c r="B103" s="188" t="s">
        <v>153</v>
      </c>
      <c r="C103" s="674"/>
      <c r="D103" s="226" t="e">
        <f t="shared" ref="D103:F114" si="17">C103/C$12</f>
        <v>#DIV/0!</v>
      </c>
      <c r="E103" s="674"/>
      <c r="F103" s="226" t="e">
        <f t="shared" si="17"/>
        <v>#DIV/0!</v>
      </c>
      <c r="G103" s="674"/>
      <c r="H103" s="226" t="e">
        <f t="shared" ref="H103:H114" si="18">G103/G$12</f>
        <v>#DIV/0!</v>
      </c>
      <c r="I103" s="674"/>
      <c r="J103" s="226" t="e">
        <f t="shared" ref="J103:J114" si="19">I103/I$12</f>
        <v>#DIV/0!</v>
      </c>
      <c r="K103" s="674"/>
      <c r="L103" s="226" t="e">
        <f t="shared" ref="L103:L114" si="20">K103/K$12</f>
        <v>#DIV/0!</v>
      </c>
      <c r="M103" s="674"/>
      <c r="N103" s="226" t="e">
        <f t="shared" ref="N103:N114" si="21">M103/M$12</f>
        <v>#DIV/0!</v>
      </c>
      <c r="O103" s="674"/>
      <c r="P103" s="226" t="e">
        <f t="shared" ref="P103:P114" si="22">O103/O$12</f>
        <v>#DIV/0!</v>
      </c>
      <c r="Q103" s="674"/>
      <c r="R103" s="226" t="e">
        <f t="shared" ref="R103:R114" si="23">Q103/Q$12</f>
        <v>#DIV/0!</v>
      </c>
      <c r="S103" s="674"/>
      <c r="T103" s="226">
        <f t="shared" ref="T103:T114" si="24">S103/S$12</f>
        <v>0</v>
      </c>
      <c r="U103" s="674"/>
      <c r="V103" s="226" t="e">
        <f t="shared" ref="V103:V114" si="25">U103/U$12</f>
        <v>#DIV/0!</v>
      </c>
      <c r="W103" s="674"/>
      <c r="X103" s="226" t="e">
        <f t="shared" ref="X103:X114" si="26">W103/W$12</f>
        <v>#DIV/0!</v>
      </c>
      <c r="Y103" s="674"/>
      <c r="Z103" s="226" t="e">
        <f t="shared" ref="Z103:Z114" si="27">Y103/Y$12</f>
        <v>#DIV/0!</v>
      </c>
      <c r="AA103" s="144">
        <f t="shared" si="13"/>
        <v>0</v>
      </c>
      <c r="AB103" s="226">
        <f t="shared" ref="AB103:AB114" si="28">AA103/AA$12</f>
        <v>0</v>
      </c>
      <c r="AC103" s="128">
        <f t="shared" si="14"/>
        <v>0</v>
      </c>
      <c r="AD103" s="226">
        <f t="shared" ref="AD103:AD114" si="29">AC103/AC$12</f>
        <v>0</v>
      </c>
      <c r="AK103" s="74"/>
      <c r="AL103" s="74">
        <f t="shared" si="10"/>
        <v>0</v>
      </c>
      <c r="AM103" s="74"/>
    </row>
    <row r="104" spans="1:39" s="1" customFormat="1">
      <c r="A104" s="188">
        <v>6311</v>
      </c>
      <c r="B104" s="188" t="s">
        <v>154</v>
      </c>
      <c r="C104" s="674"/>
      <c r="D104" s="226" t="e">
        <f t="shared" si="17"/>
        <v>#DIV/0!</v>
      </c>
      <c r="E104" s="674"/>
      <c r="F104" s="226" t="e">
        <f t="shared" si="17"/>
        <v>#DIV/0!</v>
      </c>
      <c r="G104" s="674"/>
      <c r="H104" s="226" t="e">
        <f t="shared" si="18"/>
        <v>#DIV/0!</v>
      </c>
      <c r="I104" s="674"/>
      <c r="J104" s="226" t="e">
        <f t="shared" si="19"/>
        <v>#DIV/0!</v>
      </c>
      <c r="K104" s="674"/>
      <c r="L104" s="226" t="e">
        <f t="shared" si="20"/>
        <v>#DIV/0!</v>
      </c>
      <c r="M104" s="674"/>
      <c r="N104" s="226" t="e">
        <f t="shared" si="21"/>
        <v>#DIV/0!</v>
      </c>
      <c r="O104" s="674"/>
      <c r="P104" s="226" t="e">
        <f t="shared" si="22"/>
        <v>#DIV/0!</v>
      </c>
      <c r="Q104" s="674"/>
      <c r="R104" s="226" t="e">
        <f t="shared" si="23"/>
        <v>#DIV/0!</v>
      </c>
      <c r="S104" s="674"/>
      <c r="T104" s="226">
        <f t="shared" si="24"/>
        <v>0</v>
      </c>
      <c r="U104" s="674"/>
      <c r="V104" s="226" t="e">
        <f t="shared" si="25"/>
        <v>#DIV/0!</v>
      </c>
      <c r="W104" s="674"/>
      <c r="X104" s="226" t="e">
        <f t="shared" si="26"/>
        <v>#DIV/0!</v>
      </c>
      <c r="Y104" s="674"/>
      <c r="Z104" s="226" t="e">
        <f t="shared" si="27"/>
        <v>#DIV/0!</v>
      </c>
      <c r="AA104" s="144">
        <f t="shared" si="13"/>
        <v>0</v>
      </c>
      <c r="AB104" s="226">
        <f t="shared" si="28"/>
        <v>0</v>
      </c>
      <c r="AC104" s="128">
        <f t="shared" si="14"/>
        <v>0</v>
      </c>
      <c r="AD104" s="226">
        <f t="shared" si="29"/>
        <v>0</v>
      </c>
      <c r="AK104" s="74"/>
      <c r="AL104" s="74">
        <f t="shared" si="10"/>
        <v>0</v>
      </c>
      <c r="AM104" s="74"/>
    </row>
    <row r="105" spans="1:39" s="1" customFormat="1">
      <c r="A105" s="188">
        <v>6312</v>
      </c>
      <c r="B105" s="188" t="s">
        <v>155</v>
      </c>
      <c r="C105" s="674"/>
      <c r="D105" s="226" t="e">
        <f t="shared" si="17"/>
        <v>#DIV/0!</v>
      </c>
      <c r="E105" s="674"/>
      <c r="F105" s="226" t="e">
        <f t="shared" si="17"/>
        <v>#DIV/0!</v>
      </c>
      <c r="G105" s="674"/>
      <c r="H105" s="226" t="e">
        <f t="shared" si="18"/>
        <v>#DIV/0!</v>
      </c>
      <c r="I105" s="674"/>
      <c r="J105" s="226" t="e">
        <f t="shared" si="19"/>
        <v>#DIV/0!</v>
      </c>
      <c r="K105" s="674"/>
      <c r="L105" s="226" t="e">
        <f t="shared" si="20"/>
        <v>#DIV/0!</v>
      </c>
      <c r="M105" s="674"/>
      <c r="N105" s="226" t="e">
        <f t="shared" si="21"/>
        <v>#DIV/0!</v>
      </c>
      <c r="O105" s="674"/>
      <c r="P105" s="226" t="e">
        <f t="shared" si="22"/>
        <v>#DIV/0!</v>
      </c>
      <c r="Q105" s="674"/>
      <c r="R105" s="226" t="e">
        <f t="shared" si="23"/>
        <v>#DIV/0!</v>
      </c>
      <c r="S105" s="674"/>
      <c r="T105" s="226">
        <f t="shared" si="24"/>
        <v>0</v>
      </c>
      <c r="U105" s="674"/>
      <c r="V105" s="226" t="e">
        <f t="shared" si="25"/>
        <v>#DIV/0!</v>
      </c>
      <c r="W105" s="674"/>
      <c r="X105" s="226" t="e">
        <f t="shared" si="26"/>
        <v>#DIV/0!</v>
      </c>
      <c r="Y105" s="674"/>
      <c r="Z105" s="226" t="e">
        <f t="shared" si="27"/>
        <v>#DIV/0!</v>
      </c>
      <c r="AA105" s="144">
        <f t="shared" si="13"/>
        <v>0</v>
      </c>
      <c r="AB105" s="226">
        <f t="shared" si="28"/>
        <v>0</v>
      </c>
      <c r="AC105" s="128">
        <f t="shared" si="14"/>
        <v>0</v>
      </c>
      <c r="AD105" s="226">
        <f t="shared" si="29"/>
        <v>0</v>
      </c>
      <c r="AK105" s="74"/>
      <c r="AL105" s="74">
        <f t="shared" si="10"/>
        <v>0</v>
      </c>
      <c r="AM105" s="74"/>
    </row>
    <row r="106" spans="1:39" s="1" customFormat="1">
      <c r="A106" s="188">
        <v>6313</v>
      </c>
      <c r="B106" s="188" t="s">
        <v>156</v>
      </c>
      <c r="C106" s="674"/>
      <c r="D106" s="226" t="e">
        <f t="shared" si="17"/>
        <v>#DIV/0!</v>
      </c>
      <c r="E106" s="674"/>
      <c r="F106" s="226" t="e">
        <f t="shared" si="17"/>
        <v>#DIV/0!</v>
      </c>
      <c r="G106" s="674"/>
      <c r="H106" s="226" t="e">
        <f t="shared" si="18"/>
        <v>#DIV/0!</v>
      </c>
      <c r="I106" s="674"/>
      <c r="J106" s="226" t="e">
        <f t="shared" si="19"/>
        <v>#DIV/0!</v>
      </c>
      <c r="K106" s="674"/>
      <c r="L106" s="226" t="e">
        <f t="shared" si="20"/>
        <v>#DIV/0!</v>
      </c>
      <c r="M106" s="674"/>
      <c r="N106" s="226" t="e">
        <f t="shared" si="21"/>
        <v>#DIV/0!</v>
      </c>
      <c r="O106" s="674"/>
      <c r="P106" s="226" t="e">
        <f t="shared" si="22"/>
        <v>#DIV/0!</v>
      </c>
      <c r="Q106" s="674"/>
      <c r="R106" s="226" t="e">
        <f t="shared" si="23"/>
        <v>#DIV/0!</v>
      </c>
      <c r="S106" s="674"/>
      <c r="T106" s="226">
        <f t="shared" si="24"/>
        <v>0</v>
      </c>
      <c r="U106" s="674"/>
      <c r="V106" s="226" t="e">
        <f t="shared" si="25"/>
        <v>#DIV/0!</v>
      </c>
      <c r="W106" s="674"/>
      <c r="X106" s="226" t="e">
        <f t="shared" si="26"/>
        <v>#DIV/0!</v>
      </c>
      <c r="Y106" s="674"/>
      <c r="Z106" s="226" t="e">
        <f t="shared" si="27"/>
        <v>#DIV/0!</v>
      </c>
      <c r="AA106" s="144">
        <f t="shared" si="13"/>
        <v>0</v>
      </c>
      <c r="AB106" s="226">
        <f t="shared" si="28"/>
        <v>0</v>
      </c>
      <c r="AC106" s="128">
        <f t="shared" si="14"/>
        <v>0</v>
      </c>
      <c r="AD106" s="226">
        <f t="shared" si="29"/>
        <v>0</v>
      </c>
      <c r="AK106" s="74"/>
      <c r="AL106" s="74"/>
      <c r="AM106" s="74"/>
    </row>
    <row r="107" spans="1:39" s="1" customFormat="1">
      <c r="A107" s="188">
        <v>6314</v>
      </c>
      <c r="B107" s="188" t="s">
        <v>268</v>
      </c>
      <c r="C107" s="674"/>
      <c r="D107" s="226" t="e">
        <f t="shared" si="17"/>
        <v>#DIV/0!</v>
      </c>
      <c r="E107" s="674"/>
      <c r="F107" s="226" t="e">
        <f t="shared" si="17"/>
        <v>#DIV/0!</v>
      </c>
      <c r="G107" s="674"/>
      <c r="H107" s="226" t="e">
        <f t="shared" si="18"/>
        <v>#DIV/0!</v>
      </c>
      <c r="I107" s="674"/>
      <c r="J107" s="226" t="e">
        <f t="shared" si="19"/>
        <v>#DIV/0!</v>
      </c>
      <c r="K107" s="674"/>
      <c r="L107" s="226" t="e">
        <f t="shared" si="20"/>
        <v>#DIV/0!</v>
      </c>
      <c r="M107" s="674"/>
      <c r="N107" s="226" t="e">
        <f t="shared" si="21"/>
        <v>#DIV/0!</v>
      </c>
      <c r="O107" s="674"/>
      <c r="P107" s="226" t="e">
        <f t="shared" si="22"/>
        <v>#DIV/0!</v>
      </c>
      <c r="Q107" s="674"/>
      <c r="R107" s="226" t="e">
        <f t="shared" si="23"/>
        <v>#DIV/0!</v>
      </c>
      <c r="S107" s="674"/>
      <c r="T107" s="226">
        <f t="shared" si="24"/>
        <v>0</v>
      </c>
      <c r="U107" s="674"/>
      <c r="V107" s="226" t="e">
        <f t="shared" si="25"/>
        <v>#DIV/0!</v>
      </c>
      <c r="W107" s="674"/>
      <c r="X107" s="226" t="e">
        <f t="shared" si="26"/>
        <v>#DIV/0!</v>
      </c>
      <c r="Y107" s="674"/>
      <c r="Z107" s="226" t="e">
        <f t="shared" si="27"/>
        <v>#DIV/0!</v>
      </c>
      <c r="AA107" s="144">
        <f t="shared" si="13"/>
        <v>0</v>
      </c>
      <c r="AB107" s="226">
        <f t="shared" si="28"/>
        <v>0</v>
      </c>
      <c r="AC107" s="128">
        <f t="shared" si="14"/>
        <v>0</v>
      </c>
      <c r="AD107" s="226">
        <f t="shared" si="29"/>
        <v>0</v>
      </c>
      <c r="AK107" s="74"/>
      <c r="AL107" s="74">
        <f t="shared" ref="AL107:AL140" si="30">C107*0.985+E107*0.985+G107*0.985+I107*0.985+K107*0.985+M107*0.985+O107*0.985+Q107*0.985+S107*0.985+U107*0.985+W107*0.985+Y107*0.985</f>
        <v>0</v>
      </c>
      <c r="AM107" s="74"/>
    </row>
    <row r="108" spans="1:39" s="1" customFormat="1">
      <c r="A108" s="188">
        <v>6315</v>
      </c>
      <c r="B108" s="188" t="s">
        <v>323</v>
      </c>
      <c r="C108" s="674"/>
      <c r="D108" s="226" t="e">
        <f t="shared" si="17"/>
        <v>#DIV/0!</v>
      </c>
      <c r="E108" s="674"/>
      <c r="F108" s="226" t="e">
        <f t="shared" si="17"/>
        <v>#DIV/0!</v>
      </c>
      <c r="G108" s="674"/>
      <c r="H108" s="226" t="e">
        <f t="shared" si="18"/>
        <v>#DIV/0!</v>
      </c>
      <c r="I108" s="674"/>
      <c r="J108" s="226" t="e">
        <f t="shared" si="19"/>
        <v>#DIV/0!</v>
      </c>
      <c r="K108" s="674"/>
      <c r="L108" s="226" t="e">
        <f t="shared" si="20"/>
        <v>#DIV/0!</v>
      </c>
      <c r="M108" s="674"/>
      <c r="N108" s="226" t="e">
        <f t="shared" si="21"/>
        <v>#DIV/0!</v>
      </c>
      <c r="O108" s="674"/>
      <c r="P108" s="226" t="e">
        <f t="shared" si="22"/>
        <v>#DIV/0!</v>
      </c>
      <c r="Q108" s="674"/>
      <c r="R108" s="226" t="e">
        <f t="shared" si="23"/>
        <v>#DIV/0!</v>
      </c>
      <c r="S108" s="674"/>
      <c r="T108" s="226">
        <f t="shared" si="24"/>
        <v>0</v>
      </c>
      <c r="U108" s="674"/>
      <c r="V108" s="226" t="e">
        <f t="shared" si="25"/>
        <v>#DIV/0!</v>
      </c>
      <c r="W108" s="674"/>
      <c r="X108" s="226" t="e">
        <f t="shared" si="26"/>
        <v>#DIV/0!</v>
      </c>
      <c r="Y108" s="674"/>
      <c r="Z108" s="226" t="e">
        <f t="shared" si="27"/>
        <v>#DIV/0!</v>
      </c>
      <c r="AA108" s="144">
        <f t="shared" si="13"/>
        <v>0</v>
      </c>
      <c r="AB108" s="226">
        <f t="shared" si="28"/>
        <v>0</v>
      </c>
      <c r="AC108" s="128">
        <f t="shared" si="14"/>
        <v>0</v>
      </c>
      <c r="AD108" s="226">
        <f t="shared" si="29"/>
        <v>0</v>
      </c>
      <c r="AK108" s="74"/>
      <c r="AL108" s="74"/>
      <c r="AM108" s="74"/>
    </row>
    <row r="109" spans="1:39" s="1" customFormat="1">
      <c r="A109" s="188">
        <v>6316</v>
      </c>
      <c r="B109" s="188" t="s">
        <v>324</v>
      </c>
      <c r="C109" s="674"/>
      <c r="D109" s="226" t="e">
        <f t="shared" si="17"/>
        <v>#DIV/0!</v>
      </c>
      <c r="E109" s="674"/>
      <c r="F109" s="226" t="e">
        <f t="shared" si="17"/>
        <v>#DIV/0!</v>
      </c>
      <c r="G109" s="674"/>
      <c r="H109" s="226" t="e">
        <f t="shared" si="18"/>
        <v>#DIV/0!</v>
      </c>
      <c r="I109" s="674"/>
      <c r="J109" s="226" t="e">
        <f t="shared" si="19"/>
        <v>#DIV/0!</v>
      </c>
      <c r="K109" s="674"/>
      <c r="L109" s="226" t="e">
        <f t="shared" si="20"/>
        <v>#DIV/0!</v>
      </c>
      <c r="M109" s="674"/>
      <c r="N109" s="226" t="e">
        <f t="shared" si="21"/>
        <v>#DIV/0!</v>
      </c>
      <c r="O109" s="674"/>
      <c r="P109" s="226" t="e">
        <f t="shared" si="22"/>
        <v>#DIV/0!</v>
      </c>
      <c r="Q109" s="674"/>
      <c r="R109" s="226" t="e">
        <f t="shared" si="23"/>
        <v>#DIV/0!</v>
      </c>
      <c r="S109" s="674"/>
      <c r="T109" s="226">
        <f t="shared" si="24"/>
        <v>0</v>
      </c>
      <c r="U109" s="674"/>
      <c r="V109" s="226" t="e">
        <f t="shared" si="25"/>
        <v>#DIV/0!</v>
      </c>
      <c r="W109" s="674"/>
      <c r="X109" s="226" t="e">
        <f t="shared" si="26"/>
        <v>#DIV/0!</v>
      </c>
      <c r="Y109" s="674"/>
      <c r="Z109" s="226" t="e">
        <f t="shared" si="27"/>
        <v>#DIV/0!</v>
      </c>
      <c r="AA109" s="144">
        <f t="shared" si="13"/>
        <v>0</v>
      </c>
      <c r="AB109" s="226">
        <f t="shared" si="28"/>
        <v>0</v>
      </c>
      <c r="AC109" s="128">
        <f t="shared" si="14"/>
        <v>0</v>
      </c>
      <c r="AD109" s="226">
        <f t="shared" si="29"/>
        <v>0</v>
      </c>
      <c r="AK109" s="74"/>
      <c r="AL109" s="74"/>
      <c r="AM109" s="74"/>
    </row>
    <row r="110" spans="1:39" s="1" customFormat="1">
      <c r="A110" s="188">
        <v>6317</v>
      </c>
      <c r="B110" s="188" t="s">
        <v>325</v>
      </c>
      <c r="C110" s="674"/>
      <c r="D110" s="226" t="e">
        <f t="shared" si="17"/>
        <v>#DIV/0!</v>
      </c>
      <c r="E110" s="674"/>
      <c r="F110" s="226" t="e">
        <f t="shared" si="17"/>
        <v>#DIV/0!</v>
      </c>
      <c r="G110" s="674"/>
      <c r="H110" s="226" t="e">
        <f t="shared" si="18"/>
        <v>#DIV/0!</v>
      </c>
      <c r="I110" s="674"/>
      <c r="J110" s="226" t="e">
        <f t="shared" si="19"/>
        <v>#DIV/0!</v>
      </c>
      <c r="K110" s="674"/>
      <c r="L110" s="226" t="e">
        <f t="shared" si="20"/>
        <v>#DIV/0!</v>
      </c>
      <c r="M110" s="674"/>
      <c r="N110" s="226" t="e">
        <f t="shared" si="21"/>
        <v>#DIV/0!</v>
      </c>
      <c r="O110" s="674"/>
      <c r="P110" s="226" t="e">
        <f t="shared" si="22"/>
        <v>#DIV/0!</v>
      </c>
      <c r="Q110" s="674"/>
      <c r="R110" s="226" t="e">
        <f t="shared" si="23"/>
        <v>#DIV/0!</v>
      </c>
      <c r="S110" s="674"/>
      <c r="T110" s="226">
        <f t="shared" si="24"/>
        <v>0</v>
      </c>
      <c r="U110" s="674"/>
      <c r="V110" s="226" t="e">
        <f t="shared" si="25"/>
        <v>#DIV/0!</v>
      </c>
      <c r="W110" s="674"/>
      <c r="X110" s="226" t="e">
        <f t="shared" si="26"/>
        <v>#DIV/0!</v>
      </c>
      <c r="Y110" s="674"/>
      <c r="Z110" s="226" t="e">
        <f t="shared" si="27"/>
        <v>#DIV/0!</v>
      </c>
      <c r="AA110" s="144">
        <f t="shared" si="13"/>
        <v>0</v>
      </c>
      <c r="AB110" s="226">
        <f t="shared" si="28"/>
        <v>0</v>
      </c>
      <c r="AC110" s="128">
        <f t="shared" si="14"/>
        <v>0</v>
      </c>
      <c r="AD110" s="226">
        <f t="shared" si="29"/>
        <v>0</v>
      </c>
      <c r="AK110" s="74"/>
      <c r="AL110" s="74"/>
      <c r="AM110" s="74"/>
    </row>
    <row r="111" spans="1:39" s="1" customFormat="1">
      <c r="A111" s="188">
        <v>6318</v>
      </c>
      <c r="B111" s="188" t="s">
        <v>326</v>
      </c>
      <c r="C111" s="674"/>
      <c r="D111" s="226" t="e">
        <f t="shared" si="17"/>
        <v>#DIV/0!</v>
      </c>
      <c r="E111" s="674"/>
      <c r="F111" s="226" t="e">
        <f t="shared" si="17"/>
        <v>#DIV/0!</v>
      </c>
      <c r="G111" s="674"/>
      <c r="H111" s="226" t="e">
        <f t="shared" si="18"/>
        <v>#DIV/0!</v>
      </c>
      <c r="I111" s="674"/>
      <c r="J111" s="226" t="e">
        <f t="shared" si="19"/>
        <v>#DIV/0!</v>
      </c>
      <c r="K111" s="674"/>
      <c r="L111" s="226" t="e">
        <f t="shared" si="20"/>
        <v>#DIV/0!</v>
      </c>
      <c r="M111" s="674"/>
      <c r="N111" s="226" t="e">
        <f t="shared" si="21"/>
        <v>#DIV/0!</v>
      </c>
      <c r="O111" s="674"/>
      <c r="P111" s="226" t="e">
        <f t="shared" si="22"/>
        <v>#DIV/0!</v>
      </c>
      <c r="Q111" s="674"/>
      <c r="R111" s="226" t="e">
        <f t="shared" si="23"/>
        <v>#DIV/0!</v>
      </c>
      <c r="S111" s="674"/>
      <c r="T111" s="226">
        <f t="shared" si="24"/>
        <v>0</v>
      </c>
      <c r="U111" s="674"/>
      <c r="V111" s="226" t="e">
        <f t="shared" si="25"/>
        <v>#DIV/0!</v>
      </c>
      <c r="W111" s="674"/>
      <c r="X111" s="226" t="e">
        <f t="shared" si="26"/>
        <v>#DIV/0!</v>
      </c>
      <c r="Y111" s="674"/>
      <c r="Z111" s="226" t="e">
        <f t="shared" si="27"/>
        <v>#DIV/0!</v>
      </c>
      <c r="AA111" s="144">
        <f t="shared" si="13"/>
        <v>0</v>
      </c>
      <c r="AB111" s="226">
        <f t="shared" si="28"/>
        <v>0</v>
      </c>
      <c r="AC111" s="128">
        <f t="shared" si="14"/>
        <v>0</v>
      </c>
      <c r="AD111" s="226">
        <f t="shared" si="29"/>
        <v>0</v>
      </c>
      <c r="AK111" s="74"/>
      <c r="AL111" s="74"/>
      <c r="AM111" s="74"/>
    </row>
    <row r="112" spans="1:39" s="1" customFormat="1">
      <c r="A112" s="188">
        <v>6319</v>
      </c>
      <c r="B112" s="188" t="s">
        <v>327</v>
      </c>
      <c r="C112" s="674"/>
      <c r="D112" s="226" t="e">
        <f t="shared" si="17"/>
        <v>#DIV/0!</v>
      </c>
      <c r="E112" s="674"/>
      <c r="F112" s="226" t="e">
        <f t="shared" si="17"/>
        <v>#DIV/0!</v>
      </c>
      <c r="G112" s="674"/>
      <c r="H112" s="226" t="e">
        <f t="shared" si="18"/>
        <v>#DIV/0!</v>
      </c>
      <c r="I112" s="674"/>
      <c r="J112" s="226" t="e">
        <f t="shared" si="19"/>
        <v>#DIV/0!</v>
      </c>
      <c r="K112" s="674"/>
      <c r="L112" s="226" t="e">
        <f t="shared" si="20"/>
        <v>#DIV/0!</v>
      </c>
      <c r="M112" s="674"/>
      <c r="N112" s="226" t="e">
        <f t="shared" si="21"/>
        <v>#DIV/0!</v>
      </c>
      <c r="O112" s="674"/>
      <c r="P112" s="226" t="e">
        <f t="shared" si="22"/>
        <v>#DIV/0!</v>
      </c>
      <c r="Q112" s="674"/>
      <c r="R112" s="226" t="e">
        <f t="shared" si="23"/>
        <v>#DIV/0!</v>
      </c>
      <c r="S112" s="674"/>
      <c r="T112" s="226">
        <f t="shared" si="24"/>
        <v>0</v>
      </c>
      <c r="U112" s="674"/>
      <c r="V112" s="226" t="e">
        <f t="shared" si="25"/>
        <v>#DIV/0!</v>
      </c>
      <c r="W112" s="674"/>
      <c r="X112" s="226" t="e">
        <f t="shared" si="26"/>
        <v>#DIV/0!</v>
      </c>
      <c r="Y112" s="674"/>
      <c r="Z112" s="226" t="e">
        <f t="shared" si="27"/>
        <v>#DIV/0!</v>
      </c>
      <c r="AA112" s="144">
        <f t="shared" si="13"/>
        <v>0</v>
      </c>
      <c r="AB112" s="226">
        <f t="shared" si="28"/>
        <v>0</v>
      </c>
      <c r="AC112" s="128">
        <f t="shared" si="14"/>
        <v>0</v>
      </c>
      <c r="AD112" s="226">
        <f t="shared" si="29"/>
        <v>0</v>
      </c>
      <c r="AK112" s="74"/>
      <c r="AL112" s="74"/>
      <c r="AM112" s="74"/>
    </row>
    <row r="113" spans="1:39" s="1" customFormat="1">
      <c r="A113" s="188">
        <v>6320</v>
      </c>
      <c r="B113" s="188" t="s">
        <v>328</v>
      </c>
      <c r="C113" s="674"/>
      <c r="D113" s="226" t="e">
        <f t="shared" si="17"/>
        <v>#DIV/0!</v>
      </c>
      <c r="E113" s="674"/>
      <c r="F113" s="226" t="e">
        <f t="shared" si="17"/>
        <v>#DIV/0!</v>
      </c>
      <c r="G113" s="674"/>
      <c r="H113" s="226" t="e">
        <f t="shared" si="18"/>
        <v>#DIV/0!</v>
      </c>
      <c r="I113" s="674"/>
      <c r="J113" s="226" t="e">
        <f t="shared" si="19"/>
        <v>#DIV/0!</v>
      </c>
      <c r="K113" s="674"/>
      <c r="L113" s="226" t="e">
        <f t="shared" si="20"/>
        <v>#DIV/0!</v>
      </c>
      <c r="M113" s="674"/>
      <c r="N113" s="226" t="e">
        <f t="shared" si="21"/>
        <v>#DIV/0!</v>
      </c>
      <c r="O113" s="674"/>
      <c r="P113" s="226" t="e">
        <f t="shared" si="22"/>
        <v>#DIV/0!</v>
      </c>
      <c r="Q113" s="674"/>
      <c r="R113" s="226" t="e">
        <f t="shared" si="23"/>
        <v>#DIV/0!</v>
      </c>
      <c r="S113" s="674"/>
      <c r="T113" s="226">
        <f t="shared" si="24"/>
        <v>0</v>
      </c>
      <c r="U113" s="674"/>
      <c r="V113" s="226" t="e">
        <f t="shared" si="25"/>
        <v>#DIV/0!</v>
      </c>
      <c r="W113" s="674"/>
      <c r="X113" s="226" t="e">
        <f t="shared" si="26"/>
        <v>#DIV/0!</v>
      </c>
      <c r="Y113" s="674"/>
      <c r="Z113" s="226" t="e">
        <f t="shared" si="27"/>
        <v>#DIV/0!</v>
      </c>
      <c r="AA113" s="144">
        <f t="shared" si="13"/>
        <v>0</v>
      </c>
      <c r="AB113" s="226">
        <f t="shared" si="28"/>
        <v>0</v>
      </c>
      <c r="AC113" s="128">
        <f t="shared" si="14"/>
        <v>0</v>
      </c>
      <c r="AD113" s="226">
        <f t="shared" si="29"/>
        <v>0</v>
      </c>
      <c r="AK113" s="74"/>
      <c r="AL113" s="74"/>
      <c r="AM113" s="74"/>
    </row>
    <row r="114" spans="1:39" s="1" customFormat="1">
      <c r="A114" s="188">
        <v>6321</v>
      </c>
      <c r="B114" s="188" t="s">
        <v>329</v>
      </c>
      <c r="C114" s="674"/>
      <c r="D114" s="226" t="e">
        <f t="shared" si="17"/>
        <v>#DIV/0!</v>
      </c>
      <c r="E114" s="674"/>
      <c r="F114" s="226" t="e">
        <f t="shared" si="17"/>
        <v>#DIV/0!</v>
      </c>
      <c r="G114" s="674"/>
      <c r="H114" s="226" t="e">
        <f t="shared" si="18"/>
        <v>#DIV/0!</v>
      </c>
      <c r="I114" s="674"/>
      <c r="J114" s="226" t="e">
        <f t="shared" si="19"/>
        <v>#DIV/0!</v>
      </c>
      <c r="K114" s="674"/>
      <c r="L114" s="226" t="e">
        <f t="shared" si="20"/>
        <v>#DIV/0!</v>
      </c>
      <c r="M114" s="674"/>
      <c r="N114" s="226" t="e">
        <f t="shared" si="21"/>
        <v>#DIV/0!</v>
      </c>
      <c r="O114" s="674"/>
      <c r="P114" s="226" t="e">
        <f t="shared" si="22"/>
        <v>#DIV/0!</v>
      </c>
      <c r="Q114" s="674"/>
      <c r="R114" s="226" t="e">
        <f t="shared" si="23"/>
        <v>#DIV/0!</v>
      </c>
      <c r="S114" s="674"/>
      <c r="T114" s="226">
        <f t="shared" si="24"/>
        <v>0</v>
      </c>
      <c r="U114" s="674"/>
      <c r="V114" s="226" t="e">
        <f t="shared" si="25"/>
        <v>#DIV/0!</v>
      </c>
      <c r="W114" s="674"/>
      <c r="X114" s="226" t="e">
        <f t="shared" si="26"/>
        <v>#DIV/0!</v>
      </c>
      <c r="Y114" s="674"/>
      <c r="Z114" s="226" t="e">
        <f t="shared" si="27"/>
        <v>#DIV/0!</v>
      </c>
      <c r="AA114" s="144">
        <f t="shared" si="13"/>
        <v>0</v>
      </c>
      <c r="AB114" s="226">
        <f t="shared" si="28"/>
        <v>0</v>
      </c>
      <c r="AC114" s="128">
        <f t="shared" si="14"/>
        <v>0</v>
      </c>
      <c r="AD114" s="226">
        <f t="shared" si="29"/>
        <v>0</v>
      </c>
      <c r="AK114" s="74"/>
      <c r="AL114" s="74"/>
      <c r="AM114" s="74"/>
    </row>
    <row r="115" spans="1:39" s="1" customFormat="1" ht="15.75" thickBot="1">
      <c r="A115" s="4">
        <v>6399</v>
      </c>
      <c r="B115" s="229" t="s">
        <v>113</v>
      </c>
      <c r="C115" s="391">
        <f>SUM(C94:C114)</f>
        <v>0</v>
      </c>
      <c r="D115" s="392" t="e">
        <f>C115/C12</f>
        <v>#DIV/0!</v>
      </c>
      <c r="E115" s="391">
        <f>SUM(E94:E114)</f>
        <v>0</v>
      </c>
      <c r="F115" s="392" t="e">
        <f>E115/E12</f>
        <v>#DIV/0!</v>
      </c>
      <c r="G115" s="391">
        <f>SUM(G94:G114)</f>
        <v>0</v>
      </c>
      <c r="H115" s="392" t="e">
        <f>G115/G12</f>
        <v>#DIV/0!</v>
      </c>
      <c r="I115" s="391">
        <f>SUM(I94:I114)</f>
        <v>0</v>
      </c>
      <c r="J115" s="392" t="e">
        <f>I115/I12</f>
        <v>#DIV/0!</v>
      </c>
      <c r="K115" s="391">
        <f>SUM(K94:K114)</f>
        <v>0</v>
      </c>
      <c r="L115" s="392" t="e">
        <f>K115/K12</f>
        <v>#DIV/0!</v>
      </c>
      <c r="M115" s="391">
        <f>SUM(M94:M114)</f>
        <v>0</v>
      </c>
      <c r="N115" s="392" t="e">
        <f>M115/M12</f>
        <v>#DIV/0!</v>
      </c>
      <c r="O115" s="391">
        <f>SUM(O94:O114)</f>
        <v>0</v>
      </c>
      <c r="P115" s="392" t="e">
        <f>O115/O12</f>
        <v>#DIV/0!</v>
      </c>
      <c r="Q115" s="391">
        <f>SUM(Q94:Q114)</f>
        <v>0</v>
      </c>
      <c r="R115" s="395" t="e">
        <f>Q115/Q12</f>
        <v>#DIV/0!</v>
      </c>
      <c r="S115" s="391">
        <f>SUM(S94:S114)</f>
        <v>0</v>
      </c>
      <c r="T115" s="392">
        <f>S115/S12</f>
        <v>0</v>
      </c>
      <c r="U115" s="391">
        <f>SUM(U94:U114)</f>
        <v>0</v>
      </c>
      <c r="V115" s="392" t="e">
        <f>U115/U12</f>
        <v>#DIV/0!</v>
      </c>
      <c r="W115" s="391">
        <f>SUM(W94:W114)</f>
        <v>0</v>
      </c>
      <c r="X115" s="392" t="e">
        <f>W115/W12</f>
        <v>#DIV/0!</v>
      </c>
      <c r="Y115" s="391">
        <f>SUM(Y94:Y114)</f>
        <v>0</v>
      </c>
      <c r="Z115" s="392" t="e">
        <f>Y115/Y12</f>
        <v>#DIV/0!</v>
      </c>
      <c r="AA115" s="391">
        <f>SUM(AA94:AA114)</f>
        <v>0</v>
      </c>
      <c r="AB115" s="96">
        <f>AA115/AA12</f>
        <v>0</v>
      </c>
      <c r="AC115" s="132">
        <f t="shared" si="14"/>
        <v>0</v>
      </c>
      <c r="AD115" s="96">
        <f>AC115/AC12</f>
        <v>0</v>
      </c>
      <c r="AK115" s="74"/>
      <c r="AL115" s="74">
        <f t="shared" si="30"/>
        <v>0</v>
      </c>
      <c r="AM115" s="74"/>
    </row>
    <row r="116" spans="1:39" s="1" customFormat="1" ht="15.75" thickTop="1">
      <c r="A116" s="21">
        <v>6401</v>
      </c>
      <c r="B116" s="227" t="s">
        <v>89</v>
      </c>
      <c r="C116" s="703"/>
      <c r="D116" s="702"/>
      <c r="E116" s="82"/>
      <c r="F116" s="702"/>
      <c r="G116" s="703"/>
      <c r="H116" s="702"/>
      <c r="I116" s="26">
        <v>0</v>
      </c>
      <c r="J116" s="702"/>
      <c r="K116" s="26">
        <v>0</v>
      </c>
      <c r="L116" s="702"/>
      <c r="M116" s="26">
        <v>0</v>
      </c>
      <c r="N116" s="702"/>
      <c r="O116" s="26">
        <v>0</v>
      </c>
      <c r="P116" s="702"/>
      <c r="Q116" s="26">
        <v>0</v>
      </c>
      <c r="R116" s="702"/>
      <c r="S116" s="26">
        <v>0</v>
      </c>
      <c r="T116" s="24"/>
      <c r="U116" s="26">
        <v>0</v>
      </c>
      <c r="V116" s="702"/>
      <c r="W116" s="60"/>
      <c r="X116" s="702"/>
      <c r="Y116" s="82"/>
      <c r="Z116" s="702"/>
      <c r="AA116" s="144">
        <f t="shared" ref="AA116:AA128" si="31">C116+E116+G116+I116+K116+M116+O116+Q116+S116+U116+W116+Y116</f>
        <v>0</v>
      </c>
      <c r="AB116" s="147"/>
      <c r="AC116" s="128">
        <f>AA116/12</f>
        <v>0</v>
      </c>
      <c r="AD116" s="131"/>
      <c r="AK116" s="74"/>
      <c r="AL116" s="74">
        <f t="shared" si="30"/>
        <v>0</v>
      </c>
      <c r="AM116" s="74"/>
    </row>
    <row r="117" spans="1:39" s="1" customFormat="1">
      <c r="A117" s="188">
        <v>6402</v>
      </c>
      <c r="B117" s="227" t="s">
        <v>75</v>
      </c>
      <c r="C117" s="31">
        <v>500</v>
      </c>
      <c r="D117" s="702"/>
      <c r="E117" s="31">
        <v>500</v>
      </c>
      <c r="F117" s="702"/>
      <c r="G117" s="31">
        <v>500</v>
      </c>
      <c r="H117" s="31"/>
      <c r="I117" s="31">
        <v>500</v>
      </c>
      <c r="J117" s="702"/>
      <c r="K117" s="31">
        <v>500</v>
      </c>
      <c r="L117" s="702"/>
      <c r="M117" s="31">
        <v>500</v>
      </c>
      <c r="N117" s="702"/>
      <c r="O117" s="31">
        <v>500</v>
      </c>
      <c r="P117" s="702"/>
      <c r="Q117" s="31">
        <v>500</v>
      </c>
      <c r="R117" s="702"/>
      <c r="S117" s="31">
        <v>500</v>
      </c>
      <c r="T117" s="24"/>
      <c r="U117" s="31">
        <v>500</v>
      </c>
      <c r="V117" s="702"/>
      <c r="W117" s="31">
        <v>500</v>
      </c>
      <c r="X117" s="702"/>
      <c r="Y117" s="31">
        <v>500</v>
      </c>
      <c r="Z117" s="702"/>
      <c r="AA117" s="144">
        <f t="shared" si="31"/>
        <v>6000</v>
      </c>
      <c r="AB117" s="147"/>
      <c r="AC117" s="128">
        <f t="shared" ref="AC117:AC128" si="32">AA117/12</f>
        <v>500</v>
      </c>
      <c r="AD117" s="131"/>
      <c r="AK117" s="74"/>
      <c r="AL117" s="74">
        <f t="shared" si="30"/>
        <v>5910</v>
      </c>
      <c r="AM117" s="74"/>
    </row>
    <row r="118" spans="1:39" s="1" customFormat="1">
      <c r="A118" s="188">
        <v>6403</v>
      </c>
      <c r="B118" s="227" t="s">
        <v>337</v>
      </c>
      <c r="C118" s="113">
        <v>0</v>
      </c>
      <c r="D118" s="702"/>
      <c r="E118" s="113">
        <v>0</v>
      </c>
      <c r="F118" s="702"/>
      <c r="G118" s="113">
        <v>0</v>
      </c>
      <c r="H118" s="702"/>
      <c r="I118" s="113">
        <v>0</v>
      </c>
      <c r="J118" s="702"/>
      <c r="K118" s="113">
        <v>0</v>
      </c>
      <c r="L118" s="702"/>
      <c r="M118" s="113">
        <v>0</v>
      </c>
      <c r="N118" s="702"/>
      <c r="O118" s="113">
        <v>0</v>
      </c>
      <c r="P118" s="702"/>
      <c r="Q118" s="113">
        <v>0</v>
      </c>
      <c r="R118" s="702"/>
      <c r="S118" s="113">
        <v>0</v>
      </c>
      <c r="T118" s="702"/>
      <c r="U118" s="113">
        <v>0</v>
      </c>
      <c r="V118" s="702"/>
      <c r="W118" s="113">
        <v>0</v>
      </c>
      <c r="X118" s="702"/>
      <c r="Y118" s="113">
        <v>0</v>
      </c>
      <c r="Z118" s="702"/>
      <c r="AA118" s="144">
        <f t="shared" si="31"/>
        <v>0</v>
      </c>
      <c r="AB118" s="147"/>
      <c r="AC118" s="128">
        <f t="shared" si="32"/>
        <v>0</v>
      </c>
      <c r="AD118" s="131"/>
      <c r="AK118" s="74"/>
      <c r="AL118" s="74"/>
      <c r="AM118" s="74"/>
    </row>
    <row r="119" spans="1:39" s="1" customFormat="1">
      <c r="A119" s="188">
        <v>6404</v>
      </c>
      <c r="B119" s="227" t="s">
        <v>92</v>
      </c>
      <c r="C119" s="113">
        <v>0</v>
      </c>
      <c r="D119" s="702"/>
      <c r="E119" s="113">
        <v>0</v>
      </c>
      <c r="F119" s="702"/>
      <c r="G119" s="113">
        <v>0</v>
      </c>
      <c r="H119" s="702"/>
      <c r="I119" s="113">
        <v>0</v>
      </c>
      <c r="J119" s="702"/>
      <c r="K119" s="113">
        <v>0</v>
      </c>
      <c r="L119" s="702"/>
      <c r="M119" s="113">
        <v>0</v>
      </c>
      <c r="N119" s="702"/>
      <c r="O119" s="113">
        <v>0</v>
      </c>
      <c r="P119" s="702"/>
      <c r="Q119" s="113">
        <v>0</v>
      </c>
      <c r="R119" s="702"/>
      <c r="S119" s="113">
        <v>0</v>
      </c>
      <c r="T119" s="24"/>
      <c r="U119" s="113"/>
      <c r="V119" s="702"/>
      <c r="W119" s="26">
        <v>0</v>
      </c>
      <c r="X119" s="702"/>
      <c r="Y119" s="26">
        <v>0</v>
      </c>
      <c r="Z119" s="702"/>
      <c r="AA119" s="144">
        <f t="shared" si="31"/>
        <v>0</v>
      </c>
      <c r="AB119" s="147"/>
      <c r="AC119" s="128">
        <f t="shared" si="32"/>
        <v>0</v>
      </c>
      <c r="AD119" s="131"/>
      <c r="AK119" s="74"/>
      <c r="AL119" s="74">
        <f t="shared" si="30"/>
        <v>0</v>
      </c>
      <c r="AM119" s="74"/>
    </row>
    <row r="120" spans="1:39" s="1" customFormat="1">
      <c r="A120" s="188">
        <v>6406</v>
      </c>
      <c r="B120" s="227" t="s">
        <v>72</v>
      </c>
      <c r="C120" s="703"/>
      <c r="D120" s="702"/>
      <c r="E120" s="703"/>
      <c r="F120" s="702"/>
      <c r="G120" s="703"/>
      <c r="H120" s="702"/>
      <c r="I120" s="703"/>
      <c r="J120" s="702"/>
      <c r="K120" s="703"/>
      <c r="L120" s="702"/>
      <c r="M120" s="703"/>
      <c r="N120" s="702"/>
      <c r="O120" s="703"/>
      <c r="P120" s="702"/>
      <c r="Q120" s="703"/>
      <c r="R120" s="702"/>
      <c r="S120" s="703"/>
      <c r="T120" s="24"/>
      <c r="U120" s="703"/>
      <c r="V120" s="702"/>
      <c r="W120" s="26">
        <v>0</v>
      </c>
      <c r="X120" s="702"/>
      <c r="Y120" s="26">
        <v>0</v>
      </c>
      <c r="Z120" s="702"/>
      <c r="AA120" s="144">
        <f t="shared" si="31"/>
        <v>0</v>
      </c>
      <c r="AB120" s="147"/>
      <c r="AC120" s="128">
        <f t="shared" si="32"/>
        <v>0</v>
      </c>
      <c r="AD120" s="131"/>
      <c r="AK120" s="74"/>
      <c r="AL120" s="74">
        <f t="shared" si="30"/>
        <v>0</v>
      </c>
      <c r="AM120" s="74"/>
    </row>
    <row r="121" spans="1:39" s="1" customFormat="1">
      <c r="A121" s="188">
        <v>6407</v>
      </c>
      <c r="B121" s="227" t="s">
        <v>73</v>
      </c>
      <c r="C121" s="703"/>
      <c r="D121" s="702"/>
      <c r="E121" s="703"/>
      <c r="F121" s="702"/>
      <c r="G121" s="703"/>
      <c r="H121" s="702"/>
      <c r="I121" s="703"/>
      <c r="J121" s="702"/>
      <c r="K121" s="703"/>
      <c r="L121" s="702"/>
      <c r="M121" s="703"/>
      <c r="N121" s="702"/>
      <c r="O121" s="703"/>
      <c r="P121" s="702"/>
      <c r="Q121" s="703"/>
      <c r="R121" s="702"/>
      <c r="S121" s="703"/>
      <c r="T121" s="24"/>
      <c r="U121" s="703"/>
      <c r="V121" s="702"/>
      <c r="W121" s="26">
        <v>0</v>
      </c>
      <c r="X121" s="702"/>
      <c r="Y121" s="26">
        <v>0</v>
      </c>
      <c r="Z121" s="702"/>
      <c r="AA121" s="144">
        <f t="shared" si="31"/>
        <v>0</v>
      </c>
      <c r="AB121" s="147"/>
      <c r="AC121" s="128">
        <f t="shared" si="32"/>
        <v>0</v>
      </c>
      <c r="AD121" s="131"/>
      <c r="AK121" s="74"/>
      <c r="AL121" s="74">
        <f t="shared" si="30"/>
        <v>0</v>
      </c>
      <c r="AM121" s="74"/>
    </row>
    <row r="122" spans="1:39" s="1" customFormat="1">
      <c r="A122" s="188">
        <v>6408</v>
      </c>
      <c r="B122" s="227" t="s">
        <v>42</v>
      </c>
      <c r="C122" s="703">
        <v>0</v>
      </c>
      <c r="D122" s="702"/>
      <c r="E122" s="703">
        <v>0</v>
      </c>
      <c r="F122" s="702"/>
      <c r="G122" s="703">
        <v>0</v>
      </c>
      <c r="H122" s="702"/>
      <c r="I122" s="703">
        <v>0</v>
      </c>
      <c r="J122" s="702"/>
      <c r="K122" s="703">
        <v>0</v>
      </c>
      <c r="L122" s="702"/>
      <c r="M122" s="703">
        <v>0</v>
      </c>
      <c r="N122" s="702"/>
      <c r="O122" s="703">
        <v>0</v>
      </c>
      <c r="P122" s="702"/>
      <c r="Q122" s="703">
        <v>0</v>
      </c>
      <c r="R122" s="702"/>
      <c r="S122" s="703">
        <v>0</v>
      </c>
      <c r="T122" s="24"/>
      <c r="U122" s="703">
        <v>0</v>
      </c>
      <c r="V122" s="702"/>
      <c r="W122" s="26">
        <v>0</v>
      </c>
      <c r="X122" s="702"/>
      <c r="Y122" s="26">
        <v>0</v>
      </c>
      <c r="Z122" s="702"/>
      <c r="AA122" s="144">
        <f t="shared" si="31"/>
        <v>0</v>
      </c>
      <c r="AB122" s="147"/>
      <c r="AC122" s="128">
        <f t="shared" si="32"/>
        <v>0</v>
      </c>
      <c r="AD122" s="131"/>
      <c r="AK122" s="74"/>
      <c r="AL122" s="74">
        <f t="shared" si="30"/>
        <v>0</v>
      </c>
      <c r="AM122" s="74"/>
    </row>
    <row r="123" spans="1:39" s="1" customFormat="1">
      <c r="A123" s="188">
        <v>6410</v>
      </c>
      <c r="B123" s="227" t="s">
        <v>117</v>
      </c>
      <c r="C123" s="703"/>
      <c r="D123" s="702"/>
      <c r="E123" s="61"/>
      <c r="F123" s="702"/>
      <c r="G123" s="703"/>
      <c r="H123" s="702"/>
      <c r="I123" s="26">
        <v>0</v>
      </c>
      <c r="J123" s="702"/>
      <c r="K123" s="26">
        <v>0</v>
      </c>
      <c r="L123" s="702"/>
      <c r="M123" s="26">
        <v>0</v>
      </c>
      <c r="N123" s="702"/>
      <c r="O123" s="26">
        <v>0</v>
      </c>
      <c r="P123" s="702"/>
      <c r="Q123" s="26">
        <v>0</v>
      </c>
      <c r="R123" s="702"/>
      <c r="S123" s="26">
        <v>0</v>
      </c>
      <c r="T123" s="24"/>
      <c r="U123" s="26">
        <v>0</v>
      </c>
      <c r="V123" s="702"/>
      <c r="W123" s="26">
        <v>0</v>
      </c>
      <c r="X123" s="702"/>
      <c r="Y123" s="26">
        <v>0</v>
      </c>
      <c r="Z123" s="702"/>
      <c r="AA123" s="144">
        <f t="shared" si="31"/>
        <v>0</v>
      </c>
      <c r="AB123" s="147"/>
      <c r="AC123" s="128">
        <f t="shared" si="32"/>
        <v>0</v>
      </c>
      <c r="AD123" s="131"/>
      <c r="AK123" s="74"/>
      <c r="AL123" s="74">
        <f t="shared" si="30"/>
        <v>0</v>
      </c>
      <c r="AM123" s="74"/>
    </row>
    <row r="124" spans="1:39" s="1" customFormat="1">
      <c r="A124" s="188">
        <v>6411</v>
      </c>
      <c r="B124" s="227" t="s">
        <v>119</v>
      </c>
      <c r="C124" s="703"/>
      <c r="D124" s="702"/>
      <c r="E124" s="61"/>
      <c r="F124" s="702"/>
      <c r="G124" s="703"/>
      <c r="H124" s="702"/>
      <c r="I124" s="26">
        <v>0</v>
      </c>
      <c r="J124" s="702"/>
      <c r="K124" s="26">
        <v>0</v>
      </c>
      <c r="L124" s="702"/>
      <c r="M124" s="26">
        <v>0</v>
      </c>
      <c r="N124" s="702"/>
      <c r="O124" s="26">
        <v>0</v>
      </c>
      <c r="P124" s="702"/>
      <c r="Q124" s="26">
        <v>0</v>
      </c>
      <c r="R124" s="702"/>
      <c r="S124" s="26">
        <v>0</v>
      </c>
      <c r="T124" s="24"/>
      <c r="U124" s="26">
        <v>0</v>
      </c>
      <c r="V124" s="702"/>
      <c r="W124" s="26">
        <v>0</v>
      </c>
      <c r="X124" s="702"/>
      <c r="Y124" s="26">
        <v>0</v>
      </c>
      <c r="Z124" s="702"/>
      <c r="AA124" s="144">
        <f t="shared" si="31"/>
        <v>0</v>
      </c>
      <c r="AB124" s="147"/>
      <c r="AC124" s="128">
        <f t="shared" si="32"/>
        <v>0</v>
      </c>
      <c r="AD124" s="131"/>
      <c r="AK124" s="74"/>
      <c r="AL124" s="74">
        <f t="shared" si="30"/>
        <v>0</v>
      </c>
      <c r="AM124" s="74"/>
    </row>
    <row r="125" spans="1:39" s="1" customFormat="1">
      <c r="A125" s="188">
        <v>6412</v>
      </c>
      <c r="B125" s="227" t="s">
        <v>93</v>
      </c>
      <c r="C125" s="703"/>
      <c r="D125" s="702"/>
      <c r="E125" s="61"/>
      <c r="F125" s="702"/>
      <c r="G125" s="703"/>
      <c r="H125" s="702"/>
      <c r="I125" s="26">
        <v>0</v>
      </c>
      <c r="J125" s="702"/>
      <c r="K125" s="26">
        <v>0</v>
      </c>
      <c r="L125" s="702"/>
      <c r="M125" s="26">
        <v>0</v>
      </c>
      <c r="N125" s="702"/>
      <c r="O125" s="26">
        <v>0</v>
      </c>
      <c r="P125" s="702"/>
      <c r="Q125" s="26">
        <v>0</v>
      </c>
      <c r="R125" s="702"/>
      <c r="S125" s="26">
        <v>0</v>
      </c>
      <c r="T125" s="24"/>
      <c r="U125" s="26">
        <v>0</v>
      </c>
      <c r="V125" s="702"/>
      <c r="W125" s="26">
        <v>0</v>
      </c>
      <c r="X125" s="702"/>
      <c r="Y125" s="26">
        <v>0</v>
      </c>
      <c r="Z125" s="702"/>
      <c r="AA125" s="144">
        <f t="shared" si="31"/>
        <v>0</v>
      </c>
      <c r="AB125" s="147"/>
      <c r="AC125" s="128">
        <f t="shared" si="32"/>
        <v>0</v>
      </c>
      <c r="AD125" s="131"/>
      <c r="AK125" s="74"/>
      <c r="AL125" s="74">
        <f t="shared" si="30"/>
        <v>0</v>
      </c>
      <c r="AM125" s="74"/>
    </row>
    <row r="126" spans="1:39" s="1" customFormat="1">
      <c r="A126" s="188">
        <v>6413</v>
      </c>
      <c r="B126" s="227" t="s">
        <v>41</v>
      </c>
      <c r="C126" s="703"/>
      <c r="D126" s="702"/>
      <c r="E126" s="703"/>
      <c r="F126" s="702"/>
      <c r="G126" s="703"/>
      <c r="H126" s="702"/>
      <c r="I126" s="26">
        <v>0</v>
      </c>
      <c r="J126" s="702"/>
      <c r="K126" s="26">
        <v>0</v>
      </c>
      <c r="L126" s="702"/>
      <c r="M126" s="26">
        <v>0</v>
      </c>
      <c r="N126" s="702"/>
      <c r="O126" s="26">
        <v>0</v>
      </c>
      <c r="P126" s="702"/>
      <c r="Q126" s="26">
        <v>0</v>
      </c>
      <c r="R126" s="702"/>
      <c r="S126" s="26">
        <v>0</v>
      </c>
      <c r="T126" s="24"/>
      <c r="U126" s="26">
        <v>0</v>
      </c>
      <c r="V126" s="702"/>
      <c r="W126" s="26">
        <v>0</v>
      </c>
      <c r="X126" s="702"/>
      <c r="Y126" s="26">
        <v>0</v>
      </c>
      <c r="Z126" s="702"/>
      <c r="AA126" s="144">
        <f t="shared" si="31"/>
        <v>0</v>
      </c>
      <c r="AB126" s="147"/>
      <c r="AC126" s="128">
        <f t="shared" si="32"/>
        <v>0</v>
      </c>
      <c r="AD126" s="131"/>
      <c r="AK126" s="74"/>
      <c r="AL126" s="74">
        <f t="shared" si="30"/>
        <v>0</v>
      </c>
      <c r="AM126" s="74"/>
    </row>
    <row r="127" spans="1:39" s="1" customFormat="1">
      <c r="A127" s="188">
        <v>6414</v>
      </c>
      <c r="B127" s="227" t="s">
        <v>43</v>
      </c>
      <c r="C127" s="703"/>
      <c r="D127" s="702"/>
      <c r="E127" s="61"/>
      <c r="F127" s="702"/>
      <c r="G127" s="703"/>
      <c r="H127" s="702"/>
      <c r="I127" s="26">
        <v>0</v>
      </c>
      <c r="J127" s="702"/>
      <c r="K127" s="26">
        <v>0</v>
      </c>
      <c r="L127" s="702"/>
      <c r="M127" s="26">
        <v>0</v>
      </c>
      <c r="N127" s="702"/>
      <c r="O127" s="26">
        <v>0</v>
      </c>
      <c r="P127" s="702"/>
      <c r="Q127" s="26">
        <v>0</v>
      </c>
      <c r="R127" s="702"/>
      <c r="S127" s="26">
        <v>0</v>
      </c>
      <c r="T127" s="24"/>
      <c r="U127" s="26">
        <v>0</v>
      </c>
      <c r="V127" s="702"/>
      <c r="W127" s="26">
        <v>0</v>
      </c>
      <c r="X127" s="702"/>
      <c r="Y127" s="26">
        <v>0</v>
      </c>
      <c r="Z127" s="702"/>
      <c r="AA127" s="144">
        <f t="shared" si="31"/>
        <v>0</v>
      </c>
      <c r="AB127" s="147"/>
      <c r="AC127" s="128">
        <f t="shared" si="32"/>
        <v>0</v>
      </c>
      <c r="AD127" s="131"/>
      <c r="AK127" s="74"/>
      <c r="AL127" s="74">
        <f t="shared" si="30"/>
        <v>0</v>
      </c>
      <c r="AM127" s="74"/>
    </row>
    <row r="128" spans="1:39" s="1" customFormat="1">
      <c r="A128" s="188">
        <v>6415</v>
      </c>
      <c r="B128" s="227" t="s">
        <v>44</v>
      </c>
      <c r="C128" s="703"/>
      <c r="D128" s="702"/>
      <c r="E128" s="703"/>
      <c r="F128" s="702"/>
      <c r="G128" s="703"/>
      <c r="H128" s="702"/>
      <c r="I128" s="26">
        <v>0</v>
      </c>
      <c r="J128" s="702"/>
      <c r="K128" s="26">
        <v>0</v>
      </c>
      <c r="L128" s="702"/>
      <c r="M128" s="26">
        <v>0</v>
      </c>
      <c r="N128" s="702"/>
      <c r="O128" s="26">
        <v>0</v>
      </c>
      <c r="P128" s="702"/>
      <c r="Q128" s="26">
        <v>0</v>
      </c>
      <c r="R128" s="702"/>
      <c r="S128" s="26">
        <v>0</v>
      </c>
      <c r="T128" s="24"/>
      <c r="U128" s="26">
        <v>0</v>
      </c>
      <c r="V128" s="702"/>
      <c r="W128" s="26">
        <v>0</v>
      </c>
      <c r="X128" s="702"/>
      <c r="Y128" s="26">
        <v>0</v>
      </c>
      <c r="Z128" s="702"/>
      <c r="AA128" s="144">
        <f t="shared" si="31"/>
        <v>0</v>
      </c>
      <c r="AB128" s="147"/>
      <c r="AC128" s="128">
        <f t="shared" si="32"/>
        <v>0</v>
      </c>
      <c r="AD128" s="131"/>
      <c r="AK128" s="74"/>
      <c r="AL128" s="74">
        <f t="shared" si="30"/>
        <v>0</v>
      </c>
      <c r="AM128" s="74"/>
    </row>
    <row r="129" spans="1:59" s="1" customFormat="1" ht="15.75" thickBot="1">
      <c r="A129" s="4">
        <v>6499</v>
      </c>
      <c r="B129" s="229" t="s">
        <v>114</v>
      </c>
      <c r="C129" s="116">
        <f>SUM(C116:C128)</f>
        <v>500</v>
      </c>
      <c r="D129" s="89"/>
      <c r="E129" s="76">
        <f>SUM(E116:E128)</f>
        <v>500</v>
      </c>
      <c r="F129" s="89"/>
      <c r="G129" s="116">
        <f>SUM(G116:G128)</f>
        <v>500</v>
      </c>
      <c r="H129" s="89"/>
      <c r="I129" s="76">
        <f>SUM(I116:I128)</f>
        <v>500</v>
      </c>
      <c r="J129" s="89"/>
      <c r="K129" s="76">
        <f>SUM(K116:K128)</f>
        <v>500</v>
      </c>
      <c r="L129" s="89"/>
      <c r="M129" s="76">
        <f>SUM(M116:M128)</f>
        <v>500</v>
      </c>
      <c r="N129" s="89"/>
      <c r="O129" s="76">
        <f>SUM(O116:O128)</f>
        <v>500</v>
      </c>
      <c r="P129" s="89"/>
      <c r="Q129" s="76">
        <f>SUM(Q116:Q128)</f>
        <v>500</v>
      </c>
      <c r="R129" s="89"/>
      <c r="S129" s="76">
        <f>SUM(S116:S128)</f>
        <v>500</v>
      </c>
      <c r="T129" s="532"/>
      <c r="U129" s="76">
        <f>SUM(U116:U128)</f>
        <v>500</v>
      </c>
      <c r="V129" s="89"/>
      <c r="W129" s="52">
        <f>SUM(W116:W128)</f>
        <v>500</v>
      </c>
      <c r="X129" s="89"/>
      <c r="Y129" s="76">
        <f>SUM(Y116:Y128)</f>
        <v>500</v>
      </c>
      <c r="Z129" s="89"/>
      <c r="AA129" s="148">
        <f>SUM(AA116:AA128)</f>
        <v>6000</v>
      </c>
      <c r="AB129" s="149"/>
      <c r="AC129" s="132">
        <f>SUM(AC116:AC128)</f>
        <v>500</v>
      </c>
      <c r="AD129" s="133"/>
      <c r="AK129" s="74"/>
      <c r="AL129" s="74">
        <f t="shared" si="30"/>
        <v>5910</v>
      </c>
      <c r="AM129" s="74"/>
    </row>
    <row r="130" spans="1:59" s="1" customFormat="1" ht="15.75" thickTop="1">
      <c r="A130" s="222"/>
      <c r="B130" s="230"/>
      <c r="C130" s="703"/>
      <c r="D130" s="102"/>
      <c r="E130" s="82"/>
      <c r="F130" s="102"/>
      <c r="G130" s="703"/>
      <c r="H130" s="102"/>
      <c r="I130" s="82"/>
      <c r="J130" s="102"/>
      <c r="K130" s="82"/>
      <c r="L130" s="102"/>
      <c r="M130" s="82"/>
      <c r="N130" s="102"/>
      <c r="O130" s="82"/>
      <c r="P130" s="102"/>
      <c r="Q130" s="60"/>
      <c r="R130" s="102"/>
      <c r="S130" s="82"/>
      <c r="T130" s="531"/>
      <c r="U130" s="82"/>
      <c r="V130" s="102"/>
      <c r="W130" s="60"/>
      <c r="X130" s="102"/>
      <c r="Y130" s="82"/>
      <c r="Z130" s="102"/>
      <c r="AA130" s="154"/>
      <c r="AB130" s="160"/>
      <c r="AC130" s="139"/>
      <c r="AD130" s="163"/>
      <c r="AK130" s="74"/>
      <c r="AL130" s="74">
        <f t="shared" si="30"/>
        <v>0</v>
      </c>
      <c r="AM130" s="74"/>
    </row>
    <row r="131" spans="1:59" s="1" customFormat="1" ht="15.75" thickBot="1">
      <c r="A131" s="4"/>
      <c r="B131" s="229" t="s">
        <v>133</v>
      </c>
      <c r="C131" s="257">
        <f>C37-C41-C76-C93-C115-C129</f>
        <v>-2000</v>
      </c>
      <c r="D131" s="259"/>
      <c r="E131" s="257">
        <f>E37-E41-E76-E93-E115-E129</f>
        <v>-2000</v>
      </c>
      <c r="F131" s="259"/>
      <c r="G131" s="258">
        <f>G37-G41-G76-G93-G115-G129</f>
        <v>-2000</v>
      </c>
      <c r="H131" s="259"/>
      <c r="I131" s="257">
        <f>I37-I41-I76-I93-I115-I129</f>
        <v>-2000</v>
      </c>
      <c r="J131" s="259"/>
      <c r="K131" s="257">
        <f>K37-K41-K76-K93-K115-K129</f>
        <v>-2000</v>
      </c>
      <c r="L131" s="259"/>
      <c r="M131" s="257">
        <f>M37-M41-M76-M93-M115-M129</f>
        <v>-2000</v>
      </c>
      <c r="N131" s="259"/>
      <c r="O131" s="257">
        <f>O37-O41-O76-O93-O115-O129</f>
        <v>-2000</v>
      </c>
      <c r="P131" s="259"/>
      <c r="Q131" s="253">
        <f>Q37-Q41-Q76-Q93-Q115-Q129</f>
        <v>-2610</v>
      </c>
      <c r="R131" s="259"/>
      <c r="S131" s="257">
        <f>S37-S41-S76-S93-S115-S129</f>
        <v>-1999.9999999995198</v>
      </c>
      <c r="T131" s="536"/>
      <c r="U131" s="257">
        <f>U37-U41-U76-U93-U115-U129</f>
        <v>-2000</v>
      </c>
      <c r="V131" s="259"/>
      <c r="W131" s="253">
        <f>W37-W41-W76-W93-W115-W129</f>
        <v>-2000</v>
      </c>
      <c r="X131" s="259"/>
      <c r="Y131" s="257">
        <f>Y37-Y41-Y76-Y93-Y115-Y129</f>
        <v>-2000</v>
      </c>
      <c r="Z131" s="259"/>
      <c r="AA131" s="253">
        <f>AA37-AA41-AA76-AA93-AA115-AA129</f>
        <v>-24609.99999999952</v>
      </c>
      <c r="AB131" s="259"/>
      <c r="AC131" s="254">
        <f>AC37-AC41-AC76-AC93-AC115-AC129</f>
        <v>-2050.833333333293</v>
      </c>
      <c r="AD131" s="259"/>
      <c r="AK131" s="74"/>
      <c r="AL131" s="74">
        <f t="shared" si="30"/>
        <v>-24240.849999999526</v>
      </c>
      <c r="AM131" s="74"/>
    </row>
    <row r="132" spans="1:59" s="1" customFormat="1" ht="15.75" thickTop="1">
      <c r="A132" s="222"/>
      <c r="B132" s="230"/>
      <c r="C132" s="703"/>
      <c r="D132" s="102"/>
      <c r="E132" s="82"/>
      <c r="F132" s="102"/>
      <c r="G132" s="703"/>
      <c r="H132" s="102"/>
      <c r="I132" s="82"/>
      <c r="J132" s="102"/>
      <c r="K132" s="82"/>
      <c r="L132" s="102"/>
      <c r="M132" s="82"/>
      <c r="N132" s="102"/>
      <c r="O132" s="82"/>
      <c r="P132" s="102"/>
      <c r="Q132" s="60"/>
      <c r="R132" s="102"/>
      <c r="S132" s="82"/>
      <c r="T132" s="531"/>
      <c r="U132" s="82"/>
      <c r="V132" s="102"/>
      <c r="W132" s="60"/>
      <c r="X132" s="102"/>
      <c r="Y132" s="82"/>
      <c r="Z132" s="102"/>
      <c r="AA132" s="154"/>
      <c r="AB132" s="160"/>
      <c r="AC132" s="139"/>
      <c r="AD132" s="163"/>
      <c r="AK132" s="74"/>
      <c r="AL132" s="74">
        <f t="shared" si="30"/>
        <v>0</v>
      </c>
      <c r="AM132" s="74"/>
    </row>
    <row r="133" spans="1:59" s="1" customFormat="1" ht="15.75" thickBot="1">
      <c r="A133" s="4"/>
      <c r="B133" s="4" t="s">
        <v>149</v>
      </c>
      <c r="C133" s="116"/>
      <c r="D133" s="89"/>
      <c r="E133" s="76"/>
      <c r="F133" s="89"/>
      <c r="G133" s="116"/>
      <c r="H133" s="89"/>
      <c r="I133" s="76">
        <v>0</v>
      </c>
      <c r="J133" s="89"/>
      <c r="K133" s="28">
        <v>0</v>
      </c>
      <c r="L133" s="89"/>
      <c r="M133" s="28">
        <v>0</v>
      </c>
      <c r="N133" s="89"/>
      <c r="O133" s="28">
        <v>0</v>
      </c>
      <c r="P133" s="89"/>
      <c r="Q133" s="273">
        <v>0</v>
      </c>
      <c r="R133" s="89"/>
      <c r="S133" s="28">
        <v>0</v>
      </c>
      <c r="T133" s="532"/>
      <c r="U133" s="28">
        <v>0</v>
      </c>
      <c r="V133" s="89"/>
      <c r="W133" s="28">
        <v>0</v>
      </c>
      <c r="X133" s="89"/>
      <c r="Y133" s="28">
        <v>0</v>
      </c>
      <c r="Z133" s="89"/>
      <c r="AA133" s="148">
        <f>C133+E133+G133+I133+K133+M133+O133+Q133+S133+U133+W133+Y133</f>
        <v>0</v>
      </c>
      <c r="AB133" s="149"/>
      <c r="AC133" s="265">
        <f t="shared" ref="AC133" si="33">AA133/9</f>
        <v>0</v>
      </c>
      <c r="AD133" s="133"/>
      <c r="AK133" s="74"/>
      <c r="AL133" s="74">
        <f t="shared" si="30"/>
        <v>0</v>
      </c>
      <c r="AM133" s="74"/>
    </row>
    <row r="134" spans="1:59" s="1" customFormat="1" ht="15.75" thickTop="1">
      <c r="A134" s="222"/>
      <c r="B134" s="222"/>
      <c r="C134" s="703"/>
      <c r="D134" s="102"/>
      <c r="E134" s="82"/>
      <c r="F134" s="102"/>
      <c r="G134" s="703"/>
      <c r="H134" s="102"/>
      <c r="I134" s="82"/>
      <c r="J134" s="102"/>
      <c r="K134" s="82"/>
      <c r="L134" s="102"/>
      <c r="M134" s="82"/>
      <c r="N134" s="102"/>
      <c r="O134" s="82"/>
      <c r="P134" s="102"/>
      <c r="Q134" s="60"/>
      <c r="R134" s="102"/>
      <c r="S134" s="82"/>
      <c r="T134" s="531"/>
      <c r="U134" s="82"/>
      <c r="V134" s="102"/>
      <c r="W134" s="60"/>
      <c r="X134" s="102"/>
      <c r="Y134" s="82"/>
      <c r="Z134" s="102"/>
      <c r="AA134" s="154"/>
      <c r="AB134" s="160"/>
      <c r="AC134" s="139"/>
      <c r="AD134" s="163"/>
      <c r="AK134" s="74"/>
      <c r="AL134" s="74">
        <f t="shared" si="30"/>
        <v>0</v>
      </c>
      <c r="AM134" s="74"/>
    </row>
    <row r="135" spans="1:59" s="1" customFormat="1" ht="15.75" thickBot="1">
      <c r="A135" s="4"/>
      <c r="B135" s="4" t="s">
        <v>140</v>
      </c>
      <c r="C135" s="196">
        <f>C131-C133</f>
        <v>-2000</v>
      </c>
      <c r="D135" s="89"/>
      <c r="E135" s="52">
        <f>E131-E133</f>
        <v>-2000</v>
      </c>
      <c r="F135" s="89"/>
      <c r="G135" s="52">
        <f>G131-G133</f>
        <v>-2000</v>
      </c>
      <c r="H135" s="89"/>
      <c r="I135" s="52">
        <f>I131-I133</f>
        <v>-2000</v>
      </c>
      <c r="J135" s="89"/>
      <c r="K135" s="52">
        <f>K131-K133</f>
        <v>-2000</v>
      </c>
      <c r="L135" s="89"/>
      <c r="M135" s="52">
        <f>M131-M133</f>
        <v>-2000</v>
      </c>
      <c r="N135" s="89"/>
      <c r="O135" s="52">
        <f>O131-O133</f>
        <v>-2000</v>
      </c>
      <c r="P135" s="89"/>
      <c r="Q135" s="52">
        <f>Q131-Q133</f>
        <v>-2610</v>
      </c>
      <c r="R135" s="89"/>
      <c r="S135" s="52">
        <f>S131-S133</f>
        <v>-1999.9999999995198</v>
      </c>
      <c r="T135" s="532"/>
      <c r="U135" s="52">
        <f>U131-U133</f>
        <v>-2000</v>
      </c>
      <c r="V135" s="89"/>
      <c r="W135" s="52">
        <f>W131-W133</f>
        <v>-2000</v>
      </c>
      <c r="X135" s="89"/>
      <c r="Y135" s="52">
        <f>Y131-Y133</f>
        <v>-2000</v>
      </c>
      <c r="Z135" s="89"/>
      <c r="AA135" s="52">
        <f>AA131-AA133</f>
        <v>-24609.99999999952</v>
      </c>
      <c r="AB135" s="89"/>
      <c r="AC135" s="52">
        <f>AC131-AC133</f>
        <v>-2050.833333333293</v>
      </c>
      <c r="AD135" s="89"/>
      <c r="AK135" s="74"/>
      <c r="AL135" s="74">
        <f t="shared" si="30"/>
        <v>-24240.849999999526</v>
      </c>
      <c r="AM135" s="74"/>
    </row>
    <row r="136" spans="1:59" s="1" customFormat="1" ht="15.75" thickTop="1">
      <c r="A136" s="21">
        <v>6501</v>
      </c>
      <c r="B136" s="231"/>
      <c r="C136" s="703"/>
      <c r="D136" s="702"/>
      <c r="E136" s="82"/>
      <c r="F136" s="702"/>
      <c r="G136" s="703"/>
      <c r="H136" s="702"/>
      <c r="I136" s="82"/>
      <c r="J136" s="702"/>
      <c r="K136" s="82"/>
      <c r="L136" s="702"/>
      <c r="M136" s="82"/>
      <c r="N136" s="702"/>
      <c r="O136" s="82"/>
      <c r="P136" s="702"/>
      <c r="Q136" s="60"/>
      <c r="R136" s="702"/>
      <c r="S136" s="82"/>
      <c r="T136" s="24"/>
      <c r="U136" s="82"/>
      <c r="V136" s="702"/>
      <c r="W136" s="60"/>
      <c r="X136" s="702"/>
      <c r="Y136" s="82"/>
      <c r="Z136" s="702"/>
      <c r="AA136" s="144">
        <f t="shared" ref="AA136:AA143" si="34">C136+E136+G136+I136+K136+M136+O136+Q136+S136+U136+W136+Y136</f>
        <v>0</v>
      </c>
      <c r="AB136" s="147"/>
      <c r="AC136" s="128">
        <f>AA136/12</f>
        <v>0</v>
      </c>
      <c r="AD136" s="131"/>
      <c r="AK136" s="74"/>
      <c r="AL136" s="74">
        <f t="shared" si="30"/>
        <v>0</v>
      </c>
      <c r="AM136" s="74"/>
    </row>
    <row r="137" spans="1:59" s="1" customFormat="1">
      <c r="A137" s="188">
        <v>6502</v>
      </c>
      <c r="B137" s="21" t="s">
        <v>136</v>
      </c>
      <c r="C137" s="83">
        <v>4464.25</v>
      </c>
      <c r="D137" s="702"/>
      <c r="E137" s="83">
        <v>4464.25</v>
      </c>
      <c r="F137" s="702"/>
      <c r="G137" s="83">
        <v>4464.25</v>
      </c>
      <c r="H137" s="702"/>
      <c r="I137" s="83">
        <v>4464.25</v>
      </c>
      <c r="J137" s="702"/>
      <c r="K137" s="83">
        <v>4464.25</v>
      </c>
      <c r="L137" s="702"/>
      <c r="M137" s="83">
        <v>4464.25</v>
      </c>
      <c r="N137" s="702"/>
      <c r="O137" s="83">
        <v>4464.25</v>
      </c>
      <c r="P137" s="702"/>
      <c r="Q137" s="83">
        <v>4464.25</v>
      </c>
      <c r="R137" s="702"/>
      <c r="S137" s="83">
        <v>4464.25</v>
      </c>
      <c r="T137" s="24"/>
      <c r="U137" s="83">
        <v>4464.25</v>
      </c>
      <c r="V137" s="702"/>
      <c r="W137" s="83">
        <v>4464.25</v>
      </c>
      <c r="X137" s="702"/>
      <c r="Y137" s="83">
        <v>4464.25</v>
      </c>
      <c r="Z137" s="702"/>
      <c r="AA137" s="144">
        <f t="shared" si="34"/>
        <v>53571</v>
      </c>
      <c r="AB137" s="147"/>
      <c r="AC137" s="128">
        <f t="shared" ref="AC137:AC143" si="35">AA137/12</f>
        <v>4464.25</v>
      </c>
      <c r="AD137" s="131"/>
      <c r="AK137" s="74"/>
      <c r="AL137" s="74">
        <f t="shared" si="30"/>
        <v>52767.43499999999</v>
      </c>
      <c r="AM137" s="74"/>
    </row>
    <row r="138" spans="1:59" s="1" customFormat="1">
      <c r="A138" s="188">
        <v>6503</v>
      </c>
      <c r="B138" s="21" t="s">
        <v>137</v>
      </c>
      <c r="C138" s="83">
        <f>4583.34-1527.78</f>
        <v>3055.5600000000004</v>
      </c>
      <c r="D138" s="702"/>
      <c r="E138" s="83">
        <f>4583.34-1527.78</f>
        <v>3055.5600000000004</v>
      </c>
      <c r="F138" s="702"/>
      <c r="G138" s="83">
        <f>4583.34-1527.78</f>
        <v>3055.5600000000004</v>
      </c>
      <c r="H138" s="702"/>
      <c r="I138" s="83">
        <f>4583.34-1527.78</f>
        <v>3055.5600000000004</v>
      </c>
      <c r="J138" s="702"/>
      <c r="K138" s="83">
        <f>4583.34-1527.78</f>
        <v>3055.5600000000004</v>
      </c>
      <c r="L138" s="702"/>
      <c r="M138" s="83">
        <f>4583.34-1527.78</f>
        <v>3055.5600000000004</v>
      </c>
      <c r="N138" s="702"/>
      <c r="O138" s="83">
        <f>4583.34-1527.78</f>
        <v>3055.5600000000004</v>
      </c>
      <c r="P138" s="702"/>
      <c r="Q138" s="83">
        <f>4583.34-1527.78</f>
        <v>3055.5600000000004</v>
      </c>
      <c r="R138" s="702"/>
      <c r="S138" s="83">
        <f>4583.34-1527.78</f>
        <v>3055.5600000000004</v>
      </c>
      <c r="T138" s="24"/>
      <c r="U138" s="83">
        <f>4583.34-1527.78</f>
        <v>3055.5600000000004</v>
      </c>
      <c r="V138" s="702"/>
      <c r="W138" s="83">
        <f>4583.34-1527.78</f>
        <v>3055.5600000000004</v>
      </c>
      <c r="X138" s="702"/>
      <c r="Y138" s="83">
        <f>4583.34-1527.78</f>
        <v>3055.5600000000004</v>
      </c>
      <c r="Z138" s="702"/>
      <c r="AA138" s="144">
        <f t="shared" si="34"/>
        <v>36666.720000000008</v>
      </c>
      <c r="AB138" s="147"/>
      <c r="AC138" s="128">
        <f t="shared" si="35"/>
        <v>3055.5600000000009</v>
      </c>
      <c r="AD138" s="131"/>
      <c r="AK138" s="74"/>
      <c r="AL138" s="74">
        <f t="shared" si="30"/>
        <v>36116.719200000014</v>
      </c>
      <c r="AM138" s="74"/>
    </row>
    <row r="139" spans="1:59" s="33" customFormat="1">
      <c r="A139" s="986">
        <v>6504</v>
      </c>
      <c r="B139" s="769" t="s">
        <v>138</v>
      </c>
      <c r="C139" s="33">
        <v>0</v>
      </c>
      <c r="D139" s="770"/>
      <c r="E139" s="33">
        <v>0</v>
      </c>
      <c r="F139" s="770"/>
      <c r="G139" s="33">
        <v>0</v>
      </c>
      <c r="H139" s="770"/>
      <c r="I139" s="33">
        <v>0</v>
      </c>
      <c r="J139" s="770"/>
      <c r="K139" s="33">
        <v>0</v>
      </c>
      <c r="L139" s="770"/>
      <c r="M139" s="33">
        <v>0</v>
      </c>
      <c r="N139" s="770"/>
      <c r="O139" s="33">
        <v>0</v>
      </c>
      <c r="P139" s="770"/>
      <c r="Q139" s="33">
        <v>0</v>
      </c>
      <c r="R139" s="770"/>
      <c r="S139" s="33">
        <v>0</v>
      </c>
      <c r="T139" s="770"/>
      <c r="U139" s="33">
        <v>0</v>
      </c>
      <c r="V139" s="770"/>
      <c r="W139" s="33">
        <v>0</v>
      </c>
      <c r="X139" s="770"/>
      <c r="Y139" s="33">
        <v>0</v>
      </c>
      <c r="Z139" s="770"/>
      <c r="AA139" s="771">
        <f t="shared" si="34"/>
        <v>0</v>
      </c>
      <c r="AB139" s="772"/>
      <c r="AC139" s="773">
        <f t="shared" si="35"/>
        <v>0</v>
      </c>
      <c r="AD139" s="774"/>
      <c r="AE139" s="33" t="s">
        <v>157</v>
      </c>
      <c r="AK139" s="26"/>
      <c r="AL139" s="26">
        <f t="shared" si="30"/>
        <v>0</v>
      </c>
      <c r="AM139" s="26"/>
      <c r="BG139" s="33" t="e">
        <f>SUM(#REF!)</f>
        <v>#REF!</v>
      </c>
    </row>
    <row r="140" spans="1:59" s="1" customFormat="1">
      <c r="A140" s="188">
        <v>6505</v>
      </c>
      <c r="B140" s="188" t="s">
        <v>139</v>
      </c>
      <c r="C140" s="83"/>
      <c r="D140" s="702"/>
      <c r="E140" s="83"/>
      <c r="F140" s="702"/>
      <c r="G140" s="83"/>
      <c r="H140" s="702"/>
      <c r="I140" s="83"/>
      <c r="J140" s="702"/>
      <c r="K140" s="83"/>
      <c r="L140" s="702"/>
      <c r="M140" s="83"/>
      <c r="N140" s="702"/>
      <c r="O140" s="83"/>
      <c r="P140" s="702"/>
      <c r="Q140" s="62"/>
      <c r="R140" s="702"/>
      <c r="S140" s="83"/>
      <c r="T140" s="24"/>
      <c r="U140" s="83"/>
      <c r="V140" s="702"/>
      <c r="W140" s="62"/>
      <c r="X140" s="702"/>
      <c r="Y140" s="83"/>
      <c r="Z140" s="702"/>
      <c r="AA140" s="144">
        <f t="shared" si="34"/>
        <v>0</v>
      </c>
      <c r="AB140" s="147"/>
      <c r="AC140" s="128">
        <f t="shared" si="35"/>
        <v>0</v>
      </c>
      <c r="AD140" s="131"/>
      <c r="AK140" s="74"/>
      <c r="AL140" s="74">
        <f t="shared" si="30"/>
        <v>0</v>
      </c>
      <c r="AM140" s="74"/>
    </row>
    <row r="141" spans="1:59" s="1" customFormat="1">
      <c r="A141" s="188">
        <v>6506</v>
      </c>
      <c r="B141" s="188" t="s">
        <v>229</v>
      </c>
      <c r="C141" s="33">
        <v>0</v>
      </c>
      <c r="D141" s="106"/>
      <c r="E141" s="33">
        <v>0</v>
      </c>
      <c r="F141" s="106"/>
      <c r="G141" s="33">
        <v>0</v>
      </c>
      <c r="H141" s="106"/>
      <c r="I141" s="33">
        <v>0</v>
      </c>
      <c r="J141" s="106"/>
      <c r="K141" s="33">
        <v>0</v>
      </c>
      <c r="L141" s="106"/>
      <c r="M141" s="33">
        <v>0</v>
      </c>
      <c r="N141" s="106"/>
      <c r="O141" s="33">
        <v>0</v>
      </c>
      <c r="P141" s="106"/>
      <c r="Q141" s="33">
        <v>0</v>
      </c>
      <c r="R141" s="106"/>
      <c r="S141" s="33">
        <v>0</v>
      </c>
      <c r="T141" s="537"/>
      <c r="U141" s="33">
        <v>0</v>
      </c>
      <c r="V141" s="106"/>
      <c r="W141" s="33">
        <v>0</v>
      </c>
      <c r="X141" s="106"/>
      <c r="Y141" s="33">
        <v>0</v>
      </c>
      <c r="Z141" s="106"/>
      <c r="AA141" s="144">
        <f t="shared" si="34"/>
        <v>0</v>
      </c>
      <c r="AB141" s="106"/>
      <c r="AC141" s="144">
        <f>E141+G141+I141+K141+M141+O141+Q141+S141+U141+W141+Y141+AA141</f>
        <v>0</v>
      </c>
      <c r="AD141" s="106"/>
      <c r="AK141" s="374"/>
      <c r="AL141" s="374"/>
      <c r="AM141" s="374"/>
    </row>
    <row r="142" spans="1:59" s="1" customFormat="1">
      <c r="A142" s="188">
        <v>6604</v>
      </c>
      <c r="B142" s="188" t="s">
        <v>145</v>
      </c>
      <c r="C142" s="703"/>
      <c r="D142" s="702"/>
      <c r="E142" s="61"/>
      <c r="F142" s="702"/>
      <c r="G142" s="703"/>
      <c r="H142" s="702"/>
      <c r="I142" s="61"/>
      <c r="J142" s="702"/>
      <c r="K142" s="61"/>
      <c r="L142" s="702"/>
      <c r="M142" s="61"/>
      <c r="N142" s="702"/>
      <c r="O142" s="61"/>
      <c r="P142" s="702"/>
      <c r="Q142" s="51"/>
      <c r="R142" s="702"/>
      <c r="S142" s="61"/>
      <c r="T142" s="24"/>
      <c r="U142" s="61"/>
      <c r="V142" s="702"/>
      <c r="W142" s="51"/>
      <c r="X142" s="702"/>
      <c r="Y142" s="61"/>
      <c r="Z142" s="702"/>
      <c r="AA142" s="144">
        <f t="shared" si="34"/>
        <v>0</v>
      </c>
      <c r="AB142" s="147"/>
      <c r="AC142" s="128">
        <f t="shared" si="35"/>
        <v>0</v>
      </c>
      <c r="AD142" s="131"/>
      <c r="AK142" s="74"/>
      <c r="AL142" s="74">
        <f t="shared" ref="AL142:AL149" si="36">C142*0.985+E142*0.985+G142*0.985+I142*0.985+K142*0.985+M142*0.985+O142*0.985+Q142*0.985+S142*0.985+U142*0.985+W142*0.985+Y142*0.985</f>
        <v>0</v>
      </c>
      <c r="AM142" s="74"/>
    </row>
    <row r="143" spans="1:59" s="1" customFormat="1">
      <c r="A143" s="2"/>
      <c r="B143" s="2"/>
      <c r="C143" s="703"/>
      <c r="D143" s="226"/>
      <c r="E143" s="61"/>
      <c r="F143" s="226"/>
      <c r="G143" s="82"/>
      <c r="H143" s="226"/>
      <c r="I143" s="61"/>
      <c r="J143" s="226"/>
      <c r="K143" s="61"/>
      <c r="L143" s="226"/>
      <c r="M143" s="61"/>
      <c r="N143" s="226"/>
      <c r="O143" s="61"/>
      <c r="P143" s="226"/>
      <c r="Q143" s="51"/>
      <c r="R143" s="226"/>
      <c r="S143" s="61"/>
      <c r="T143" s="403"/>
      <c r="U143" s="61"/>
      <c r="V143" s="226"/>
      <c r="W143" s="51"/>
      <c r="X143" s="226"/>
      <c r="Y143" s="61"/>
      <c r="Z143" s="226"/>
      <c r="AA143" s="144">
        <f t="shared" si="34"/>
        <v>0</v>
      </c>
      <c r="AB143" s="262"/>
      <c r="AC143" s="128">
        <f t="shared" si="35"/>
        <v>0</v>
      </c>
      <c r="AD143" s="131"/>
      <c r="AK143" s="74"/>
      <c r="AL143" s="74">
        <f t="shared" si="36"/>
        <v>0</v>
      </c>
      <c r="AM143" s="74"/>
    </row>
    <row r="144" spans="1:59" s="1" customFormat="1" ht="15" customHeight="1">
      <c r="A144" s="63">
        <v>6798</v>
      </c>
      <c r="B144" s="63" t="s">
        <v>205</v>
      </c>
      <c r="C144" s="79">
        <f>SUM(C136:C143)</f>
        <v>7519.81</v>
      </c>
      <c r="D144" s="87"/>
      <c r="E144" s="79">
        <f>SUM(E136:E143)</f>
        <v>7519.81</v>
      </c>
      <c r="F144" s="87"/>
      <c r="G144" s="79">
        <f>SUM(G136:G143)</f>
        <v>7519.81</v>
      </c>
      <c r="H144" s="87"/>
      <c r="I144" s="79">
        <f>SUM(I136:I143)</f>
        <v>7519.81</v>
      </c>
      <c r="J144" s="87"/>
      <c r="K144" s="79">
        <f>SUM(K136:K143)</f>
        <v>7519.81</v>
      </c>
      <c r="L144" s="87"/>
      <c r="M144" s="79">
        <f>SUM(M136:M143)</f>
        <v>7519.81</v>
      </c>
      <c r="N144" s="87"/>
      <c r="O144" s="79">
        <f>SUM(O136:O143)</f>
        <v>7519.81</v>
      </c>
      <c r="P144" s="87"/>
      <c r="Q144" s="79">
        <f>SUM(Q136:Q143)</f>
        <v>7519.81</v>
      </c>
      <c r="R144" s="87"/>
      <c r="S144" s="79">
        <f>SUM(S136:S143)</f>
        <v>7519.81</v>
      </c>
      <c r="T144" s="535"/>
      <c r="U144" s="79">
        <f>SUM(U136:U143)</f>
        <v>7519.81</v>
      </c>
      <c r="V144" s="87"/>
      <c r="W144" s="79">
        <f>SUM(W136:W143)</f>
        <v>7519.81</v>
      </c>
      <c r="X144" s="87"/>
      <c r="Y144" s="79">
        <f>SUM(Y136:Y143)</f>
        <v>7519.81</v>
      </c>
      <c r="Z144" s="87"/>
      <c r="AA144" s="152">
        <f>SUM(AA136:AA143)</f>
        <v>90237.72</v>
      </c>
      <c r="AB144" s="153"/>
      <c r="AC144" s="137">
        <f>SUM(AC136:AC143)</f>
        <v>7519.8100000000013</v>
      </c>
      <c r="AD144" s="138"/>
      <c r="AE144" s="327"/>
      <c r="AK144" s="74"/>
      <c r="AL144" s="74">
        <f t="shared" si="36"/>
        <v>88884.154200000004</v>
      </c>
      <c r="AM144" s="74"/>
    </row>
    <row r="145" spans="1:57" s="1" customFormat="1">
      <c r="A145" s="63">
        <v>6799</v>
      </c>
      <c r="B145" s="63" t="s">
        <v>135</v>
      </c>
      <c r="C145" s="119">
        <f>C41+C76+C93+C115+C129+C144</f>
        <v>8019.81</v>
      </c>
      <c r="D145" s="87"/>
      <c r="E145" s="79">
        <f>E41+E76+E93+E115+E129+E144</f>
        <v>8019.81</v>
      </c>
      <c r="F145" s="87"/>
      <c r="G145" s="119">
        <f>G41+G76+G93+G115+G129+G144</f>
        <v>8019.81</v>
      </c>
      <c r="H145" s="87"/>
      <c r="I145" s="79">
        <f>I41+I76+I93+I115+I129+I144</f>
        <v>8019.81</v>
      </c>
      <c r="J145" s="87"/>
      <c r="K145" s="79">
        <f>K41+K76+K93+K115+K129+K144+K133</f>
        <v>8019.81</v>
      </c>
      <c r="L145" s="87"/>
      <c r="M145" s="79">
        <f>M41+M76+M93+M115+M129+M144+M133</f>
        <v>8019.81</v>
      </c>
      <c r="N145" s="87"/>
      <c r="O145" s="79">
        <f>O41+O76+O93+O115+O129+O144+O133</f>
        <v>8019.81</v>
      </c>
      <c r="P145" s="87"/>
      <c r="Q145" s="79">
        <f>Q41+Q76+Q93+Q115+Q129+Q144+Q133</f>
        <v>8629.8100000000013</v>
      </c>
      <c r="R145" s="87"/>
      <c r="S145" s="79">
        <f>S41+S76+S93+S115+S129+S144+S133</f>
        <v>8019.81</v>
      </c>
      <c r="T145" s="535"/>
      <c r="U145" s="79">
        <f>U41+U76+U93+U115+U129+U144+U133</f>
        <v>8019.81</v>
      </c>
      <c r="V145" s="87"/>
      <c r="W145" s="79">
        <f>W41+W76+W93+W115+W129+W144+W133</f>
        <v>8019.81</v>
      </c>
      <c r="X145" s="87"/>
      <c r="Y145" s="79">
        <f>Y41+Y76+Y93+Y115+Y129+Y144+Y133</f>
        <v>8019.81</v>
      </c>
      <c r="Z145" s="87"/>
      <c r="AA145" s="79">
        <f>AA41+AA76+AA93+AA115+AA129+AA144+AA133</f>
        <v>96847.72</v>
      </c>
      <c r="AB145" s="167"/>
      <c r="AC145" s="79">
        <f>AC41+AC76+AC93+AC115+AC129+AC144+110</f>
        <v>8180.6433333333343</v>
      </c>
      <c r="AD145" s="163"/>
      <c r="AK145" s="74"/>
      <c r="AL145" s="74">
        <f t="shared" si="36"/>
        <v>95395.004199999996</v>
      </c>
      <c r="AM145" s="74"/>
    </row>
    <row r="146" spans="1:57" s="1" customFormat="1" ht="15.75" thickBot="1">
      <c r="A146" s="11">
        <v>6999</v>
      </c>
      <c r="B146" s="11" t="s">
        <v>144</v>
      </c>
      <c r="C146" s="195">
        <f>C135-C144</f>
        <v>-9519.8100000000013</v>
      </c>
      <c r="D146" s="88"/>
      <c r="E146" s="59">
        <f>E135-E144</f>
        <v>-9519.8100000000013</v>
      </c>
      <c r="F146" s="88"/>
      <c r="G146" s="59">
        <f>G135-G144</f>
        <v>-9519.8100000000013</v>
      </c>
      <c r="H146" s="88"/>
      <c r="I146" s="59">
        <f>I135-I144</f>
        <v>-9519.8100000000013</v>
      </c>
      <c r="J146" s="88"/>
      <c r="K146" s="59">
        <f>K135-K144</f>
        <v>-9519.8100000000013</v>
      </c>
      <c r="L146" s="88"/>
      <c r="M146" s="59">
        <f>M135-M144</f>
        <v>-9519.8100000000013</v>
      </c>
      <c r="N146" s="88"/>
      <c r="O146" s="59">
        <f>O135-O144</f>
        <v>-9519.8100000000013</v>
      </c>
      <c r="P146" s="88"/>
      <c r="Q146" s="302">
        <f>Q135-Q144</f>
        <v>-10129.810000000001</v>
      </c>
      <c r="R146" s="100"/>
      <c r="S146" s="59">
        <f>S135-S144</f>
        <v>-9519.8099999995211</v>
      </c>
      <c r="T146" s="538"/>
      <c r="U146" s="59">
        <f>U135-U144</f>
        <v>-9519.8100000000013</v>
      </c>
      <c r="V146" s="88"/>
      <c r="W146" s="69">
        <f>W135-W144</f>
        <v>-9519.8100000000013</v>
      </c>
      <c r="X146" s="100"/>
      <c r="Y146" s="59">
        <f>Y135-Y144</f>
        <v>-9519.8100000000013</v>
      </c>
      <c r="Z146" s="100"/>
      <c r="AA146" s="389">
        <f>AA135-AA144</f>
        <v>-114847.71999999952</v>
      </c>
      <c r="AB146" s="149"/>
      <c r="AC146" s="132">
        <f>AC135-AC144</f>
        <v>-9570.6433333332934</v>
      </c>
      <c r="AD146" s="133"/>
      <c r="AK146" s="74"/>
      <c r="AL146" s="74">
        <f t="shared" si="36"/>
        <v>-113125.00419999954</v>
      </c>
      <c r="AM146" s="74"/>
    </row>
    <row r="147" spans="1:57" s="1" customFormat="1" ht="15.75" thickTop="1">
      <c r="C147" s="121"/>
      <c r="D147" s="104"/>
      <c r="E147" s="83"/>
      <c r="F147" s="104"/>
      <c r="G147" s="121"/>
      <c r="H147" s="104"/>
      <c r="I147" s="83"/>
      <c r="J147" s="104"/>
      <c r="K147" s="83"/>
      <c r="L147" s="104"/>
      <c r="M147" s="83"/>
      <c r="N147" s="104"/>
      <c r="O147" s="83"/>
      <c r="P147" s="104"/>
      <c r="Q147" s="62"/>
      <c r="R147" s="104"/>
      <c r="S147" s="83"/>
      <c r="T147" s="539"/>
      <c r="U147" s="83"/>
      <c r="V147" s="104"/>
      <c r="W147" s="62"/>
      <c r="X147" s="104"/>
      <c r="Y147" s="83"/>
      <c r="Z147" s="104"/>
      <c r="AA147" s="145"/>
      <c r="AB147" s="146"/>
      <c r="AC147" s="129"/>
      <c r="AD147" s="130"/>
      <c r="AK147" s="74"/>
      <c r="AL147" s="74">
        <f t="shared" si="36"/>
        <v>0</v>
      </c>
      <c r="AM147" s="74"/>
    </row>
    <row r="148" spans="1:57" s="1" customFormat="1" ht="15.75" thickBot="1">
      <c r="A148" s="739"/>
      <c r="B148" s="740" t="s">
        <v>233</v>
      </c>
      <c r="C148" s="235">
        <v>26843.599999999999</v>
      </c>
      <c r="D148" s="236"/>
      <c r="E148" s="235">
        <v>23522.78</v>
      </c>
      <c r="F148" s="236"/>
      <c r="G148" s="235">
        <v>47258.53</v>
      </c>
      <c r="H148" s="236"/>
      <c r="I148" s="235">
        <v>36250</v>
      </c>
      <c r="J148" s="236"/>
      <c r="K148" s="235">
        <v>9861.09</v>
      </c>
      <c r="L148" s="236"/>
      <c r="M148" s="235">
        <v>58116.61</v>
      </c>
      <c r="N148" s="236"/>
      <c r="O148" s="235">
        <v>14435.18</v>
      </c>
      <c r="P148" s="236"/>
      <c r="Q148" s="765">
        <v>35000</v>
      </c>
      <c r="R148" s="236"/>
      <c r="S148" s="765">
        <v>35000</v>
      </c>
      <c r="T148" s="540"/>
      <c r="U148" s="235">
        <v>35000</v>
      </c>
      <c r="V148" s="236"/>
      <c r="W148" s="235">
        <v>35000</v>
      </c>
      <c r="X148" s="236"/>
      <c r="Y148" s="235">
        <v>35000</v>
      </c>
      <c r="Z148" s="236"/>
      <c r="AA148" s="369">
        <f>C148+E148+G148+I148+K148+M148+O148+Q148+S148+U148+W148+Y148</f>
        <v>391287.79</v>
      </c>
      <c r="AB148" s="219"/>
      <c r="AC148" s="220">
        <f t="shared" ref="AC148" si="37">AA148/12</f>
        <v>32607.31583333333</v>
      </c>
      <c r="AD148" s="221"/>
      <c r="AK148" s="74"/>
      <c r="AL148" s="74">
        <f t="shared" si="36"/>
        <v>385418.47314999998</v>
      </c>
      <c r="AM148" s="74"/>
      <c r="BE148" s="1" t="s">
        <v>263</v>
      </c>
    </row>
    <row r="149" spans="1:57" s="1" customFormat="1" ht="15.75" thickTop="1">
      <c r="B149" s="86"/>
      <c r="C149" s="122"/>
      <c r="D149" s="104"/>
      <c r="E149" s="686"/>
      <c r="F149" s="104"/>
      <c r="G149" s="122"/>
      <c r="H149" s="104"/>
      <c r="I149" s="686"/>
      <c r="J149" s="104"/>
      <c r="K149" s="686"/>
      <c r="L149" s="104"/>
      <c r="M149" s="686"/>
      <c r="N149" s="104"/>
      <c r="O149" s="686"/>
      <c r="P149" s="104"/>
      <c r="R149" s="104"/>
      <c r="S149" s="686"/>
      <c r="T149" s="539"/>
      <c r="U149" s="686"/>
      <c r="V149" s="104"/>
      <c r="X149" s="104"/>
      <c r="Y149" s="686"/>
      <c r="Z149" s="104"/>
      <c r="AA149" s="142"/>
      <c r="AB149" s="143"/>
      <c r="AC149" s="126"/>
      <c r="AD149" s="127"/>
      <c r="AK149" s="74"/>
      <c r="AL149" s="74">
        <f t="shared" si="36"/>
        <v>0</v>
      </c>
      <c r="AM149" s="74"/>
    </row>
    <row r="150" spans="1:57" s="33" customFormat="1" ht="15.75" customHeight="1" thickBot="1">
      <c r="A150" s="30"/>
      <c r="B150" s="775" t="s">
        <v>232</v>
      </c>
      <c r="C150" s="777">
        <f>C146*10%</f>
        <v>-951.98100000000022</v>
      </c>
      <c r="D150" s="776"/>
      <c r="E150" s="777">
        <f>E146*10%</f>
        <v>-951.98100000000022</v>
      </c>
      <c r="F150" s="776"/>
      <c r="G150" s="777">
        <f>G146*10%</f>
        <v>-951.98100000000022</v>
      </c>
      <c r="H150" s="776"/>
      <c r="I150" s="777">
        <f>I146*10%</f>
        <v>-951.98100000000022</v>
      </c>
      <c r="J150" s="776"/>
      <c r="K150" s="777">
        <f>K146*10%</f>
        <v>-951.98100000000022</v>
      </c>
      <c r="L150" s="776"/>
      <c r="M150" s="777">
        <f>M146*10%</f>
        <v>-951.98100000000022</v>
      </c>
      <c r="N150" s="776"/>
      <c r="O150" s="777">
        <f>O146*10%</f>
        <v>-951.98100000000022</v>
      </c>
      <c r="P150" s="776"/>
      <c r="Q150" s="777">
        <f>Q146*10%</f>
        <v>-1012.9810000000002</v>
      </c>
      <c r="R150" s="776"/>
      <c r="S150" s="777">
        <f>S146*10%</f>
        <v>-951.98099999995213</v>
      </c>
      <c r="T150" s="776"/>
      <c r="U150" s="777">
        <f>U146*10%</f>
        <v>-951.98100000000022</v>
      </c>
      <c r="V150" s="776"/>
      <c r="W150" s="777">
        <f>W146*10%</f>
        <v>-951.98100000000022</v>
      </c>
      <c r="X150" s="776"/>
      <c r="Y150" s="777">
        <f>Y146*10%</f>
        <v>-951.98100000000022</v>
      </c>
      <c r="Z150" s="776"/>
      <c r="AA150" s="30">
        <f>C150+E150+G150+I150+K150+M150+O150+Q150+S150+U150+W150+Y150</f>
        <v>-11484.771999999952</v>
      </c>
      <c r="AB150" s="776"/>
      <c r="AC150" s="30">
        <f t="shared" ref="AC150" si="38">AA150/12</f>
        <v>-957.06433333332927</v>
      </c>
      <c r="AD150" s="776"/>
      <c r="AE150" s="32"/>
      <c r="AF150" s="32" t="s">
        <v>245</v>
      </c>
      <c r="AG150" s="32"/>
    </row>
    <row r="151" spans="1:57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537"/>
      <c r="U151" s="33"/>
      <c r="V151" s="106"/>
      <c r="W151" s="33"/>
      <c r="X151" s="106"/>
      <c r="Y151" s="33"/>
      <c r="Z151" s="106"/>
      <c r="AA151" s="142"/>
      <c r="AB151" s="106"/>
      <c r="AC151" s="126"/>
      <c r="AD151" s="106"/>
      <c r="AK151" s="374"/>
      <c r="AL151" s="374"/>
      <c r="AM151" s="374"/>
    </row>
    <row r="152" spans="1:57" s="1" customFormat="1" ht="19.5" customHeight="1" thickBot="1">
      <c r="A152" s="224"/>
      <c r="B152" s="232" t="s">
        <v>206</v>
      </c>
      <c r="C152" s="237">
        <f>C146-C148-C150</f>
        <v>-35411.429000000004</v>
      </c>
      <c r="D152" s="246"/>
      <c r="E152" s="237">
        <f>E146-E148-E150</f>
        <v>-32090.608999999997</v>
      </c>
      <c r="F152" s="246"/>
      <c r="G152" s="237">
        <f>G146-G148-G150</f>
        <v>-55826.358999999997</v>
      </c>
      <c r="H152" s="246"/>
      <c r="I152" s="237">
        <f>I146-I148-I150</f>
        <v>-44817.828999999998</v>
      </c>
      <c r="J152" s="246"/>
      <c r="K152" s="237">
        <f>K146-K148-K150</f>
        <v>-18428.919000000002</v>
      </c>
      <c r="L152" s="246"/>
      <c r="M152" s="237">
        <f>M146-M148-M150</f>
        <v>-66684.438999999998</v>
      </c>
      <c r="N152" s="246"/>
      <c r="O152" s="237">
        <f>O146-O148-O150</f>
        <v>-23003.009000000002</v>
      </c>
      <c r="P152" s="246"/>
      <c r="Q152" s="237">
        <f>Q146-Q148-Q150</f>
        <v>-44116.828999999998</v>
      </c>
      <c r="R152" s="246"/>
      <c r="S152" s="237">
        <f>S146-S148-S150</f>
        <v>-43567.828999999569</v>
      </c>
      <c r="T152" s="541"/>
      <c r="U152" s="237">
        <f>U146-U148-U150</f>
        <v>-43567.828999999998</v>
      </c>
      <c r="V152" s="246"/>
      <c r="W152" s="237">
        <f>W146-W148-W150</f>
        <v>-43567.828999999998</v>
      </c>
      <c r="X152" s="246"/>
      <c r="Y152" s="237">
        <f>Y146-Y148-Y150</f>
        <v>-43567.828999999998</v>
      </c>
      <c r="Z152" s="246"/>
      <c r="AA152" s="270">
        <f>AA146-AA148-AA150</f>
        <v>-494650.73799999955</v>
      </c>
      <c r="AB152" s="246"/>
      <c r="AC152" s="271">
        <f>AC146-AC148-AC150</f>
        <v>-41220.894833333296</v>
      </c>
      <c r="AD152" s="246"/>
      <c r="AE152" s="320"/>
      <c r="AF152" s="320"/>
      <c r="AK152" s="374"/>
      <c r="AL152" s="374">
        <f>C152*0.985+E152*0.985+G152*0.985+I152*0.985+K152*0.985+M152*0.985+O152*0.985+Q152*0.985+S152*0.985+U152*0.985+W152*0.985+Y152*0.985</f>
        <v>-487230.97692999948</v>
      </c>
      <c r="AM152" s="374"/>
    </row>
    <row r="153" spans="1:57" ht="15.75" thickTop="1">
      <c r="B153" s="269">
        <f>C153+C146</f>
        <v>-233668.96</v>
      </c>
      <c r="C153" s="269">
        <v>-224149.15</v>
      </c>
      <c r="AL153" s="74"/>
    </row>
    <row r="154" spans="1:57" s="1" customFormat="1">
      <c r="B154" s="85" t="s">
        <v>214</v>
      </c>
      <c r="C154" s="686">
        <f>C152</f>
        <v>-35411.429000000004</v>
      </c>
      <c r="D154" s="20"/>
      <c r="E154" s="686">
        <f>E152+C154</f>
        <v>-67502.038</v>
      </c>
      <c r="F154" s="93"/>
      <c r="G154" s="686">
        <f>G152+E154</f>
        <v>-123328.397</v>
      </c>
      <c r="H154" s="93"/>
      <c r="I154" s="686">
        <f>I152+G154-0.02</f>
        <v>-168146.24599999998</v>
      </c>
      <c r="J154" s="93"/>
      <c r="K154" s="686">
        <f>K152+I154</f>
        <v>-186575.16499999998</v>
      </c>
      <c r="L154" s="93"/>
      <c r="M154" s="686">
        <f>M152+K154</f>
        <v>-253259.60399999999</v>
      </c>
      <c r="N154" s="93"/>
      <c r="O154" s="686">
        <f>O152+M154</f>
        <v>-276262.61300000001</v>
      </c>
      <c r="P154" s="93"/>
      <c r="Q154" s="686">
        <f>Q152+O154</f>
        <v>-320379.44200000004</v>
      </c>
      <c r="R154" s="93"/>
      <c r="S154" s="686">
        <f>S152+Q154</f>
        <v>-363947.2709999996</v>
      </c>
      <c r="T154" s="543"/>
      <c r="U154" s="686">
        <f>U152+S154</f>
        <v>-407515.09999999963</v>
      </c>
      <c r="V154" s="93"/>
      <c r="W154" s="686">
        <f>W152+U154</f>
        <v>-451082.92899999965</v>
      </c>
      <c r="X154" s="93"/>
      <c r="Y154" s="686">
        <f>Y152+W154</f>
        <v>-494650.75799999968</v>
      </c>
      <c r="Z154" s="93"/>
      <c r="AA154" s="142"/>
      <c r="AB154" s="143"/>
      <c r="AC154" s="126"/>
      <c r="AD154" s="127"/>
      <c r="AK154" s="374"/>
      <c r="AL154" s="374">
        <f>C154*0.985+E154*0.985+G154*0.985+I154*0.985+K154*0.985+M154*0.985+O154*0.985+Q154*0.985+S154*0.985+U154*0.985+W154*0.985+Y154*0.985</f>
        <v>-3100840.0771199986</v>
      </c>
      <c r="AM154" s="374"/>
    </row>
    <row r="155" spans="1:57">
      <c r="AL155" s="74"/>
    </row>
    <row r="156" spans="1:57">
      <c r="C156" s="269"/>
      <c r="E156" s="269">
        <f>E152</f>
        <v>-32090.608999999997</v>
      </c>
      <c r="I156" s="269">
        <f>I152</f>
        <v>-44817.828999999998</v>
      </c>
      <c r="K156" s="269">
        <f>K36*0.985</f>
        <v>1477.5</v>
      </c>
      <c r="M156" s="269">
        <f>M36*0.985</f>
        <v>1477.5</v>
      </c>
      <c r="O156" s="269">
        <f>O36*0.985</f>
        <v>1477.5</v>
      </c>
      <c r="Q156" s="269"/>
      <c r="S156" s="269">
        <f>S152</f>
        <v>-43567.828999999569</v>
      </c>
      <c r="AL156" s="74"/>
    </row>
    <row r="157" spans="1:57">
      <c r="C157" s="269"/>
      <c r="E157" s="269">
        <f>E150+E148</f>
        <v>22570.798999999999</v>
      </c>
      <c r="I157" s="269">
        <f>I148</f>
        <v>36250</v>
      </c>
      <c r="K157" s="269">
        <f>SUM(K145+K148)*0.985</f>
        <v>17612.6865</v>
      </c>
      <c r="M157" s="269">
        <f>SUM(M145+M148)*0.985</f>
        <v>65144.373699999996</v>
      </c>
      <c r="O157" s="269">
        <f>SUM(O145+O148)*0.985</f>
        <v>22118.165150000001</v>
      </c>
      <c r="Q157" s="269"/>
      <c r="S157" s="269">
        <f>S148</f>
        <v>35000</v>
      </c>
      <c r="AL157" s="74"/>
    </row>
    <row r="158" spans="1:57">
      <c r="C158" s="269"/>
      <c r="E158" s="269">
        <f>E156+E157</f>
        <v>-9519.8099999999977</v>
      </c>
      <c r="I158" s="269">
        <f>I156+I157</f>
        <v>-8567.8289999999979</v>
      </c>
      <c r="Q158" s="269"/>
      <c r="S158" s="269">
        <f>S156+S157</f>
        <v>-8567.8289999995686</v>
      </c>
      <c r="AL158" s="74"/>
    </row>
    <row r="159" spans="1:57">
      <c r="Q159" s="269">
        <f>Q152</f>
        <v>-44116.828999999998</v>
      </c>
      <c r="AL159" s="74"/>
    </row>
    <row r="160" spans="1:57" s="214" customFormat="1" ht="15" hidden="1" customHeight="1">
      <c r="B160" s="422" t="s">
        <v>144</v>
      </c>
      <c r="C160" s="423">
        <f>C152</f>
        <v>-35411.429000000004</v>
      </c>
      <c r="D160" s="423"/>
      <c r="E160" s="423">
        <f>E152</f>
        <v>-32090.608999999997</v>
      </c>
      <c r="F160" s="423"/>
      <c r="G160" s="423">
        <f>G152</f>
        <v>-55826.358999999997</v>
      </c>
      <c r="H160" s="423"/>
      <c r="I160" s="423">
        <f>I152</f>
        <v>-44817.828999999998</v>
      </c>
      <c r="J160" s="423"/>
      <c r="K160" s="423">
        <f>K152</f>
        <v>-18428.919000000002</v>
      </c>
      <c r="L160" s="423"/>
      <c r="M160" s="423"/>
      <c r="N160" s="423"/>
      <c r="O160" s="423">
        <f>O152</f>
        <v>-23003.009000000002</v>
      </c>
      <c r="P160" s="423"/>
      <c r="Q160" s="423">
        <f>Q152</f>
        <v>-44116.828999999998</v>
      </c>
      <c r="R160" s="423"/>
      <c r="S160" s="423">
        <f>S152</f>
        <v>-43567.828999999569</v>
      </c>
      <c r="T160" s="544"/>
      <c r="U160" s="423">
        <f>U152</f>
        <v>-43567.828999999998</v>
      </c>
      <c r="V160" s="423"/>
      <c r="W160" s="423">
        <f>W152</f>
        <v>-43567.828999999998</v>
      </c>
      <c r="X160" s="423"/>
      <c r="Y160" s="423">
        <f>Y152</f>
        <v>-43567.828999999998</v>
      </c>
      <c r="Z160" s="423"/>
      <c r="AA160" s="423">
        <f>AA152</f>
        <v>-494650.73799999955</v>
      </c>
      <c r="AB160" s="423"/>
      <c r="AC160" s="423">
        <f>AC152</f>
        <v>-41220.894833333296</v>
      </c>
      <c r="AD160" s="423"/>
    </row>
    <row r="161" spans="2:38" s="214" customFormat="1" ht="15" hidden="1" customHeight="1">
      <c r="C161" s="215"/>
      <c r="D161" s="216"/>
      <c r="E161" s="215"/>
      <c r="F161" s="217"/>
      <c r="G161" s="215"/>
      <c r="H161" s="217"/>
      <c r="I161" s="215"/>
      <c r="J161" s="217"/>
      <c r="K161" s="215"/>
      <c r="L161" s="217"/>
      <c r="M161" s="215"/>
      <c r="N161" s="217"/>
      <c r="O161" s="215"/>
      <c r="P161" s="217"/>
      <c r="Q161" s="215"/>
      <c r="R161" s="217"/>
      <c r="S161" s="215"/>
      <c r="T161" s="545"/>
      <c r="U161" s="215"/>
      <c r="V161" s="217"/>
      <c r="W161" s="215"/>
      <c r="X161" s="217"/>
      <c r="Y161" s="215"/>
      <c r="Z161" s="217"/>
      <c r="AA161" s="213"/>
      <c r="AB161" s="218"/>
      <c r="AC161" s="213"/>
      <c r="AD161" s="218"/>
    </row>
    <row r="162" spans="2:38" s="214" customFormat="1" ht="15" hidden="1" customHeight="1">
      <c r="B162" s="214" t="s">
        <v>237</v>
      </c>
      <c r="C162" s="215">
        <f>C150</f>
        <v>-951.98100000000022</v>
      </c>
      <c r="D162" s="216"/>
      <c r="E162" s="215">
        <f>E150</f>
        <v>-951.98100000000022</v>
      </c>
      <c r="F162" s="217"/>
      <c r="G162" s="215">
        <f>G150</f>
        <v>-951.98100000000022</v>
      </c>
      <c r="H162" s="217"/>
      <c r="I162" s="215">
        <f>I150</f>
        <v>-951.98100000000022</v>
      </c>
      <c r="J162" s="217"/>
      <c r="K162" s="215">
        <f>K150</f>
        <v>-951.98100000000022</v>
      </c>
      <c r="L162" s="217"/>
      <c r="M162" s="215"/>
      <c r="N162" s="217"/>
      <c r="O162" s="215">
        <f>O150</f>
        <v>-951.98100000000022</v>
      </c>
      <c r="P162" s="217"/>
      <c r="Q162" s="215">
        <f>Q150</f>
        <v>-1012.9810000000002</v>
      </c>
      <c r="R162" s="217"/>
      <c r="S162" s="215">
        <f>S150</f>
        <v>-951.98099999995213</v>
      </c>
      <c r="T162" s="545"/>
      <c r="U162" s="215">
        <f>U150</f>
        <v>-951.98100000000022</v>
      </c>
      <c r="V162" s="217"/>
      <c r="W162" s="215">
        <f>W150</f>
        <v>-951.98100000000022</v>
      </c>
      <c r="X162" s="217"/>
      <c r="Y162" s="215">
        <f>Y150</f>
        <v>-951.98100000000022</v>
      </c>
      <c r="Z162" s="217"/>
      <c r="AA162" s="215">
        <f>AA150</f>
        <v>-11484.771999999952</v>
      </c>
      <c r="AB162" s="218"/>
      <c r="AC162" s="215">
        <f>AC150</f>
        <v>-957.06433333332927</v>
      </c>
      <c r="AD162" s="218"/>
    </row>
    <row r="163" spans="2:38" s="214" customFormat="1" ht="15" hidden="1" customHeight="1">
      <c r="C163" s="215"/>
      <c r="D163" s="216"/>
      <c r="E163" s="215"/>
      <c r="F163" s="217"/>
      <c r="G163" s="215"/>
      <c r="H163" s="217"/>
      <c r="I163" s="215"/>
      <c r="J163" s="217"/>
      <c r="K163" s="215"/>
      <c r="L163" s="217"/>
      <c r="M163" s="215"/>
      <c r="N163" s="217"/>
      <c r="O163" s="215"/>
      <c r="P163" s="217"/>
      <c r="Q163" s="215"/>
      <c r="R163" s="217"/>
      <c r="S163" s="215"/>
      <c r="T163" s="545"/>
      <c r="U163" s="215"/>
      <c r="V163" s="217"/>
      <c r="W163" s="215"/>
      <c r="X163" s="217"/>
      <c r="Y163" s="215"/>
      <c r="Z163" s="217"/>
      <c r="AA163" s="213"/>
      <c r="AB163" s="218"/>
      <c r="AC163" s="213"/>
      <c r="AD163" s="218"/>
    </row>
    <row r="164" spans="2:38" s="214" customFormat="1" ht="15" hidden="1" customHeight="1">
      <c r="B164" s="214" t="s">
        <v>241</v>
      </c>
      <c r="C164" s="215">
        <f>C142</f>
        <v>0</v>
      </c>
      <c r="D164" s="215"/>
      <c r="E164" s="215">
        <f>E142</f>
        <v>0</v>
      </c>
      <c r="F164" s="215"/>
      <c r="G164" s="215">
        <f>G142</f>
        <v>0</v>
      </c>
      <c r="H164" s="215"/>
      <c r="I164" s="215">
        <f>I142</f>
        <v>0</v>
      </c>
      <c r="J164" s="215"/>
      <c r="K164" s="215">
        <f>K142</f>
        <v>0</v>
      </c>
      <c r="L164" s="215"/>
      <c r="M164" s="215"/>
      <c r="N164" s="215"/>
      <c r="O164" s="215">
        <f>O142</f>
        <v>0</v>
      </c>
      <c r="P164" s="215"/>
      <c r="Q164" s="215">
        <f>Q142</f>
        <v>0</v>
      </c>
      <c r="R164" s="215"/>
      <c r="S164" s="215">
        <f>S142</f>
        <v>0</v>
      </c>
      <c r="T164" s="546"/>
      <c r="U164" s="215">
        <f>U142</f>
        <v>0</v>
      </c>
      <c r="V164" s="215"/>
      <c r="W164" s="215">
        <f>W142</f>
        <v>0</v>
      </c>
      <c r="X164" s="215"/>
      <c r="Y164" s="215">
        <f>Y142</f>
        <v>0</v>
      </c>
      <c r="Z164" s="215"/>
      <c r="AA164" s="215">
        <f>AA142</f>
        <v>0</v>
      </c>
      <c r="AB164" s="215"/>
      <c r="AC164" s="215">
        <f>AC142</f>
        <v>0</v>
      </c>
      <c r="AD164" s="215"/>
    </row>
    <row r="165" spans="2:38" s="214" customFormat="1" ht="15" hidden="1" customHeight="1">
      <c r="C165" s="215"/>
      <c r="D165" s="216"/>
      <c r="E165" s="215"/>
      <c r="F165" s="217"/>
      <c r="G165" s="215"/>
      <c r="H165" s="217"/>
      <c r="I165" s="215"/>
      <c r="J165" s="217"/>
      <c r="K165" s="215"/>
      <c r="L165" s="217"/>
      <c r="M165" s="215"/>
      <c r="N165" s="217"/>
      <c r="O165" s="215"/>
      <c r="P165" s="217"/>
      <c r="Q165" s="215"/>
      <c r="R165" s="217"/>
      <c r="S165" s="215"/>
      <c r="T165" s="545"/>
      <c r="U165" s="215"/>
      <c r="V165" s="217"/>
      <c r="W165" s="215"/>
      <c r="X165" s="217"/>
      <c r="Y165" s="215"/>
      <c r="Z165" s="217"/>
      <c r="AA165" s="215"/>
      <c r="AB165" s="218"/>
      <c r="AC165" s="215"/>
      <c r="AD165" s="218"/>
    </row>
    <row r="166" spans="2:38" s="214" customFormat="1" ht="15" hidden="1" customHeight="1">
      <c r="B166" s="214" t="s">
        <v>238</v>
      </c>
      <c r="C166" s="215">
        <f>C144-C142</f>
        <v>7519.81</v>
      </c>
      <c r="D166" s="215"/>
      <c r="E166" s="215">
        <f>E144-E142</f>
        <v>7519.81</v>
      </c>
      <c r="F166" s="215"/>
      <c r="G166" s="215">
        <f>G144-G142</f>
        <v>7519.81</v>
      </c>
      <c r="H166" s="215"/>
      <c r="I166" s="215">
        <f>I144-I142</f>
        <v>7519.81</v>
      </c>
      <c r="J166" s="215"/>
      <c r="K166" s="215">
        <f>K144-K142</f>
        <v>7519.81</v>
      </c>
      <c r="L166" s="215"/>
      <c r="M166" s="215"/>
      <c r="N166" s="215"/>
      <c r="O166" s="215">
        <f>O144-O142</f>
        <v>7519.81</v>
      </c>
      <c r="P166" s="215"/>
      <c r="Q166" s="215">
        <f>Q144-Q142</f>
        <v>7519.81</v>
      </c>
      <c r="R166" s="215"/>
      <c r="S166" s="215">
        <f>S144-S142</f>
        <v>7519.81</v>
      </c>
      <c r="T166" s="546"/>
      <c r="U166" s="215">
        <f>U144-U142</f>
        <v>7519.81</v>
      </c>
      <c r="V166" s="215"/>
      <c r="W166" s="215">
        <f>W144-W142</f>
        <v>7519.81</v>
      </c>
      <c r="X166" s="215"/>
      <c r="Y166" s="215">
        <f>Y144-Y142</f>
        <v>7519.81</v>
      </c>
      <c r="Z166" s="215"/>
      <c r="AA166" s="215">
        <f>AA144-AA142</f>
        <v>90237.72</v>
      </c>
      <c r="AB166" s="215"/>
      <c r="AC166" s="215">
        <f>AC144-AC142</f>
        <v>7519.8100000000013</v>
      </c>
      <c r="AD166" s="215"/>
    </row>
    <row r="167" spans="2:38" s="214" customFormat="1" ht="15" hidden="1" customHeight="1">
      <c r="C167" s="215"/>
      <c r="D167" s="216"/>
      <c r="E167" s="215"/>
      <c r="F167" s="217"/>
      <c r="G167" s="215"/>
      <c r="H167" s="217"/>
      <c r="I167" s="215"/>
      <c r="J167" s="217"/>
      <c r="K167" s="215"/>
      <c r="L167" s="217"/>
      <c r="M167" s="215"/>
      <c r="N167" s="217"/>
      <c r="O167" s="215"/>
      <c r="P167" s="217"/>
      <c r="Q167" s="215"/>
      <c r="R167" s="217"/>
      <c r="S167" s="215"/>
      <c r="T167" s="545"/>
      <c r="U167" s="215"/>
      <c r="V167" s="217"/>
      <c r="W167" s="215"/>
      <c r="X167" s="217"/>
      <c r="Y167" s="215"/>
      <c r="Z167" s="217"/>
      <c r="AA167" s="213"/>
      <c r="AB167" s="218"/>
      <c r="AC167" s="215"/>
      <c r="AD167" s="218"/>
    </row>
    <row r="168" spans="2:38" s="214" customFormat="1" ht="15" hidden="1" customHeight="1">
      <c r="C168" s="215"/>
      <c r="D168" s="216"/>
      <c r="E168" s="215"/>
      <c r="F168" s="217"/>
      <c r="G168" s="215"/>
      <c r="H168" s="217"/>
      <c r="I168" s="215"/>
      <c r="J168" s="217"/>
      <c r="K168" s="215"/>
      <c r="L168" s="217"/>
      <c r="M168" s="215"/>
      <c r="N168" s="217"/>
      <c r="O168" s="215"/>
      <c r="P168" s="217"/>
      <c r="Q168" s="215"/>
      <c r="R168" s="217"/>
      <c r="S168" s="215"/>
      <c r="T168" s="545"/>
      <c r="U168" s="215"/>
      <c r="V168" s="217"/>
      <c r="W168" s="215"/>
      <c r="X168" s="217"/>
      <c r="Y168" s="215"/>
      <c r="Z168" s="217"/>
      <c r="AA168" s="213"/>
      <c r="AB168" s="218"/>
      <c r="AC168" s="213"/>
      <c r="AD168" s="218"/>
    </row>
    <row r="169" spans="2:38" s="214" customFormat="1" ht="15" hidden="1" customHeight="1">
      <c r="B169" s="424" t="s">
        <v>239</v>
      </c>
      <c r="C169" s="425">
        <f>C162+C160+C164+C166</f>
        <v>-28843.600000000002</v>
      </c>
      <c r="D169" s="426"/>
      <c r="E169" s="425">
        <f>E162+E160+E164+E166</f>
        <v>-25522.779999999995</v>
      </c>
      <c r="F169" s="425"/>
      <c r="G169" s="425">
        <f>G162+G160+G164+G166</f>
        <v>-49258.53</v>
      </c>
      <c r="H169" s="425"/>
      <c r="I169" s="425">
        <f>I162+I160+I164+I166</f>
        <v>-38250</v>
      </c>
      <c r="J169" s="425"/>
      <c r="K169" s="425">
        <f>K162+K160+K164+K166</f>
        <v>-11861.09</v>
      </c>
      <c r="L169" s="425"/>
      <c r="M169" s="425"/>
      <c r="N169" s="425"/>
      <c r="O169" s="425">
        <f>O162+O160+O164+O166</f>
        <v>-16435.18</v>
      </c>
      <c r="P169" s="425"/>
      <c r="Q169" s="425">
        <f>Q162+Q160+Q164+Q166</f>
        <v>-37610</v>
      </c>
      <c r="R169" s="425"/>
      <c r="S169" s="425">
        <f>S162+S160+S164+S166</f>
        <v>-36999.99999999952</v>
      </c>
      <c r="T169" s="547"/>
      <c r="U169" s="425">
        <f>U162+U160+U164+U166</f>
        <v>-37000</v>
      </c>
      <c r="V169" s="425"/>
      <c r="W169" s="425">
        <f>W162+W160+W164+W166</f>
        <v>-37000</v>
      </c>
      <c r="X169" s="425"/>
      <c r="Y169" s="425">
        <f>Y162+Y160+Y164+Y166</f>
        <v>-37000</v>
      </c>
      <c r="Z169" s="425"/>
      <c r="AA169" s="425">
        <f>AA162+AA160+AA164+AA166</f>
        <v>-415897.78999999946</v>
      </c>
      <c r="AB169" s="218"/>
      <c r="AC169" s="215">
        <f>AA169/12</f>
        <v>-34658.149166666619</v>
      </c>
      <c r="AD169" s="218"/>
    </row>
    <row r="170" spans="2:38" s="214" customFormat="1" ht="15" hidden="1" customHeight="1">
      <c r="C170" s="215"/>
      <c r="D170" s="216"/>
      <c r="E170" s="215"/>
      <c r="F170" s="217"/>
      <c r="G170" s="215"/>
      <c r="H170" s="217"/>
      <c r="I170" s="215"/>
      <c r="J170" s="217"/>
      <c r="K170" s="215"/>
      <c r="L170" s="217"/>
      <c r="M170" s="215"/>
      <c r="N170" s="217"/>
      <c r="O170" s="215"/>
      <c r="P170" s="217"/>
      <c r="Q170" s="215"/>
      <c r="R170" s="217"/>
      <c r="S170" s="215"/>
      <c r="T170" s="545"/>
      <c r="U170" s="215"/>
      <c r="V170" s="217"/>
      <c r="W170" s="215"/>
      <c r="X170" s="217"/>
      <c r="Y170" s="215"/>
      <c r="Z170" s="217"/>
      <c r="AA170" s="213"/>
      <c r="AB170" s="218"/>
      <c r="AC170" s="213"/>
      <c r="AD170" s="218"/>
    </row>
    <row r="171" spans="2:38" s="214" customFormat="1" ht="15" hidden="1" customHeight="1">
      <c r="B171" s="275"/>
      <c r="C171" s="215"/>
      <c r="D171" s="216"/>
      <c r="E171" s="215"/>
      <c r="F171" s="217"/>
      <c r="G171" s="215"/>
      <c r="H171" s="217"/>
      <c r="I171" s="215"/>
      <c r="J171" s="217"/>
      <c r="K171" s="215"/>
      <c r="L171" s="217"/>
      <c r="M171" s="215"/>
      <c r="N171" s="217"/>
      <c r="O171" s="215"/>
      <c r="P171" s="217"/>
      <c r="Q171" s="215"/>
      <c r="R171" s="217"/>
      <c r="S171" s="215"/>
      <c r="T171" s="545"/>
      <c r="U171" s="215"/>
      <c r="V171" s="217"/>
      <c r="W171" s="215"/>
      <c r="X171" s="217"/>
      <c r="Y171" s="215"/>
      <c r="Z171" s="217"/>
      <c r="AA171" s="213"/>
      <c r="AB171" s="218"/>
      <c r="AC171" s="213"/>
      <c r="AD171" s="218"/>
    </row>
    <row r="172" spans="2:38" s="214" customFormat="1" ht="15" hidden="1" customHeight="1">
      <c r="B172" s="427" t="s">
        <v>240</v>
      </c>
      <c r="C172" s="423">
        <f>C169</f>
        <v>-28843.600000000002</v>
      </c>
      <c r="D172" s="423"/>
      <c r="E172" s="423">
        <f>C172+E169</f>
        <v>-54366.38</v>
      </c>
      <c r="F172" s="423"/>
      <c r="G172" s="423">
        <f>E172+G169</f>
        <v>-103624.91</v>
      </c>
      <c r="H172" s="423"/>
      <c r="I172" s="423">
        <f>G172+I169</f>
        <v>-141874.91</v>
      </c>
      <c r="J172" s="423"/>
      <c r="K172" s="423">
        <f>I172+K169</f>
        <v>-153736</v>
      </c>
      <c r="L172" s="423"/>
      <c r="M172" s="423"/>
      <c r="N172" s="423"/>
      <c r="O172" s="423">
        <f>M172+O169</f>
        <v>-16435.18</v>
      </c>
      <c r="P172" s="423"/>
      <c r="Q172" s="423">
        <f>O172+Q169</f>
        <v>-54045.18</v>
      </c>
      <c r="R172" s="423"/>
      <c r="S172" s="423">
        <f>Q172+S169</f>
        <v>-91045.179999999527</v>
      </c>
      <c r="T172" s="544"/>
      <c r="U172" s="423">
        <f>S172+U169</f>
        <v>-128045.17999999953</v>
      </c>
      <c r="V172" s="423"/>
      <c r="W172" s="423">
        <f>U172+W169</f>
        <v>-165045.17999999953</v>
      </c>
      <c r="X172" s="423"/>
      <c r="Y172" s="423">
        <f>W172+Y169</f>
        <v>-202045.17999999953</v>
      </c>
      <c r="Z172" s="423"/>
      <c r="AA172" s="423"/>
      <c r="AB172" s="423"/>
      <c r="AC172" s="423"/>
      <c r="AD172" s="423"/>
    </row>
    <row r="173" spans="2:38">
      <c r="Q173" s="269">
        <f>Q148</f>
        <v>35000</v>
      </c>
      <c r="AL173" s="74"/>
    </row>
    <row r="174" spans="2:38">
      <c r="Q174" s="269">
        <f>Q159+Q173</f>
        <v>-9116.8289999999979</v>
      </c>
      <c r="AL174" s="74"/>
    </row>
    <row r="175" spans="2:38">
      <c r="AL175" s="74"/>
    </row>
    <row r="176" spans="2:38">
      <c r="AL176" s="74"/>
    </row>
    <row r="177" spans="38:38">
      <c r="AL177" s="74"/>
    </row>
    <row r="178" spans="38:38">
      <c r="AL178" s="74"/>
    </row>
    <row r="179" spans="38:38">
      <c r="AL179" s="74"/>
    </row>
    <row r="180" spans="38:38">
      <c r="AL180" s="74"/>
    </row>
    <row r="181" spans="38:38">
      <c r="AL181" s="74"/>
    </row>
    <row r="182" spans="38:38">
      <c r="AL182" s="74"/>
    </row>
  </sheetData>
  <customSheetViews>
    <customSheetView guid="{E19D3675-E478-4A54-8E7A-94A199F67811}" fitToPage="1" hiddenRows="1">
      <pane xSplit="2" ySplit="6" topLeftCell="C118" activePane="bottomRight" state="frozen"/>
      <selection pane="bottomRight" activeCell="C168" sqref="C168"/>
      <pageMargins left="0.7" right="0.7" top="0.75" bottom="0.75" header="0.3" footer="0.3"/>
      <printOptions gridLines="1"/>
      <pageSetup paperSize="8" scale="26" orientation="landscape" r:id="rId1"/>
    </customSheetView>
    <customSheetView guid="{BFB0E08A-7D07-48F2-93C4-BE631A8642F6}" fitToPage="1" hiddenRows="1">
      <pane xSplit="2" ySplit="6" topLeftCell="C88" activePane="bottomRight" state="frozen"/>
      <selection pane="bottomRight" activeCell="C101" sqref="C101"/>
      <pageMargins left="0.7" right="0.7" top="0.75" bottom="0.75" header="0.3" footer="0.3"/>
      <printOptions gridLines="1"/>
      <pageSetup paperSize="8" scale="26" orientation="landscape" r:id="rId2"/>
    </customSheetView>
    <customSheetView guid="{D65E0E17-9A53-4B36-ADDE-FDFBD878E6A1}" fitToPage="1" hiddenRows="1">
      <pane xSplit="2" ySplit="6" topLeftCell="AH64" activePane="bottomRight" state="frozen"/>
      <selection pane="bottomRight" activeCell="AA21" sqref="AA21"/>
      <pageMargins left="0.7" right="0.7" top="0.75" bottom="0.75" header="0.3" footer="0.3"/>
      <printOptions gridLines="1"/>
      <pageSetup paperSize="8" scale="26" orientation="landscape" r:id="rId3"/>
    </customSheetView>
    <customSheetView guid="{F3E5B7E7-D3C6-4CDC-BAA7-D62F15A870E4}" fitToPage="1" hiddenRows="1">
      <pane xSplit="2" ySplit="6" topLeftCell="AH64" activePane="bottomRight" state="frozen"/>
      <selection pane="bottomRight" activeCell="AA21" sqref="AA21"/>
      <pageMargins left="0.7" right="0.7" top="0.75" bottom="0.75" header="0.3" footer="0.3"/>
      <printOptions gridLines="1"/>
      <pageSetup paperSize="8" scale="26" orientation="landscape" r:id="rId4"/>
    </customSheetView>
    <customSheetView guid="{879F34B1-DA85-44D2-99EE-74A633FB2C72}" fitToPage="1" hiddenRows="1">
      <pane xSplit="2" ySplit="6" topLeftCell="U12" activePane="bottomRight" state="frozen"/>
      <selection pane="bottomRight" activeCell="X21" sqref="X21"/>
      <pageMargins left="0.7" right="0.7" top="0.75" bottom="0.75" header="0.3" footer="0.3"/>
      <printOptions gridLines="1"/>
      <pageSetup paperSize="8" scale="26" orientation="landscape" r:id="rId5"/>
    </customSheetView>
    <customSheetView guid="{02AA01BD-C75B-4B6E-A8E6-EEB6E90D29E4}" fitToPage="1" hiddenRows="1">
      <pane xSplit="2" ySplit="6" topLeftCell="W7" activePane="bottomRight" state="frozen"/>
      <selection pane="bottomRight" activeCell="AD16" sqref="AD16"/>
      <pageMargins left="0.7" right="0.7" top="0.75" bottom="0.75" header="0.3" footer="0.3"/>
      <printOptions gridLines="1"/>
      <pageSetup paperSize="8" scale="37" orientation="landscape" r:id="rId6"/>
    </customSheetView>
    <customSheetView guid="{209662B1-09B2-4060-A837-250CED7848ED}" fitToPage="1" hiddenRows="1">
      <pane xSplit="2" ySplit="6" topLeftCell="Y7" activePane="bottomRight" state="frozen"/>
      <selection pane="bottomRight" activeCell="AH16" sqref="AH16"/>
      <pageMargins left="0.7" right="0.7" top="0.75" bottom="0.75" header="0.3" footer="0.3"/>
      <printOptions gridLines="1"/>
      <pageSetup paperSize="8" scale="26" orientation="landscape" r:id="rId7"/>
    </customSheetView>
    <customSheetView guid="{B2BB7590-1CD2-4457-858D-F8835B99F338}" fitToPage="1" hiddenRows="1">
      <pane xSplit="2" ySplit="6" topLeftCell="L121" activePane="bottomRight" state="frozen"/>
      <selection pane="bottomRight" activeCell="L173" sqref="L173"/>
      <pageMargins left="0.7" right="0.7" top="0.75" bottom="0.75" header="0.3" footer="0.3"/>
      <printOptions gridLines="1"/>
      <pageSetup paperSize="8" scale="38" orientation="landscape" r:id="rId8"/>
    </customSheetView>
    <customSheetView guid="{C4C974E7-2FCF-4C3A-A063-03001047949F}" topLeftCell="A105">
      <selection activeCell="A141" sqref="A141:XFD141"/>
      <pageMargins left="0.7" right="0.7" top="0.75" bottom="0.75" header="0.3" footer="0.3"/>
    </customSheetView>
    <customSheetView guid="{A8167CC1-C909-4D11-B8D5-4313083C8125}" fitToPage="1" hiddenRows="1" hiddenColumns="1">
      <pane xSplit="2" ySplit="6" topLeftCell="C118" activePane="bottomRight" state="frozen"/>
      <selection pane="bottomRight" activeCell="I6" sqref="I6"/>
      <pageMargins left="0.7" right="0.7" top="0.75" bottom="0.75" header="0.3" footer="0.3"/>
      <printOptions gridLines="1"/>
      <pageSetup paperSize="8" scale="23" orientation="landscape" r:id="rId9"/>
    </customSheetView>
    <customSheetView guid="{AA4262F8-9AB3-4147-94E2-8DEF81F7E83C}" fitToPage="1" hiddenRows="1">
      <pane xSplit="2" ySplit="6" topLeftCell="C97" activePane="bottomRight" state="frozen"/>
      <selection pane="bottomRight" activeCell="I101" sqref="I101"/>
      <pageMargins left="0.7" right="0.7" top="0.75" bottom="0.75" header="0.3" footer="0.3"/>
      <printOptions gridLines="1"/>
      <pageSetup paperSize="8" scale="26" orientation="landscape" r:id="rId10"/>
    </customSheetView>
  </customSheetViews>
  <mergeCells count="13">
    <mergeCell ref="Y2:Z2"/>
    <mergeCell ref="AA2:AB2"/>
    <mergeCell ref="AC2:AD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6 Q146">
    <cfRule type="cellIs" dxfId="0" priority="1" operator="lessThan">
      <formula>0</formula>
    </cfRule>
  </conditionalFormatting>
  <printOptions gridLines="1"/>
  <pageMargins left="0.25" right="0.7" top="0.75" bottom="0.75" header="0.3" footer="0.3"/>
  <pageSetup paperSize="8" scale="36" fitToHeight="2" orientation="landscape" r:id="rId11"/>
  <legacyDrawing r:id="rId12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>
    <tabColor rgb="FFFF0000"/>
  </sheetPr>
  <dimension ref="A1:AL193"/>
  <sheetViews>
    <sheetView tabSelected="1" zoomScale="85" zoomScaleNormal="85" zoomScaleSheetLayoutView="85" workbookViewId="0">
      <pane xSplit="2" ySplit="3" topLeftCell="C73" activePane="bottomRight" state="frozen"/>
      <selection pane="topRight" activeCell="C1" sqref="C1"/>
      <selection pane="bottomLeft" activeCell="A4" sqref="A4"/>
      <selection pane="bottomRight" activeCell="C90" sqref="C90"/>
    </sheetView>
  </sheetViews>
  <sheetFormatPr defaultColWidth="9.140625" defaultRowHeight="15"/>
  <cols>
    <col min="1" max="1" width="6.5703125" style="214" bestFit="1" customWidth="1"/>
    <col min="2" max="2" width="38" style="214" customWidth="1"/>
    <col min="3" max="3" width="16" style="215" customWidth="1"/>
    <col min="4" max="4" width="12.28515625" style="216" bestFit="1" customWidth="1"/>
    <col min="5" max="5" width="14.28515625" style="215" customWidth="1"/>
    <col min="6" max="6" width="10.28515625" style="217" bestFit="1" customWidth="1"/>
    <col min="7" max="7" width="14.28515625" style="215" customWidth="1"/>
    <col min="8" max="8" width="7.7109375" style="217" customWidth="1"/>
    <col min="9" max="9" width="14.28515625" style="215" customWidth="1"/>
    <col min="10" max="10" width="8.140625" style="217" customWidth="1"/>
    <col min="11" max="11" width="14.28515625" style="215" customWidth="1"/>
    <col min="12" max="12" width="9.140625" style="217" customWidth="1"/>
    <col min="13" max="13" width="14.28515625" style="215" customWidth="1"/>
    <col min="14" max="14" width="8.140625" style="217" customWidth="1"/>
    <col min="15" max="15" width="14.28515625" style="215" customWidth="1"/>
    <col min="16" max="16" width="8.140625" style="217" customWidth="1"/>
    <col min="17" max="17" width="14.28515625" style="215" customWidth="1"/>
    <col min="18" max="18" width="8.140625" style="217" customWidth="1"/>
    <col min="19" max="19" width="14.28515625" style="215" customWidth="1"/>
    <col min="20" max="20" width="8.140625" style="217" customWidth="1"/>
    <col min="21" max="21" width="14.28515625" style="215" customWidth="1"/>
    <col min="22" max="22" width="8.140625" style="217" customWidth="1"/>
    <col min="23" max="23" width="17.42578125" style="215" customWidth="1"/>
    <col min="24" max="24" width="8.140625" style="217" customWidth="1"/>
    <col min="25" max="25" width="14.28515625" style="215" customWidth="1"/>
    <col min="26" max="26" width="8.140625" style="217" customWidth="1"/>
    <col min="27" max="27" width="15.28515625" style="213" bestFit="1" customWidth="1"/>
    <col min="28" max="28" width="8.140625" style="218" customWidth="1"/>
    <col min="29" max="29" width="14" style="213" customWidth="1"/>
    <col min="30" max="30" width="8.140625" style="218" customWidth="1"/>
    <col min="31" max="31" width="15.28515625" style="214" hidden="1" customWidth="1"/>
    <col min="32" max="32" width="15.28515625" style="215" hidden="1" customWidth="1"/>
    <col min="33" max="33" width="14" style="215" hidden="1" customWidth="1"/>
    <col min="34" max="34" width="15.28515625" style="214" hidden="1" customWidth="1"/>
    <col min="35" max="35" width="15.42578125" style="214" hidden="1" customWidth="1"/>
    <col min="36" max="36" width="13.28515625" style="214" hidden="1" customWidth="1"/>
    <col min="37" max="37" width="9.140625" style="214"/>
    <col min="38" max="38" width="15.42578125" style="214" bestFit="1" customWidth="1"/>
    <col min="39" max="16384" width="9.140625" style="214"/>
  </cols>
  <sheetData>
    <row r="1" spans="1:38" customFormat="1">
      <c r="A1" s="1011" t="s">
        <v>374</v>
      </c>
      <c r="B1" s="1011"/>
      <c r="C1" s="1011"/>
      <c r="D1" s="1011"/>
      <c r="E1" s="1011"/>
      <c r="F1" s="1011"/>
      <c r="G1" s="1011"/>
      <c r="H1" s="1011"/>
      <c r="I1" s="1011"/>
      <c r="J1" s="1011"/>
      <c r="K1" s="1011"/>
      <c r="L1" s="1011"/>
      <c r="M1" s="1011"/>
      <c r="N1" s="1011"/>
      <c r="O1" s="1011"/>
      <c r="P1" s="1011"/>
      <c r="Q1" s="1011"/>
      <c r="R1" s="1011"/>
      <c r="S1" s="1011"/>
      <c r="T1" s="1011"/>
      <c r="U1" s="1011"/>
      <c r="V1" s="1011"/>
      <c r="W1" s="1011"/>
      <c r="X1" s="1011"/>
      <c r="Y1" s="1011"/>
      <c r="Z1" s="1011"/>
      <c r="AA1" s="1011"/>
      <c r="AB1" s="1011"/>
      <c r="AC1" s="1011"/>
      <c r="AD1" s="1012"/>
      <c r="AF1" s="33"/>
      <c r="AG1" s="33"/>
    </row>
    <row r="2" spans="1:38" s="44" customFormat="1">
      <c r="A2" s="43" t="s">
        <v>146</v>
      </c>
      <c r="B2" s="43"/>
      <c r="C2" s="1004" t="s">
        <v>64</v>
      </c>
      <c r="D2" s="1004"/>
      <c r="E2" s="1004" t="s">
        <v>65</v>
      </c>
      <c r="F2" s="1004"/>
      <c r="G2" s="1004" t="s">
        <v>81</v>
      </c>
      <c r="H2" s="1004"/>
      <c r="I2" s="1004" t="s">
        <v>82</v>
      </c>
      <c r="J2" s="1004"/>
      <c r="K2" s="1004" t="s">
        <v>83</v>
      </c>
      <c r="L2" s="1004"/>
      <c r="M2" s="1004" t="s">
        <v>84</v>
      </c>
      <c r="N2" s="1004"/>
      <c r="O2" s="1004" t="s">
        <v>85</v>
      </c>
      <c r="P2" s="1004"/>
      <c r="Q2" s="1004" t="s">
        <v>86</v>
      </c>
      <c r="R2" s="1004"/>
      <c r="S2" s="1004" t="s">
        <v>87</v>
      </c>
      <c r="T2" s="1004"/>
      <c r="U2" s="1004" t="s">
        <v>123</v>
      </c>
      <c r="V2" s="1004"/>
      <c r="W2" s="1004" t="s">
        <v>124</v>
      </c>
      <c r="X2" s="1004"/>
      <c r="Y2" s="1004" t="s">
        <v>125</v>
      </c>
      <c r="Z2" s="1004"/>
      <c r="AA2" s="997" t="s">
        <v>120</v>
      </c>
      <c r="AB2" s="997"/>
      <c r="AC2" s="998" t="s">
        <v>121</v>
      </c>
      <c r="AD2" s="998"/>
      <c r="AF2" s="368"/>
      <c r="AG2" s="368"/>
    </row>
    <row r="3" spans="1:38" customFormat="1" ht="15.75" thickBot="1">
      <c r="A3" s="331"/>
      <c r="B3" s="332" t="s">
        <v>69</v>
      </c>
      <c r="C3" s="284" t="s">
        <v>115</v>
      </c>
      <c r="D3" s="285" t="s">
        <v>80</v>
      </c>
      <c r="E3" s="286" t="s">
        <v>115</v>
      </c>
      <c r="F3" s="285" t="s">
        <v>80</v>
      </c>
      <c r="G3" s="286" t="s">
        <v>115</v>
      </c>
      <c r="H3" s="285" t="s">
        <v>80</v>
      </c>
      <c r="I3" s="286" t="s">
        <v>115</v>
      </c>
      <c r="J3" s="285" t="s">
        <v>80</v>
      </c>
      <c r="K3" s="286" t="s">
        <v>115</v>
      </c>
      <c r="L3" s="285" t="s">
        <v>80</v>
      </c>
      <c r="M3" s="286" t="s">
        <v>115</v>
      </c>
      <c r="N3" s="285" t="s">
        <v>80</v>
      </c>
      <c r="O3" s="286" t="s">
        <v>115</v>
      </c>
      <c r="P3" s="285" t="s">
        <v>80</v>
      </c>
      <c r="Q3" s="286" t="s">
        <v>115</v>
      </c>
      <c r="R3" s="285" t="s">
        <v>80</v>
      </c>
      <c r="S3" s="286" t="s">
        <v>115</v>
      </c>
      <c r="T3" s="285" t="s">
        <v>80</v>
      </c>
      <c r="U3" s="286" t="s">
        <v>115</v>
      </c>
      <c r="V3" s="285" t="s">
        <v>80</v>
      </c>
      <c r="W3" s="286" t="s">
        <v>115</v>
      </c>
      <c r="X3" s="285" t="s">
        <v>80</v>
      </c>
      <c r="Y3" s="286" t="s">
        <v>115</v>
      </c>
      <c r="Z3" s="285" t="s">
        <v>80</v>
      </c>
      <c r="AA3" s="140" t="s">
        <v>115</v>
      </c>
      <c r="AB3" s="159" t="s">
        <v>80</v>
      </c>
      <c r="AC3" s="124" t="s">
        <v>115</v>
      </c>
      <c r="AD3" s="162" t="s">
        <v>80</v>
      </c>
      <c r="AF3" s="33"/>
      <c r="AG3" s="33"/>
      <c r="AI3" s="1" t="s">
        <v>215</v>
      </c>
    </row>
    <row r="4" spans="1:38" customFormat="1">
      <c r="A4" s="1"/>
      <c r="B4" s="1"/>
      <c r="C4" s="292"/>
      <c r="D4" s="68"/>
      <c r="E4" s="26"/>
      <c r="F4" s="102"/>
      <c r="G4" s="26"/>
      <c r="H4" s="102"/>
      <c r="I4" s="26"/>
      <c r="J4" s="102"/>
      <c r="K4" s="26"/>
      <c r="L4" s="102"/>
      <c r="M4" s="26"/>
      <c r="N4" s="102"/>
      <c r="O4" s="26"/>
      <c r="P4" s="102"/>
      <c r="Q4" s="26"/>
      <c r="R4" s="102"/>
      <c r="S4" s="26"/>
      <c r="T4" s="102"/>
      <c r="U4" s="26"/>
      <c r="V4" s="102"/>
      <c r="W4" s="26"/>
      <c r="X4" s="102"/>
      <c r="Y4" s="26"/>
      <c r="Z4" s="102"/>
      <c r="AA4" s="142"/>
      <c r="AB4" s="160"/>
      <c r="AC4" s="126"/>
      <c r="AD4" s="163"/>
      <c r="AF4" s="33"/>
      <c r="AG4" s="33"/>
      <c r="AI4" s="33"/>
    </row>
    <row r="5" spans="1:38" customFormat="1">
      <c r="A5" s="6">
        <v>5004</v>
      </c>
      <c r="B5" s="16" t="s">
        <v>71</v>
      </c>
      <c r="C5" s="295">
        <f>'0401'!C5+'0402'!C5+'0403'!C5+'405'!C5+'0406'!C5+'0409'!C5+'410-sahara'!C5+'414-Al ghurair'!C5+'415'!C5+'Al Foah_418'!C5+Rak_417!C5+D.C.!C5+'Wafi _419'!C5</f>
        <v>14088471.927245712</v>
      </c>
      <c r="D5" s="68"/>
      <c r="E5" s="295">
        <f>'0401'!E5+'0402'!E5+'0403'!E5+'405'!E5+'0406'!E5+'0409'!E5+'410-sahara'!E5+'414-Al ghurair'!E5+'415'!E5+'Al Foah_418'!E5+Rak_417!E5+D.C.!E5+'Wafi _419'!E5</f>
        <v>9941238.4415830784</v>
      </c>
      <c r="F5" s="22"/>
      <c r="G5" s="295">
        <f>'0401'!G5+'0402'!G5+'0403'!G5+'405'!G5+'0406'!G5+'0409'!G5+'410-sahara'!G5+'414-Al ghurair'!G5+'415'!G5+'Al Foah_418'!G5+Rak_417!G5+D.C.!G5+'Wafi _419'!G5</f>
        <v>18463502.038082182</v>
      </c>
      <c r="H5" s="22"/>
      <c r="I5" s="295">
        <f>'0401'!I5+'0402'!I5+'0403'!I5+'405'!I5+'0406'!I5+'0409'!I5+'410-sahara'!I5+'414-Al ghurair'!I5+'415'!I5+'Al Foah_418'!I5+Rak_417!I5+D.C.!I5+'Wafi _419'!I5</f>
        <v>15805359.863569178</v>
      </c>
      <c r="J5" s="22"/>
      <c r="K5" s="295">
        <f>'0401'!K5+'0402'!K5+'0403'!K5+'405'!K5+'0406'!K5+'0409'!K5+'410-sahara'!K5+'414-Al ghurair'!K5+'415'!K5+'Al Foah_418'!K5+Rak_417!K5+D.C.!K5+'Wafi _419'!K5</f>
        <v>13431198.086581251</v>
      </c>
      <c r="L5" s="24"/>
      <c r="M5" s="295">
        <f>'0401'!M5+'0402'!M5+'0403'!M5+'405'!M5+'0406'!M5+'0409'!M5+'410-sahara'!M5+'414-Al ghurair'!M5+'415'!M5+'Al Foah_418'!M5+Rak_417!M5+D.C.!M5+'Wafi _419'!M5</f>
        <v>21143459.118359301</v>
      </c>
      <c r="N5" s="22"/>
      <c r="O5" s="295">
        <f>'0401'!O5+'0402'!O5+'0403'!O5+'405'!O5+'0406'!O5+'0409'!O5+'410-sahara'!O5+'414-Al ghurair'!O5+'415'!O5+'Al Foah_418'!O5+Rak_417!O5+D.C.!O5+'Wafi _419'!O5</f>
        <v>13283962.446755715</v>
      </c>
      <c r="P5" s="22"/>
      <c r="Q5" s="295">
        <f>'0401'!Q5+'0402'!Q5+'0403'!Q5+'405'!Q5+'0406'!Q5+'0409'!Q5+'410-sahara'!Q5+'414-Al ghurair'!Q5+'415'!Q5+'Al Foah_418'!Q5+Rak_417!Q5+D.C.!Q5+'Wafi _419'!Q5</f>
        <v>16241441.787105795</v>
      </c>
      <c r="R5" s="22"/>
      <c r="S5" s="295">
        <f>'0401'!S5+'0402'!S5+'0403'!S5+'405'!S5+'0406'!S5+'0409'!S5+'410-sahara'!S5+'414-Al ghurair'!S5+'415'!S5+'Al Foah_418'!S5+Rak_417!S5+D.C.!S5+'Wafi _419'!S5</f>
        <v>15722179.243920151</v>
      </c>
      <c r="T5" s="68"/>
      <c r="U5" s="295">
        <f>'0401'!U5+'0402'!U5+'0403'!U5+'405'!U5+'0406'!U5+'0409'!U5+'410-sahara'!U5+'414-Al ghurair'!U5+'415'!U5+'Al Foah_418'!U5+Rak_417!U5+D.C.!U5+'Wafi _419'!U5</f>
        <v>13282052.817478495</v>
      </c>
      <c r="V5" s="22"/>
      <c r="W5" s="295">
        <f>'0401'!W5+'0402'!W5+'0403'!W5+'405'!W5+'0406'!W5+'0409'!W5+'410-sahara'!W5+'414-Al ghurair'!W5+'415'!W5+'Al Foah_418'!W5+Rak_417!W5+D.C.!W5+'Wafi _419'!W5</f>
        <v>12069498.620926971</v>
      </c>
      <c r="X5" s="22"/>
      <c r="Y5" s="295">
        <f>'0401'!Y5+'0402'!Y5+'0403'!Y5+'405'!Y5+'0406'!Y5+'0409'!Y5+'410-sahara'!Y5+'414-Al ghurair'!Y5+'415'!Y5+'Al Foah_418'!Y5+Rak_417!Y5+D.C.!Y5+'Wafi _419'!Y5</f>
        <v>19947159.866767116</v>
      </c>
      <c r="Z5" s="68"/>
      <c r="AA5" s="382">
        <f t="shared" ref="AA5:AA15" si="0">C5+E5+G5+I5+K5+M5+O5+Q5+S5+U5+W5+Y5</f>
        <v>183419524.25837496</v>
      </c>
      <c r="AB5" s="147"/>
      <c r="AC5" s="50">
        <f>AA5/12</f>
        <v>15284960.354864581</v>
      </c>
      <c r="AD5" s="131"/>
      <c r="AE5" s="84">
        <f t="shared" ref="AE5:AE36" si="1">C5+E5+G5+I5+K5+M5+O5+Q5+S5+U5+W5+Y5</f>
        <v>183419524.25837496</v>
      </c>
      <c r="AF5" s="33" t="e">
        <f>#REF!+'0401'!#REF!+'0402'!#REF!+'0403'!#REF!+#REF!+'405'!#REF!+'0406'!#REF!+D.C.!#REF!+#REF!+#REF!+'0409'!#REF!</f>
        <v>#REF!</v>
      </c>
      <c r="AG5" s="33" t="e">
        <f t="shared" ref="AG5:AG37" si="2">AA5-AF5</f>
        <v>#REF!</v>
      </c>
      <c r="AH5" s="84">
        <f>AA5-AE5</f>
        <v>0</v>
      </c>
      <c r="AI5" s="33">
        <f>'0401'!AA5+'0402'!AA5+'0403'!AA5+'405'!AA5+'0406'!AA5+'0409'!AA5+'410-sahara'!AA5+'414-Al ghurair'!AA5+'415'!AA5+'Al Foah_418'!AA5+Rak_417!AA5+D.C.!AA5</f>
        <v>170970645.48185804</v>
      </c>
      <c r="AJ5" s="84">
        <f>AA5-AI5</f>
        <v>12448878.776516914</v>
      </c>
      <c r="AL5" s="686" t="s">
        <v>234</v>
      </c>
    </row>
    <row r="6" spans="1:38" customFormat="1">
      <c r="A6" s="1">
        <v>5005</v>
      </c>
      <c r="B6" s="1" t="s">
        <v>67</v>
      </c>
      <c r="C6" s="295">
        <f>'0401'!C6+'0402'!C6+'0403'!C6+'405'!C6+'0406'!C6+'0409'!C6+'410-sahara'!C6+'414-Al ghurair'!C6+'415'!C6+'Al Foah_418'!C6+Rak_417!C6+D.C.!C6+'Wafi _419'!C6</f>
        <v>0</v>
      </c>
      <c r="D6" s="68">
        <f>C6/C$5</f>
        <v>0</v>
      </c>
      <c r="E6" s="295">
        <f>'0401'!E6+'0402'!E6+'0403'!E6+'405'!E6+'0406'!E6+'0409'!E6+'410-sahara'!E6+'414-Al ghurair'!E6+'415'!E6+'Al Foah_418'!E6+Rak_417!E6+D.C.!E6+'Wafi _419'!E6</f>
        <v>0</v>
      </c>
      <c r="F6" s="68">
        <f>E6/E$5</f>
        <v>0</v>
      </c>
      <c r="G6" s="295">
        <f>'0401'!G6+'0402'!G6+'0403'!G6+'405'!G6+'0406'!G6+'0409'!G6+'410-sahara'!G6+'414-Al ghurair'!G6+'415'!G6+'Al Foah_418'!G6+Rak_417!G6+D.C.!G6+'Wafi _419'!G6</f>
        <v>0</v>
      </c>
      <c r="H6" s="68">
        <f t="shared" ref="H6:H15" si="3">G6/G$5</f>
        <v>0</v>
      </c>
      <c r="I6" s="295">
        <f>'0401'!I6+'0402'!I6+'0403'!I6+'405'!I6+'0406'!I6+'0409'!I6+'410-sahara'!I6+'414-Al ghurair'!I6+'415'!I6+'Al Foah_418'!I6+Rak_417!I6+D.C.!I6+'Wafi _419'!I6</f>
        <v>0</v>
      </c>
      <c r="J6" s="68">
        <f>I6/I$5</f>
        <v>0</v>
      </c>
      <c r="K6" s="295">
        <f>'0401'!K6+'0402'!K6+'0403'!K6+'405'!K6+'0406'!K6+'0409'!K6+'410-sahara'!K6+'414-Al ghurair'!K6+'415'!K6+'Al Foah_418'!K6+Rak_417!K6+D.C.!K6+'Wafi _419'!K6</f>
        <v>0</v>
      </c>
      <c r="L6" s="68">
        <f t="shared" ref="L6:L15" si="4">K6/K$5</f>
        <v>0</v>
      </c>
      <c r="M6" s="295">
        <f>'0401'!M6+'0402'!M6+'0403'!M6+'405'!M6+'0406'!M6+'0409'!M6+'410-sahara'!M6+'414-Al ghurair'!M6+'415'!M6+'Al Foah_418'!M6+Rak_417!M6+D.C.!M6+'Wafi _419'!M6</f>
        <v>0</v>
      </c>
      <c r="N6" s="68">
        <f>M6/M$5</f>
        <v>0</v>
      </c>
      <c r="O6" s="295">
        <f>'0401'!O6+'0402'!O6+'0403'!O6+'405'!O6+'0406'!O6+'0409'!O6+'410-sahara'!O6+'414-Al ghurair'!O6+'415'!O6+'Al Foah_418'!O6+Rak_417!O6+D.C.!O6+'Wafi _419'!O6</f>
        <v>0</v>
      </c>
      <c r="P6" s="68">
        <f>O6/O$5</f>
        <v>0</v>
      </c>
      <c r="Q6" s="295">
        <f>'0401'!Q6+'0402'!Q6+'0403'!Q6+'405'!Q6+'0406'!Q6+'0409'!Q6+'410-sahara'!Q6+'414-Al ghurair'!Q6+'415'!Q6+'Al Foah_418'!Q6+Rak_417!Q6+D.C.!Q6+'Wafi _419'!Q6</f>
        <v>0</v>
      </c>
      <c r="R6" s="68">
        <f>Q6/Q$5</f>
        <v>0</v>
      </c>
      <c r="S6" s="295">
        <f>'0401'!S6+'0402'!S6+'0403'!S6+'405'!S6+'0406'!S6+'0409'!S6+'410-sahara'!S6+'414-Al ghurair'!S6+'415'!S6+'Al Foah_418'!S6+Rak_417!S6+D.C.!S6+'Wafi _419'!S6</f>
        <v>0</v>
      </c>
      <c r="T6" s="68">
        <f>S6/S$5</f>
        <v>0</v>
      </c>
      <c r="U6" s="295">
        <f>'0401'!U6+'0402'!U6+'0403'!U6+'405'!U6+'0406'!U6+'0409'!U6+'410-sahara'!U6+'414-Al ghurair'!U6+'415'!U6+'Al Foah_418'!U6+Rak_417!U6+D.C.!U6+'Wafi _419'!U6</f>
        <v>0</v>
      </c>
      <c r="V6" s="68">
        <f>U6/U$5</f>
        <v>0</v>
      </c>
      <c r="W6" s="295">
        <f>'0401'!W6+'0402'!W6+'0403'!W6+'405'!W6+'0406'!W6+'0409'!W6+'410-sahara'!W6+'414-Al ghurair'!W6+'415'!W6+'Al Foah_418'!W6+Rak_417!W6+D.C.!W6+'Wafi _419'!W6</f>
        <v>0</v>
      </c>
      <c r="X6" s="68">
        <f>W6/W$5</f>
        <v>0</v>
      </c>
      <c r="Y6" s="295">
        <f>'0401'!Y6+'0402'!Y6+'0403'!Y6+'405'!Y6+'0406'!Y6+'0409'!Y6+'410-sahara'!Y6+'414-Al ghurair'!Y6+'415'!Y6+'Al Foah_418'!Y6+Rak_417!Y6+D.C.!Y6+'Wafi _419'!Y6</f>
        <v>0</v>
      </c>
      <c r="Z6" s="68">
        <f>Y6/Y$5</f>
        <v>0</v>
      </c>
      <c r="AA6" s="382">
        <f t="shared" si="0"/>
        <v>0</v>
      </c>
      <c r="AB6" s="160">
        <f>AA6/AA$5</f>
        <v>0</v>
      </c>
      <c r="AC6" s="128">
        <f t="shared" ref="AC6" si="5">AA6/12</f>
        <v>0</v>
      </c>
      <c r="AD6" s="163">
        <f>AC6/AC$5</f>
        <v>0</v>
      </c>
      <c r="AE6" s="84">
        <f t="shared" si="1"/>
        <v>0</v>
      </c>
      <c r="AF6" s="33" t="e">
        <f>#REF!+'0401'!#REF!+'0402'!#REF!+'0403'!#REF!+#REF!+'405'!#REF!+'0406'!#REF!+D.C.!#REF!+#REF!+#REF!+'0409'!#REF!</f>
        <v>#REF!</v>
      </c>
      <c r="AG6" s="33" t="e">
        <f t="shared" si="2"/>
        <v>#REF!</v>
      </c>
      <c r="AH6" s="84">
        <f t="shared" ref="AH6:AH69" si="6">AA6-AE6</f>
        <v>0</v>
      </c>
      <c r="AI6" s="33">
        <f>'0401'!AA6+'0402'!AA6+'0403'!AA6+'405'!AA6+'0406'!AA6+'0409'!AA6+'410-sahara'!AA6+'414-Al ghurair'!AA6+'415'!AA6+'Al Foah_418'!AA6+Rak_417!AA6+D.C.!AA6</f>
        <v>0</v>
      </c>
      <c r="AJ6" s="84">
        <f t="shared" ref="AJ6:AJ69" si="7">AA6-AI6</f>
        <v>0</v>
      </c>
    </row>
    <row r="7" spans="1:38" customFormat="1">
      <c r="A7" s="14">
        <v>5051</v>
      </c>
      <c r="B7" s="15" t="s">
        <v>74</v>
      </c>
      <c r="C7" s="295">
        <f>'0401'!C7+'0402'!C7+'0403'!C7+'405'!C7+'0406'!C7+'0409'!C7+'410-sahara'!C7+'414-Al ghurair'!C7+'415'!C7+'Al Foah_418'!C7+Rak_417!C7+D.C.!C7+'Wafi _419'!C7</f>
        <v>0</v>
      </c>
      <c r="D7" s="68">
        <f t="shared" ref="D7:D15" si="8">C7/C$5</f>
        <v>0</v>
      </c>
      <c r="E7" s="295">
        <f>'0401'!E7+'0402'!E7+'0403'!E7+'405'!E7+'0406'!E7+'0409'!E7+'410-sahara'!E7+'414-Al ghurair'!E7+'415'!E7+'Al Foah_418'!E7+Rak_417!E7+D.C.!E7+'Wafi _419'!E7</f>
        <v>0</v>
      </c>
      <c r="F7" s="68">
        <f t="shared" ref="F7:F15" si="9">E7/E$5</f>
        <v>0</v>
      </c>
      <c r="G7" s="295">
        <f>'0401'!G7+'0402'!G7+'0403'!G7+'405'!G7+'0406'!G7+'0409'!G7+'410-sahara'!G7+'414-Al ghurair'!G7+'415'!G7+'Al Foah_418'!G7+Rak_417!G7+D.C.!G7+'Wafi _419'!G7</f>
        <v>0</v>
      </c>
      <c r="H7" s="68">
        <f t="shared" si="3"/>
        <v>0</v>
      </c>
      <c r="I7" s="295">
        <f>'0401'!I7+'0402'!I7+'0403'!I7+'405'!I7+'0406'!I7+'0409'!I7+'410-sahara'!I7+'414-Al ghurair'!I7+'415'!I7+'Al Foah_418'!I7+Rak_417!I7+D.C.!I7+'Wafi _419'!I7</f>
        <v>0</v>
      </c>
      <c r="J7" s="68">
        <f t="shared" ref="J7:J15" si="10">I7/I$5</f>
        <v>0</v>
      </c>
      <c r="K7" s="295">
        <f>'0401'!K7+'0402'!K7+'0403'!K7+'405'!K7+'0406'!K7+'0409'!K7+'410-sahara'!K7+'414-Al ghurair'!K7+'415'!K7+'Al Foah_418'!K7+Rak_417!K7+D.C.!K7+'Wafi _419'!K7</f>
        <v>0</v>
      </c>
      <c r="L7" s="68">
        <f t="shared" si="4"/>
        <v>0</v>
      </c>
      <c r="M7" s="295">
        <f>'0401'!M7+'0402'!M7+'0403'!M7+'405'!M7+'0406'!M7+'0409'!M7+'410-sahara'!M7+'414-Al ghurair'!M7+'415'!M7+'Al Foah_418'!M7+Rak_417!M7+D.C.!M7+'Wafi _419'!M7</f>
        <v>0</v>
      </c>
      <c r="N7" s="68">
        <f t="shared" ref="N7:N15" si="11">M7/M$5</f>
        <v>0</v>
      </c>
      <c r="O7" s="295">
        <f>'0401'!O7+'0402'!O7+'0403'!O7+'405'!O7+'0406'!O7+'0409'!O7+'410-sahara'!O7+'414-Al ghurair'!O7+'415'!O7+'Al Foah_418'!O7+Rak_417!O7+D.C.!O7+'Wafi _419'!O7</f>
        <v>0</v>
      </c>
      <c r="P7" s="68">
        <f t="shared" ref="P7:P15" si="12">O7/O$5</f>
        <v>0</v>
      </c>
      <c r="Q7" s="295">
        <f>'0401'!Q7+'0402'!Q7+'0403'!Q7+'405'!Q7+'0406'!Q7+'0409'!Q7+'410-sahara'!Q7+'414-Al ghurair'!Q7+'415'!Q7+'Al Foah_418'!Q7+Rak_417!Q7+D.C.!Q7+'Wafi _419'!Q7</f>
        <v>0</v>
      </c>
      <c r="R7" s="68">
        <f t="shared" ref="R7:R15" si="13">Q7/Q$5</f>
        <v>0</v>
      </c>
      <c r="S7" s="295">
        <f>'0401'!S7+'0402'!S7+'0403'!S7+'405'!S7+'0406'!S7+'0409'!S7+'410-sahara'!S7+'414-Al ghurair'!S7+'415'!S7+'Al Foah_418'!S7+Rak_417!S7+D.C.!S7+'Wafi _419'!S7</f>
        <v>0</v>
      </c>
      <c r="T7" s="68">
        <f t="shared" ref="T7:T15" si="14">S7/S$5</f>
        <v>0</v>
      </c>
      <c r="U7" s="295">
        <f>'0401'!U7+'0402'!U7+'0403'!U7+'405'!U7+'0406'!U7+'0409'!U7+'410-sahara'!U7+'414-Al ghurair'!U7+'415'!U7+'Al Foah_418'!U7+Rak_417!U7+D.C.!U7+'Wafi _419'!U7</f>
        <v>0</v>
      </c>
      <c r="V7" s="68">
        <f t="shared" ref="V7:V15" si="15">U7/U$5</f>
        <v>0</v>
      </c>
      <c r="W7" s="295">
        <f>'0401'!W7+'0402'!W7+'0403'!W7+'405'!W7+'0406'!W7+'0409'!W7+'410-sahara'!W7+'414-Al ghurair'!W7+'415'!W7+'Al Foah_418'!W7+Rak_417!W7+D.C.!W7+'Wafi _419'!W7</f>
        <v>0</v>
      </c>
      <c r="X7" s="68">
        <f t="shared" ref="X7:X15" si="16">W7/W$5</f>
        <v>0</v>
      </c>
      <c r="Y7" s="295">
        <f>'0401'!Y7+'0402'!Y7+'0403'!Y7+'405'!Y7+'0406'!Y7+'0409'!Y7+'410-sahara'!Y7+'414-Al ghurair'!Y7+'415'!Y7+'Al Foah_418'!Y7+Rak_417!Y7+D.C.!Y7+'Wafi _419'!Y7</f>
        <v>0</v>
      </c>
      <c r="Z7" s="68">
        <f t="shared" ref="Z7:Z15" si="17">Y7/Y$5</f>
        <v>0</v>
      </c>
      <c r="AA7" s="382">
        <f t="shared" si="0"/>
        <v>0</v>
      </c>
      <c r="AB7" s="147">
        <f t="shared" ref="AB7:AB15" si="18">AA7/AA$5</f>
        <v>0</v>
      </c>
      <c r="AC7" s="128">
        <f t="shared" ref="AC7:AC76" si="19">AA7/12</f>
        <v>0</v>
      </c>
      <c r="AD7" s="131">
        <f t="shared" ref="AD7:AD15" si="20">AC7/AC$5</f>
        <v>0</v>
      </c>
      <c r="AE7" s="84">
        <f t="shared" si="1"/>
        <v>0</v>
      </c>
      <c r="AF7" s="33" t="e">
        <f>#REF!+'0401'!#REF!+'0402'!#REF!+'0403'!#REF!+#REF!+'405'!#REF!+'0406'!#REF!+D.C.!#REF!+#REF!+#REF!+'0409'!#REF!</f>
        <v>#REF!</v>
      </c>
      <c r="AG7" s="33" t="e">
        <f t="shared" si="2"/>
        <v>#REF!</v>
      </c>
      <c r="AH7" s="84">
        <f t="shared" si="6"/>
        <v>0</v>
      </c>
      <c r="AI7" s="33">
        <f>'0401'!AA7+'0402'!AA7+'0403'!AA7+'405'!AA7+'0406'!AA7+'0409'!AA7+'410-sahara'!AA7+'414-Al ghurair'!AA7+'415'!AA7+'Al Foah_418'!AA7+Rak_417!AA7+D.C.!AA7</f>
        <v>0</v>
      </c>
      <c r="AJ7" s="84">
        <f t="shared" si="7"/>
        <v>0</v>
      </c>
    </row>
    <row r="8" spans="1:38" customFormat="1">
      <c r="A8" s="1">
        <v>5052</v>
      </c>
      <c r="B8" s="1" t="s">
        <v>90</v>
      </c>
      <c r="C8" s="295">
        <f>'0401'!C8+'0402'!C8+'0403'!C8+'405'!C8+'0406'!C8+'0409'!C8+'410-sahara'!C8+'414-Al ghurair'!C8+'415'!C8+'Al Foah_418'!C8+Rak_417!C8+D.C.!C8+'Wafi _419'!C8</f>
        <v>0</v>
      </c>
      <c r="D8" s="68">
        <f t="shared" si="8"/>
        <v>0</v>
      </c>
      <c r="E8" s="295">
        <f>'0401'!E8+'0402'!E8+'0403'!E8+'405'!E8+'0406'!E8+'0409'!E8+'410-sahara'!E8+'414-Al ghurair'!E8+'415'!E8+'Al Foah_418'!E8+Rak_417!E8+D.C.!E8+'Wafi _419'!E8</f>
        <v>0</v>
      </c>
      <c r="F8" s="68">
        <f t="shared" si="9"/>
        <v>0</v>
      </c>
      <c r="G8" s="295">
        <f>'0401'!G8+'0402'!G8+'0403'!G8+'405'!G8+'0406'!G8+'0409'!G8+'410-sahara'!G8+'414-Al ghurair'!G8+'415'!G8+'Al Foah_418'!G8+Rak_417!G8+D.C.!G8+'Wafi _419'!G8</f>
        <v>0</v>
      </c>
      <c r="H8" s="68">
        <f t="shared" si="3"/>
        <v>0</v>
      </c>
      <c r="I8" s="295">
        <f>'0401'!I8+'0402'!I8+'0403'!I8+'405'!I8+'0406'!I8+'0409'!I8+'410-sahara'!I8+'414-Al ghurair'!I8+'415'!I8+'Al Foah_418'!I8+Rak_417!I8+D.C.!I8+'Wafi _419'!I8</f>
        <v>0</v>
      </c>
      <c r="J8" s="68">
        <f t="shared" si="10"/>
        <v>0</v>
      </c>
      <c r="K8" s="295">
        <f>'0401'!K8+'0402'!K8+'0403'!K8+'405'!K8+'0406'!K8+'0409'!K8+'410-sahara'!K8+'414-Al ghurair'!K8+'415'!K8+'Al Foah_418'!K8+Rak_417!K8+D.C.!K8+'Wafi _419'!K8</f>
        <v>0</v>
      </c>
      <c r="L8" s="68">
        <f t="shared" si="4"/>
        <v>0</v>
      </c>
      <c r="M8" s="295">
        <f>'0401'!M8+'0402'!M8+'0403'!M8+'405'!M8+'0406'!M8+'0409'!M8+'410-sahara'!M8+'414-Al ghurair'!M8+'415'!M8+'Al Foah_418'!M8+Rak_417!M8+D.C.!M8+'Wafi _419'!M8</f>
        <v>0</v>
      </c>
      <c r="N8" s="68">
        <f t="shared" si="11"/>
        <v>0</v>
      </c>
      <c r="O8" s="295">
        <f>'0401'!O8+'0402'!O8+'0403'!O8+'405'!O8+'0406'!O8+'0409'!O8+'410-sahara'!O8+'414-Al ghurair'!O8+'415'!O8+'Al Foah_418'!O8+Rak_417!O8+D.C.!O8+'Wafi _419'!O8</f>
        <v>0</v>
      </c>
      <c r="P8" s="68">
        <f t="shared" si="12"/>
        <v>0</v>
      </c>
      <c r="Q8" s="295">
        <f>'0401'!Q8+'0402'!Q8+'0403'!Q8+'405'!Q8+'0406'!Q8+'0409'!Q8+'410-sahara'!Q8+'414-Al ghurair'!Q8+'415'!Q8+'Al Foah_418'!Q8+Rak_417!Q8+D.C.!Q8+'Wafi _419'!Q8</f>
        <v>0</v>
      </c>
      <c r="R8" s="68">
        <f t="shared" si="13"/>
        <v>0</v>
      </c>
      <c r="S8" s="295">
        <f>'0401'!S8+'0402'!S8+'0403'!S8+'405'!S8+'0406'!S8+'0409'!S8+'410-sahara'!S8+'414-Al ghurair'!S8+'415'!S8+'Al Foah_418'!S8+Rak_417!S8+D.C.!S8+'Wafi _419'!S8</f>
        <v>0</v>
      </c>
      <c r="T8" s="68">
        <f t="shared" si="14"/>
        <v>0</v>
      </c>
      <c r="U8" s="295">
        <f>'0401'!U8+'0402'!U8+'0403'!U8+'405'!U8+'0406'!U8+'0409'!U8+'410-sahara'!U8+'414-Al ghurair'!U8+'415'!U8+'Al Foah_418'!U8+Rak_417!U8+D.C.!U8+'Wafi _419'!U8</f>
        <v>0</v>
      </c>
      <c r="V8" s="68">
        <f t="shared" si="15"/>
        <v>0</v>
      </c>
      <c r="W8" s="295">
        <f>'0401'!W8+'0402'!W8+'0403'!W8+'405'!W8+'0406'!W8+'0409'!W8+'410-sahara'!W8+'414-Al ghurair'!W8+'415'!W8+'Al Foah_418'!W8+Rak_417!W8+D.C.!W8+'Wafi _419'!W8</f>
        <v>0</v>
      </c>
      <c r="X8" s="68">
        <f t="shared" si="16"/>
        <v>0</v>
      </c>
      <c r="Y8" s="295">
        <f>'0401'!Y8+'0402'!Y8+'0403'!Y8+'405'!Y8+'0406'!Y8+'0409'!Y8+'410-sahara'!Y8+'414-Al ghurair'!Y8+'415'!Y8+'Al Foah_418'!Y8+Rak_417!Y8+D.C.!Y8+'Wafi _419'!Y8</f>
        <v>0</v>
      </c>
      <c r="Z8" s="68">
        <f t="shared" si="17"/>
        <v>0</v>
      </c>
      <c r="AA8" s="382">
        <f t="shared" si="0"/>
        <v>0</v>
      </c>
      <c r="AB8" s="147">
        <f t="shared" si="18"/>
        <v>0</v>
      </c>
      <c r="AC8" s="128">
        <f t="shared" si="19"/>
        <v>0</v>
      </c>
      <c r="AD8" s="131">
        <f t="shared" si="20"/>
        <v>0</v>
      </c>
      <c r="AE8" s="84">
        <f t="shared" si="1"/>
        <v>0</v>
      </c>
      <c r="AF8" s="33" t="e">
        <f>#REF!+'0401'!#REF!+'0402'!#REF!+'0403'!#REF!+#REF!+'405'!#REF!+'0406'!#REF!+D.C.!#REF!+#REF!+#REF!+'0409'!#REF!</f>
        <v>#REF!</v>
      </c>
      <c r="AG8" s="33" t="e">
        <f t="shared" si="2"/>
        <v>#REF!</v>
      </c>
      <c r="AH8" s="84">
        <f t="shared" si="6"/>
        <v>0</v>
      </c>
      <c r="AI8" s="33">
        <f>'0401'!AA8+'0402'!AA8+'0403'!AA8+'405'!AA8+'0406'!AA8+'0409'!AA8+'410-sahara'!AA8+'414-Al ghurair'!AA8+'415'!AA8+'Al Foah_418'!AA8+Rak_417!AA8+D.C.!AA8</f>
        <v>0</v>
      </c>
      <c r="AJ8" s="84">
        <f t="shared" si="7"/>
        <v>0</v>
      </c>
    </row>
    <row r="9" spans="1:38" customFormat="1">
      <c r="A9" s="1">
        <v>5101</v>
      </c>
      <c r="B9" s="1" t="s">
        <v>46</v>
      </c>
      <c r="C9" s="295">
        <f>'0401'!C9+'0402'!C9+'0403'!C9+'405'!C9+'0406'!C9+'0409'!C9+'410-sahara'!C9+'414-Al ghurair'!C9+'415'!C9+'Al Foah_418'!C9+Rak_417!C9+D.C.!C9+'Wafi _419'!C9</f>
        <v>3167176.1089761071</v>
      </c>
      <c r="D9" s="68">
        <f t="shared" si="8"/>
        <v>0.22480621925015881</v>
      </c>
      <c r="E9" s="295">
        <f>'0401'!E9+'0402'!E9+'0403'!E9+'405'!E9+'0406'!E9+'0409'!E9+'410-sahara'!E9+'414-Al ghurair'!E9+'415'!E9+'Al Foah_418'!E9+Rak_417!E9+D.C.!E9+'Wafi _419'!E9</f>
        <v>1444453.4493525247</v>
      </c>
      <c r="F9" s="68">
        <f t="shared" si="9"/>
        <v>0.14529914535703509</v>
      </c>
      <c r="G9" s="295">
        <f>'0401'!G9+'0402'!G9+'0403'!G9+'405'!G9+'0406'!G9+'0409'!G9+'410-sahara'!G9+'414-Al ghurair'!G9+'415'!G9+'Al Foah_418'!G9+Rak_417!G9+D.C.!G9+'Wafi _419'!G9</f>
        <v>4369225.7394889155</v>
      </c>
      <c r="H9" s="68">
        <f t="shared" si="3"/>
        <v>0.23664122496789078</v>
      </c>
      <c r="I9" s="295">
        <f>'0401'!I9+'0402'!I9+'0403'!I9+'405'!I9+'0406'!I9+'0409'!I9+'410-sahara'!I9+'414-Al ghurair'!I9+'415'!I9+'Al Foah_418'!I9+Rak_417!I9+D.C.!I9+'Wafi _419'!I9</f>
        <v>3360194.659103239</v>
      </c>
      <c r="J9" s="68">
        <f t="shared" si="10"/>
        <v>0.21259842788194747</v>
      </c>
      <c r="K9" s="295">
        <f>'0401'!K9+'0402'!K9+'0403'!K9+'405'!K9+'0406'!K9+'0409'!K9+'410-sahara'!K9+'414-Al ghurair'!K9+'415'!K9+'Al Foah_418'!K9+Rak_417!K9+D.C.!K9+'Wafi _419'!K9</f>
        <v>2048826.8811473725</v>
      </c>
      <c r="L9" s="68">
        <f t="shared" si="4"/>
        <v>0.15254237693019362</v>
      </c>
      <c r="M9" s="295">
        <f>'0401'!M9+'0402'!M9+'0403'!M9+'405'!M9+'0406'!M9+'0409'!M9+'410-sahara'!M9+'414-Al ghurair'!M9+'415'!M9+'Al Foah_418'!M9+Rak_417!M9+D.C.!M9+'Wafi _419'!M9</f>
        <v>5003414.0378437927</v>
      </c>
      <c r="N9" s="68">
        <f t="shared" si="11"/>
        <v>0.2366412236443953</v>
      </c>
      <c r="O9" s="295">
        <f>'0401'!O9+'0402'!O9+'0403'!O9+'405'!O9+'0406'!O9+'0409'!O9+'410-sahara'!O9+'414-Al ghurair'!O9+'415'!O9+'Al Foah_418'!O9+Rak_417!O9+D.C.!O9+'Wafi _419'!O9</f>
        <v>3065529.7439526999</v>
      </c>
      <c r="P9" s="68">
        <f t="shared" si="12"/>
        <v>0.23076922689595386</v>
      </c>
      <c r="Q9" s="295">
        <f>'0401'!Q9+'0402'!Q9+'0403'!Q9+'405'!Q9+'0406'!Q9+'0409'!Q9+'410-sahara'!Q9+'414-Al ghurair'!Q9+'415'!Q9+'Al Foah_418'!Q9+Rak_417!Q9+D.C.!Q9+'Wafi _419'!Q9</f>
        <v>3552815.4276998006</v>
      </c>
      <c r="R9" s="68">
        <f t="shared" si="13"/>
        <v>0.21875000226398669</v>
      </c>
      <c r="S9" s="295">
        <f>'0401'!S9+'0402'!S9+'0403'!S9+'405'!S9+'0406'!S9+'0409'!S9+'410-sahara'!S9+'414-Al ghurair'!S9+'415'!S9+'Al Foah_418'!S9+Rak_417!S9+D.C.!S9+'Wafi _419'!S9</f>
        <v>2939919.6624480416</v>
      </c>
      <c r="T9" s="68">
        <f t="shared" si="14"/>
        <v>0.18699186778352778</v>
      </c>
      <c r="U9" s="295">
        <f>'0401'!U9+'0402'!U9+'0403'!U9+'405'!U9+'0406'!U9+'0409'!U9+'410-sahara'!U9+'414-Al ghurair'!U9+'415'!U9+'Al Foah_418'!U9+Rak_417!U9+D.C.!U9+'Wafi _419'!U9</f>
        <v>3143081.2010826981</v>
      </c>
      <c r="V9" s="68">
        <f t="shared" si="15"/>
        <v>0.23664122137404586</v>
      </c>
      <c r="W9" s="295">
        <f>'0401'!W9+'0402'!W9+'0403'!W9+'405'!W9+'0406'!W9+'0409'!W9+'410-sahara'!W9+'414-Al ghurair'!W9+'415'!W9+'Al Foah_418'!W9+Rak_417!W9+D.C.!W9+'Wafi _419'!W9</f>
        <v>1753687.8338099024</v>
      </c>
      <c r="X9" s="68">
        <f t="shared" si="16"/>
        <v>0.14529914529914537</v>
      </c>
      <c r="Y9" s="295">
        <f>'0401'!Y9+'0402'!Y9+'0403'!Y9+'405'!Y9+'0406'!Y9+'0409'!Y9+'410-sahara'!Y9+'414-Al ghurair'!Y9+'415'!Y9+'Al Foah_418'!Y9+Rak_417!Y9+D.C.!Y9+'Wafi _419'!Y9</f>
        <v>4363441.2208553068</v>
      </c>
      <c r="Z9" s="68">
        <f t="shared" si="17"/>
        <v>0.21875</v>
      </c>
      <c r="AA9" s="382">
        <f t="shared" si="0"/>
        <v>38211765.965760395</v>
      </c>
      <c r="AB9" s="147">
        <f t="shared" si="18"/>
        <v>0.20832987175309195</v>
      </c>
      <c r="AC9" s="128">
        <f t="shared" si="19"/>
        <v>3184313.8304800331</v>
      </c>
      <c r="AD9" s="131">
        <f t="shared" si="20"/>
        <v>0.20832987175309195</v>
      </c>
      <c r="AE9" s="84">
        <f t="shared" si="1"/>
        <v>38211765.965760395</v>
      </c>
      <c r="AF9" s="33" t="e">
        <f>#REF!+'0401'!#REF!+'0402'!#REF!+'0403'!#REF!+#REF!+'405'!#REF!+'0406'!#REF!+D.C.!#REF!+#REF!+#REF!+'0409'!#REF!</f>
        <v>#REF!</v>
      </c>
      <c r="AG9" s="33" t="e">
        <f t="shared" si="2"/>
        <v>#REF!</v>
      </c>
      <c r="AH9" s="84">
        <f t="shared" si="6"/>
        <v>0</v>
      </c>
      <c r="AI9" s="33">
        <f>'0401'!AA9+'0402'!AA9+'0403'!AA9+'405'!AA9+'0406'!AA9+'0409'!AA9+'410-sahara'!AA9+'414-Al ghurair'!AA9+'415'!AA9+'Al Foah_418'!AA9+Rak_417!AA9+D.C.!AA9</f>
        <v>35618292.673901014</v>
      </c>
      <c r="AJ9" s="84">
        <f t="shared" si="7"/>
        <v>2593473.2918593809</v>
      </c>
      <c r="AK9" s="686">
        <f>AA9/AA12</f>
        <v>0.26315237157478999</v>
      </c>
    </row>
    <row r="10" spans="1:38" s="1" customFormat="1">
      <c r="A10" s="1">
        <v>5102</v>
      </c>
      <c r="B10" s="1" t="s">
        <v>220</v>
      </c>
      <c r="C10" s="295">
        <f>'0401'!C10+'0402'!C10+'0403'!C10+'405'!C10+'0406'!C10+'0409'!C10+'410-sahara'!C10+'414-Al ghurair'!C10+'415'!C10+'Al Foah_418'!C10+Rak_417!C10+D.C.!C10+'Wafi _419'!C10</f>
        <v>0</v>
      </c>
      <c r="D10" s="68">
        <f t="shared" si="8"/>
        <v>0</v>
      </c>
      <c r="E10" s="295">
        <f>'0401'!E10+'0402'!E10+'0403'!E10+'405'!E10+'0406'!E10+'0409'!E10+'410-sahara'!E10+'414-Al ghurair'!E10+'415'!E10+'Al Foah_418'!E10+Rak_417!E10+D.C.!E10+'Wafi _419'!E10</f>
        <v>0</v>
      </c>
      <c r="F10" s="68">
        <f t="shared" si="9"/>
        <v>0</v>
      </c>
      <c r="G10" s="295">
        <f>'0401'!G10+'0402'!G10+'0403'!G10+'405'!G10+'0406'!G10+'0409'!G10+'410-sahara'!G10+'414-Al ghurair'!G10+'415'!G10+'Al Foah_418'!G10+Rak_417!G10+D.C.!G10+'Wafi _419'!G10</f>
        <v>0</v>
      </c>
      <c r="H10" s="68">
        <f t="shared" si="3"/>
        <v>0</v>
      </c>
      <c r="I10" s="295">
        <f>'0401'!I10+'0402'!I10+'0403'!I10+'405'!I10+'0406'!I10+'0409'!I10+'410-sahara'!I10+'414-Al ghurair'!I10+'415'!I10+'Al Foah_418'!I10+Rak_417!I10+D.C.!I10+'Wafi _419'!I10</f>
        <v>0</v>
      </c>
      <c r="J10" s="68">
        <f t="shared" si="10"/>
        <v>0</v>
      </c>
      <c r="K10" s="295">
        <f>'0401'!K10+'0402'!K10+'0403'!K10+'405'!K10+'0406'!K10+'0409'!K10+'410-sahara'!K10+'414-Al ghurair'!K10+'415'!K10+'Al Foah_418'!K10+Rak_417!K10+D.C.!K10+'Wafi _419'!K10</f>
        <v>0</v>
      </c>
      <c r="L10" s="68">
        <f t="shared" si="4"/>
        <v>0</v>
      </c>
      <c r="M10" s="295">
        <f>'0401'!M10+'0402'!M10+'0403'!M10+'405'!M10+'0406'!M10+'0409'!M10+'410-sahara'!M10+'414-Al ghurair'!M10+'415'!M10+'Al Foah_418'!M10+Rak_417!M10+D.C.!M10+'Wafi _419'!M10</f>
        <v>0</v>
      </c>
      <c r="N10" s="68">
        <f t="shared" si="11"/>
        <v>0</v>
      </c>
      <c r="O10" s="295">
        <f>'0401'!O10+'0402'!O10+'0403'!O10+'405'!O10+'0406'!O10+'0409'!O10+'410-sahara'!O10+'414-Al ghurair'!O10+'415'!O10+'Al Foah_418'!O10+Rak_417!O10+D.C.!O10+'Wafi _419'!O10</f>
        <v>0</v>
      </c>
      <c r="P10" s="68">
        <f t="shared" si="12"/>
        <v>0</v>
      </c>
      <c r="Q10" s="295">
        <f>'0401'!Q10+'0402'!Q10+'0403'!Q10+'405'!Q10+'0406'!Q10+'0409'!Q10+'410-sahara'!Q10+'414-Al ghurair'!Q10+'415'!Q10+'Al Foah_418'!Q10+Rak_417!Q10+D.C.!Q10+'Wafi _419'!Q10</f>
        <v>0</v>
      </c>
      <c r="R10" s="68">
        <f t="shared" si="13"/>
        <v>0</v>
      </c>
      <c r="S10" s="295">
        <f>'0401'!S10+'0402'!S10+'0403'!S10+'405'!S10+'0406'!S10+'0409'!S10+'410-sahara'!S10+'414-Al ghurair'!S10+'415'!S10+'Al Foah_418'!S10+Rak_417!S10+D.C.!S10+'Wafi _419'!S10</f>
        <v>0</v>
      </c>
      <c r="T10" s="68">
        <f t="shared" si="14"/>
        <v>0</v>
      </c>
      <c r="U10" s="295">
        <f>'0401'!U10+'0402'!U10+'0403'!U10+'405'!U10+'0406'!U10+'0409'!U10+'410-sahara'!U10+'414-Al ghurair'!U10+'415'!U10+'Al Foah_418'!U10+Rak_417!U10+D.C.!U10+'Wafi _419'!U10</f>
        <v>0</v>
      </c>
      <c r="V10" s="68">
        <f t="shared" si="15"/>
        <v>0</v>
      </c>
      <c r="W10" s="295">
        <f>'0401'!W10+'0402'!W10+'0403'!W10+'405'!W10+'0406'!W10+'0409'!W10+'410-sahara'!W10+'414-Al ghurair'!W10+'415'!W10+'Al Foah_418'!W10+Rak_417!W10+D.C.!W10+'Wafi _419'!W10</f>
        <v>0</v>
      </c>
      <c r="X10" s="68">
        <f t="shared" si="16"/>
        <v>0</v>
      </c>
      <c r="Y10" s="295">
        <f>'0401'!Y10+'0402'!Y10+'0403'!Y10+'405'!Y10+'0406'!Y10+'0409'!Y10+'410-sahara'!Y10+'414-Al ghurair'!Y10+'415'!Y10+'Al Foah_418'!Y10+Rak_417!Y10+D.C.!Y10+'Wafi _419'!Y10</f>
        <v>0</v>
      </c>
      <c r="Z10" s="68">
        <f t="shared" si="17"/>
        <v>0</v>
      </c>
      <c r="AA10" s="382">
        <f t="shared" si="0"/>
        <v>0</v>
      </c>
      <c r="AB10" s="147">
        <f t="shared" si="18"/>
        <v>0</v>
      </c>
      <c r="AC10" s="128">
        <f t="shared" si="19"/>
        <v>0</v>
      </c>
      <c r="AD10" s="131">
        <f t="shared" si="20"/>
        <v>0</v>
      </c>
      <c r="AE10" s="84">
        <f t="shared" si="1"/>
        <v>0</v>
      </c>
      <c r="AF10" s="33"/>
      <c r="AG10" s="33"/>
      <c r="AH10" s="84">
        <f t="shared" si="6"/>
        <v>0</v>
      </c>
      <c r="AI10" s="33">
        <f>'0401'!AA10+'0402'!AA10+'0403'!AA10+'405'!AA10+'0406'!AA10+'0409'!AA10+'410-sahara'!AA10+'414-Al ghurair'!AA10+'415'!AA10+'Al Foah_418'!AA10+Rak_417!AA10+D.C.!AA10</f>
        <v>0</v>
      </c>
      <c r="AJ10" s="84">
        <f t="shared" si="7"/>
        <v>0</v>
      </c>
    </row>
    <row r="11" spans="1:38" customFormat="1">
      <c r="A11" s="1">
        <v>5103</v>
      </c>
      <c r="B11" s="1" t="s">
        <v>63</v>
      </c>
      <c r="C11" s="295">
        <f>'0401'!C11+'0402'!C11+'0403'!C11+'405'!C11+'0406'!C11+'0409'!C11+'410-sahara'!C11+'414-Al ghurair'!C11+'415'!C11+'Al Foah_418'!C11+Rak_417!C11+D.C.!C11+'Wafi _419'!C11</f>
        <v>0</v>
      </c>
      <c r="D11" s="68">
        <f t="shared" si="8"/>
        <v>0</v>
      </c>
      <c r="E11" s="295">
        <f>'0401'!E11+'0402'!E11+'0403'!E11+'405'!E11+'0406'!E11+'0409'!E11+'410-sahara'!E11+'414-Al ghurair'!E11+'415'!E11+'Al Foah_418'!E11+Rak_417!E11+D.C.!E11+'Wafi _419'!E11</f>
        <v>0</v>
      </c>
      <c r="F11" s="68">
        <f t="shared" si="9"/>
        <v>0</v>
      </c>
      <c r="G11" s="295">
        <f>'0401'!G11+'0402'!G11+'0403'!G11+'405'!G11+'0406'!G11+'0409'!G11+'410-sahara'!G11+'414-Al ghurair'!G11+'415'!G11+'Al Foah_418'!G11+Rak_417!G11+D.C.!G11+'Wafi _419'!G11</f>
        <v>0</v>
      </c>
      <c r="H11" s="68">
        <f t="shared" si="3"/>
        <v>0</v>
      </c>
      <c r="I11" s="295">
        <f>'0401'!I11+'0402'!I11+'0403'!I11+'405'!I11+'0406'!I11+'0409'!I11+'410-sahara'!I11+'414-Al ghurair'!I11+'415'!I11+'Al Foah_418'!I11+Rak_417!I11+D.C.!I11+'Wafi _419'!I11</f>
        <v>0</v>
      </c>
      <c r="J11" s="68">
        <f t="shared" si="10"/>
        <v>0</v>
      </c>
      <c r="K11" s="295">
        <f>'0401'!K11+'0402'!K11+'0403'!K11+'405'!K11+'0406'!K11+'0409'!K11+'410-sahara'!K11+'414-Al ghurair'!K11+'415'!K11+'Al Foah_418'!K11+Rak_417!K11+D.C.!K11+'Wafi _419'!K11</f>
        <v>0</v>
      </c>
      <c r="L11" s="68">
        <f t="shared" si="4"/>
        <v>0</v>
      </c>
      <c r="M11" s="295">
        <f>'0401'!M11+'0402'!M11+'0403'!M11+'405'!M11+'0406'!M11+'0409'!M11+'410-sahara'!M11+'414-Al ghurair'!M11+'415'!M11+'Al Foah_418'!M11+Rak_417!M11+D.C.!M11+'Wafi _419'!M11</f>
        <v>0</v>
      </c>
      <c r="N11" s="68">
        <f t="shared" si="11"/>
        <v>0</v>
      </c>
      <c r="O11" s="295">
        <f>'0401'!O11+'0402'!O11+'0403'!O11+'405'!O11+'0406'!O11+'0409'!O11+'410-sahara'!O11+'414-Al ghurair'!O11+'415'!O11+'Al Foah_418'!O11+Rak_417!O11+D.C.!O11+'Wafi _419'!O11</f>
        <v>0</v>
      </c>
      <c r="P11" s="68">
        <f t="shared" si="12"/>
        <v>0</v>
      </c>
      <c r="Q11" s="295">
        <f>'0401'!Q11+'0402'!Q11+'0403'!Q11+'405'!Q11+'0406'!Q11+'0409'!Q11+'410-sahara'!Q11+'414-Al ghurair'!Q11+'415'!Q11+'Al Foah_418'!Q11+Rak_417!Q11+D.C.!Q11+'Wafi _419'!Q11</f>
        <v>0</v>
      </c>
      <c r="R11" s="68">
        <f t="shared" si="13"/>
        <v>0</v>
      </c>
      <c r="S11" s="295">
        <f>'0401'!S11+'0402'!S11+'0403'!S11+'405'!S11+'0406'!S11+'0409'!S11+'410-sahara'!S11+'414-Al ghurair'!S11+'415'!S11+'Al Foah_418'!S11+Rak_417!S11+D.C.!S11+'Wafi _419'!S11</f>
        <v>0</v>
      </c>
      <c r="T11" s="68">
        <f t="shared" si="14"/>
        <v>0</v>
      </c>
      <c r="U11" s="295">
        <f>'0401'!U11+'0402'!U11+'0403'!U11+'405'!U11+'0406'!U11+'0409'!U11+'410-sahara'!U11+'414-Al ghurair'!U11+'415'!U11+'Al Foah_418'!U11+Rak_417!U11+D.C.!U11+'Wafi _419'!U11</f>
        <v>0</v>
      </c>
      <c r="V11" s="68">
        <f t="shared" si="15"/>
        <v>0</v>
      </c>
      <c r="W11" s="295">
        <f>'0401'!W11+'0402'!W11+'0403'!W11+'405'!W11+'0406'!W11+'0409'!W11+'410-sahara'!W11+'414-Al ghurair'!W11+'415'!W11+'Al Foah_418'!W11+Rak_417!W11+D.C.!W11+'Wafi _419'!W11</f>
        <v>0</v>
      </c>
      <c r="X11" s="68">
        <f t="shared" si="16"/>
        <v>0</v>
      </c>
      <c r="Y11" s="295">
        <f>'0401'!Y11+'0402'!Y11+'0403'!Y11+'405'!Y11+'0406'!Y11+'0409'!Y11+'410-sahara'!Y11+'414-Al ghurair'!Y11+'415'!Y11+'Al Foah_418'!Y11+Rak_417!Y11+D.C.!Y11+'Wafi _419'!Y11</f>
        <v>0</v>
      </c>
      <c r="Z11" s="68">
        <f t="shared" si="17"/>
        <v>0</v>
      </c>
      <c r="AA11" s="382">
        <f t="shared" si="0"/>
        <v>0</v>
      </c>
      <c r="AB11" s="147">
        <f t="shared" si="18"/>
        <v>0</v>
      </c>
      <c r="AC11" s="128">
        <f t="shared" si="19"/>
        <v>0</v>
      </c>
      <c r="AD11" s="131">
        <f t="shared" si="20"/>
        <v>0</v>
      </c>
      <c r="AE11" s="84">
        <f t="shared" si="1"/>
        <v>0</v>
      </c>
      <c r="AF11" s="33" t="e">
        <f>#REF!+'0401'!#REF!+'0402'!#REF!+'0403'!#REF!+#REF!+'405'!#REF!+'0406'!#REF!+D.C.!#REF!+#REF!+#REF!+'0409'!#REF!</f>
        <v>#REF!</v>
      </c>
      <c r="AG11" s="33" t="e">
        <f t="shared" si="2"/>
        <v>#REF!</v>
      </c>
      <c r="AH11" s="84">
        <f t="shared" si="6"/>
        <v>0</v>
      </c>
      <c r="AI11" s="33">
        <f>'0401'!AA11+'0402'!AA11+'0403'!AA11+'405'!AA11+'0406'!AA11+'0409'!AA11+'410-sahara'!AA11+'414-Al ghurair'!AA11+'415'!AA11+'Al Foah_418'!AA11+Rak_417!AA11+D.C.!AA11</f>
        <v>0</v>
      </c>
      <c r="AJ11" s="84">
        <f t="shared" si="7"/>
        <v>0</v>
      </c>
    </row>
    <row r="12" spans="1:38" customFormat="1" ht="15.75" thickBot="1">
      <c r="A12" s="346">
        <v>5149</v>
      </c>
      <c r="B12" s="346" t="s">
        <v>66</v>
      </c>
      <c r="C12" s="334">
        <f>'0401'!C12+'0402'!C12+'0403'!C12+'405'!C12+'0406'!C12+'0409'!C12+'410-sahara'!C12+'414-Al ghurair'!C12+'415'!C12+'Al Foah_418'!C12+Rak_417!C12+D.C.!C12+'Wafi _419'!C12</f>
        <v>10921295.818269605</v>
      </c>
      <c r="D12" s="335">
        <f t="shared" si="8"/>
        <v>0.77519378074984113</v>
      </c>
      <c r="E12" s="334">
        <f>'0401'!E12+'0402'!E12+'0403'!E12+'405'!E12+'0406'!E12+'0409'!E12+'410-sahara'!E12+'414-Al ghurair'!E12+'415'!E12+'Al Foah_418'!E12+Rak_417!E12+D.C.!E12+'Wafi _419'!E12</f>
        <v>8496784.9922305532</v>
      </c>
      <c r="F12" s="347">
        <f t="shared" si="9"/>
        <v>0.85470085464296486</v>
      </c>
      <c r="G12" s="334">
        <f>'0401'!G12+'0402'!G12+'0403'!G12+'405'!G12+'0406'!G12+'0409'!G12+'410-sahara'!G12+'414-Al ghurair'!G12+'415'!G12+'Al Foah_418'!G12+Rak_417!G12+D.C.!G12+'Wafi _419'!G12</f>
        <v>14094276.298593268</v>
      </c>
      <c r="H12" s="348">
        <f t="shared" si="3"/>
        <v>0.76335877503210925</v>
      </c>
      <c r="I12" s="334">
        <f>'0401'!I12+'0402'!I12+'0403'!I12+'405'!I12+'0406'!I12+'0409'!I12+'410-sahara'!I12+'414-Al ghurair'!I12+'415'!I12+'Al Foah_418'!I12+Rak_417!I12+D.C.!I12+'Wafi _419'!I12</f>
        <v>12445165.204465939</v>
      </c>
      <c r="J12" s="347">
        <f t="shared" si="10"/>
        <v>0.78740157211805251</v>
      </c>
      <c r="K12" s="334">
        <f>'0401'!K12+'0402'!K12+'0403'!K12+'405'!K12+'0406'!K12+'0409'!K12+'410-sahara'!K12+'414-Al ghurair'!K12+'415'!K12+'Al Foah_418'!K12+Rak_417!K12+D.C.!K12+'Wafi _419'!K12</f>
        <v>11382371.205433879</v>
      </c>
      <c r="L12" s="347">
        <f t="shared" si="4"/>
        <v>0.84745762306980643</v>
      </c>
      <c r="M12" s="334">
        <f>'0401'!M12+'0402'!M12+'0403'!M12+'405'!M12+'0406'!M12+'0409'!M12+'410-sahara'!M12+'414-Al ghurair'!M12+'415'!M12+'Al Foah_418'!M12+Rak_417!M12+D.C.!M12+'Wafi _419'!M12</f>
        <v>16140045.080515508</v>
      </c>
      <c r="N12" s="347">
        <f t="shared" si="11"/>
        <v>0.76335877635560467</v>
      </c>
      <c r="O12" s="334">
        <f>'0401'!O12+'0402'!O12+'0403'!O12+'405'!O12+'0406'!O12+'0409'!O12+'410-sahara'!O12+'414-Al ghurair'!O12+'415'!O12+'Al Foah_418'!O12+Rak_417!O12+D.C.!O12+'Wafi _419'!O12</f>
        <v>10218432.70280301</v>
      </c>
      <c r="P12" s="347">
        <f t="shared" si="12"/>
        <v>0.76923077310404575</v>
      </c>
      <c r="Q12" s="334">
        <f>'0401'!Q12+'0402'!Q12+'0403'!Q12+'405'!Q12+'0406'!Q12+'0409'!Q12+'410-sahara'!Q12+'414-Al ghurair'!Q12+'415'!Q12+'Al Foah_418'!Q12+Rak_417!Q12+D.C.!Q12+'Wafi _419'!Q12</f>
        <v>12688626.359405993</v>
      </c>
      <c r="R12" s="347">
        <f t="shared" si="13"/>
        <v>0.78124999773601322</v>
      </c>
      <c r="S12" s="334">
        <f>'0401'!S12+'0402'!S12+'0403'!S12+'405'!S12+'0406'!S12+'0409'!S12+'410-sahara'!S12+'414-Al ghurair'!S12+'415'!S12+'Al Foah_418'!S12+Rak_417!S12+D.C.!S12+'Wafi _419'!S12</f>
        <v>12782259.58147211</v>
      </c>
      <c r="T12" s="347">
        <f t="shared" si="14"/>
        <v>0.81300813221647228</v>
      </c>
      <c r="U12" s="334">
        <f>'0401'!U12+'0402'!U12+'0403'!U12+'405'!U12+'0406'!U12+'0409'!U12+'410-sahara'!U12+'414-Al ghurair'!U12+'415'!U12+'Al Foah_418'!U12+Rak_417!U12+D.C.!U12+'Wafi _419'!U12</f>
        <v>10138971.616395799</v>
      </c>
      <c r="V12" s="347">
        <f t="shared" si="15"/>
        <v>0.76335877862595436</v>
      </c>
      <c r="W12" s="334">
        <f>'0401'!W12+'0402'!W12+'0403'!W12+'405'!W12+'0406'!W12+'0409'!W12+'410-sahara'!W12+'414-Al ghurair'!W12+'415'!W12+'Al Foah_418'!W12+Rak_417!W12+D.C.!W12+'Wafi _419'!W12</f>
        <v>10315810.787117068</v>
      </c>
      <c r="X12" s="347">
        <f t="shared" si="16"/>
        <v>0.85470085470085455</v>
      </c>
      <c r="Y12" s="334">
        <f>'0401'!Y12+'0402'!Y12+'0403'!Y12+'405'!Y12+'0406'!Y12+'0409'!Y12+'410-sahara'!Y12+'414-Al ghurair'!Y12+'415'!Y12+'Al Foah_418'!Y12+Rak_417!Y12+D.C.!Y12+'Wafi _419'!Y12</f>
        <v>15583718.645911805</v>
      </c>
      <c r="Z12" s="347">
        <f t="shared" si="17"/>
        <v>0.78124999999999978</v>
      </c>
      <c r="AA12" s="336">
        <f t="shared" si="0"/>
        <v>145207758.29261455</v>
      </c>
      <c r="AB12" s="347">
        <f t="shared" si="18"/>
        <v>0.79167012824690797</v>
      </c>
      <c r="AC12" s="336">
        <f t="shared" si="19"/>
        <v>12100646.524384545</v>
      </c>
      <c r="AD12" s="347">
        <f t="shared" si="20"/>
        <v>0.79167012824690786</v>
      </c>
      <c r="AE12" s="84">
        <f t="shared" si="1"/>
        <v>145207758.29261455</v>
      </c>
      <c r="AF12" s="33" t="e">
        <f>#REF!+'0401'!#REF!+'0402'!#REF!+'0403'!#REF!+#REF!+'405'!#REF!+'0406'!#REF!+D.C.!#REF!+#REF!+#REF!+'0409'!#REF!</f>
        <v>#REF!</v>
      </c>
      <c r="AG12" s="33" t="e">
        <f t="shared" si="2"/>
        <v>#REF!</v>
      </c>
      <c r="AH12" s="84">
        <f t="shared" si="6"/>
        <v>0</v>
      </c>
      <c r="AI12" s="33">
        <f>'0401'!AA12+'0402'!AA12+'0403'!AA12+'405'!AA12+'0406'!AA12+'0409'!AA12+'410-sahara'!AA12+'414-Al ghurair'!AA12+'415'!AA12+'Al Foah_418'!AA12+Rak_417!AA12+D.C.!AA12</f>
        <v>135352352.80795705</v>
      </c>
      <c r="AJ12" s="84">
        <f t="shared" si="7"/>
        <v>9855405.4846574962</v>
      </c>
    </row>
    <row r="13" spans="1:38" customFormat="1" ht="15.75" thickTop="1">
      <c r="A13" s="1">
        <v>5151</v>
      </c>
      <c r="B13" s="1" t="s">
        <v>47</v>
      </c>
      <c r="C13" s="295">
        <f>'0401'!C13+'0402'!C13+'0403'!C13+'405'!C13+'0406'!C13+'0409'!C13+'410-sahara'!C13+'414-Al ghurair'!C13+'415'!C13+'Al Foah_418'!C13+Rak_417!C13+D.C.!C13+'Wafi _419'!C13</f>
        <v>0</v>
      </c>
      <c r="D13" s="68">
        <f t="shared" si="8"/>
        <v>0</v>
      </c>
      <c r="E13" s="295">
        <f>'0401'!E13+'0402'!E13+'0403'!E13+'405'!E13+'0406'!E13+'0409'!E13+'410-sahara'!E13+'414-Al ghurair'!E13+'415'!E13+'Al Foah_418'!E13+Rak_417!E13+D.C.!E13+'Wafi _419'!E13</f>
        <v>0</v>
      </c>
      <c r="F13" s="68">
        <f t="shared" si="9"/>
        <v>0</v>
      </c>
      <c r="G13" s="295">
        <f>'0401'!G13+'0402'!G13+'0403'!G13+'405'!G13+'0406'!G13+'0409'!G13+'410-sahara'!G13+'414-Al ghurair'!G13+'415'!G13+'Al Foah_418'!G13+Rak_417!G13+D.C.!G13+'Wafi _419'!G13</f>
        <v>0</v>
      </c>
      <c r="H13" s="68">
        <f t="shared" si="3"/>
        <v>0</v>
      </c>
      <c r="I13" s="295">
        <f>'0401'!I13+'0402'!I13+'0403'!I13+'405'!I13+'0406'!I13+'0409'!I13+'410-sahara'!I13+'414-Al ghurair'!I13+'415'!I13+'Al Foah_418'!I13+Rak_417!I13+D.C.!I13+'Wafi _419'!I13</f>
        <v>0</v>
      </c>
      <c r="J13" s="68">
        <f t="shared" si="10"/>
        <v>0</v>
      </c>
      <c r="K13" s="295">
        <f>'0401'!K13+'0402'!K13+'0403'!K13+'405'!K13+'0406'!K13+'0409'!K13+'410-sahara'!K13+'414-Al ghurair'!K13+'415'!K13+'Al Foah_418'!K13+Rak_417!K13+D.C.!K13+'Wafi _419'!K13</f>
        <v>0</v>
      </c>
      <c r="L13" s="68">
        <f t="shared" si="4"/>
        <v>0</v>
      </c>
      <c r="M13" s="295">
        <f>'0401'!M13+'0402'!M13+'0403'!M13+'405'!M13+'0406'!M13+'0409'!M13+'410-sahara'!M13+'414-Al ghurair'!M13+'415'!M13+'Al Foah_418'!M13+Rak_417!M13+D.C.!M13+'Wafi _419'!M13</f>
        <v>0</v>
      </c>
      <c r="N13" s="68">
        <f t="shared" si="11"/>
        <v>0</v>
      </c>
      <c r="O13" s="295">
        <f>'0401'!O13+'0402'!O13+'0403'!O13+'405'!O13+'0406'!O13+'0409'!O13+'410-sahara'!O13+'414-Al ghurair'!O13+'415'!O13+'Al Foah_418'!O13+Rak_417!O13+D.C.!O13+'Wafi _419'!O13</f>
        <v>0</v>
      </c>
      <c r="P13" s="68">
        <f t="shared" si="12"/>
        <v>0</v>
      </c>
      <c r="Q13" s="295">
        <f>'0401'!Q13+'0402'!Q13+'0403'!Q13+'405'!Q13+'0406'!Q13+'0409'!Q13+'410-sahara'!Q13+'414-Al ghurair'!Q13+'415'!Q13+'Al Foah_418'!Q13+Rak_417!Q13+D.C.!Q13+'Wafi _419'!Q13</f>
        <v>0</v>
      </c>
      <c r="R13" s="68">
        <f t="shared" si="13"/>
        <v>0</v>
      </c>
      <c r="S13" s="295">
        <f>'0401'!S13+'0402'!S13+'0403'!S13+'405'!S13+'0406'!S13+'0409'!S13+'410-sahara'!S13+'414-Al ghurair'!S13+'415'!S13+'Al Foah_418'!S13+Rak_417!S13+D.C.!S13+'Wafi _419'!S13</f>
        <v>0</v>
      </c>
      <c r="T13" s="68">
        <f t="shared" si="14"/>
        <v>0</v>
      </c>
      <c r="U13" s="295">
        <f>'0401'!U13+'0402'!U13+'0403'!U13+'405'!U13+'0406'!U13+'0409'!U13+'410-sahara'!U13+'414-Al ghurair'!U13+'415'!U13+'Al Foah_418'!U13+Rak_417!U13+D.C.!U13+'Wafi _419'!U13</f>
        <v>0</v>
      </c>
      <c r="V13" s="68">
        <f t="shared" si="15"/>
        <v>0</v>
      </c>
      <c r="W13" s="295">
        <f>'0401'!W13+'0402'!W13+'0403'!W13+'405'!W13+'0406'!W13+'0409'!W13+'410-sahara'!W13+'414-Al ghurair'!W13+'415'!W13+'Al Foah_418'!W13+Rak_417!W13+D.C.!W13+'Wafi _419'!W13</f>
        <v>0</v>
      </c>
      <c r="X13" s="68">
        <f t="shared" si="16"/>
        <v>0</v>
      </c>
      <c r="Y13" s="295">
        <f>'0401'!Y13+'0402'!Y13+'0403'!Y13+'405'!Y13+'0406'!Y13+'0409'!Y13+'410-sahara'!Y13+'414-Al ghurair'!Y13+'415'!Y13+'Al Foah_418'!Y13+Rak_417!Y13+D.C.!Y13+'Wafi _419'!Y13</f>
        <v>0</v>
      </c>
      <c r="Z13" s="68">
        <f t="shared" si="17"/>
        <v>0</v>
      </c>
      <c r="AA13" s="382">
        <f t="shared" si="0"/>
        <v>0</v>
      </c>
      <c r="AB13" s="147">
        <f t="shared" si="18"/>
        <v>0</v>
      </c>
      <c r="AC13" s="128">
        <f t="shared" si="19"/>
        <v>0</v>
      </c>
      <c r="AD13" s="131">
        <f t="shared" si="20"/>
        <v>0</v>
      </c>
      <c r="AE13" s="84">
        <f t="shared" si="1"/>
        <v>0</v>
      </c>
      <c r="AF13" s="33" t="e">
        <f>#REF!+'0401'!#REF!+'0402'!#REF!+'0403'!#REF!+#REF!+'405'!#REF!+'0406'!#REF!+D.C.!#REF!+#REF!+#REF!+'0409'!#REF!</f>
        <v>#REF!</v>
      </c>
      <c r="AG13" s="33" t="e">
        <f t="shared" si="2"/>
        <v>#REF!</v>
      </c>
      <c r="AH13" s="84">
        <f t="shared" si="6"/>
        <v>0</v>
      </c>
      <c r="AI13" s="33">
        <f>'0401'!AA13+'0402'!AA13+'0403'!AA13+'405'!AA13+'0406'!AA13+'0409'!AA13+'410-sahara'!AA13+'414-Al ghurair'!AA13+'415'!AA13+'Al Foah_418'!AA13+Rak_417!AA13+D.C.!AA13</f>
        <v>0</v>
      </c>
      <c r="AJ13" s="84">
        <f t="shared" si="7"/>
        <v>0</v>
      </c>
    </row>
    <row r="14" spans="1:38" customFormat="1">
      <c r="A14" s="1">
        <v>5152</v>
      </c>
      <c r="B14" s="1" t="s">
        <v>48</v>
      </c>
      <c r="C14" s="295">
        <f>'0401'!C14+'0402'!C14+'0403'!C14+'405'!C14+'0406'!C14+'0409'!C14+'410-sahara'!C14+'414-Al ghurair'!C14+'415'!C14+'Al Foah_418'!C14+Rak_417!C14+D.C.!C14+'Wafi _419'!C14</f>
        <v>0</v>
      </c>
      <c r="D14" s="68">
        <f t="shared" si="8"/>
        <v>0</v>
      </c>
      <c r="E14" s="295">
        <f>'0401'!E14+'0402'!E14+'0403'!E14+'405'!E14+'0406'!E14+'0409'!E14+'410-sahara'!E14+'414-Al ghurair'!E14+'415'!E14+'Al Foah_418'!E14+Rak_417!E14+D.C.!E14+'Wafi _419'!E14</f>
        <v>0</v>
      </c>
      <c r="F14" s="68">
        <f t="shared" si="9"/>
        <v>0</v>
      </c>
      <c r="G14" s="295">
        <f>'0401'!G14+'0402'!G14+'0403'!G14+'405'!G14+'0406'!G14+'0409'!G14+'410-sahara'!G14+'414-Al ghurair'!G14+'415'!G14+'Al Foah_418'!G14+Rak_417!G14+D.C.!G14+'Wafi _419'!G14</f>
        <v>0</v>
      </c>
      <c r="H14" s="68">
        <f t="shared" si="3"/>
        <v>0</v>
      </c>
      <c r="I14" s="295">
        <f>'0401'!I14+'0402'!I14+'0403'!I14+'405'!I14+'0406'!I14+'0409'!I14+'410-sahara'!I14+'414-Al ghurair'!I14+'415'!I14+'Al Foah_418'!I14+Rak_417!I14+D.C.!I14+'Wafi _419'!I14</f>
        <v>0</v>
      </c>
      <c r="J14" s="68">
        <f t="shared" si="10"/>
        <v>0</v>
      </c>
      <c r="K14" s="295">
        <f>'0401'!K14+'0402'!K14+'0403'!K14+'405'!K14+'0406'!K14+'0409'!K14+'410-sahara'!K14+'414-Al ghurair'!K14+'415'!K14+'Al Foah_418'!K14+Rak_417!K14+D.C.!K14+'Wafi _419'!K14</f>
        <v>0</v>
      </c>
      <c r="L14" s="68">
        <f t="shared" si="4"/>
        <v>0</v>
      </c>
      <c r="M14" s="295">
        <f>'0401'!M14+'0402'!M14+'0403'!M14+'405'!M14+'0406'!M14+'0409'!M14+'410-sahara'!M14+'414-Al ghurair'!M14+'415'!M14+'Al Foah_418'!M14+Rak_417!M14+D.C.!M14+'Wafi _419'!M14</f>
        <v>0</v>
      </c>
      <c r="N14" s="68">
        <f t="shared" si="11"/>
        <v>0</v>
      </c>
      <c r="O14" s="295">
        <f>'0401'!O14+'0402'!O14+'0403'!O14+'405'!O14+'0406'!O14+'0409'!O14+'410-sahara'!O14+'414-Al ghurair'!O14+'415'!O14+'Al Foah_418'!O14+Rak_417!O14+D.C.!O14+'Wafi _419'!O14</f>
        <v>0</v>
      </c>
      <c r="P14" s="68">
        <f t="shared" si="12"/>
        <v>0</v>
      </c>
      <c r="Q14" s="295">
        <f>'0401'!Q14+'0402'!Q14+'0403'!Q14+'405'!Q14+'0406'!Q14+'0409'!Q14+'410-sahara'!Q14+'414-Al ghurair'!Q14+'415'!Q14+'Al Foah_418'!Q14+Rak_417!Q14+D.C.!Q14+'Wafi _419'!Q14</f>
        <v>0</v>
      </c>
      <c r="R14" s="68">
        <f t="shared" si="13"/>
        <v>0</v>
      </c>
      <c r="S14" s="295">
        <f>'0401'!S14+'0402'!S14+'0403'!S14+'405'!S14+'0406'!S14+'0409'!S14+'410-sahara'!S14+'414-Al ghurair'!S14+'415'!S14+'Al Foah_418'!S14+Rak_417!S14+D.C.!S14+'Wafi _419'!S14</f>
        <v>0</v>
      </c>
      <c r="T14" s="68">
        <f t="shared" si="14"/>
        <v>0</v>
      </c>
      <c r="U14" s="295">
        <f>'0401'!U14+'0402'!U14+'0403'!U14+'405'!U14+'0406'!U14+'0409'!U14+'410-sahara'!U14+'414-Al ghurair'!U14+'415'!U14+'Al Foah_418'!U14+Rak_417!U14+D.C.!U14+'Wafi _419'!U14</f>
        <v>0</v>
      </c>
      <c r="V14" s="68">
        <f t="shared" si="15"/>
        <v>0</v>
      </c>
      <c r="W14" s="295">
        <f>'0401'!W14+'0402'!W14+'0403'!W14+'405'!W14+'0406'!W14+'0409'!W14+'410-sahara'!W14+'414-Al ghurair'!W14+'415'!W14+'Al Foah_418'!W14+Rak_417!W14+D.C.!W14+'Wafi _419'!W14</f>
        <v>0</v>
      </c>
      <c r="X14" s="68">
        <f t="shared" si="16"/>
        <v>0</v>
      </c>
      <c r="Y14" s="295">
        <f>'0401'!Y14+'0402'!Y14+'0403'!Y14+'405'!Y14+'0406'!Y14+'0409'!Y14+'410-sahara'!Y14+'414-Al ghurair'!Y14+'415'!Y14+'Al Foah_418'!Y14+Rak_417!Y14+D.C.!Y14+'Wafi _419'!Y14</f>
        <v>0</v>
      </c>
      <c r="Z14" s="68">
        <f t="shared" si="17"/>
        <v>0</v>
      </c>
      <c r="AA14" s="382">
        <f t="shared" si="0"/>
        <v>0</v>
      </c>
      <c r="AB14" s="147">
        <f t="shared" si="18"/>
        <v>0</v>
      </c>
      <c r="AC14" s="128">
        <f t="shared" si="19"/>
        <v>0</v>
      </c>
      <c r="AD14" s="131">
        <f t="shared" si="20"/>
        <v>0</v>
      </c>
      <c r="AE14" s="84">
        <f t="shared" si="1"/>
        <v>0</v>
      </c>
      <c r="AF14" s="33" t="e">
        <f>#REF!+'0401'!#REF!+'0402'!#REF!+'0403'!#REF!+#REF!+'405'!#REF!+'0406'!#REF!+D.C.!#REF!+#REF!+#REF!+'0409'!#REF!</f>
        <v>#REF!</v>
      </c>
      <c r="AG14" s="33" t="e">
        <f t="shared" si="2"/>
        <v>#REF!</v>
      </c>
      <c r="AH14" s="84">
        <f t="shared" si="6"/>
        <v>0</v>
      </c>
      <c r="AI14" s="33">
        <f>'0401'!AA14+'0402'!AA14+'0403'!AA14+'405'!AA14+'0406'!AA14+'0409'!AA14+'410-sahara'!AA14+'414-Al ghurair'!AA14+'415'!AA14+'Al Foah_418'!AA14+Rak_417!AA14+D.C.!AA14</f>
        <v>0</v>
      </c>
      <c r="AJ14" s="84">
        <f t="shared" si="7"/>
        <v>0</v>
      </c>
    </row>
    <row r="15" spans="1:38" customFormat="1">
      <c r="A15" s="349">
        <v>5198</v>
      </c>
      <c r="B15" s="349" t="s">
        <v>94</v>
      </c>
      <c r="C15" s="350">
        <f>'0401'!C15+'0402'!C15+'0403'!C15+'405'!C15+'0406'!C15+'0409'!C15+'410-sahara'!C15+'414-Al ghurair'!C15+'415'!C15+'Al Foah_418'!C15+Rak_417!C15+D.C.!C15+'Wafi _419'!C15</f>
        <v>0</v>
      </c>
      <c r="D15" s="351">
        <f t="shared" si="8"/>
        <v>0</v>
      </c>
      <c r="E15" s="350">
        <f>'0401'!E15+'0402'!E15+'0403'!E15+'405'!E15+'0406'!E15+'0409'!E15+'410-sahara'!E15+'414-Al ghurair'!E15+'415'!E15+'Al Foah_418'!E15+Rak_417!E15+D.C.!E15+'Wafi _419'!E15</f>
        <v>0</v>
      </c>
      <c r="F15" s="351">
        <f t="shared" si="9"/>
        <v>0</v>
      </c>
      <c r="G15" s="350">
        <f>'0401'!G15+'0402'!G15+'0403'!G15+'405'!G15+'0406'!G15+'0409'!G15+'410-sahara'!G15+'414-Al ghurair'!G15+'415'!G15+'Al Foah_418'!G15+Rak_417!G15+D.C.!G15+'Wafi _419'!G15</f>
        <v>0</v>
      </c>
      <c r="H15" s="351">
        <f t="shared" si="3"/>
        <v>0</v>
      </c>
      <c r="I15" s="350">
        <f>'0401'!I15+'0402'!I15+'0403'!I15+'405'!I15+'0406'!I15+'0409'!I15+'410-sahara'!I15+'414-Al ghurair'!I15+'415'!I15+'Al Foah_418'!I15+Rak_417!I15+D.C.!I15+'Wafi _419'!I15</f>
        <v>0</v>
      </c>
      <c r="J15" s="351">
        <f t="shared" si="10"/>
        <v>0</v>
      </c>
      <c r="K15" s="350">
        <f>'0401'!K15+'0402'!K15+'0403'!K15+'405'!K15+'0406'!K15+'0409'!K15+'410-sahara'!K15+'414-Al ghurair'!K15+'415'!K15+'Al Foah_418'!K15+Rak_417!K15+D.C.!K15+'Wafi _419'!K15</f>
        <v>0</v>
      </c>
      <c r="L15" s="351">
        <f t="shared" si="4"/>
        <v>0</v>
      </c>
      <c r="M15" s="350">
        <f>'0401'!M15+'0402'!M15+'0403'!M15+'405'!M15+'0406'!M15+'0409'!M15+'410-sahara'!M15+'414-Al ghurair'!M15+'415'!M15+'Al Foah_418'!M15+Rak_417!M15+D.C.!M15+'Wafi _419'!M15</f>
        <v>0</v>
      </c>
      <c r="N15" s="351">
        <f t="shared" si="11"/>
        <v>0</v>
      </c>
      <c r="O15" s="350">
        <f>'0401'!O15+'0402'!O15+'0403'!O15+'405'!O15+'0406'!O15+'0409'!O15+'410-sahara'!O15+'414-Al ghurair'!O15+'415'!O15+'Al Foah_418'!O15+Rak_417!O15+D.C.!O15+'Wafi _419'!O15</f>
        <v>0</v>
      </c>
      <c r="P15" s="351">
        <f t="shared" si="12"/>
        <v>0</v>
      </c>
      <c r="Q15" s="350">
        <f>'0401'!Q15+'0402'!Q15+'0403'!Q15+'405'!Q15+'0406'!Q15+'0409'!Q15+'410-sahara'!Q15+'414-Al ghurair'!Q15+'415'!Q15+'Al Foah_418'!Q15+Rak_417!Q15+D.C.!Q15+'Wafi _419'!Q15</f>
        <v>0</v>
      </c>
      <c r="R15" s="351">
        <f t="shared" si="13"/>
        <v>0</v>
      </c>
      <c r="S15" s="350">
        <f>'0401'!S15+'0402'!S15+'0403'!S15+'405'!S15+'0406'!S15+'0409'!S15+'410-sahara'!S15+'414-Al ghurair'!S15+'415'!S15+'Al Foah_418'!S15+Rak_417!S15+D.C.!S15+'Wafi _419'!S15</f>
        <v>0</v>
      </c>
      <c r="T15" s="351">
        <f t="shared" si="14"/>
        <v>0</v>
      </c>
      <c r="U15" s="350">
        <f>'0401'!U15+'0402'!U15+'0403'!U15+'405'!U15+'0406'!U15+'0409'!U15+'410-sahara'!U15+'414-Al ghurair'!U15+'415'!U15+'Al Foah_418'!U15+Rak_417!U15+D.C.!U15+'Wafi _419'!U15</f>
        <v>0</v>
      </c>
      <c r="V15" s="351">
        <f t="shared" si="15"/>
        <v>0</v>
      </c>
      <c r="W15" s="350">
        <f>'0401'!W15+'0402'!W15+'0403'!W15+'405'!W15+'0406'!W15+'0409'!W15+'410-sahara'!W15+'414-Al ghurair'!W15+'415'!W15+'Al Foah_418'!W15+Rak_417!W15+D.C.!W15+'Wafi _419'!W15</f>
        <v>0</v>
      </c>
      <c r="X15" s="351">
        <f t="shared" si="16"/>
        <v>0</v>
      </c>
      <c r="Y15" s="350">
        <f>'0401'!Y15+'0402'!Y15+'0403'!Y15+'405'!Y15+'0406'!Y15+'0409'!Y15+'410-sahara'!Y15+'414-Al ghurair'!Y15+'415'!Y15+'Al Foah_418'!Y15+Rak_417!Y15+D.C.!Y15+'Wafi _419'!Y15</f>
        <v>0</v>
      </c>
      <c r="Z15" s="351">
        <f t="shared" si="17"/>
        <v>0</v>
      </c>
      <c r="AA15" s="352">
        <f t="shared" si="0"/>
        <v>0</v>
      </c>
      <c r="AB15" s="351">
        <f t="shared" si="18"/>
        <v>0</v>
      </c>
      <c r="AC15" s="352">
        <f t="shared" si="19"/>
        <v>0</v>
      </c>
      <c r="AD15" s="351">
        <f t="shared" si="20"/>
        <v>0</v>
      </c>
      <c r="AE15" s="84">
        <f t="shared" si="1"/>
        <v>0</v>
      </c>
      <c r="AF15" s="33" t="e">
        <f>#REF!+'0401'!#REF!+'0402'!#REF!+'0403'!#REF!+#REF!+'405'!#REF!+'0406'!#REF!+D.C.!#REF!+#REF!+#REF!+'0409'!#REF!</f>
        <v>#REF!</v>
      </c>
      <c r="AG15" s="33" t="e">
        <f t="shared" si="2"/>
        <v>#REF!</v>
      </c>
      <c r="AH15" s="84">
        <f t="shared" si="6"/>
        <v>0</v>
      </c>
      <c r="AI15" s="33">
        <f>'0401'!AA15+'0402'!AA15+'0403'!AA15+'405'!AA15+'0406'!AA15+'0409'!AA15+'410-sahara'!AA15+'414-Al ghurair'!AA15+'415'!AA15+'Al Foah_418'!AA15+Rak_417!AA15+D.C.!AA15</f>
        <v>0</v>
      </c>
      <c r="AJ15" s="84">
        <f t="shared" si="7"/>
        <v>0</v>
      </c>
    </row>
    <row r="16" spans="1:38" customFormat="1" ht="15.75" thickBot="1">
      <c r="A16" s="37">
        <v>5199</v>
      </c>
      <c r="B16" s="37" t="s">
        <v>70</v>
      </c>
      <c r="C16" s="80">
        <f>C12+C15</f>
        <v>10921295.818269605</v>
      </c>
      <c r="D16" s="25">
        <f>C16/C12</f>
        <v>1</v>
      </c>
      <c r="E16" s="120">
        <f>E12+E15</f>
        <v>8496784.9922305532</v>
      </c>
      <c r="F16" s="25">
        <f>E16/E12</f>
        <v>1</v>
      </c>
      <c r="G16" s="80">
        <f>G12+G15</f>
        <v>14094276.298593268</v>
      </c>
      <c r="H16" s="25">
        <f>G16/G12</f>
        <v>1</v>
      </c>
      <c r="I16" s="80">
        <f>I12+I15</f>
        <v>12445165.204465939</v>
      </c>
      <c r="J16" s="25">
        <f>I16/I12</f>
        <v>1</v>
      </c>
      <c r="K16" s="30">
        <f>K12+K15</f>
        <v>11382371.205433879</v>
      </c>
      <c r="L16" s="25">
        <f>K16/K12</f>
        <v>1</v>
      </c>
      <c r="M16" s="30">
        <f>M12+M15</f>
        <v>16140045.080515508</v>
      </c>
      <c r="N16" s="25">
        <f>M16/M12</f>
        <v>1</v>
      </c>
      <c r="O16" s="30">
        <f>O12+O15</f>
        <v>10218432.70280301</v>
      </c>
      <c r="P16" s="25">
        <f>O16/O12</f>
        <v>1</v>
      </c>
      <c r="Q16" s="30">
        <f>Q12+Q15</f>
        <v>12688626.359405993</v>
      </c>
      <c r="R16" s="25">
        <f>Q16/Q12</f>
        <v>1</v>
      </c>
      <c r="S16" s="30">
        <f>S12+S15</f>
        <v>12782259.58147211</v>
      </c>
      <c r="T16" s="25">
        <f>S16/S12</f>
        <v>1</v>
      </c>
      <c r="U16" s="80">
        <f>U12+U15</f>
        <v>10138971.616395799</v>
      </c>
      <c r="V16" s="25">
        <f>U16/U12</f>
        <v>1</v>
      </c>
      <c r="W16" s="80">
        <f>W12+W15</f>
        <v>10315810.787117068</v>
      </c>
      <c r="X16" s="25">
        <f>W16/W12</f>
        <v>1</v>
      </c>
      <c r="Y16" s="80">
        <f>Y12+Y15</f>
        <v>15583718.645911805</v>
      </c>
      <c r="Z16" s="25">
        <f>Y16/Y12</f>
        <v>1</v>
      </c>
      <c r="AA16" s="195">
        <f>AA12+AA15</f>
        <v>145207758.29261455</v>
      </c>
      <c r="AB16" s="25">
        <f>AA16/AA12</f>
        <v>1</v>
      </c>
      <c r="AC16" s="59">
        <f>AA16/12</f>
        <v>12100646.524384545</v>
      </c>
      <c r="AD16" s="25">
        <f>AC16/AC12</f>
        <v>1</v>
      </c>
      <c r="AE16" s="84">
        <f t="shared" si="1"/>
        <v>145207758.29261455</v>
      </c>
      <c r="AF16" s="33" t="e">
        <f>#REF!+'0401'!#REF!+'0402'!#REF!+'0403'!#REF!+#REF!+'405'!#REF!+'0406'!#REF!+D.C.!#REF!+#REF!+#REF!+'0409'!#REF!</f>
        <v>#REF!</v>
      </c>
      <c r="AG16" s="33" t="e">
        <f t="shared" si="2"/>
        <v>#REF!</v>
      </c>
      <c r="AH16" s="84">
        <f t="shared" si="6"/>
        <v>0</v>
      </c>
      <c r="AI16" s="33">
        <f>'0401'!AA16+'0402'!AA16+'0403'!AA16+'405'!AA16+'0406'!AA16+'0409'!AA16+'410-sahara'!AA16+'414-Al ghurair'!AA16+'415'!AA16+'Al Foah_418'!AA16+Rak_417!AA16+D.C.!AA16</f>
        <v>135352352.80795705</v>
      </c>
      <c r="AJ16" s="84">
        <f t="shared" si="7"/>
        <v>9855405.4846574962</v>
      </c>
    </row>
    <row r="17" spans="1:36" customFormat="1" ht="15.75" thickTop="1">
      <c r="A17" s="13">
        <v>5502</v>
      </c>
      <c r="B17" s="5" t="s">
        <v>49</v>
      </c>
      <c r="C17" s="295">
        <f>'0401'!C17+'0402'!C17+'0403'!C17+'405'!C17+'0406'!C17+'0409'!C17+'410-sahara'!C17+'414-Al ghurair'!C17+'415'!C17+'Al Foah_418'!C17+Rak_417!C17+D.C.!C17+'Wafi _419'!C17</f>
        <v>5763210.1297549848</v>
      </c>
      <c r="D17" s="68">
        <f>C17/C12</f>
        <v>0.5277038755890161</v>
      </c>
      <c r="E17" s="295">
        <f>'0401'!E17+'0402'!E17+'0403'!E17+'405'!E17+'0406'!E17+'0409'!E17+'410-sahara'!E17+'414-Al ghurair'!E17+'415'!E17+'Al Foah_418'!E17+Rak_417!E17+D.C.!E17+'Wafi _419'!E17</f>
        <v>3867388.3176948158</v>
      </c>
      <c r="F17" s="68">
        <f>E17/E12</f>
        <v>0.45515901852655438</v>
      </c>
      <c r="G17" s="295">
        <f>'0401'!G17+'0402'!G17+'0403'!G17+'405'!G17+'0406'!G17+'0409'!G17+'410-sahara'!G17+'414-Al ghurair'!G17+'415'!G17+'Al Foah_418'!G17+Rak_417!G17+D.C.!G17+'Wafi _419'!G17</f>
        <v>7358819.7469133548</v>
      </c>
      <c r="H17" s="68">
        <f>G17/G12</f>
        <v>0.52211405474205363</v>
      </c>
      <c r="I17" s="295">
        <f>'0401'!I17+'0402'!I17+'0403'!I17+'405'!I17+'0406'!I17+'0409'!I17+'410-sahara'!I17+'414-Al ghurair'!I17+'415'!I17+'Al Foah_418'!I17+Rak_417!I17+D.C.!I17+'Wafi _419'!I17</f>
        <v>5830338.5756153855</v>
      </c>
      <c r="J17" s="68">
        <f>I17/I12</f>
        <v>0.46848221617204189</v>
      </c>
      <c r="K17" s="295">
        <f>'0401'!K17+'0402'!K17+'0403'!K17+'405'!K17+'0406'!K17+'0409'!K17+'410-sahara'!K17+'414-Al ghurair'!K17+'415'!K17+'Al Foah_418'!K17+Rak_417!K17+D.C.!K17+'Wafi _419'!K17</f>
        <v>4949333.9540973268</v>
      </c>
      <c r="L17" s="68">
        <f>K17/K12</f>
        <v>0.43482450754501339</v>
      </c>
      <c r="M17" s="295">
        <f>'0401'!M17+'0402'!M17+'0403'!M17+'405'!M17+'0406'!M17+'0409'!M17+'410-sahara'!M17+'414-Al ghurair'!M17+'415'!M17+'Al Foah_418'!M17+Rak_417!M17+D.C.!M17+'Wafi _419'!M17</f>
        <v>8533743.204466356</v>
      </c>
      <c r="N17" s="68">
        <f>M17/M12</f>
        <v>0.52873106375448808</v>
      </c>
      <c r="O17" s="295">
        <f>'0401'!O17+'0402'!O17+'0403'!O17+'405'!O17+'0406'!O17+'0409'!O17+'410-sahara'!O17+'414-Al ghurair'!O17+'415'!O17+'Al Foah_418'!O17+Rak_417!O17+D.C.!O17+'Wafi _419'!O17</f>
        <v>4820821.1376364082</v>
      </c>
      <c r="P17" s="68">
        <f>O17/O12</f>
        <v>0.47177696206914516</v>
      </c>
      <c r="Q17" s="295">
        <f>'0401'!Q17+'0402'!Q17+'0403'!Q17+'405'!Q17+'0406'!Q17+'0409'!Q17+'410-sahara'!Q17+'414-Al ghurair'!Q17+'415'!Q17+'Al Foah_418'!Q17+Rak_417!Q17+D.C.!Q17+'Wafi _419'!Q17</f>
        <v>5822487.6794139026</v>
      </c>
      <c r="R17" s="68">
        <f>Q17/Q12</f>
        <v>0.45887454752718226</v>
      </c>
      <c r="S17" s="295">
        <f>'0401'!S17+'0402'!S17+'0403'!S17+'405'!S17+'0406'!S17+'0409'!S17+'410-sahara'!S17+'414-Al ghurair'!S17+'415'!S17+'Al Foah_418'!S17+Rak_417!S17+D.C.!S17+'Wafi _419'!S17</f>
        <v>6395601.6192244068</v>
      </c>
      <c r="T17" s="68">
        <f>S17/S12</f>
        <v>0.50034984647744396</v>
      </c>
      <c r="U17" s="295">
        <f>'0401'!U17+'0402'!U17+'0403'!U17+'405'!U17+'0406'!U17+'0409'!U17+'410-sahara'!U17+'414-Al ghurair'!U17+'415'!U17+'Al Foah_418'!U17+Rak_417!U17+D.C.!U17+'Wafi _419'!U17</f>
        <v>4642240.6522600651</v>
      </c>
      <c r="V17" s="68">
        <f>U17/U12</f>
        <v>0.45786109557236221</v>
      </c>
      <c r="W17" s="295">
        <f>'0401'!W17+'0402'!W17+'0403'!W17+'405'!W17+'0406'!W17+'0409'!W17+'410-sahara'!W17+'414-Al ghurair'!W17+'415'!W17+'Al Foah_418'!W17+Rak_417!W17+D.C.!W17+'Wafi _419'!W17</f>
        <v>4643622.7494311854</v>
      </c>
      <c r="X17" s="68">
        <f>W17/W12</f>
        <v>0.45014617321504075</v>
      </c>
      <c r="Y17" s="295">
        <f>'0401'!Y17+'0402'!Y17+'0403'!Y17+'405'!Y17+'0406'!Y17+'0409'!Y17+'410-sahara'!Y17+'414-Al ghurair'!Y17+'415'!Y17+'Al Foah_418'!Y17+Rak_417!Y17+D.C.!Y17+'Wafi _419'!Y17</f>
        <v>8049862.3213727437</v>
      </c>
      <c r="Z17" s="68">
        <f>Y17/Y12</f>
        <v>0.5165559327833813</v>
      </c>
      <c r="AA17" s="382">
        <f t="shared" ref="AA17:AA48" si="21">C17+E17+G17+I17+K17+M17+O17+Q17+S17+U17+W17+Y17</f>
        <v>70677470.087880924</v>
      </c>
      <c r="AB17" s="147">
        <f>AA17/AA12</f>
        <v>0.48673342883963294</v>
      </c>
      <c r="AC17" s="128">
        <f t="shared" si="19"/>
        <v>5889789.1739900773</v>
      </c>
      <c r="AD17" s="131">
        <f>AC17/AC12</f>
        <v>0.486733428839633</v>
      </c>
      <c r="AE17" s="84">
        <f t="shared" si="1"/>
        <v>70677470.087880924</v>
      </c>
      <c r="AF17" s="33" t="e">
        <f>#REF!+'0401'!#REF!+'0402'!#REF!+'0403'!#REF!+#REF!+'405'!#REF!+'0406'!#REF!+D.C.!#REF!+#REF!+#REF!+'0409'!#REF!</f>
        <v>#REF!</v>
      </c>
      <c r="AG17" s="33" t="e">
        <f t="shared" si="2"/>
        <v>#REF!</v>
      </c>
      <c r="AH17" s="84">
        <f t="shared" si="6"/>
        <v>0</v>
      </c>
      <c r="AI17" s="33">
        <f>'0401'!AA17+'0402'!AA17+'0403'!AA17+'405'!AA17+'0406'!AA17+'0409'!AA17+'410-sahara'!AA17+'414-Al ghurair'!AA17+'415'!AA17+'Al Foah_418'!AA17+Rak_417!AA17+D.C.!AA17</f>
        <v>65954747.71308288</v>
      </c>
      <c r="AJ17" s="84">
        <f t="shared" si="7"/>
        <v>4722722.3747980446</v>
      </c>
    </row>
    <row r="18" spans="1:36" customFormat="1">
      <c r="A18" s="3">
        <v>5503</v>
      </c>
      <c r="B18" s="3" t="s">
        <v>50</v>
      </c>
      <c r="C18" s="295">
        <f>'0401'!C18+'0402'!C18+'0403'!C18+'405'!C18+'0406'!C18+'0409'!C18+'410-sahara'!C18+'414-Al ghurair'!C18+'415'!C18+'Al Foah_418'!C18+Rak_417!C18+D.C.!C18+'Wafi _419'!C18</f>
        <v>0</v>
      </c>
      <c r="D18" s="68"/>
      <c r="E18" s="295">
        <f>'0401'!E18+'0402'!E18+'0403'!E18+'405'!E18+'0406'!E18+'0409'!E18+'410-sahara'!E18+'414-Al ghurair'!E18+'415'!E18+'Al Foah_418'!E18+Rak_417!E18+D.C.!E18+'Wafi _419'!E18</f>
        <v>0</v>
      </c>
      <c r="F18" s="68"/>
      <c r="G18" s="295">
        <f>'0401'!G18+'0402'!G18+'0403'!G18+'405'!G18+'0406'!G18+'0409'!G18+'410-sahara'!G18+'414-Al ghurair'!G18+'415'!G18+'Al Foah_418'!G18+Rak_417!G18+D.C.!G18+'Wafi _419'!G18</f>
        <v>0</v>
      </c>
      <c r="H18" s="68"/>
      <c r="I18" s="295">
        <f>'0401'!I18+'0402'!I18+'0403'!I18+'405'!I18+'0406'!I18+'0409'!I18+'410-sahara'!I18+'414-Al ghurair'!I18+'415'!I18+'Al Foah_418'!I18+Rak_417!I18+D.C.!I18+'Wafi _419'!I18</f>
        <v>0</v>
      </c>
      <c r="J18" s="68"/>
      <c r="K18" s="295">
        <f>'0401'!K18+'0402'!K18+'0403'!K18+'405'!K18+'0406'!K18+'0409'!K18+'410-sahara'!K18+'414-Al ghurair'!K18+'415'!K18+'Al Foah_418'!K18+Rak_417!K18+D.C.!K18+'Wafi _419'!K18</f>
        <v>0</v>
      </c>
      <c r="L18" s="68"/>
      <c r="M18" s="295">
        <f>'0401'!M18+'0402'!M18+'0403'!M18+'405'!M18+'0406'!M18+'0409'!M18+'410-sahara'!M18+'414-Al ghurair'!M18+'415'!M18+'Al Foah_418'!M18+Rak_417!M18+D.C.!M18+'Wafi _419'!M18</f>
        <v>0</v>
      </c>
      <c r="N18" s="68"/>
      <c r="O18" s="295">
        <f>'0401'!O18+'0402'!O18+'0403'!O18+'405'!O18+'0406'!O18+'0409'!O18+'410-sahara'!O18+'414-Al ghurair'!O18+'415'!O18+'Al Foah_418'!O18+Rak_417!O18+D.C.!O18+'Wafi _419'!O18</f>
        <v>0</v>
      </c>
      <c r="P18" s="68"/>
      <c r="Q18" s="295">
        <f>'0401'!Q18+'0402'!Q18+'0403'!Q18+'405'!Q18+'0406'!Q18+'0409'!Q18+'410-sahara'!Q18+'414-Al ghurair'!Q18+'415'!Q18+'Al Foah_418'!Q18+Rak_417!Q18+D.C.!Q18+'Wafi _419'!Q18</f>
        <v>0</v>
      </c>
      <c r="R18" s="68"/>
      <c r="S18" s="295">
        <f>'0401'!S18+'0402'!S18+'0403'!S18+'405'!S18+'0406'!S18+'0409'!S18+'410-sahara'!S18+'414-Al ghurair'!S18+'415'!S18+'Al Foah_418'!S18+Rak_417!S18+D.C.!S18+'Wafi _419'!S18</f>
        <v>0</v>
      </c>
      <c r="T18" s="68"/>
      <c r="U18" s="295">
        <f>'0401'!U18+'0402'!U18+'0403'!U18+'405'!U18+'0406'!U18+'0409'!U18+'410-sahara'!U18+'414-Al ghurair'!U18+'415'!U18+'Al Foah_418'!U18+Rak_417!U18+D.C.!U18+'Wafi _419'!U18</f>
        <v>0</v>
      </c>
      <c r="V18" s="68"/>
      <c r="W18" s="295">
        <f>'0401'!W18+'0402'!W18+'0403'!W18+'405'!W18+'0406'!W18+'0409'!W18+'410-sahara'!W18+'414-Al ghurair'!W18+'415'!W18+'Al Foah_418'!W18+Rak_417!W18+D.C.!W18+'Wafi _419'!W18</f>
        <v>0</v>
      </c>
      <c r="X18" s="68"/>
      <c r="Y18" s="295">
        <f>'0401'!Y18+'0402'!Y18+'0403'!Y18+'405'!Y18+'0406'!Y18+'0409'!Y18+'410-sahara'!Y18+'414-Al ghurair'!Y18+'415'!Y18+'Al Foah_418'!Y18+Rak_417!Y18+D.C.!Y18+'Wafi _419'!Y18</f>
        <v>0</v>
      </c>
      <c r="Z18" s="68"/>
      <c r="AA18" s="382">
        <f t="shared" si="21"/>
        <v>0</v>
      </c>
      <c r="AB18" s="147"/>
      <c r="AC18" s="128">
        <f t="shared" si="19"/>
        <v>0</v>
      </c>
      <c r="AD18" s="131"/>
      <c r="AE18" s="84">
        <f t="shared" si="1"/>
        <v>0</v>
      </c>
      <c r="AF18" s="33" t="e">
        <f>#REF!+'0401'!#REF!+'0402'!#REF!+'0403'!#REF!+#REF!+'405'!#REF!+'0406'!#REF!+D.C.!#REF!+#REF!+#REF!+'0409'!#REF!</f>
        <v>#REF!</v>
      </c>
      <c r="AG18" s="33" t="e">
        <f t="shared" si="2"/>
        <v>#REF!</v>
      </c>
      <c r="AH18" s="84">
        <f t="shared" si="6"/>
        <v>0</v>
      </c>
      <c r="AI18" s="33">
        <f>'0401'!AA18+'0402'!AA18+'0403'!AA18+'405'!AA18+'0406'!AA18+'0409'!AA18+'410-sahara'!AA18+'414-Al ghurair'!AA18+'415'!AA18+'Al Foah_418'!AA18+Rak_417!AA18+D.C.!AA18</f>
        <v>0</v>
      </c>
      <c r="AJ18" s="84">
        <f t="shared" si="7"/>
        <v>0</v>
      </c>
    </row>
    <row r="19" spans="1:36" customFormat="1">
      <c r="A19" s="741">
        <v>5504</v>
      </c>
      <c r="B19" s="741" t="s">
        <v>51</v>
      </c>
      <c r="C19" s="295">
        <f>'0401'!C19+'0402'!C19+'0403'!C19+'405'!C19+'0406'!C19+'0409'!C19+'410-sahara'!C19+'414-Al ghurair'!C19+'415'!C19+'Al Foah_418'!C19+Rak_417!C19+D.C.!C19+'Wafi _419'!C19</f>
        <v>0</v>
      </c>
      <c r="D19" s="68">
        <f>C19/C12</f>
        <v>0</v>
      </c>
      <c r="E19" s="295">
        <f>'0401'!E19+'0402'!E19+'0403'!E19+'405'!E19+'0406'!E19+'0409'!E19+'410-sahara'!E19+'414-Al ghurair'!E19+'415'!E19+'Al Foah_418'!E19+Rak_417!E19+D.C.!E19+'Wafi _419'!E19</f>
        <v>0</v>
      </c>
      <c r="F19" s="68">
        <f>E19/E12</f>
        <v>0</v>
      </c>
      <c r="G19" s="295">
        <f>'0401'!G19+'0402'!G19+'0403'!G19+'405'!G19+'0406'!G19+'0409'!G19+'410-sahara'!G19+'414-Al ghurair'!G19+'415'!G19+'Al Foah_418'!G19+Rak_417!G19+D.C.!G19+'Wafi _419'!G19</f>
        <v>0</v>
      </c>
      <c r="H19" s="68">
        <f>G19/G12</f>
        <v>0</v>
      </c>
      <c r="I19" s="295">
        <f>'0401'!I19+'0402'!I19+'0403'!I19+'405'!I19+'0406'!I19+'0409'!I19+'410-sahara'!I19+'414-Al ghurair'!I19+'415'!I19+'Al Foah_418'!I19+Rak_417!I19+D.C.!I19+'Wafi _419'!I19</f>
        <v>0</v>
      </c>
      <c r="J19" s="68">
        <f>I19/I12</f>
        <v>0</v>
      </c>
      <c r="K19" s="295">
        <f>'0401'!K19+'0402'!K19+'0403'!K19+'405'!K19+'0406'!K19+'0409'!K19+'410-sahara'!K19+'414-Al ghurair'!K19+'415'!K19+'Al Foah_418'!K19+Rak_417!K19+D.C.!K19+'Wafi _419'!K19</f>
        <v>0</v>
      </c>
      <c r="L19" s="68">
        <f>K19/K12</f>
        <v>0</v>
      </c>
      <c r="M19" s="295">
        <f>'0401'!M19+'0402'!M19+'0403'!M19+'405'!M19+'0406'!M19+'0409'!M19+'410-sahara'!M19+'414-Al ghurair'!M19+'415'!M19+'Al Foah_418'!M19+Rak_417!M19+D.C.!M19+'Wafi _419'!M19</f>
        <v>0</v>
      </c>
      <c r="N19" s="68">
        <f>M19/M12</f>
        <v>0</v>
      </c>
      <c r="O19" s="295">
        <f>'0401'!O19+'0402'!O19+'0403'!O19+'405'!O19+'0406'!O19+'0409'!O19+'410-sahara'!O19+'414-Al ghurair'!O19+'415'!O19+'Al Foah_418'!O19+Rak_417!O19+D.C.!O19+'Wafi _419'!O19</f>
        <v>0</v>
      </c>
      <c r="P19" s="68">
        <f>O19/O12</f>
        <v>0</v>
      </c>
      <c r="Q19" s="295">
        <f>'0401'!Q19+'0402'!Q19+'0403'!Q19+'405'!Q19+'0406'!Q19+'0409'!Q19+'410-sahara'!Q19+'414-Al ghurair'!Q19+'415'!Q19+'Al Foah_418'!Q19+Rak_417!Q19+D.C.!Q19+'Wafi _419'!Q19</f>
        <v>0</v>
      </c>
      <c r="R19" s="68">
        <f>Q19/Q12</f>
        <v>0</v>
      </c>
      <c r="S19" s="295">
        <f>'0401'!S19+'0402'!S19+'0403'!S19+'405'!S19+'0406'!S19+'0409'!S19+'410-sahara'!S19+'414-Al ghurair'!S19+'415'!S19+'Al Foah_418'!S19+Rak_417!S19+D.C.!S19+'Wafi _419'!S19</f>
        <v>0</v>
      </c>
      <c r="T19" s="68">
        <f>S19/S12</f>
        <v>0</v>
      </c>
      <c r="U19" s="295">
        <f>'0401'!U19+'0402'!U19+'0403'!U19+'405'!U19+'0406'!U19+'0409'!U19+'410-sahara'!U19+'414-Al ghurair'!U19+'415'!U19+'Al Foah_418'!U19+Rak_417!U19+D.C.!U19+'Wafi _419'!U19</f>
        <v>0</v>
      </c>
      <c r="V19" s="68">
        <f>U19/U12</f>
        <v>0</v>
      </c>
      <c r="W19" s="295">
        <f>'0401'!W19+'0402'!W19+'0403'!W19+'405'!W19+'0406'!W19+'0409'!W19+'410-sahara'!W19+'414-Al ghurair'!W19+'415'!W19+'Al Foah_418'!W19+Rak_417!W19+D.C.!W19+'Wafi _419'!W19</f>
        <v>0</v>
      </c>
      <c r="X19" s="68">
        <f>W19/W12</f>
        <v>0</v>
      </c>
      <c r="Y19" s="295">
        <f>'0401'!Y19+'0402'!Y19+'0403'!Y19+'405'!Y19+'0406'!Y19+'0409'!Y19+'410-sahara'!Y19+'414-Al ghurair'!Y19+'415'!Y19+'Al Foah_418'!Y19+Rak_417!Y19+D.C.!Y19+'Wafi _419'!Y19</f>
        <v>0</v>
      </c>
      <c r="Z19" s="68">
        <f>Y19/Y12</f>
        <v>0</v>
      </c>
      <c r="AA19" s="382">
        <f t="shared" si="21"/>
        <v>0</v>
      </c>
      <c r="AB19" s="147">
        <f>AA19/AA12</f>
        <v>0</v>
      </c>
      <c r="AC19" s="128">
        <f t="shared" si="19"/>
        <v>0</v>
      </c>
      <c r="AD19" s="131">
        <f>AC19/AC12</f>
        <v>0</v>
      </c>
      <c r="AE19" s="84">
        <f t="shared" si="1"/>
        <v>0</v>
      </c>
      <c r="AF19" s="33" t="e">
        <f>#REF!+'0401'!#REF!+'0402'!#REF!+'0403'!#REF!+#REF!+'405'!#REF!+'0406'!#REF!+D.C.!#REF!+#REF!+#REF!+'0409'!#REF!</f>
        <v>#REF!</v>
      </c>
      <c r="AG19" s="33" t="e">
        <f t="shared" si="2"/>
        <v>#REF!</v>
      </c>
      <c r="AH19" s="84">
        <f t="shared" si="6"/>
        <v>0</v>
      </c>
      <c r="AI19" s="33">
        <f>'0401'!AA19+'0402'!AA19+'0403'!AA19+'405'!AA19+'0406'!AA19+'0409'!AA19+'410-sahara'!AA19+'414-Al ghurair'!AA19+'415'!AA19+'Al Foah_418'!AA19+Rak_417!AA19+D.C.!AA19</f>
        <v>0</v>
      </c>
      <c r="AJ19" s="84">
        <f t="shared" si="7"/>
        <v>0</v>
      </c>
    </row>
    <row r="20" spans="1:36" customFormat="1">
      <c r="A20" s="3">
        <v>5505</v>
      </c>
      <c r="B20" s="3" t="s">
        <v>52</v>
      </c>
      <c r="C20" s="295">
        <f>'0401'!C20+'0402'!C20+'0403'!C20+'405'!C20+'0406'!C20+'0409'!C20+'410-sahara'!C20+'414-Al ghurair'!C20+'415'!C20+'Al Foah_418'!C20+Rak_417!C20+D.C.!C20+'Wafi _419'!C20</f>
        <v>0</v>
      </c>
      <c r="D20" s="68"/>
      <c r="E20" s="295">
        <f>'0401'!E20+'0402'!E20+'0403'!E20+'405'!E20+'0406'!E20+'0409'!E20+'410-sahara'!E20+'414-Al ghurair'!E20+'415'!E20+'Al Foah_418'!E20+Rak_417!E20+D.C.!E20+'Wafi _419'!E20</f>
        <v>0</v>
      </c>
      <c r="F20" s="68"/>
      <c r="G20" s="295">
        <f>'0401'!G20+'0402'!G20+'0403'!G20+'405'!G20+'0406'!G20+'0409'!G20+'410-sahara'!G20+'414-Al ghurair'!G20+'415'!G20+'Al Foah_418'!G20+Rak_417!G20+D.C.!G20+'Wafi _419'!G20</f>
        <v>0</v>
      </c>
      <c r="H20" s="68"/>
      <c r="I20" s="295">
        <f>'0401'!I20+'0402'!I20+'0403'!I20+'405'!I20+'0406'!I20+'0409'!I20+'410-sahara'!I20+'414-Al ghurair'!I20+'415'!I20+'Al Foah_418'!I20+Rak_417!I20+D.C.!I20+'Wafi _419'!I20</f>
        <v>0</v>
      </c>
      <c r="J20" s="68"/>
      <c r="K20" s="295">
        <f>'0401'!K20+'0402'!K20+'0403'!K20+'405'!K20+'0406'!K20+'0409'!K20+'410-sahara'!K20+'414-Al ghurair'!K20+'415'!K20+'Al Foah_418'!K20+Rak_417!K20+D.C.!K20+'Wafi _419'!K20</f>
        <v>0</v>
      </c>
      <c r="L20" s="68"/>
      <c r="M20" s="295">
        <f>'0401'!M20+'0402'!M20+'0403'!M20+'405'!M20+'0406'!M20+'0409'!M20+'410-sahara'!M20+'414-Al ghurair'!M20+'415'!M20+'Al Foah_418'!M20+Rak_417!M20+D.C.!M20+'Wafi _419'!M20</f>
        <v>0</v>
      </c>
      <c r="N20" s="68"/>
      <c r="O20" s="295">
        <f>'0401'!O20+'0402'!O20+'0403'!O20+'405'!O20+'0406'!O20+'0409'!O20+'410-sahara'!O20+'414-Al ghurair'!O20+'415'!O20+'Al Foah_418'!O20+Rak_417!O20+D.C.!O20+'Wafi _419'!O20</f>
        <v>0</v>
      </c>
      <c r="P20" s="68"/>
      <c r="Q20" s="295">
        <f>'0401'!Q20+'0402'!Q20+'0403'!Q20+'405'!Q20+'0406'!Q20+'0409'!Q20+'410-sahara'!Q20+'414-Al ghurair'!Q20+'415'!Q20+'Al Foah_418'!Q20+Rak_417!Q20+D.C.!Q20+'Wafi _419'!Q20</f>
        <v>0</v>
      </c>
      <c r="R20" s="68"/>
      <c r="S20" s="295">
        <f>'0401'!S20+'0402'!S20+'0403'!S20+'405'!S20+'0406'!S20+'0409'!S20+'410-sahara'!S20+'414-Al ghurair'!S20+'415'!S20+'Al Foah_418'!S20+Rak_417!S20+D.C.!S20+'Wafi _419'!S20</f>
        <v>0</v>
      </c>
      <c r="T20" s="68"/>
      <c r="U20" s="295">
        <f>'0401'!U20+'0402'!U20+'0403'!U20+'405'!U20+'0406'!U20+'0409'!U20+'410-sahara'!U20+'414-Al ghurair'!U20+'415'!U20+'Al Foah_418'!U20+Rak_417!U20+D.C.!U20+'Wafi _419'!U20</f>
        <v>0</v>
      </c>
      <c r="V20" s="68"/>
      <c r="W20" s="295">
        <f>'0401'!W20+'0402'!W20+'0403'!W20+'405'!W20+'0406'!W20+'0409'!W20+'410-sahara'!W20+'414-Al ghurair'!W20+'415'!W20+'Al Foah_418'!W20+Rak_417!W20+D.C.!W20+'Wafi _419'!W20</f>
        <v>0</v>
      </c>
      <c r="X20" s="68"/>
      <c r="Y20" s="295">
        <f>'0401'!Y20+'0402'!Y20+'0403'!Y20+'405'!Y20+'0406'!Y20+'0409'!Y20+'410-sahara'!Y20+'414-Al ghurair'!Y20+'415'!Y20+'Al Foah_418'!Y20+Rak_417!Y20+D.C.!Y20+'Wafi _419'!Y20</f>
        <v>0</v>
      </c>
      <c r="Z20" s="68"/>
      <c r="AA20" s="382">
        <f t="shared" si="21"/>
        <v>0</v>
      </c>
      <c r="AB20" s="147"/>
      <c r="AC20" s="128">
        <f t="shared" si="19"/>
        <v>0</v>
      </c>
      <c r="AD20" s="131"/>
      <c r="AE20" s="84">
        <f t="shared" si="1"/>
        <v>0</v>
      </c>
      <c r="AF20" s="33" t="e">
        <f>#REF!+'0401'!#REF!+'0402'!#REF!+'0403'!#REF!+#REF!+'405'!#REF!+'0406'!#REF!+D.C.!#REF!+#REF!+#REF!+'0409'!#REF!</f>
        <v>#REF!</v>
      </c>
      <c r="AG20" s="33" t="e">
        <f t="shared" si="2"/>
        <v>#REF!</v>
      </c>
      <c r="AH20" s="84">
        <f t="shared" si="6"/>
        <v>0</v>
      </c>
      <c r="AI20" s="33">
        <f>'0401'!AA20+'0402'!AA20+'0403'!AA20+'405'!AA20+'0406'!AA20+'0409'!AA20+'410-sahara'!AA20+'414-Al ghurair'!AA20+'415'!AA20+'Al Foah_418'!AA20+Rak_417!AA20+D.C.!AA20</f>
        <v>0</v>
      </c>
      <c r="AJ20" s="84">
        <f t="shared" si="7"/>
        <v>0</v>
      </c>
    </row>
    <row r="21" spans="1:36" customFormat="1" ht="15.75" thickBot="1">
      <c r="A21" s="345">
        <v>5599</v>
      </c>
      <c r="B21" s="345" t="s">
        <v>95</v>
      </c>
      <c r="C21" s="334">
        <f>'0401'!C21+'0402'!C21+'0403'!C21+'405'!C21+'0406'!C21+'0409'!C21+'410-sahara'!C21+'414-Al ghurair'!C21+'415'!C21+'Al Foah_418'!C21+Rak_417!C21+D.C.!C21+'Wafi _419'!C21</f>
        <v>5763210.1297549848</v>
      </c>
      <c r="D21" s="335">
        <f>C21/C12</f>
        <v>0.5277038755890161</v>
      </c>
      <c r="E21" s="334">
        <f>'0401'!E21+'0402'!E21+'0403'!E21+'405'!E21+'0406'!E21+'0409'!E21+'410-sahara'!E21+'414-Al ghurair'!E21+'415'!E21+'Al Foah_418'!E21+Rak_417!E21+D.C.!E21+'Wafi _419'!E21</f>
        <v>3867388.3176948158</v>
      </c>
      <c r="F21" s="335">
        <f>E21/E12</f>
        <v>0.45515901852655438</v>
      </c>
      <c r="G21" s="334">
        <f>'0401'!G21+'0402'!G21+'0403'!G21+'405'!G21+'0406'!G21+'0409'!G21+'410-sahara'!G21+'414-Al ghurair'!G21+'415'!G21+'Al Foah_418'!G21+Rak_417!G21+D.C.!G21+'Wafi _419'!G21</f>
        <v>7358819.7469133548</v>
      </c>
      <c r="H21" s="335">
        <f>G21/G12</f>
        <v>0.52211405474205363</v>
      </c>
      <c r="I21" s="334">
        <f>'0401'!I21+'0402'!I21+'0403'!I21+'405'!I21+'0406'!I21+'0409'!I21+'410-sahara'!I21+'414-Al ghurair'!I21+'415'!I21+'Al Foah_418'!I21+Rak_417!I21+D.C.!I21+'Wafi _419'!I21</f>
        <v>5830338.5756153855</v>
      </c>
      <c r="J21" s="335">
        <f>I21/I12</f>
        <v>0.46848221617204189</v>
      </c>
      <c r="K21" s="334">
        <f>'0401'!K21+'0402'!K21+'0403'!K21+'405'!K21+'0406'!K21+'0409'!K21+'410-sahara'!K21+'414-Al ghurair'!K21+'415'!K21+'Al Foah_418'!K21+Rak_417!K21+D.C.!K21+'Wafi _419'!K21</f>
        <v>4949333.9540973268</v>
      </c>
      <c r="L21" s="335">
        <f>K21/K12</f>
        <v>0.43482450754501339</v>
      </c>
      <c r="M21" s="334">
        <f>'0401'!M21+'0402'!M21+'0403'!M21+'405'!M21+'0406'!M21+'0409'!M21+'410-sahara'!M21+'414-Al ghurair'!M21+'415'!M21+'Al Foah_418'!M21+Rak_417!M21+D.C.!M21+'Wafi _419'!M21</f>
        <v>8533743.204466356</v>
      </c>
      <c r="N21" s="335">
        <f>M21/M12</f>
        <v>0.52873106375448808</v>
      </c>
      <c r="O21" s="334">
        <f>'0401'!O21+'0402'!O21+'0403'!O21+'405'!O21+'0406'!O21+'0409'!O21+'410-sahara'!O21+'414-Al ghurair'!O21+'415'!O21+'Al Foah_418'!O21+Rak_417!O21+D.C.!O21+'Wafi _419'!O21</f>
        <v>4820821.1376364082</v>
      </c>
      <c r="P21" s="335">
        <f>O21/O12</f>
        <v>0.47177696206914516</v>
      </c>
      <c r="Q21" s="334">
        <f>'0401'!Q21+'0402'!Q21+'0403'!Q21+'405'!Q21+'0406'!Q21+'0409'!Q21+'410-sahara'!Q21+'414-Al ghurair'!Q21+'415'!Q21+'Al Foah_418'!Q21+Rak_417!Q21+D.C.!Q21+'Wafi _419'!Q21</f>
        <v>5822487.6794139026</v>
      </c>
      <c r="R21" s="335">
        <f>Q21/Q12</f>
        <v>0.45887454752718226</v>
      </c>
      <c r="S21" s="334">
        <f>'0401'!S21+'0402'!S21+'0403'!S21+'405'!S21+'0406'!S21+'0409'!S21+'410-sahara'!S21+'414-Al ghurair'!S21+'415'!S21+'Al Foah_418'!S21+Rak_417!S21+D.C.!S21+'Wafi _419'!S21</f>
        <v>6395601.6192244068</v>
      </c>
      <c r="T21" s="335">
        <f>S21/S12</f>
        <v>0.50034984647744396</v>
      </c>
      <c r="U21" s="334">
        <f>'0401'!U21+'0402'!U21+'0403'!U21+'405'!U21+'0406'!U21+'0409'!U21+'410-sahara'!U21+'414-Al ghurair'!U21+'415'!U21+'Al Foah_418'!U21+Rak_417!U21+D.C.!U21+'Wafi _419'!U21</f>
        <v>4642240.6522600651</v>
      </c>
      <c r="V21" s="335">
        <f>U21/U12</f>
        <v>0.45786109557236221</v>
      </c>
      <c r="W21" s="334">
        <f>'0401'!W21+'0402'!W21+'0403'!W21+'405'!W21+'0406'!W21+'0409'!W21+'410-sahara'!W21+'414-Al ghurair'!W21+'415'!W21+'Al Foah_418'!W21+Rak_417!W21+D.C.!W21+'Wafi _419'!W21</f>
        <v>4643622.7494311854</v>
      </c>
      <c r="X21" s="335">
        <f>W21/W12</f>
        <v>0.45014617321504075</v>
      </c>
      <c r="Y21" s="334">
        <f>'0401'!Y21+'0402'!Y21+'0403'!Y21+'405'!Y21+'0406'!Y21+'0409'!Y21+'410-sahara'!Y21+'414-Al ghurair'!Y21+'415'!Y21+'Al Foah_418'!Y21+Rak_417!Y21+D.C.!Y21+'Wafi _419'!Y21</f>
        <v>8049862.3213727437</v>
      </c>
      <c r="Z21" s="335">
        <f>Y21/Y12</f>
        <v>0.5165559327833813</v>
      </c>
      <c r="AA21" s="336">
        <f t="shared" si="21"/>
        <v>70677470.087880924</v>
      </c>
      <c r="AB21" s="335">
        <f>AA21/AA12</f>
        <v>0.48673342883963294</v>
      </c>
      <c r="AC21" s="336">
        <f t="shared" si="19"/>
        <v>5889789.1739900773</v>
      </c>
      <c r="AD21" s="335">
        <f>AC21/AC12</f>
        <v>0.486733428839633</v>
      </c>
      <c r="AE21" s="84">
        <f t="shared" si="1"/>
        <v>70677470.087880924</v>
      </c>
      <c r="AF21" s="33" t="e">
        <f>#REF!+'0401'!#REF!+'0402'!#REF!+'0403'!#REF!+#REF!+'405'!#REF!+'0406'!#REF!+D.C.!#REF!+#REF!+#REF!+'0409'!#REF!</f>
        <v>#REF!</v>
      </c>
      <c r="AG21" s="33" t="e">
        <f t="shared" si="2"/>
        <v>#REF!</v>
      </c>
      <c r="AH21" s="84">
        <f t="shared" si="6"/>
        <v>0</v>
      </c>
      <c r="AI21" s="33">
        <f>'0401'!AA21+'0402'!AA21+'0403'!AA21+'405'!AA21+'0406'!AA21+'0409'!AA21+'410-sahara'!AA21+'414-Al ghurair'!AA21+'415'!AA21+'Al Foah_418'!AA21+Rak_417!AA21+D.C.!AA21</f>
        <v>65954747.71308288</v>
      </c>
      <c r="AJ21" s="84">
        <f t="shared" si="7"/>
        <v>4722722.3747980446</v>
      </c>
    </row>
    <row r="22" spans="1:36" customFormat="1" ht="15.75" thickTop="1">
      <c r="A22" s="3">
        <v>5601</v>
      </c>
      <c r="B22" s="3" t="s">
        <v>53</v>
      </c>
      <c r="C22" s="295">
        <f>'0401'!C22+'0402'!C22+'0403'!C22+'405'!C22+'0406'!C22+'0409'!C22+'410-sahara'!C22+'414-Al ghurair'!C22+'415'!C22+'Al Foah_418'!C22+Rak_417!C22+D.C.!C22+'Wafi _419'!C22</f>
        <v>0</v>
      </c>
      <c r="D22" s="68">
        <f>C22/C12</f>
        <v>0</v>
      </c>
      <c r="E22" s="295">
        <f>'0401'!E22+'0402'!E22+'0403'!E22+'405'!E22+'0406'!E22+'0409'!E22+'410-sahara'!E22+'414-Al ghurair'!E22+'415'!E22+'Al Foah_418'!E22+Rak_417!E22+D.C.!E22+'Wafi _419'!E22</f>
        <v>0</v>
      </c>
      <c r="F22" s="68">
        <f>E22/E12</f>
        <v>0</v>
      </c>
      <c r="G22" s="295">
        <f>'0401'!G22+'0402'!G22+'0403'!G22+'405'!G22+'0406'!G22+'0409'!G22+'410-sahara'!G22+'414-Al ghurair'!G22+'415'!G22+'Al Foah_418'!G22+Rak_417!G22+D.C.!G22+'Wafi _419'!G22</f>
        <v>0</v>
      </c>
      <c r="H22" s="68">
        <f>G22/G12</f>
        <v>0</v>
      </c>
      <c r="I22" s="295">
        <f>'0401'!I22+'0402'!I22+'0403'!I22+'405'!I22+'0406'!I22+'0409'!I22+'410-sahara'!I22+'414-Al ghurair'!I22+'415'!I22+'Al Foah_418'!I22+Rak_417!I22+D.C.!I22+'Wafi _419'!I22</f>
        <v>0</v>
      </c>
      <c r="J22" s="68">
        <f>I22/I12</f>
        <v>0</v>
      </c>
      <c r="K22" s="295">
        <f>'0401'!K22+'0402'!K22+'0403'!K22+'405'!K22+'0406'!K22+'0409'!K22+'410-sahara'!K22+'414-Al ghurair'!K22+'415'!K22+'Al Foah_418'!K22+Rak_417!K22+D.C.!K22+'Wafi _419'!K22</f>
        <v>0</v>
      </c>
      <c r="L22" s="68">
        <f>K22/K12</f>
        <v>0</v>
      </c>
      <c r="M22" s="295">
        <f>'0401'!M22+'0402'!M22+'0403'!M22+'405'!M22+'0406'!M22+'0409'!M22+'410-sahara'!M22+'414-Al ghurair'!M22+'415'!M22+'Al Foah_418'!M22+Rak_417!M22+D.C.!M22+'Wafi _419'!M22</f>
        <v>0</v>
      </c>
      <c r="N22" s="68">
        <f>M22/M12</f>
        <v>0</v>
      </c>
      <c r="O22" s="295">
        <f>'0401'!O22+'0402'!O22+'0403'!O22+'405'!O22+'0406'!O22+'0409'!O22+'410-sahara'!O22+'414-Al ghurair'!O22+'415'!O22+'Al Foah_418'!O22+Rak_417!O22+D.C.!O22+'Wafi _419'!O22</f>
        <v>0</v>
      </c>
      <c r="P22" s="68">
        <f>O22/O12</f>
        <v>0</v>
      </c>
      <c r="Q22" s="295">
        <f>'0401'!Q22+'0402'!Q22+'0403'!Q22+'405'!Q22+'0406'!Q22+'0409'!Q22+'410-sahara'!Q22+'414-Al ghurair'!Q22+'415'!Q22+'Al Foah_418'!Q22+Rak_417!Q22+D.C.!Q22+'Wafi _419'!Q22</f>
        <v>0</v>
      </c>
      <c r="R22" s="68">
        <f>Q22/Q12</f>
        <v>0</v>
      </c>
      <c r="S22" s="295">
        <f>'0401'!S22+'0402'!S22+'0403'!S22+'405'!S22+'0406'!S22+'0409'!S22+'410-sahara'!S22+'414-Al ghurair'!S22+'415'!S22+'Al Foah_418'!S22+Rak_417!S22+D.C.!S22+'Wafi _419'!S22</f>
        <v>0</v>
      </c>
      <c r="T22" s="68">
        <f>S22/S12</f>
        <v>0</v>
      </c>
      <c r="U22" s="295">
        <f>'0401'!U22+'0402'!U22+'0403'!U22+'405'!U22+'0406'!U22+'0409'!U22+'410-sahara'!U22+'414-Al ghurair'!U22+'415'!U22+'Al Foah_418'!U22+Rak_417!U22+D.C.!U22+'Wafi _419'!U22</f>
        <v>0</v>
      </c>
      <c r="V22" s="68">
        <f>U22/U12</f>
        <v>0</v>
      </c>
      <c r="W22" s="295">
        <f>'0401'!W22+'0402'!W22+'0403'!W22+'405'!W22+'0406'!W22+'0409'!W22+'410-sahara'!W22+'414-Al ghurair'!W22+'415'!W22+'Al Foah_418'!W22+Rak_417!W22+D.C.!W22+'Wafi _419'!W22</f>
        <v>0</v>
      </c>
      <c r="X22" s="68">
        <f>W22/W12</f>
        <v>0</v>
      </c>
      <c r="Y22" s="295">
        <f>'0401'!Y22+'0402'!Y22+'0403'!Y22+'405'!Y22+'0406'!Y22+'0409'!Y22+'410-sahara'!Y22+'414-Al ghurair'!Y22+'415'!Y22+'Al Foah_418'!Y22+Rak_417!Y22+D.C.!Y22+'Wafi _419'!Y22</f>
        <v>0</v>
      </c>
      <c r="Z22" s="68">
        <f>Y22/Y12</f>
        <v>0</v>
      </c>
      <c r="AA22" s="382">
        <f t="shared" si="21"/>
        <v>0</v>
      </c>
      <c r="AB22" s="147">
        <f>AA22/AA12</f>
        <v>0</v>
      </c>
      <c r="AC22" s="128">
        <f t="shared" si="19"/>
        <v>0</v>
      </c>
      <c r="AD22" s="131">
        <f>AC22/AC12</f>
        <v>0</v>
      </c>
      <c r="AE22" s="84">
        <f t="shared" si="1"/>
        <v>0</v>
      </c>
      <c r="AF22" s="33" t="e">
        <f>#REF!+'0401'!#REF!+'0402'!#REF!+'0403'!#REF!+#REF!+'405'!#REF!+'0406'!#REF!+D.C.!#REF!+#REF!+#REF!+'0409'!#REF!</f>
        <v>#REF!</v>
      </c>
      <c r="AG22" s="33" t="e">
        <f t="shared" si="2"/>
        <v>#REF!</v>
      </c>
      <c r="AH22" s="84">
        <f t="shared" si="6"/>
        <v>0</v>
      </c>
      <c r="AI22" s="33">
        <f>'0401'!AA22+'0402'!AA22+'0403'!AA22+'405'!AA22+'0406'!AA22+'0409'!AA22+'410-sahara'!AA22+'414-Al ghurair'!AA22+'415'!AA22+'Al Foah_418'!AA22+Rak_417!AA22+D.C.!AA22</f>
        <v>0</v>
      </c>
      <c r="AJ22" s="84">
        <f t="shared" si="7"/>
        <v>0</v>
      </c>
    </row>
    <row r="23" spans="1:36" customFormat="1">
      <c r="A23" s="3">
        <v>5602</v>
      </c>
      <c r="B23" s="3" t="s">
        <v>54</v>
      </c>
      <c r="C23" s="295">
        <f>'0401'!C23+'0402'!C23+'0403'!C23+'405'!C23+'0406'!C23+'0409'!C23+'410-sahara'!C23+'414-Al ghurair'!C23+'415'!C23+'Al Foah_418'!C23+Rak_417!C23+D.C.!C23+'Wafi _419'!C23</f>
        <v>0</v>
      </c>
      <c r="D23" s="68">
        <f>C23/C12</f>
        <v>0</v>
      </c>
      <c r="E23" s="295">
        <f>'0401'!E23+'0402'!E23+'0403'!E23+'405'!E23+'0406'!E23+'0409'!E23+'410-sahara'!E23+'414-Al ghurair'!E23+'415'!E23+'Al Foah_418'!E23+Rak_417!E23+D.C.!E23+'Wafi _419'!E23</f>
        <v>0</v>
      </c>
      <c r="F23" s="68">
        <f>E23/E12</f>
        <v>0</v>
      </c>
      <c r="G23" s="295">
        <f>'0401'!G23+'0402'!G23+'0403'!G23+'405'!G23+'0406'!G23+'0409'!G23+'410-sahara'!G23+'414-Al ghurair'!G23+'415'!G23+'Al Foah_418'!G23+Rak_417!G23+D.C.!G23+'Wafi _419'!G23</f>
        <v>0</v>
      </c>
      <c r="H23" s="68">
        <f>G23/G12</f>
        <v>0</v>
      </c>
      <c r="I23" s="295">
        <f>'0401'!I23+'0402'!I23+'0403'!I23+'405'!I23+'0406'!I23+'0409'!I23+'410-sahara'!I23+'414-Al ghurair'!I23+'415'!I23+'Al Foah_418'!I23+Rak_417!I23+D.C.!I23+'Wafi _419'!I23</f>
        <v>0</v>
      </c>
      <c r="J23" s="68">
        <f>I23/I12</f>
        <v>0</v>
      </c>
      <c r="K23" s="295">
        <f>'0401'!K23+'0402'!K23+'0403'!K23+'405'!K23+'0406'!K23+'0409'!K23+'410-sahara'!K23+'414-Al ghurair'!K23+'415'!K23+'Al Foah_418'!K23+Rak_417!K23+D.C.!K23+'Wafi _419'!K23</f>
        <v>0</v>
      </c>
      <c r="L23" s="68">
        <f>K23/K12</f>
        <v>0</v>
      </c>
      <c r="M23" s="295">
        <f>'0401'!M23+'0402'!M23+'0403'!M23+'405'!M23+'0406'!M23+'0409'!M23+'410-sahara'!M23+'414-Al ghurair'!M23+'415'!M23+'Al Foah_418'!M23+Rak_417!M23+D.C.!M23+'Wafi _419'!M23</f>
        <v>0</v>
      </c>
      <c r="N23" s="68">
        <f>M23/M12</f>
        <v>0</v>
      </c>
      <c r="O23" s="295">
        <f>'0401'!O23+'0402'!O23+'0403'!O23+'405'!O23+'0406'!O23+'0409'!O23+'410-sahara'!O23+'414-Al ghurair'!O23+'415'!O23+'Al Foah_418'!O23+Rak_417!O23+D.C.!O23+'Wafi _419'!O23</f>
        <v>0</v>
      </c>
      <c r="P23" s="68">
        <f>O23/O12</f>
        <v>0</v>
      </c>
      <c r="Q23" s="295">
        <f>'0401'!Q23+'0402'!Q23+'0403'!Q23+'405'!Q23+'0406'!Q23+'0409'!Q23+'410-sahara'!Q23+'414-Al ghurair'!Q23+'415'!Q23+'Al Foah_418'!Q23+Rak_417!Q23+D.C.!Q23+'Wafi _419'!Q23</f>
        <v>0</v>
      </c>
      <c r="R23" s="68">
        <f>Q23/Q12</f>
        <v>0</v>
      </c>
      <c r="S23" s="295">
        <f>'0401'!S23+'0402'!S23+'0403'!S23+'405'!S23+'0406'!S23+'0409'!S23+'410-sahara'!S23+'414-Al ghurair'!S23+'415'!S23+'Al Foah_418'!S23+Rak_417!S23+D.C.!S23+'Wafi _419'!S23</f>
        <v>0</v>
      </c>
      <c r="T23" s="68">
        <f>S23/S12</f>
        <v>0</v>
      </c>
      <c r="U23" s="295">
        <f>'0401'!U23+'0402'!U23+'0403'!U23+'405'!U23+'0406'!U23+'0409'!U23+'410-sahara'!U23+'414-Al ghurair'!U23+'415'!U23+'Al Foah_418'!U23+Rak_417!U23+D.C.!U23+'Wafi _419'!U23</f>
        <v>0</v>
      </c>
      <c r="V23" s="68">
        <f>U23/U12</f>
        <v>0</v>
      </c>
      <c r="W23" s="295">
        <f>'0401'!W23+'0402'!W23+'0403'!W23+'405'!W23+'0406'!W23+'0409'!W23+'410-sahara'!W23+'414-Al ghurair'!W23+'415'!W23+'Al Foah_418'!W23+Rak_417!W23+D.C.!W23+'Wafi _419'!W23</f>
        <v>0</v>
      </c>
      <c r="X23" s="68">
        <f>W23/W12</f>
        <v>0</v>
      </c>
      <c r="Y23" s="295">
        <f>'0401'!Y23+'0402'!Y23+'0403'!Y23+'405'!Y23+'0406'!Y23+'0409'!Y23+'410-sahara'!Y23+'414-Al ghurair'!Y23+'415'!Y23+'Al Foah_418'!Y23+Rak_417!Y23+D.C.!Y23+'Wafi _419'!Y23</f>
        <v>0</v>
      </c>
      <c r="Z23" s="68">
        <f>Y23/Y12</f>
        <v>0</v>
      </c>
      <c r="AA23" s="382">
        <f t="shared" si="21"/>
        <v>0</v>
      </c>
      <c r="AB23" s="147">
        <f>AA23/AA12</f>
        <v>0</v>
      </c>
      <c r="AC23" s="128">
        <f t="shared" si="19"/>
        <v>0</v>
      </c>
      <c r="AD23" s="131">
        <f>AC23/AC12</f>
        <v>0</v>
      </c>
      <c r="AE23" s="84">
        <f t="shared" si="1"/>
        <v>0</v>
      </c>
      <c r="AF23" s="33" t="e">
        <f>#REF!+'0401'!#REF!+'0402'!#REF!+'0403'!#REF!+#REF!+'405'!#REF!+'0406'!#REF!+D.C.!#REF!+#REF!+#REF!+'0409'!#REF!</f>
        <v>#REF!</v>
      </c>
      <c r="AG23" s="33" t="e">
        <f t="shared" si="2"/>
        <v>#REF!</v>
      </c>
      <c r="AH23" s="84">
        <f t="shared" si="6"/>
        <v>0</v>
      </c>
      <c r="AI23" s="33">
        <f>'0401'!AA23+'0402'!AA23+'0403'!AA23+'405'!AA23+'0406'!AA23+'0409'!AA23+'410-sahara'!AA23+'414-Al ghurair'!AA23+'415'!AA23+'Al Foah_418'!AA23+Rak_417!AA23+D.C.!AA23</f>
        <v>0</v>
      </c>
      <c r="AJ23" s="84">
        <f t="shared" si="7"/>
        <v>0</v>
      </c>
    </row>
    <row r="24" spans="1:36" customFormat="1">
      <c r="A24" s="3">
        <v>5603</v>
      </c>
      <c r="B24" s="3" t="s">
        <v>55</v>
      </c>
      <c r="C24" s="295">
        <f>'0401'!C24+'0402'!C24+'0403'!C24+'405'!C24+'0406'!C24+'0409'!C24+'410-sahara'!C24+'414-Al ghurair'!C24+'415'!C24+'Al Foah_418'!C24+Rak_417!C24+D.C.!C24+'Wafi _419'!C24</f>
        <v>0</v>
      </c>
      <c r="D24" s="68">
        <f>C24/C12</f>
        <v>0</v>
      </c>
      <c r="E24" s="295">
        <f>'0401'!E24+'0402'!E24+'0403'!E24+'405'!E24+'0406'!E24+'0409'!E24+'410-sahara'!E24+'414-Al ghurair'!E24+'415'!E24+'Al Foah_418'!E24+Rak_417!E24+D.C.!E24+'Wafi _419'!E24</f>
        <v>0</v>
      </c>
      <c r="F24" s="68">
        <f>E24/E12</f>
        <v>0</v>
      </c>
      <c r="G24" s="295">
        <f>'0401'!G24+'0402'!G24+'0403'!G24+'405'!G24+'0406'!G24+'0409'!G24+'410-sahara'!G24+'414-Al ghurair'!G24+'415'!G24+'Al Foah_418'!G24+Rak_417!G24+D.C.!G24+'Wafi _419'!G24</f>
        <v>0</v>
      </c>
      <c r="H24" s="68">
        <f>G24/G12</f>
        <v>0</v>
      </c>
      <c r="I24" s="295">
        <f>'0401'!I24+'0402'!I24+'0403'!I24+'405'!I24+'0406'!I24+'0409'!I24+'410-sahara'!I24+'414-Al ghurair'!I24+'415'!I24+'Al Foah_418'!I24+Rak_417!I24+D.C.!I24+'Wafi _419'!I24</f>
        <v>0</v>
      </c>
      <c r="J24" s="68">
        <f>I24/I12</f>
        <v>0</v>
      </c>
      <c r="K24" s="295">
        <f>'0401'!K24+'0402'!K24+'0403'!K24+'405'!K24+'0406'!K24+'0409'!K24+'410-sahara'!K24+'414-Al ghurair'!K24+'415'!K24+'Al Foah_418'!K24+Rak_417!K24+D.C.!K24+'Wafi _419'!K24</f>
        <v>0</v>
      </c>
      <c r="L24" s="68">
        <f>K24/K12</f>
        <v>0</v>
      </c>
      <c r="M24" s="295">
        <f>'0401'!M24+'0402'!M24+'0403'!M24+'405'!M24+'0406'!M24+'0409'!M24+'410-sahara'!M24+'414-Al ghurair'!M24+'415'!M24+'Al Foah_418'!M24+Rak_417!M24+D.C.!M24+'Wafi _419'!M24</f>
        <v>0</v>
      </c>
      <c r="N24" s="68">
        <f>M24/M12</f>
        <v>0</v>
      </c>
      <c r="O24" s="295">
        <f>'0401'!O24+'0402'!O24+'0403'!O24+'405'!O24+'0406'!O24+'0409'!O24+'410-sahara'!O24+'414-Al ghurair'!O24+'415'!O24+'Al Foah_418'!O24+Rak_417!O24+D.C.!O24+'Wafi _419'!O24</f>
        <v>0</v>
      </c>
      <c r="P24" s="68">
        <f>O24/O12</f>
        <v>0</v>
      </c>
      <c r="Q24" s="295">
        <f>'0401'!Q24+'0402'!Q24+'0403'!Q24+'405'!Q24+'0406'!Q24+'0409'!Q24+'410-sahara'!Q24+'414-Al ghurair'!Q24+'415'!Q24+'Al Foah_418'!Q24+Rak_417!Q24+D.C.!Q24+'Wafi _419'!Q24</f>
        <v>0</v>
      </c>
      <c r="R24" s="68">
        <f>Q24/Q12</f>
        <v>0</v>
      </c>
      <c r="S24" s="295">
        <f>'0401'!S24+'0402'!S24+'0403'!S24+'405'!S24+'0406'!S24+'0409'!S24+'410-sahara'!S24+'414-Al ghurair'!S24+'415'!S24+'Al Foah_418'!S24+Rak_417!S24+D.C.!S24+'Wafi _419'!S24</f>
        <v>0</v>
      </c>
      <c r="T24" s="68">
        <f>S24/S12</f>
        <v>0</v>
      </c>
      <c r="U24" s="295">
        <f>'0401'!U24+'0402'!U24+'0403'!U24+'405'!U24+'0406'!U24+'0409'!U24+'410-sahara'!U24+'414-Al ghurair'!U24+'415'!U24+'Al Foah_418'!U24+Rak_417!U24+D.C.!U24+'Wafi _419'!U24</f>
        <v>0</v>
      </c>
      <c r="V24" s="68">
        <f>U24/U12</f>
        <v>0</v>
      </c>
      <c r="W24" s="295">
        <f>'0401'!W24+'0402'!W24+'0403'!W24+'405'!W24+'0406'!W24+'0409'!W24+'410-sahara'!W24+'414-Al ghurair'!W24+'415'!W24+'Al Foah_418'!W24+Rak_417!W24+D.C.!W24+'Wafi _419'!W24</f>
        <v>0</v>
      </c>
      <c r="X24" s="68">
        <f>W24/W12</f>
        <v>0</v>
      </c>
      <c r="Y24" s="295">
        <f>'0401'!Y24+'0402'!Y24+'0403'!Y24+'405'!Y24+'0406'!Y24+'0409'!Y24+'410-sahara'!Y24+'414-Al ghurair'!Y24+'415'!Y24+'Al Foah_418'!Y24+Rak_417!Y24+D.C.!Y24+'Wafi _419'!Y24</f>
        <v>0</v>
      </c>
      <c r="Z24" s="68">
        <f>Y24/Y12</f>
        <v>0</v>
      </c>
      <c r="AA24" s="382">
        <f t="shared" si="21"/>
        <v>0</v>
      </c>
      <c r="AB24" s="147">
        <f>AA24/AA12</f>
        <v>0</v>
      </c>
      <c r="AC24" s="128">
        <f t="shared" si="19"/>
        <v>0</v>
      </c>
      <c r="AD24" s="131">
        <f>AC24/AC12</f>
        <v>0</v>
      </c>
      <c r="AE24" s="84">
        <f t="shared" si="1"/>
        <v>0</v>
      </c>
      <c r="AF24" s="33" t="e">
        <f>#REF!+'0401'!#REF!+'0402'!#REF!+'0403'!#REF!+#REF!+'405'!#REF!+'0406'!#REF!+D.C.!#REF!+#REF!+#REF!+'0409'!#REF!</f>
        <v>#REF!</v>
      </c>
      <c r="AG24" s="33" t="e">
        <f t="shared" si="2"/>
        <v>#REF!</v>
      </c>
      <c r="AH24" s="84">
        <f t="shared" si="6"/>
        <v>0</v>
      </c>
      <c r="AI24" s="33">
        <f>'0401'!AA24+'0402'!AA24+'0403'!AA24+'405'!AA24+'0406'!AA24+'0409'!AA24+'410-sahara'!AA24+'414-Al ghurair'!AA24+'415'!AA24+'Al Foah_418'!AA24+Rak_417!AA24+D.C.!AA24</f>
        <v>0</v>
      </c>
      <c r="AJ24" s="84">
        <f t="shared" si="7"/>
        <v>0</v>
      </c>
    </row>
    <row r="25" spans="1:36" customFormat="1">
      <c r="A25" s="741">
        <v>5604</v>
      </c>
      <c r="B25" s="741" t="s">
        <v>56</v>
      </c>
      <c r="C25" s="295">
        <f>'0401'!C25+'0402'!C25+'0403'!C25+'405'!C25+'0406'!C25+'0409'!C25+'410-sahara'!C25+'414-Al ghurair'!C25+'415'!C25+'Al Foah_418'!C25+Rak_417!C25+D.C.!C25+'Wafi _419'!C25</f>
        <v>3200</v>
      </c>
      <c r="D25" s="68">
        <f>C25/C12</f>
        <v>2.9300552363455856E-4</v>
      </c>
      <c r="E25" s="295">
        <f>'0401'!E25+'0402'!E25+'0403'!E25+'405'!E25+'0406'!E25+'0409'!E25+'410-sahara'!E25+'414-Al ghurair'!E25+'415'!E25+'Al Foah_418'!E25+Rak_417!E25+D.C.!E25+'Wafi _419'!E25</f>
        <v>3200</v>
      </c>
      <c r="F25" s="68">
        <f>E25/E12</f>
        <v>3.766130369223271E-4</v>
      </c>
      <c r="G25" s="295">
        <f>'0401'!G25+'0402'!G25+'0403'!G25+'405'!G25+'0406'!G25+'0409'!G25+'410-sahara'!G25+'414-Al ghurair'!G25+'415'!G25+'Al Foah_418'!G25+Rak_417!G25+D.C.!G25+'Wafi _419'!G25</f>
        <v>3200</v>
      </c>
      <c r="H25" s="68">
        <f>G25/G12</f>
        <v>2.2704251940338277E-4</v>
      </c>
      <c r="I25" s="295">
        <f>'0401'!I25+'0402'!I25+'0403'!I25+'405'!I25+'0406'!I25+'0409'!I25+'410-sahara'!I25+'414-Al ghurair'!I25+'415'!I25+'Al Foah_418'!I25+Rak_417!I25+D.C.!I25+'Wafi _419'!I25</f>
        <v>3200</v>
      </c>
      <c r="J25" s="68">
        <f>I25/I12</f>
        <v>2.5712796474985179E-4</v>
      </c>
      <c r="K25" s="295">
        <f>'0401'!K25+'0402'!K25+'0403'!K25+'405'!K25+'0406'!K25+'0409'!K25+'410-sahara'!K25+'414-Al ghurair'!K25+'415'!K25+'Al Foah_418'!K25+Rak_417!K25+D.C.!K25+'Wafi _419'!K25</f>
        <v>3200</v>
      </c>
      <c r="L25" s="68">
        <f>K25/K12</f>
        <v>2.8113649978945849E-4</v>
      </c>
      <c r="M25" s="295">
        <f>'0401'!M25+'0402'!M25+'0403'!M25+'405'!M25+'0406'!M25+'0409'!M25+'410-sahara'!M25+'414-Al ghurair'!M25+'415'!M25+'Al Foah_418'!M25+Rak_417!M25+D.C.!M25+'Wafi _419'!M25</f>
        <v>3200</v>
      </c>
      <c r="N25" s="68">
        <f>M25/M12</f>
        <v>1.9826462590634804E-4</v>
      </c>
      <c r="O25" s="295">
        <f>'0401'!O25+'0402'!O25+'0403'!O25+'405'!O25+'0406'!O25+'0409'!O25+'410-sahara'!O25+'414-Al ghurair'!O25+'415'!O25+'Al Foah_418'!O25+Rak_417!O25+D.C.!O25+'Wafi _419'!O25</f>
        <v>3200</v>
      </c>
      <c r="P25" s="68">
        <f>O25/O12</f>
        <v>3.1315957085299495E-4</v>
      </c>
      <c r="Q25" s="295">
        <f>'0401'!Q25+'0402'!Q25+'0403'!Q25+'405'!Q25+'0406'!Q25+'0409'!Q25+'410-sahara'!Q25+'414-Al ghurair'!Q25+'415'!Q25+'Al Foah_418'!Q25+Rak_417!Q25+D.C.!Q25+'Wafi _419'!Q25</f>
        <v>3200</v>
      </c>
      <c r="R25" s="68">
        <f>Q25/Q12</f>
        <v>2.5219435968558266E-4</v>
      </c>
      <c r="S25" s="295">
        <f>'0401'!S25+'0402'!S25+'0403'!S25+'405'!S25+'0406'!S25+'0409'!S25+'410-sahara'!S25+'414-Al ghurair'!S25+'415'!S25+'Al Foah_418'!S25+Rak_417!S25+D.C.!S25+'Wafi _419'!S25</f>
        <v>3200</v>
      </c>
      <c r="T25" s="68">
        <f>S25/S12</f>
        <v>2.5034697344422587E-4</v>
      </c>
      <c r="U25" s="295">
        <f>'0401'!U25+'0402'!U25+'0403'!U25+'405'!U25+'0406'!U25+'0409'!U25+'410-sahara'!U25+'414-Al ghurair'!U25+'415'!U25+'Al Foah_418'!U25+Rak_417!U25+D.C.!U25+'Wafi _419'!U25</f>
        <v>3200</v>
      </c>
      <c r="V25" s="68">
        <f>U25/U12</f>
        <v>3.1561386312841218E-4</v>
      </c>
      <c r="W25" s="295">
        <f>'0401'!W25+'0402'!W25+'0403'!W25+'405'!W25+'0406'!W25+'0409'!W25+'410-sahara'!W25+'414-Al ghurair'!W25+'415'!W25+'Al Foah_418'!W25+Rak_417!W25+D.C.!W25+'Wafi _419'!W25</f>
        <v>3200</v>
      </c>
      <c r="X25" s="68">
        <f>W25/W12</f>
        <v>3.1020344072191881E-4</v>
      </c>
      <c r="Y25" s="295">
        <f>'0401'!Y25+'0402'!Y25+'0403'!Y25+'405'!Y25+'0406'!Y25+'0409'!Y25+'410-sahara'!Y25+'414-Al ghurair'!Y25+'415'!Y25+'Al Foah_418'!Y25+Rak_417!Y25+D.C.!Y25+'Wafi _419'!Y25</f>
        <v>3200</v>
      </c>
      <c r="Z25" s="68">
        <f>Y25/Y12</f>
        <v>2.0534251629597279E-4</v>
      </c>
      <c r="AA25" s="382">
        <f t="shared" si="21"/>
        <v>38400</v>
      </c>
      <c r="AB25" s="147">
        <f>AA25/AA12</f>
        <v>2.644486799570204E-4</v>
      </c>
      <c r="AC25" s="128">
        <f t="shared" si="19"/>
        <v>3200</v>
      </c>
      <c r="AD25" s="131">
        <f>AC25/AC12</f>
        <v>2.644486799570204E-4</v>
      </c>
      <c r="AE25" s="84">
        <f t="shared" si="1"/>
        <v>38400</v>
      </c>
      <c r="AF25" s="33" t="e">
        <f>#REF!+'0401'!#REF!+'0402'!#REF!+'0403'!#REF!+#REF!+'405'!#REF!+'0406'!#REF!+D.C.!#REF!+#REF!+#REF!+'0409'!#REF!</f>
        <v>#REF!</v>
      </c>
      <c r="AG25" s="33" t="e">
        <f t="shared" si="2"/>
        <v>#REF!</v>
      </c>
      <c r="AH25" s="84">
        <f t="shared" si="6"/>
        <v>0</v>
      </c>
      <c r="AI25" s="33">
        <f>'0401'!AA25+'0402'!AA25+'0403'!AA25+'405'!AA25+'0406'!AA25+'0409'!AA25+'410-sahara'!AA25+'414-Al ghurair'!AA25+'415'!AA25+'Al Foah_418'!AA25+Rak_417!AA25+D.C.!AA25</f>
        <v>35400</v>
      </c>
      <c r="AJ25" s="84">
        <f t="shared" si="7"/>
        <v>3000</v>
      </c>
    </row>
    <row r="26" spans="1:36" customFormat="1">
      <c r="A26" s="3">
        <v>5605</v>
      </c>
      <c r="B26" s="3" t="s">
        <v>14</v>
      </c>
      <c r="C26" s="295">
        <f>'0401'!C26+'0402'!C26+'0403'!C26+'405'!C26+'0406'!C26+'0409'!C26+'410-sahara'!C26+'414-Al ghurair'!C26+'415'!C26+'Al Foah_418'!C26+Rak_417!C26+D.C.!C26+'Wafi _419'!C26</f>
        <v>0</v>
      </c>
      <c r="D26" s="68">
        <f>C26/C12</f>
        <v>0</v>
      </c>
      <c r="E26" s="295">
        <f>'0401'!E26+'0402'!E26+'0403'!E26+'405'!E26+'0406'!E26+'0409'!E26+'410-sahara'!E26+'414-Al ghurair'!E26+'415'!E26+'Al Foah_418'!E26+Rak_417!E26+D.C.!E26+'Wafi _419'!E26</f>
        <v>0</v>
      </c>
      <c r="F26" s="68">
        <f>E26/E12</f>
        <v>0</v>
      </c>
      <c r="G26" s="295">
        <f>'0401'!G26+'0402'!G26+'0403'!G26+'405'!G26+'0406'!G26+'0409'!G26+'410-sahara'!G26+'414-Al ghurair'!G26+'415'!G26+'Al Foah_418'!G26+Rak_417!G26+D.C.!G26+'Wafi _419'!G26</f>
        <v>0</v>
      </c>
      <c r="H26" s="68">
        <f>G26/G12</f>
        <v>0</v>
      </c>
      <c r="I26" s="295">
        <f>'0401'!I26+'0402'!I26+'0403'!I26+'405'!I26+'0406'!I26+'0409'!I26+'410-sahara'!I26+'414-Al ghurair'!I26+'415'!I26+'Al Foah_418'!I26+Rak_417!I26+D.C.!I26+'Wafi _419'!I26</f>
        <v>0</v>
      </c>
      <c r="J26" s="68">
        <f>I26/I12</f>
        <v>0</v>
      </c>
      <c r="K26" s="295">
        <f>'0401'!K26+'0402'!K26+'0403'!K26+'405'!K26+'0406'!K26+'0409'!K26+'410-sahara'!K26+'414-Al ghurair'!K26+'415'!K26+'Al Foah_418'!K26+Rak_417!K26+D.C.!K26+'Wafi _419'!K26</f>
        <v>0</v>
      </c>
      <c r="L26" s="68">
        <f>K26/K12</f>
        <v>0</v>
      </c>
      <c r="M26" s="295">
        <f>'0401'!M26+'0402'!M26+'0403'!M26+'405'!M26+'0406'!M26+'0409'!M26+'410-sahara'!M26+'414-Al ghurair'!M26+'415'!M26+'Al Foah_418'!M26+Rak_417!M26+D.C.!M26+'Wafi _419'!M26</f>
        <v>0</v>
      </c>
      <c r="N26" s="68">
        <f>M26/M12</f>
        <v>0</v>
      </c>
      <c r="O26" s="295">
        <f>'0401'!O26+'0402'!O26+'0403'!O26+'405'!O26+'0406'!O26+'0409'!O26+'410-sahara'!O26+'414-Al ghurair'!O26+'415'!O26+'Al Foah_418'!O26+Rak_417!O26+D.C.!O26+'Wafi _419'!O26</f>
        <v>0</v>
      </c>
      <c r="P26" s="68">
        <f>O26/O12</f>
        <v>0</v>
      </c>
      <c r="Q26" s="295">
        <f>'0401'!Q26+'0402'!Q26+'0403'!Q26+'405'!Q26+'0406'!Q26+'0409'!Q26+'410-sahara'!Q26+'414-Al ghurair'!Q26+'415'!Q26+'Al Foah_418'!Q26+Rak_417!Q26+D.C.!Q26+'Wafi _419'!Q26</f>
        <v>0</v>
      </c>
      <c r="R26" s="68">
        <f>Q26/Q12</f>
        <v>0</v>
      </c>
      <c r="S26" s="295">
        <f>'0401'!S26+'0402'!S26+'0403'!S26+'405'!S26+'0406'!S26+'0409'!S26+'410-sahara'!S26+'414-Al ghurair'!S26+'415'!S26+'Al Foah_418'!S26+Rak_417!S26+D.C.!S26+'Wafi _419'!S26</f>
        <v>0</v>
      </c>
      <c r="T26" s="68">
        <f>S26/S12</f>
        <v>0</v>
      </c>
      <c r="U26" s="295">
        <f>'0401'!U26+'0402'!U26+'0403'!U26+'405'!U26+'0406'!U26+'0409'!U26+'410-sahara'!U26+'414-Al ghurair'!U26+'415'!U26+'Al Foah_418'!U26+Rak_417!U26+D.C.!U26+'Wafi _419'!U26</f>
        <v>0</v>
      </c>
      <c r="V26" s="68">
        <f>U26/U12</f>
        <v>0</v>
      </c>
      <c r="W26" s="295">
        <f>'0401'!W26+'0402'!W26+'0403'!W26+'405'!W26+'0406'!W26+'0409'!W26+'410-sahara'!W26+'414-Al ghurair'!W26+'415'!W26+'Al Foah_418'!W26+Rak_417!W26+D.C.!W26+'Wafi _419'!W26</f>
        <v>0</v>
      </c>
      <c r="X26" s="68">
        <f>W26/W12</f>
        <v>0</v>
      </c>
      <c r="Y26" s="295">
        <f>'0401'!Y26+'0402'!Y26+'0403'!Y26+'405'!Y26+'0406'!Y26+'0409'!Y26+'410-sahara'!Y26+'414-Al ghurair'!Y26+'415'!Y26+'Al Foah_418'!Y26+Rak_417!Y26+D.C.!Y26+'Wafi _419'!Y26</f>
        <v>0</v>
      </c>
      <c r="Z26" s="68">
        <f>Y26/Y12</f>
        <v>0</v>
      </c>
      <c r="AA26" s="382">
        <f t="shared" si="21"/>
        <v>0</v>
      </c>
      <c r="AB26" s="147">
        <f>AA26/AA12</f>
        <v>0</v>
      </c>
      <c r="AC26" s="128">
        <f t="shared" si="19"/>
        <v>0</v>
      </c>
      <c r="AD26" s="131">
        <f>AC26/AC12</f>
        <v>0</v>
      </c>
      <c r="AE26" s="84">
        <f t="shared" si="1"/>
        <v>0</v>
      </c>
      <c r="AF26" s="33" t="e">
        <f>#REF!+'0401'!#REF!+'0402'!#REF!+'0403'!#REF!+#REF!+'405'!#REF!+'0406'!#REF!+D.C.!#REF!+#REF!+#REF!+'0409'!#REF!</f>
        <v>#REF!</v>
      </c>
      <c r="AG26" s="33" t="e">
        <f t="shared" si="2"/>
        <v>#REF!</v>
      </c>
      <c r="AH26" s="84">
        <f t="shared" si="6"/>
        <v>0</v>
      </c>
      <c r="AI26" s="33">
        <f>'0401'!AA26+'0402'!AA26+'0403'!AA26+'405'!AA26+'0406'!AA26+'0409'!AA26+'410-sahara'!AA26+'414-Al ghurair'!AA26+'415'!AA26+'Al Foah_418'!AA26+Rak_417!AA26+D.C.!AA26</f>
        <v>0</v>
      </c>
      <c r="AJ26" s="84">
        <f t="shared" si="7"/>
        <v>0</v>
      </c>
    </row>
    <row r="27" spans="1:36" customFormat="1">
      <c r="A27" s="741">
        <v>5606</v>
      </c>
      <c r="B27" s="741" t="s">
        <v>77</v>
      </c>
      <c r="C27" s="295">
        <f>'0401'!C27+'0402'!C27+'0403'!C27+'405'!C27+'0406'!C27+'0409'!C27+'410-sahara'!C27+'414-Al ghurair'!C27+'415'!C27+'Al Foah_418'!C27+Rak_417!C27+D.C.!C27+'Wafi _419'!C27</f>
        <v>33763.887454808813</v>
      </c>
      <c r="D27" s="68">
        <f>C27/C12</f>
        <v>3.0915642261357995E-3</v>
      </c>
      <c r="E27" s="295">
        <f>'0401'!E27+'0402'!E27+'0403'!E27+'405'!E27+'0406'!E27+'0409'!E27+'410-sahara'!E27+'414-Al ghurair'!E27+'415'!E27+'Al Foah_418'!E27+Rak_417!E27+D.C.!E27+'Wafi _419'!E27</f>
        <v>26490.354976691662</v>
      </c>
      <c r="F27" s="68">
        <f>E27/E12</f>
        <v>3.1176915740382277E-3</v>
      </c>
      <c r="G27" s="295">
        <f>'0401'!G27+'0402'!G27+'0403'!G27+'405'!G27+'0406'!G27+'0409'!G27+'410-sahara'!G27+'414-Al ghurair'!G27+'415'!G27+'Al Foah_418'!G27+Rak_417!G27+D.C.!G27+'Wafi _419'!G27</f>
        <v>43282.828895779807</v>
      </c>
      <c r="H27" s="68">
        <f>G27/G12</f>
        <v>3.0709507873135575E-3</v>
      </c>
      <c r="I27" s="295">
        <f>'0401'!I27+'0402'!I27+'0403'!I27+'405'!I27+'0406'!I27+'0409'!I27+'410-sahara'!I27+'414-Al ghurair'!I27+'415'!I27+'Al Foah_418'!I27+Rak_417!I27+D.C.!I27+'Wafi _419'!I27</f>
        <v>38335.495613397819</v>
      </c>
      <c r="J27" s="68">
        <f>I27/I12</f>
        <v>3.0803524889843289E-3</v>
      </c>
      <c r="K27" s="295">
        <f>'0401'!K27+'0402'!K27+'0403'!K27+'405'!K27+'0406'!K27+'0409'!K27+'410-sahara'!K27+'414-Al ghurair'!K27+'415'!K27+'Al Foah_418'!K27+Rak_417!K27+D.C.!K27+'Wafi _419'!K27</f>
        <v>35147.113616301627</v>
      </c>
      <c r="L27" s="68">
        <f>K27/K12</f>
        <v>3.0878551561842049E-3</v>
      </c>
      <c r="M27" s="295">
        <f>'0401'!M27+'0402'!M27+'0403'!M27+'405'!M27+'0406'!M27+'0409'!M27+'410-sahara'!M27+'414-Al ghurair'!M27+'415'!M27+'Al Foah_418'!M27+Rak_417!M27+D.C.!M27+'Wafi _419'!M27</f>
        <v>49420.135241546523</v>
      </c>
      <c r="N27" s="68">
        <f>M27/M12</f>
        <v>3.0619576955957339E-3</v>
      </c>
      <c r="O27" s="295">
        <f>'0401'!O27+'0402'!O27+'0403'!O27+'405'!O27+'0406'!O27+'0409'!O27+'410-sahara'!O27+'414-Al ghurair'!O27+'415'!O27+'Al Foah_418'!O27+Rak_417!O27+D.C.!O27+'Wafi _419'!O27</f>
        <v>31655.298108409035</v>
      </c>
      <c r="P27" s="68">
        <f>O27/O12</f>
        <v>3.0978623658915612E-3</v>
      </c>
      <c r="Q27" s="295">
        <f>'0401'!Q27+'0402'!Q27+'0403'!Q27+'405'!Q27+'0406'!Q27+'0409'!Q27+'410-sahara'!Q27+'414-Al ghurair'!Q27+'415'!Q27+'Al Foah_418'!Q27+Rak_417!Q27+D.C.!Q27+'Wafi _419'!Q27</f>
        <v>39065.879078217971</v>
      </c>
      <c r="R27" s="68">
        <f>Q27/Q12</f>
        <v>3.0788107374017442E-3</v>
      </c>
      <c r="S27" s="295">
        <f>'0401'!S27+'0402'!S27+'0403'!S27+'405'!S27+'0406'!S27+'0409'!S27+'410-sahara'!S27+'414-Al ghurair'!S27+'415'!S27+'Al Foah_418'!S27+Rak_417!S27+D.C.!S27+'Wafi _419'!S27</f>
        <v>39346.778744416333</v>
      </c>
      <c r="T27" s="68">
        <f>S27/S12</f>
        <v>3.0782334292013208E-3</v>
      </c>
      <c r="U27" s="295">
        <f>'0401'!U27+'0402'!U27+'0403'!U27+'405'!U27+'0406'!U27+'0409'!U27+'410-sahara'!U27+'414-Al ghurair'!U27+'415'!U27+'Al Foah_418'!U27+Rak_417!U27+D.C.!U27+'Wafi _419'!U27</f>
        <v>31416.914849187393</v>
      </c>
      <c r="V27" s="68">
        <f>U27/U12</f>
        <v>3.0986293322276281E-3</v>
      </c>
      <c r="W27" s="295">
        <f>'0401'!W27+'0402'!W27+'0403'!W27+'405'!W27+'0406'!W27+'0409'!W27+'410-sahara'!W27+'414-Al ghurair'!W27+'415'!W27+'Al Foah_418'!W27+Rak_417!W27+D.C.!W27+'Wafi _419'!W27</f>
        <v>31947.432361351202</v>
      </c>
      <c r="X27" s="68">
        <f>W27/W12</f>
        <v>3.0969385752255994E-3</v>
      </c>
      <c r="Y27" s="295">
        <f>'0401'!Y27+'0402'!Y27+'0403'!Y27+'405'!Y27+'0406'!Y27+'0409'!Y27+'410-sahara'!Y27+'414-Al ghurair'!Y27+'415'!Y27+'Al Foah_418'!Y27+Rak_417!Y27+D.C.!Y27+'Wafi _419'!Y27</f>
        <v>47751.155937735428</v>
      </c>
      <c r="Z27" s="68">
        <f>Y27/Y12</f>
        <v>3.0641695363424924E-3</v>
      </c>
      <c r="AA27" s="382">
        <f t="shared" si="21"/>
        <v>447623.27487784368</v>
      </c>
      <c r="AB27" s="147">
        <f>AA27/AA12</f>
        <v>3.0826402124865689E-3</v>
      </c>
      <c r="AC27" s="128">
        <f t="shared" si="19"/>
        <v>37301.939573153642</v>
      </c>
      <c r="AD27" s="131">
        <f>AC27/AC12</f>
        <v>3.0826402124865693E-3</v>
      </c>
      <c r="AE27" s="84">
        <f t="shared" si="1"/>
        <v>447623.27487784368</v>
      </c>
      <c r="AF27" s="33" t="e">
        <f>#REF!+'0401'!#REF!+'0402'!#REF!+'0403'!#REF!+#REF!+'405'!#REF!+'0406'!#REF!+D.C.!#REF!+#REF!+#REF!+'0409'!#REF!</f>
        <v>#REF!</v>
      </c>
      <c r="AG27" s="33" t="e">
        <f t="shared" si="2"/>
        <v>#REF!</v>
      </c>
      <c r="AH27" s="84">
        <f t="shared" si="6"/>
        <v>0</v>
      </c>
      <c r="AI27" s="33">
        <f>'0401'!AA27+'0402'!AA27+'0403'!AA27+'405'!AA27+'0406'!AA27+'0409'!AA27+'410-sahara'!AA27+'414-Al ghurair'!AA27+'415'!AA27+'Al Foah_418'!AA27+Rak_417!AA27+D.C.!AA27</f>
        <v>421487.36985702266</v>
      </c>
      <c r="AJ27" s="84">
        <f>AA27-AI27</f>
        <v>26135.905020821025</v>
      </c>
    </row>
    <row r="28" spans="1:36" customFormat="1">
      <c r="A28" s="3">
        <v>5607</v>
      </c>
      <c r="B28" s="3" t="s">
        <v>57</v>
      </c>
      <c r="C28" s="295">
        <f>'0401'!C28+'0402'!C28+'0403'!C28+'405'!C28+'0406'!C28+'0409'!C28+'410-sahara'!C28+'414-Al ghurair'!C28+'415'!C28+'Al Foah_418'!C28+Rak_417!C28+D.C.!C28+'Wafi _419'!C28</f>
        <v>0</v>
      </c>
      <c r="D28" s="68">
        <f>C28/C12</f>
        <v>0</v>
      </c>
      <c r="E28" s="295">
        <f>'0401'!E28+'0402'!E28+'0403'!E28+'405'!E28+'0406'!E28+'0409'!E28+'410-sahara'!E28+'414-Al ghurair'!E28+'415'!E28+'Al Foah_418'!E28+Rak_417!E28+D.C.!E28+'Wafi _419'!E28</f>
        <v>0</v>
      </c>
      <c r="F28" s="68">
        <f>E28/E12</f>
        <v>0</v>
      </c>
      <c r="G28" s="295">
        <f>'0401'!G28+'0402'!G28+'0403'!G28+'405'!G28+'0406'!G28+'0409'!G28+'410-sahara'!G28+'414-Al ghurair'!G28+'415'!G28+'Al Foah_418'!G28+Rak_417!G28+D.C.!G28+'Wafi _419'!G28</f>
        <v>0</v>
      </c>
      <c r="H28" s="68">
        <f>G28/G12</f>
        <v>0</v>
      </c>
      <c r="I28" s="295">
        <f>'0401'!I28+'0402'!I28+'0403'!I28+'405'!I28+'0406'!I28+'0409'!I28+'410-sahara'!I28+'414-Al ghurair'!I28+'415'!I28+'Al Foah_418'!I28+Rak_417!I28+D.C.!I28+'Wafi _419'!I28</f>
        <v>0</v>
      </c>
      <c r="J28" s="68">
        <f>I28/I12</f>
        <v>0</v>
      </c>
      <c r="K28" s="295">
        <f>'0401'!K28+'0402'!K28+'0403'!K28+'405'!K28+'0406'!K28+'0409'!K28+'410-sahara'!K28+'414-Al ghurair'!K28+'415'!K28+'Al Foah_418'!K28+Rak_417!K28+D.C.!K28+'Wafi _419'!K28</f>
        <v>0</v>
      </c>
      <c r="L28" s="68">
        <f>K28/K12</f>
        <v>0</v>
      </c>
      <c r="M28" s="295">
        <f>'0401'!M28+'0402'!M28+'0403'!M28+'405'!M28+'0406'!M28+'0409'!M28+'410-sahara'!M28+'414-Al ghurair'!M28+'415'!M28+'Al Foah_418'!M28+Rak_417!M28+D.C.!M28+'Wafi _419'!M28</f>
        <v>0</v>
      </c>
      <c r="N28" s="68">
        <f>M28/M12</f>
        <v>0</v>
      </c>
      <c r="O28" s="295">
        <f>'0401'!O28+'0402'!O28+'0403'!O28+'405'!O28+'0406'!O28+'0409'!O28+'410-sahara'!O28+'414-Al ghurair'!O28+'415'!O28+'Al Foah_418'!O28+Rak_417!O28+D.C.!O28+'Wafi _419'!O28</f>
        <v>0</v>
      </c>
      <c r="P28" s="68">
        <f>O28/O12</f>
        <v>0</v>
      </c>
      <c r="Q28" s="295">
        <f>'0401'!Q28+'0402'!Q28+'0403'!Q28+'405'!Q28+'0406'!Q28+'0409'!Q28+'410-sahara'!Q28+'414-Al ghurair'!Q28+'415'!Q28+'Al Foah_418'!Q28+Rak_417!Q28+D.C.!Q28+'Wafi _419'!Q28</f>
        <v>0</v>
      </c>
      <c r="R28" s="68">
        <f>Q28/Q12</f>
        <v>0</v>
      </c>
      <c r="S28" s="295">
        <f>'0401'!S28+'0402'!S28+'0403'!S28+'405'!S28+'0406'!S28+'0409'!S28+'410-sahara'!S28+'414-Al ghurair'!S28+'415'!S28+'Al Foah_418'!S28+Rak_417!S28+D.C.!S28+'Wafi _419'!S28</f>
        <v>0</v>
      </c>
      <c r="T28" s="68">
        <f>S28/S12</f>
        <v>0</v>
      </c>
      <c r="U28" s="295">
        <f>'0401'!U28+'0402'!U28+'0403'!U28+'405'!U28+'0406'!U28+'0409'!U28+'410-sahara'!U28+'414-Al ghurair'!U28+'415'!U28+'Al Foah_418'!U28+Rak_417!U28+D.C.!U28+'Wafi _419'!U28</f>
        <v>0</v>
      </c>
      <c r="V28" s="68">
        <f>U28/U12</f>
        <v>0</v>
      </c>
      <c r="W28" s="295">
        <f>'0401'!W28+'0402'!W28+'0403'!W28+'405'!W28+'0406'!W28+'0409'!W28+'410-sahara'!W28+'414-Al ghurair'!W28+'415'!W28+'Al Foah_418'!W28+Rak_417!W28+D.C.!W28+'Wafi _419'!W28</f>
        <v>0</v>
      </c>
      <c r="X28" s="68">
        <f>W28/W12</f>
        <v>0</v>
      </c>
      <c r="Y28" s="295">
        <f>'0401'!Y28+'0402'!Y28+'0403'!Y28+'405'!Y28+'0406'!Y28+'0409'!Y28+'410-sahara'!Y28+'414-Al ghurair'!Y28+'415'!Y28+'Al Foah_418'!Y28+Rak_417!Y28+D.C.!Y28+'Wafi _419'!Y28</f>
        <v>0</v>
      </c>
      <c r="Z28" s="68">
        <f>Y28/Y12</f>
        <v>0</v>
      </c>
      <c r="AA28" s="382">
        <f t="shared" si="21"/>
        <v>0</v>
      </c>
      <c r="AB28" s="147">
        <f>AA28/AA12</f>
        <v>0</v>
      </c>
      <c r="AC28" s="128">
        <f t="shared" si="19"/>
        <v>0</v>
      </c>
      <c r="AD28" s="131">
        <f>AC28/AC12</f>
        <v>0</v>
      </c>
      <c r="AE28" s="84">
        <f t="shared" si="1"/>
        <v>0</v>
      </c>
      <c r="AF28" s="33" t="e">
        <f>#REF!+'0401'!#REF!+'0402'!#REF!+'0403'!#REF!+#REF!+'405'!#REF!+'0406'!#REF!+D.C.!#REF!+#REF!+#REF!+'0409'!#REF!</f>
        <v>#REF!</v>
      </c>
      <c r="AG28" s="33" t="e">
        <f t="shared" si="2"/>
        <v>#REF!</v>
      </c>
      <c r="AH28" s="84">
        <f t="shared" si="6"/>
        <v>0</v>
      </c>
      <c r="AI28" s="33">
        <f>'0401'!AA28+'0402'!AA28+'0403'!AA28+'405'!AA28+'0406'!AA28+'0409'!AA28+'410-sahara'!AA28+'414-Al ghurair'!AA28+'415'!AA28+'Al Foah_418'!AA28+Rak_417!AA28+D.C.!AA28</f>
        <v>0</v>
      </c>
      <c r="AJ28" s="84">
        <f>AA28-AI28</f>
        <v>0</v>
      </c>
    </row>
    <row r="29" spans="1:36" customFormat="1">
      <c r="A29" s="3">
        <v>5608</v>
      </c>
      <c r="B29" s="3" t="s">
        <v>58</v>
      </c>
      <c r="C29" s="295">
        <f>'0401'!C29+'0402'!C29+'0403'!C29+'405'!C29+'0406'!C29+'0409'!C29+'410-sahara'!C29+'414-Al ghurair'!C29+'415'!C29+'Al Foah_418'!C29+Rak_417!C29+D.C.!C29+'Wafi _419'!C29</f>
        <v>0</v>
      </c>
      <c r="D29" s="68">
        <f>C29/C12</f>
        <v>0</v>
      </c>
      <c r="E29" s="295">
        <f>'0401'!E29+'0402'!E29+'0403'!E29+'405'!E29+'0406'!E29+'0409'!E29+'410-sahara'!E29+'414-Al ghurair'!E29+'415'!E29+'Al Foah_418'!E29+Rak_417!E29+D.C.!E29+'Wafi _419'!E29</f>
        <v>0</v>
      </c>
      <c r="F29" s="68">
        <f>E29/E12</f>
        <v>0</v>
      </c>
      <c r="G29" s="295">
        <f>'0401'!G29+'0402'!G29+'0403'!G29+'405'!G29+'0406'!G29+'0409'!G29+'410-sahara'!G29+'414-Al ghurair'!G29+'415'!G29+'Al Foah_418'!G29+Rak_417!G29+D.C.!G29+'Wafi _419'!G29</f>
        <v>0</v>
      </c>
      <c r="H29" s="68">
        <f>G29/G12</f>
        <v>0</v>
      </c>
      <c r="I29" s="295">
        <f>'0401'!I29+'0402'!I29+'0403'!I29+'405'!I29+'0406'!I29+'0409'!I29+'410-sahara'!I29+'414-Al ghurair'!I29+'415'!I29+'Al Foah_418'!I29+Rak_417!I29+D.C.!I29+'Wafi _419'!I29</f>
        <v>0</v>
      </c>
      <c r="J29" s="68">
        <f>I29/I12</f>
        <v>0</v>
      </c>
      <c r="K29" s="295">
        <f>'0401'!K29+'0402'!K29+'0403'!K29+'405'!K29+'0406'!K29+'0409'!K29+'410-sahara'!K29+'414-Al ghurair'!K29+'415'!K29+'Al Foah_418'!K29+Rak_417!K29+D.C.!K29+'Wafi _419'!K29</f>
        <v>0</v>
      </c>
      <c r="L29" s="68">
        <f>K29/K12</f>
        <v>0</v>
      </c>
      <c r="M29" s="295">
        <f>'0401'!M29+'0402'!M29+'0403'!M29+'405'!M29+'0406'!M29+'0409'!M29+'410-sahara'!M29+'414-Al ghurair'!M29+'415'!M29+'Al Foah_418'!M29+Rak_417!M29+D.C.!M29+'Wafi _419'!M29</f>
        <v>0</v>
      </c>
      <c r="N29" s="68">
        <f>M29/M12</f>
        <v>0</v>
      </c>
      <c r="O29" s="295">
        <f>'0401'!O29+'0402'!O29+'0403'!O29+'405'!O29+'0406'!O29+'0409'!O29+'410-sahara'!O29+'414-Al ghurair'!O29+'415'!O29+'Al Foah_418'!O29+Rak_417!O29+D.C.!O29+'Wafi _419'!O29</f>
        <v>0</v>
      </c>
      <c r="P29" s="68">
        <f>O29/O12</f>
        <v>0</v>
      </c>
      <c r="Q29" s="295">
        <f>'0401'!Q29+'0402'!Q29+'0403'!Q29+'405'!Q29+'0406'!Q29+'0409'!Q29+'410-sahara'!Q29+'414-Al ghurair'!Q29+'415'!Q29+'Al Foah_418'!Q29+Rak_417!Q29+D.C.!Q29+'Wafi _419'!Q29</f>
        <v>0</v>
      </c>
      <c r="R29" s="68">
        <f>Q29/Q12</f>
        <v>0</v>
      </c>
      <c r="S29" s="295">
        <f>'0401'!S29+'0402'!S29+'0403'!S29+'405'!S29+'0406'!S29+'0409'!S29+'410-sahara'!S29+'414-Al ghurair'!S29+'415'!S29+'Al Foah_418'!S29+Rak_417!S29+D.C.!S29+'Wafi _419'!S29</f>
        <v>0</v>
      </c>
      <c r="T29" s="68">
        <f>S29/S12</f>
        <v>0</v>
      </c>
      <c r="U29" s="295">
        <f>'0401'!U29+'0402'!U29+'0403'!U29+'405'!U29+'0406'!U29+'0409'!U29+'410-sahara'!U29+'414-Al ghurair'!U29+'415'!U29+'Al Foah_418'!U29+Rak_417!U29+D.C.!U29+'Wafi _419'!U29</f>
        <v>0</v>
      </c>
      <c r="V29" s="68">
        <f>U29/U12</f>
        <v>0</v>
      </c>
      <c r="W29" s="295">
        <f>'0401'!W29+'0402'!W29+'0403'!W29+'405'!W29+'0406'!W29+'0409'!W29+'410-sahara'!W29+'414-Al ghurair'!W29+'415'!W29+'Al Foah_418'!W29+Rak_417!W29+D.C.!W29+'Wafi _419'!W29</f>
        <v>0</v>
      </c>
      <c r="X29" s="68">
        <f>W29/W12</f>
        <v>0</v>
      </c>
      <c r="Y29" s="295">
        <f>'0401'!Y29+'0402'!Y29+'0403'!Y29+'405'!Y29+'0406'!Y29+'0409'!Y29+'410-sahara'!Y29+'414-Al ghurair'!Y29+'415'!Y29+'Al Foah_418'!Y29+Rak_417!Y29+D.C.!Y29+'Wafi _419'!Y29</f>
        <v>0</v>
      </c>
      <c r="Z29" s="68">
        <f>Y29/Y12</f>
        <v>0</v>
      </c>
      <c r="AA29" s="382">
        <f t="shared" si="21"/>
        <v>0</v>
      </c>
      <c r="AB29" s="147">
        <f>AA29/AA12</f>
        <v>0</v>
      </c>
      <c r="AC29" s="128">
        <f t="shared" si="19"/>
        <v>0</v>
      </c>
      <c r="AD29" s="131">
        <f>AC29/AC12</f>
        <v>0</v>
      </c>
      <c r="AE29" s="84">
        <f t="shared" si="1"/>
        <v>0</v>
      </c>
      <c r="AF29" s="33" t="e">
        <f>#REF!+'0401'!#REF!+'0402'!#REF!+'0403'!#REF!+#REF!+'405'!#REF!+'0406'!#REF!+D.C.!#REF!+#REF!+#REF!+'0409'!#REF!</f>
        <v>#REF!</v>
      </c>
      <c r="AG29" s="33" t="e">
        <f t="shared" si="2"/>
        <v>#REF!</v>
      </c>
      <c r="AH29" s="84">
        <f t="shared" si="6"/>
        <v>0</v>
      </c>
      <c r="AI29" s="33">
        <f>'0401'!AA29+'0402'!AA29+'0403'!AA29+'405'!AA29+'0406'!AA29+'0409'!AA29+'410-sahara'!AA29+'414-Al ghurair'!AA29+'415'!AA29+'Al Foah_418'!AA29+Rak_417!AA29+D.C.!AA29</f>
        <v>0</v>
      </c>
      <c r="AJ29" s="84">
        <f t="shared" si="7"/>
        <v>0</v>
      </c>
    </row>
    <row r="30" spans="1:36" customFormat="1">
      <c r="A30" s="3">
        <v>5609</v>
      </c>
      <c r="B30" s="3" t="s">
        <v>59</v>
      </c>
      <c r="C30" s="295">
        <f>'0401'!C30+'0402'!C30+'0403'!C30+'405'!C30+'0406'!C30+'0409'!C30+'410-sahara'!C30+'414-Al ghurair'!C30+'415'!C30+'Al Foah_418'!C30+Rak_417!C30+D.C.!C30+'Wafi _419'!C30</f>
        <v>0</v>
      </c>
      <c r="D30" s="68">
        <f t="shared" ref="D30" si="22">C30/C12</f>
        <v>0</v>
      </c>
      <c r="E30" s="295">
        <f>'0401'!E30+'0402'!E30+'0403'!E30+'405'!E30+'0406'!E30+'0409'!E30+'410-sahara'!E30+'414-Al ghurair'!E30+'415'!E30+'Al Foah_418'!E30+Rak_417!E30+D.C.!E30+'Wafi _419'!E30</f>
        <v>0</v>
      </c>
      <c r="F30" s="68">
        <f t="shared" ref="F30" si="23">E30/E12</f>
        <v>0</v>
      </c>
      <c r="G30" s="295">
        <f>'0401'!G30+'0402'!G30+'0403'!G30+'405'!G30+'0406'!G30+'0409'!G30+'410-sahara'!G30+'414-Al ghurair'!G30+'415'!G30+'Al Foah_418'!G30+Rak_417!G30+D.C.!G30+'Wafi _419'!G30</f>
        <v>0</v>
      </c>
      <c r="H30" s="68">
        <f>G30/G12</f>
        <v>0</v>
      </c>
      <c r="I30" s="295">
        <f>'0401'!I30+'0402'!I30+'0403'!I30+'405'!I30+'0406'!I30+'0409'!I30+'410-sahara'!I30+'414-Al ghurair'!I30+'415'!I30+'Al Foah_418'!I30+Rak_417!I30+D.C.!I30+'Wafi _419'!I30</f>
        <v>0</v>
      </c>
      <c r="J30" s="68">
        <f t="shared" ref="J30" si="24">I30/I12</f>
        <v>0</v>
      </c>
      <c r="K30" s="295">
        <f>'0401'!K30+'0402'!K30+'0403'!K30+'405'!K30+'0406'!K30+'0409'!K30+'410-sahara'!K30+'414-Al ghurair'!K30+'415'!K30+'Al Foah_418'!K30+Rak_417!K30+D.C.!K30+'Wafi _419'!K30</f>
        <v>0</v>
      </c>
      <c r="L30" s="68">
        <f>K30/K12</f>
        <v>0</v>
      </c>
      <c r="M30" s="295">
        <f>'0401'!M30+'0402'!M30+'0403'!M30+'405'!M30+'0406'!M30+'0409'!M30+'410-sahara'!M30+'414-Al ghurair'!M30+'415'!M30+'Al Foah_418'!M30+Rak_417!M30+D.C.!M30+'Wafi _419'!M30</f>
        <v>0</v>
      </c>
      <c r="N30" s="68">
        <f>M30/M12</f>
        <v>0</v>
      </c>
      <c r="O30" s="295">
        <f>'0401'!O30+'0402'!O30+'0403'!O30+'405'!O30+'0406'!O30+'0409'!O30+'410-sahara'!O30+'414-Al ghurair'!O30+'415'!O30+'Al Foah_418'!O30+Rak_417!O30+D.C.!O30+'Wafi _419'!O30</f>
        <v>0</v>
      </c>
      <c r="P30" s="68">
        <f>O30/O12</f>
        <v>0</v>
      </c>
      <c r="Q30" s="295">
        <f>'0401'!Q30+'0402'!Q30+'0403'!Q30+'405'!Q30+'0406'!Q30+'0409'!Q30+'410-sahara'!Q30+'414-Al ghurair'!Q30+'415'!Q30+'Al Foah_418'!Q30+Rak_417!Q30+D.C.!Q30+'Wafi _419'!Q30</f>
        <v>0</v>
      </c>
      <c r="R30" s="68">
        <f>Q30/Q12</f>
        <v>0</v>
      </c>
      <c r="S30" s="295">
        <f>'0401'!S30+'0402'!S30+'0403'!S30+'405'!S30+'0406'!S30+'0409'!S30+'410-sahara'!S30+'414-Al ghurair'!S30+'415'!S30+'Al Foah_418'!S30+Rak_417!S30+D.C.!S30+'Wafi _419'!S30</f>
        <v>0</v>
      </c>
      <c r="T30" s="68">
        <f>S30/S12</f>
        <v>0</v>
      </c>
      <c r="U30" s="295">
        <f>'0401'!U30+'0402'!U30+'0403'!U30+'405'!U30+'0406'!U30+'0409'!U30+'410-sahara'!U30+'414-Al ghurair'!U30+'415'!U30+'Al Foah_418'!U30+Rak_417!U30+D.C.!U30+'Wafi _419'!U30</f>
        <v>0</v>
      </c>
      <c r="V30" s="68">
        <f>U30/U12</f>
        <v>0</v>
      </c>
      <c r="W30" s="295">
        <f>'0401'!W30+'0402'!W30+'0403'!W30+'405'!W30+'0406'!W30+'0409'!W30+'410-sahara'!W30+'414-Al ghurair'!W30+'415'!W30+'Al Foah_418'!W30+Rak_417!W30+D.C.!W30+'Wafi _419'!W30</f>
        <v>0</v>
      </c>
      <c r="X30" s="68">
        <f>W30/W12</f>
        <v>0</v>
      </c>
      <c r="Y30" s="295">
        <f>'0401'!Y30+'0402'!Y30+'0403'!Y30+'405'!Y30+'0406'!Y30+'0409'!Y30+'410-sahara'!Y30+'414-Al ghurair'!Y30+'415'!Y30+'Al Foah_418'!Y30+Rak_417!Y30+D.C.!Y30+'Wafi _419'!Y30</f>
        <v>0</v>
      </c>
      <c r="Z30" s="68">
        <f>Y30/Y12</f>
        <v>0</v>
      </c>
      <c r="AA30" s="382">
        <f t="shared" si="21"/>
        <v>0</v>
      </c>
      <c r="AB30" s="147">
        <f>AA30/AA12</f>
        <v>0</v>
      </c>
      <c r="AC30" s="128">
        <f t="shared" si="19"/>
        <v>0</v>
      </c>
      <c r="AD30" s="131">
        <f>AC30/AC12</f>
        <v>0</v>
      </c>
      <c r="AE30" s="84">
        <f t="shared" si="1"/>
        <v>0</v>
      </c>
      <c r="AF30" s="33" t="e">
        <f>#REF!+'0401'!#REF!+'0402'!#REF!+'0403'!#REF!+#REF!+'405'!#REF!+'0406'!#REF!+D.C.!#REF!+#REF!+#REF!+'0409'!#REF!</f>
        <v>#REF!</v>
      </c>
      <c r="AG30" s="33" t="e">
        <f t="shared" si="2"/>
        <v>#REF!</v>
      </c>
      <c r="AH30" s="84">
        <f t="shared" si="6"/>
        <v>0</v>
      </c>
      <c r="AI30" s="33">
        <f>'0401'!AA30+'0402'!AA30+'0403'!AA30+'405'!AA30+'0406'!AA30+'0409'!AA30+'410-sahara'!AA30+'414-Al ghurair'!AA30+'415'!AA30+'Al Foah_418'!AA30+Rak_417!AA30+D.C.!AA30</f>
        <v>0</v>
      </c>
      <c r="AJ30" s="84">
        <f t="shared" si="7"/>
        <v>0</v>
      </c>
    </row>
    <row r="31" spans="1:36" customFormat="1">
      <c r="A31" s="3">
        <v>5610</v>
      </c>
      <c r="B31" s="3" t="s">
        <v>60</v>
      </c>
      <c r="C31" s="295">
        <f>'0401'!C31+'0402'!C31+'0403'!C31+'405'!C31+'0406'!C31+'0409'!C31+'410-sahara'!C31+'414-Al ghurair'!C31+'415'!C31+'Al Foah_418'!C31+Rak_417!C31+D.C.!C31+'Wafi _419'!C31</f>
        <v>0</v>
      </c>
      <c r="D31" s="68">
        <f>C31/C12</f>
        <v>0</v>
      </c>
      <c r="E31" s="295">
        <f>'0401'!E31+'0402'!E31+'0403'!E31+'405'!E31+'0406'!E31+'0409'!E31+'410-sahara'!E31+'414-Al ghurair'!E31+'415'!E31+'Al Foah_418'!E31+Rak_417!E31+D.C.!E31+'Wafi _419'!E31</f>
        <v>0</v>
      </c>
      <c r="F31" s="68">
        <f>E31/E12</f>
        <v>0</v>
      </c>
      <c r="G31" s="295">
        <f>'0401'!G31+'0402'!G31+'0403'!G31+'405'!G31+'0406'!G31+'0409'!G31+'410-sahara'!G31+'414-Al ghurair'!G31+'415'!G31+'Al Foah_418'!G31+Rak_417!G31+D.C.!G31+'Wafi _419'!G31</f>
        <v>0</v>
      </c>
      <c r="H31" s="68">
        <f>G31/G12</f>
        <v>0</v>
      </c>
      <c r="I31" s="295">
        <f>'0401'!I31+'0402'!I31+'0403'!I31+'405'!I31+'0406'!I31+'0409'!I31+'410-sahara'!I31+'414-Al ghurair'!I31+'415'!I31+'Al Foah_418'!I31+Rak_417!I31+D.C.!I31+'Wafi _419'!I31</f>
        <v>0</v>
      </c>
      <c r="J31" s="68">
        <f>I31/I12</f>
        <v>0</v>
      </c>
      <c r="K31" s="295">
        <f>'0401'!K31+'0402'!K31+'0403'!K31+'405'!K31+'0406'!K31+'0409'!K31+'410-sahara'!K31+'414-Al ghurair'!K31+'415'!K31+'Al Foah_418'!K31+Rak_417!K31+D.C.!K31+'Wafi _419'!K31</f>
        <v>0</v>
      </c>
      <c r="L31" s="68">
        <f>K31/K12</f>
        <v>0</v>
      </c>
      <c r="M31" s="295">
        <f>'0401'!M31+'0402'!M31+'0403'!M31+'405'!M31+'0406'!M31+'0409'!M31+'410-sahara'!M31+'414-Al ghurair'!M31+'415'!M31+'Al Foah_418'!M31+Rak_417!M31+D.C.!M31+'Wafi _419'!M31</f>
        <v>0</v>
      </c>
      <c r="N31" s="68">
        <f>M31/M12</f>
        <v>0</v>
      </c>
      <c r="O31" s="295">
        <f>'0401'!O31+'0402'!O31+'0403'!O31+'405'!O31+'0406'!O31+'0409'!O31+'410-sahara'!O31+'414-Al ghurair'!O31+'415'!O31+'Al Foah_418'!O31+Rak_417!O31+D.C.!O31+'Wafi _419'!O31</f>
        <v>0</v>
      </c>
      <c r="P31" s="68">
        <f>O31/O12</f>
        <v>0</v>
      </c>
      <c r="Q31" s="295">
        <f>'0401'!Q31+'0402'!Q31+'0403'!Q31+'405'!Q31+'0406'!Q31+'0409'!Q31+'410-sahara'!Q31+'414-Al ghurair'!Q31+'415'!Q31+'Al Foah_418'!Q31+Rak_417!Q31+D.C.!Q31+'Wafi _419'!Q31</f>
        <v>0</v>
      </c>
      <c r="R31" s="68">
        <f>Q31/Q12</f>
        <v>0</v>
      </c>
      <c r="S31" s="295">
        <f>'0401'!S31+'0402'!S31+'0403'!S31+'405'!S31+'0406'!S31+'0409'!S31+'410-sahara'!S31+'414-Al ghurair'!S31+'415'!S31+'Al Foah_418'!S31+Rak_417!S31+D.C.!S31+'Wafi _419'!S31</f>
        <v>0</v>
      </c>
      <c r="T31" s="68">
        <f>S31/S12</f>
        <v>0</v>
      </c>
      <c r="U31" s="295">
        <f>'0401'!U31+'0402'!U31+'0403'!U31+'405'!U31+'0406'!U31+'0409'!U31+'410-sahara'!U31+'414-Al ghurair'!U31+'415'!U31+'Al Foah_418'!U31+Rak_417!U31+D.C.!U31+'Wafi _419'!U31</f>
        <v>0</v>
      </c>
      <c r="V31" s="68">
        <f>U31/U12</f>
        <v>0</v>
      </c>
      <c r="W31" s="295">
        <f>'0401'!W31+'0402'!W31+'0403'!W31+'405'!W31+'0406'!W31+'0409'!W31+'410-sahara'!W31+'414-Al ghurair'!W31+'415'!W31+'Al Foah_418'!W31+Rak_417!W31+D.C.!W31+'Wafi _419'!W31</f>
        <v>0</v>
      </c>
      <c r="X31" s="68">
        <f>W31/W12</f>
        <v>0</v>
      </c>
      <c r="Y31" s="295">
        <f>'0401'!Y31+'0402'!Y31+'0403'!Y31+'405'!Y31+'0406'!Y31+'0409'!Y31+'410-sahara'!Y31+'414-Al ghurair'!Y31+'415'!Y31+'Al Foah_418'!Y31+Rak_417!Y31+D.C.!Y31+'Wafi _419'!Y31</f>
        <v>0</v>
      </c>
      <c r="Z31" s="68">
        <f>Y31/Y12</f>
        <v>0</v>
      </c>
      <c r="AA31" s="382">
        <f t="shared" si="21"/>
        <v>0</v>
      </c>
      <c r="AB31" s="147">
        <f>AA31/AA12</f>
        <v>0</v>
      </c>
      <c r="AC31" s="128">
        <f t="shared" si="19"/>
        <v>0</v>
      </c>
      <c r="AD31" s="131">
        <f>AC31/AC12</f>
        <v>0</v>
      </c>
      <c r="AE31" s="84">
        <f t="shared" si="1"/>
        <v>0</v>
      </c>
      <c r="AF31" s="33" t="e">
        <f>#REF!+'0401'!#REF!+'0402'!#REF!+'0403'!#REF!+#REF!+'405'!#REF!+'0406'!#REF!+D.C.!#REF!+#REF!+#REF!+'0409'!#REF!</f>
        <v>#REF!</v>
      </c>
      <c r="AG31" s="33" t="e">
        <f t="shared" si="2"/>
        <v>#REF!</v>
      </c>
      <c r="AH31" s="84">
        <f t="shared" si="6"/>
        <v>0</v>
      </c>
      <c r="AI31" s="33">
        <f>'0401'!AA31+'0402'!AA31+'0403'!AA31+'405'!AA31+'0406'!AA31+'0409'!AA31+'410-sahara'!AA31+'414-Al ghurair'!AA31+'415'!AA31+'Al Foah_418'!AA31+Rak_417!AA31+D.C.!AA31</f>
        <v>0</v>
      </c>
      <c r="AJ31" s="84">
        <f t="shared" si="7"/>
        <v>0</v>
      </c>
    </row>
    <row r="32" spans="1:36" customFormat="1">
      <c r="A32" s="3">
        <v>5611</v>
      </c>
      <c r="B32" s="3" t="s">
        <v>96</v>
      </c>
      <c r="C32" s="295">
        <f>'0401'!C32+'0402'!C32+'0403'!C32+'405'!C32+'0406'!C32+'0409'!C32+'410-sahara'!C32+'414-Al ghurair'!C32+'415'!C32+'Al Foah_418'!C32+Rak_417!C32+D.C.!C32+'Wafi _419'!C32</f>
        <v>0</v>
      </c>
      <c r="D32" s="68">
        <f>C32/C12</f>
        <v>0</v>
      </c>
      <c r="E32" s="295">
        <f>'0401'!E32+'0402'!E32+'0403'!E32+'405'!E32+'0406'!E32+'0409'!E32+'410-sahara'!E32+'414-Al ghurair'!E32+'415'!E32+'Al Foah_418'!E32+Rak_417!E32+D.C.!E32+'Wafi _419'!E32</f>
        <v>0</v>
      </c>
      <c r="F32" s="68">
        <f>E32/E12</f>
        <v>0</v>
      </c>
      <c r="G32" s="295">
        <f>'0401'!G32+'0402'!G32+'0403'!G32+'405'!G32+'0406'!G32+'0409'!G32+'410-sahara'!G32+'414-Al ghurair'!G32+'415'!G32+'Al Foah_418'!G32+Rak_417!G32+D.C.!G32+'Wafi _419'!G32</f>
        <v>0</v>
      </c>
      <c r="H32" s="68">
        <f>G32/G12</f>
        <v>0</v>
      </c>
      <c r="I32" s="295">
        <f>'0401'!I32+'0402'!I32+'0403'!I32+'405'!I32+'0406'!I32+'0409'!I32+'410-sahara'!I32+'414-Al ghurair'!I32+'415'!I32+'Al Foah_418'!I32+Rak_417!I32+D.C.!I32+'Wafi _419'!I32</f>
        <v>0</v>
      </c>
      <c r="J32" s="68">
        <f>I32/I12</f>
        <v>0</v>
      </c>
      <c r="K32" s="295">
        <f>'0401'!K32+'0402'!K32+'0403'!K32+'405'!K32+'0406'!K32+'0409'!K32+'410-sahara'!K32+'414-Al ghurair'!K32+'415'!K32+'Al Foah_418'!K32+Rak_417!K32+D.C.!K32+'Wafi _419'!K32</f>
        <v>0</v>
      </c>
      <c r="L32" s="68">
        <f>K32/K12</f>
        <v>0</v>
      </c>
      <c r="M32" s="295">
        <f>'0401'!M32+'0402'!M32+'0403'!M32+'405'!M32+'0406'!M32+'0409'!M32+'410-sahara'!M32+'414-Al ghurair'!M32+'415'!M32+'Al Foah_418'!M32+Rak_417!M32+D.C.!M32+'Wafi _419'!M32</f>
        <v>0</v>
      </c>
      <c r="N32" s="68">
        <f>M32/M12</f>
        <v>0</v>
      </c>
      <c r="O32" s="295">
        <f>'0401'!O32+'0402'!O32+'0403'!O32+'405'!O32+'0406'!O32+'0409'!O32+'410-sahara'!O32+'414-Al ghurair'!O32+'415'!O32+'Al Foah_418'!O32+Rak_417!O32+D.C.!O32+'Wafi _419'!O32</f>
        <v>0</v>
      </c>
      <c r="P32" s="68">
        <f>O32/O12</f>
        <v>0</v>
      </c>
      <c r="Q32" s="295">
        <f>'0401'!Q32+'0402'!Q32+'0403'!Q32+'405'!Q32+'0406'!Q32+'0409'!Q32+'410-sahara'!Q32+'414-Al ghurair'!Q32+'415'!Q32+'Al Foah_418'!Q32+Rak_417!Q32+D.C.!Q32+'Wafi _419'!Q32</f>
        <v>0</v>
      </c>
      <c r="R32" s="68">
        <f>Q32/Q12</f>
        <v>0</v>
      </c>
      <c r="S32" s="295">
        <f>'0401'!S32+'0402'!S32+'0403'!S32+'405'!S32+'0406'!S32+'0409'!S32+'410-sahara'!S32+'414-Al ghurair'!S32+'415'!S32+'Al Foah_418'!S32+Rak_417!S32+D.C.!S32+'Wafi _419'!S32</f>
        <v>0</v>
      </c>
      <c r="T32" s="68">
        <f>S32/S12</f>
        <v>0</v>
      </c>
      <c r="U32" s="295">
        <f>'0401'!U32+'0402'!U32+'0403'!U32+'405'!U32+'0406'!U32+'0409'!U32+'410-sahara'!U32+'414-Al ghurair'!U32+'415'!U32+'Al Foah_418'!U32+Rak_417!U32+D.C.!U32+'Wafi _419'!U32</f>
        <v>0</v>
      </c>
      <c r="V32" s="68">
        <f>U32/U12</f>
        <v>0</v>
      </c>
      <c r="W32" s="295">
        <f>'0401'!W32+'0402'!W32+'0403'!W32+'405'!W32+'0406'!W32+'0409'!W32+'410-sahara'!W32+'414-Al ghurair'!W32+'415'!W32+'Al Foah_418'!W32+Rak_417!W32+D.C.!W32+'Wafi _419'!W32</f>
        <v>0</v>
      </c>
      <c r="X32" s="68">
        <f>W32/W12</f>
        <v>0</v>
      </c>
      <c r="Y32" s="295">
        <f>'0401'!Y32+'0402'!Y32+'0403'!Y32+'405'!Y32+'0406'!Y32+'0409'!Y32+'410-sahara'!Y32+'414-Al ghurair'!Y32+'415'!Y32+'Al Foah_418'!Y32+Rak_417!Y32+D.C.!Y32+'Wafi _419'!Y32</f>
        <v>0</v>
      </c>
      <c r="Z32" s="68">
        <f>Y32/Y12</f>
        <v>0</v>
      </c>
      <c r="AA32" s="382">
        <f t="shared" si="21"/>
        <v>0</v>
      </c>
      <c r="AB32" s="147">
        <f>AA32/AA12</f>
        <v>0</v>
      </c>
      <c r="AC32" s="128">
        <f t="shared" si="19"/>
        <v>0</v>
      </c>
      <c r="AD32" s="131">
        <f>AC32/AC12</f>
        <v>0</v>
      </c>
      <c r="AE32" s="84">
        <f t="shared" si="1"/>
        <v>0</v>
      </c>
      <c r="AF32" s="33" t="e">
        <f>#REF!+'0401'!#REF!+'0402'!#REF!+'0403'!#REF!+#REF!+'405'!#REF!+'0406'!#REF!+D.C.!#REF!+#REF!+#REF!+'0409'!#REF!</f>
        <v>#REF!</v>
      </c>
      <c r="AG32" s="33" t="e">
        <f t="shared" si="2"/>
        <v>#REF!</v>
      </c>
      <c r="AH32" s="84">
        <f t="shared" si="6"/>
        <v>0</v>
      </c>
      <c r="AI32" s="33">
        <f>'0401'!AA32+'0402'!AA32+'0403'!AA32+'405'!AA32+'0406'!AA32+'0409'!AA32+'410-sahara'!AA32+'414-Al ghurair'!AA32+'415'!AA32+'Al Foah_418'!AA32+Rak_417!AA32+D.C.!AA32</f>
        <v>0</v>
      </c>
      <c r="AJ32" s="84">
        <f t="shared" si="7"/>
        <v>0</v>
      </c>
    </row>
    <row r="33" spans="1:36" customFormat="1">
      <c r="A33" s="3">
        <v>5612</v>
      </c>
      <c r="B33" s="3" t="s">
        <v>61</v>
      </c>
      <c r="C33" s="295">
        <f>'0401'!C33+'0402'!C33+'0403'!C33+'405'!C33+'0406'!C33+'0409'!C33+'410-sahara'!C33+'414-Al ghurair'!C33+'415'!C33+'Al Foah_418'!C33+Rak_417!C33+D.C.!C33+'Wafi _419'!C33</f>
        <v>0</v>
      </c>
      <c r="D33" s="68">
        <f>C33/C12</f>
        <v>0</v>
      </c>
      <c r="E33" s="295">
        <f>'0401'!E33+'0402'!E33+'0403'!E33+'405'!E33+'0406'!E33+'0409'!E33+'410-sahara'!E33+'414-Al ghurair'!E33+'415'!E33+'Al Foah_418'!E33+Rak_417!E33+D.C.!E33+'Wafi _419'!E33</f>
        <v>0</v>
      </c>
      <c r="F33" s="68">
        <f>E33/E12</f>
        <v>0</v>
      </c>
      <c r="G33" s="295">
        <f>'0401'!G33+'0402'!G33+'0403'!G33+'405'!G33+'0406'!G33+'0409'!G33+'410-sahara'!G33+'414-Al ghurair'!G33+'415'!G33+'Al Foah_418'!G33+Rak_417!G33+D.C.!G33+'Wafi _419'!G33</f>
        <v>0</v>
      </c>
      <c r="H33" s="68">
        <f>G33/G12</f>
        <v>0</v>
      </c>
      <c r="I33" s="295">
        <f>'0401'!I33+'0402'!I33+'0403'!I33+'405'!I33+'0406'!I33+'0409'!I33+'410-sahara'!I33+'414-Al ghurair'!I33+'415'!I33+'Al Foah_418'!I33+Rak_417!I33+D.C.!I33+'Wafi _419'!I33</f>
        <v>0</v>
      </c>
      <c r="J33" s="68">
        <f>I33/I12</f>
        <v>0</v>
      </c>
      <c r="K33" s="295">
        <f>'0401'!K33+'0402'!K33+'0403'!K33+'405'!K33+'0406'!K33+'0409'!K33+'410-sahara'!K33+'414-Al ghurair'!K33+'415'!K33+'Al Foah_418'!K33+Rak_417!K33+D.C.!K33+'Wafi _419'!K33</f>
        <v>0</v>
      </c>
      <c r="L33" s="68">
        <f>K33/K12</f>
        <v>0</v>
      </c>
      <c r="M33" s="295">
        <f>'0401'!M33+'0402'!M33+'0403'!M33+'405'!M33+'0406'!M33+'0409'!M33+'410-sahara'!M33+'414-Al ghurair'!M33+'415'!M33+'Al Foah_418'!M33+Rak_417!M33+D.C.!M33+'Wafi _419'!M33</f>
        <v>0</v>
      </c>
      <c r="N33" s="68">
        <f>M33/M12</f>
        <v>0</v>
      </c>
      <c r="O33" s="295">
        <f>'0401'!O33+'0402'!O33+'0403'!O33+'405'!O33+'0406'!O33+'0409'!O33+'410-sahara'!O33+'414-Al ghurair'!O33+'415'!O33+'Al Foah_418'!O33+Rak_417!O33+D.C.!O33+'Wafi _419'!O33</f>
        <v>0</v>
      </c>
      <c r="P33" s="68">
        <f>O33/O12</f>
        <v>0</v>
      </c>
      <c r="Q33" s="295">
        <f>'0401'!Q33+'0402'!Q33+'0403'!Q33+'405'!Q33+'0406'!Q33+'0409'!Q33+'410-sahara'!Q33+'414-Al ghurair'!Q33+'415'!Q33+'Al Foah_418'!Q33+Rak_417!Q33+D.C.!Q33+'Wafi _419'!Q33</f>
        <v>0</v>
      </c>
      <c r="R33" s="68">
        <f>Q33/Q12</f>
        <v>0</v>
      </c>
      <c r="S33" s="295">
        <f>'0401'!S33+'0402'!S33+'0403'!S33+'405'!S33+'0406'!S33+'0409'!S33+'410-sahara'!S33+'414-Al ghurair'!S33+'415'!S33+'Al Foah_418'!S33+Rak_417!S33+D.C.!S33+'Wafi _419'!S33</f>
        <v>0</v>
      </c>
      <c r="T33" s="68">
        <f>S33/S12</f>
        <v>0</v>
      </c>
      <c r="U33" s="295">
        <f>'0401'!U33+'0402'!U33+'0403'!U33+'405'!U33+'0406'!U33+'0409'!U33+'410-sahara'!U33+'414-Al ghurair'!U33+'415'!U33+'Al Foah_418'!U33+Rak_417!U33+D.C.!U33+'Wafi _419'!U33</f>
        <v>0</v>
      </c>
      <c r="V33" s="68">
        <f>U33/U12</f>
        <v>0</v>
      </c>
      <c r="W33" s="295">
        <f>'0401'!W33+'0402'!W33+'0403'!W33+'405'!W33+'0406'!W33+'0409'!W33+'410-sahara'!W33+'414-Al ghurair'!W33+'415'!W33+'Al Foah_418'!W33+Rak_417!W33+D.C.!W33+'Wafi _419'!W33</f>
        <v>0</v>
      </c>
      <c r="X33" s="68">
        <f>W33/W12</f>
        <v>0</v>
      </c>
      <c r="Y33" s="295">
        <f>'0401'!Y33+'0402'!Y33+'0403'!Y33+'405'!Y33+'0406'!Y33+'0409'!Y33+'410-sahara'!Y33+'414-Al ghurair'!Y33+'415'!Y33+'Al Foah_418'!Y33+Rak_417!Y33+D.C.!Y33+'Wafi _419'!Y33</f>
        <v>0</v>
      </c>
      <c r="Z33" s="68">
        <f>Y33/Y12</f>
        <v>0</v>
      </c>
      <c r="AA33" s="382">
        <f t="shared" si="21"/>
        <v>0</v>
      </c>
      <c r="AB33" s="147">
        <f>AA33/AA12</f>
        <v>0</v>
      </c>
      <c r="AC33" s="128">
        <f t="shared" si="19"/>
        <v>0</v>
      </c>
      <c r="AD33" s="131">
        <f>AC33/AC12</f>
        <v>0</v>
      </c>
      <c r="AE33" s="84">
        <f t="shared" si="1"/>
        <v>0</v>
      </c>
      <c r="AF33" s="33" t="e">
        <f>#REF!+'0401'!#REF!+'0402'!#REF!+'0403'!#REF!+#REF!+'405'!#REF!+'0406'!#REF!+D.C.!#REF!+#REF!+#REF!+'0409'!#REF!</f>
        <v>#REF!</v>
      </c>
      <c r="AG33" s="33" t="e">
        <f t="shared" si="2"/>
        <v>#REF!</v>
      </c>
      <c r="AH33" s="84">
        <f t="shared" si="6"/>
        <v>0</v>
      </c>
      <c r="AI33" s="33">
        <f>'0401'!AA33+'0402'!AA33+'0403'!AA33+'405'!AA33+'0406'!AA33+'0409'!AA33+'410-sahara'!AA33+'414-Al ghurair'!AA33+'415'!AA33+'Al Foah_418'!AA33+Rak_417!AA33+D.C.!AA33</f>
        <v>0</v>
      </c>
      <c r="AJ33" s="84">
        <f t="shared" si="7"/>
        <v>0</v>
      </c>
    </row>
    <row r="34" spans="1:36" customFormat="1">
      <c r="A34" s="3">
        <v>5613</v>
      </c>
      <c r="B34" s="3" t="s">
        <v>62</v>
      </c>
      <c r="C34" s="295">
        <f>'0401'!C34+'0402'!C34+'0403'!C34+'405'!C34+'0406'!C34+'0409'!C34+'410-sahara'!C34+'414-Al ghurair'!C34+'415'!C34+'Al Foah_418'!C34+Rak_417!C34+D.C.!C34+'Wafi _419'!C34</f>
        <v>0</v>
      </c>
      <c r="D34" s="68">
        <f>C34/C12</f>
        <v>0</v>
      </c>
      <c r="E34" s="295">
        <f>'0401'!E34+'0402'!E34+'0403'!E34+'405'!E34+'0406'!E34+'0409'!E34+'410-sahara'!E34+'414-Al ghurair'!E34+'415'!E34+'Al Foah_418'!E34+Rak_417!E34+D.C.!E34+'Wafi _419'!E34</f>
        <v>0</v>
      </c>
      <c r="F34" s="68">
        <f>E34/E12</f>
        <v>0</v>
      </c>
      <c r="G34" s="295">
        <f>'0401'!G34+'0402'!G34+'0403'!G34+'405'!G34+'0406'!G34+'0409'!G34+'410-sahara'!G34+'414-Al ghurair'!G34+'415'!G34+'Al Foah_418'!G34+Rak_417!G34+D.C.!G34+'Wafi _419'!G34</f>
        <v>0</v>
      </c>
      <c r="H34" s="68">
        <f>G34/G12</f>
        <v>0</v>
      </c>
      <c r="I34" s="295">
        <f>'0401'!I34+'0402'!I34+'0403'!I34+'405'!I34+'0406'!I34+'0409'!I34+'410-sahara'!I34+'414-Al ghurair'!I34+'415'!I34+'Al Foah_418'!I34+Rak_417!I34+D.C.!I34+'Wafi _419'!I34</f>
        <v>0</v>
      </c>
      <c r="J34" s="68">
        <f>I34/I12</f>
        <v>0</v>
      </c>
      <c r="K34" s="295">
        <f>'0401'!K34+'0402'!K34+'0403'!K34+'405'!K34+'0406'!K34+'0409'!K34+'410-sahara'!K34+'414-Al ghurair'!K34+'415'!K34+'Al Foah_418'!K34+Rak_417!K34+D.C.!K34+'Wafi _419'!K34</f>
        <v>0</v>
      </c>
      <c r="L34" s="68">
        <f>K34/K12</f>
        <v>0</v>
      </c>
      <c r="M34" s="295">
        <f>'0401'!M34+'0402'!M34+'0403'!M34+'405'!M34+'0406'!M34+'0409'!M34+'410-sahara'!M34+'414-Al ghurair'!M34+'415'!M34+'Al Foah_418'!M34+Rak_417!M34+D.C.!M34+'Wafi _419'!M34</f>
        <v>0</v>
      </c>
      <c r="N34" s="68">
        <f>M34/M12</f>
        <v>0</v>
      </c>
      <c r="O34" s="295">
        <f>'0401'!O34+'0402'!O34+'0403'!O34+'405'!O34+'0406'!O34+'0409'!O34+'410-sahara'!O34+'414-Al ghurair'!O34+'415'!O34+'Al Foah_418'!O34+Rak_417!O34+D.C.!O34+'Wafi _419'!O34</f>
        <v>0</v>
      </c>
      <c r="P34" s="68">
        <f>O34/O12</f>
        <v>0</v>
      </c>
      <c r="Q34" s="295">
        <f>'0401'!Q34+'0402'!Q34+'0403'!Q34+'405'!Q34+'0406'!Q34+'0409'!Q34+'410-sahara'!Q34+'414-Al ghurair'!Q34+'415'!Q34+'Al Foah_418'!Q34+Rak_417!Q34+D.C.!Q34+'Wafi _419'!Q34</f>
        <v>0</v>
      </c>
      <c r="R34" s="68">
        <f>Q34/Q12</f>
        <v>0</v>
      </c>
      <c r="S34" s="295">
        <f>'0401'!S34+'0402'!S34+'0403'!S34+'405'!S34+'0406'!S34+'0409'!S34+'410-sahara'!S34+'414-Al ghurair'!S34+'415'!S34+'Al Foah_418'!S34+Rak_417!S34+D.C.!S34+'Wafi _419'!S34</f>
        <v>0</v>
      </c>
      <c r="T34" s="68">
        <f>S34/S12</f>
        <v>0</v>
      </c>
      <c r="U34" s="295">
        <f>'0401'!U34+'0402'!U34+'0403'!U34+'405'!U34+'0406'!U34+'0409'!U34+'410-sahara'!U34+'414-Al ghurair'!U34+'415'!U34+'Al Foah_418'!U34+Rak_417!U34+D.C.!U34+'Wafi _419'!U34</f>
        <v>0</v>
      </c>
      <c r="V34" s="68">
        <f>U34/U12</f>
        <v>0</v>
      </c>
      <c r="W34" s="295">
        <f>'0401'!W34+'0402'!W34+'0403'!W34+'405'!W34+'0406'!W34+'0409'!W34+'410-sahara'!W34+'414-Al ghurair'!W34+'415'!W34+'Al Foah_418'!W34+Rak_417!W34+D.C.!W34+'Wafi _419'!W34</f>
        <v>0</v>
      </c>
      <c r="X34" s="68">
        <f>W34/W12</f>
        <v>0</v>
      </c>
      <c r="Y34" s="295">
        <f>'0401'!Y34+'0402'!Y34+'0403'!Y34+'405'!Y34+'0406'!Y34+'0409'!Y34+'410-sahara'!Y34+'414-Al ghurair'!Y34+'415'!Y34+'Al Foah_418'!Y34+Rak_417!Y34+D.C.!Y34+'Wafi _419'!Y34</f>
        <v>0</v>
      </c>
      <c r="Z34" s="68">
        <f>Y34/Y12</f>
        <v>0</v>
      </c>
      <c r="AA34" s="382">
        <f t="shared" si="21"/>
        <v>0</v>
      </c>
      <c r="AB34" s="147">
        <f>AA34/AA12</f>
        <v>0</v>
      </c>
      <c r="AC34" s="128">
        <f t="shared" si="19"/>
        <v>0</v>
      </c>
      <c r="AD34" s="131">
        <f>AC34/AC12</f>
        <v>0</v>
      </c>
      <c r="AE34" s="84">
        <f t="shared" si="1"/>
        <v>0</v>
      </c>
      <c r="AF34" s="33" t="e">
        <f>#REF!+'0401'!#REF!+'0402'!#REF!+'0403'!#REF!+#REF!+'405'!#REF!+'0406'!#REF!+D.C.!#REF!+#REF!+#REF!+'0409'!#REF!</f>
        <v>#REF!</v>
      </c>
      <c r="AG34" s="33" t="e">
        <f t="shared" si="2"/>
        <v>#REF!</v>
      </c>
      <c r="AH34" s="84">
        <f t="shared" si="6"/>
        <v>0</v>
      </c>
      <c r="AI34" s="33">
        <f>'0401'!AA34+'0402'!AA34+'0403'!AA34+'405'!AA34+'0406'!AA34+'0409'!AA34+'410-sahara'!AA34+'414-Al ghurair'!AA34+'415'!AA34+'Al Foah_418'!AA34+Rak_417!AA34+D.C.!AA34</f>
        <v>0</v>
      </c>
      <c r="AJ34" s="84">
        <f t="shared" si="7"/>
        <v>0</v>
      </c>
    </row>
    <row r="35" spans="1:36" customFormat="1">
      <c r="A35" s="9">
        <v>5699</v>
      </c>
      <c r="B35" s="9" t="s">
        <v>97</v>
      </c>
      <c r="C35" s="329">
        <f>'0401'!C35+'0402'!C35+'0403'!C35+'405'!C35+'0406'!C35+'0409'!C35+'410-sahara'!C35+'414-Al ghurair'!C35+'415'!C35+'Al Foah_418'!C35+Rak_417!C35+D.C.!C35+'Wafi _419'!C35</f>
        <v>36963.887454808813</v>
      </c>
      <c r="D35" s="330">
        <f>C35/C12</f>
        <v>3.3845697497703578E-3</v>
      </c>
      <c r="E35" s="329">
        <f>'0401'!E35+'0402'!E35+'0403'!E35+'405'!E35+'0406'!E35+'0409'!E35+'410-sahara'!E35+'414-Al ghurair'!E35+'415'!E35+'Al Foah_418'!E35+Rak_417!E35+D.C.!E35+'Wafi _419'!E35</f>
        <v>29690.354976691662</v>
      </c>
      <c r="F35" s="330">
        <f>E35/E12</f>
        <v>3.4943046109605544E-3</v>
      </c>
      <c r="G35" s="329">
        <f>'0401'!G35+'0402'!G35+'0403'!G35+'405'!G35+'0406'!G35+'0409'!G35+'410-sahara'!G35+'414-Al ghurair'!G35+'415'!G35+'Al Foah_418'!G35+Rak_417!G35+D.C.!G35+'Wafi _419'!G35</f>
        <v>46482.828895779799</v>
      </c>
      <c r="H35" s="330">
        <f>G35/G12</f>
        <v>3.2979933067169395E-3</v>
      </c>
      <c r="I35" s="329">
        <f>'0401'!I35+'0402'!I35+'0403'!I35+'405'!I35+'0406'!I35+'0409'!I35+'410-sahara'!I35+'414-Al ghurair'!I35+'415'!I35+'Al Foah_418'!I35+Rak_417!I35+D.C.!I35+'Wafi _419'!I35</f>
        <v>41535.495613397812</v>
      </c>
      <c r="J35" s="330">
        <f>I35/I12</f>
        <v>3.3374804537341803E-3</v>
      </c>
      <c r="K35" s="329">
        <f>'0401'!K35+'0402'!K35+'0403'!K35+'405'!K35+'0406'!K35+'0409'!K35+'410-sahara'!K35+'414-Al ghurair'!K35+'415'!K35+'Al Foah_418'!K35+Rak_417!K35+D.C.!K35+'Wafi _419'!K35</f>
        <v>38347.113616301627</v>
      </c>
      <c r="L35" s="330">
        <f>K35/K12</f>
        <v>3.3689916559736634E-3</v>
      </c>
      <c r="M35" s="329">
        <f>'0401'!M35+'0402'!M35+'0403'!M35+'405'!M35+'0406'!M35+'0409'!M35+'410-sahara'!M35+'414-Al ghurair'!M35+'415'!M35+'Al Foah_418'!M35+Rak_417!M35+D.C.!M35+'Wafi _419'!M35</f>
        <v>52620.135241546523</v>
      </c>
      <c r="N35" s="330">
        <f>M35/M12</f>
        <v>3.2602223215020816E-3</v>
      </c>
      <c r="O35" s="329">
        <f>'0401'!O35+'0402'!O35+'0403'!O35+'405'!O35+'0406'!O35+'0409'!O35+'410-sahara'!O35+'414-Al ghurair'!O35+'415'!O35+'Al Foah_418'!O35+Rak_417!O35+D.C.!O35+'Wafi _419'!O35</f>
        <v>34855.298108409035</v>
      </c>
      <c r="P35" s="330">
        <f>O35/O12</f>
        <v>3.4110219367445562E-3</v>
      </c>
      <c r="Q35" s="329">
        <f>'0401'!Q35+'0402'!Q35+'0403'!Q35+'405'!Q35+'0406'!Q35+'0409'!Q35+'410-sahara'!Q35+'414-Al ghurair'!Q35+'415'!Q35+'Al Foah_418'!Q35+Rak_417!Q35+D.C.!Q35+'Wafi _419'!Q35</f>
        <v>42265.879078217971</v>
      </c>
      <c r="R35" s="330">
        <f>Q35/Q12</f>
        <v>3.3310050970873266E-3</v>
      </c>
      <c r="S35" s="329">
        <f>'0401'!S35+'0402'!S35+'0403'!S35+'405'!S35+'0406'!S35+'0409'!S35+'410-sahara'!S35+'414-Al ghurair'!S35+'415'!S35+'Al Foah_418'!S35+Rak_417!S35+D.C.!S35+'Wafi _419'!S35</f>
        <v>42546.778744416333</v>
      </c>
      <c r="T35" s="330">
        <f>S35/S12</f>
        <v>3.3285804026455465E-3</v>
      </c>
      <c r="U35" s="329">
        <f>'0401'!U35+'0402'!U35+'0403'!U35+'405'!U35+'0406'!U35+'0409'!U35+'410-sahara'!U35+'414-Al ghurair'!U35+'415'!U35+'Al Foah_418'!U35+Rak_417!U35+D.C.!U35+'Wafi _419'!U35</f>
        <v>34616.914849187393</v>
      </c>
      <c r="V35" s="330">
        <f>U35/U12</f>
        <v>3.4142431953560403E-3</v>
      </c>
      <c r="W35" s="329">
        <f>'0401'!W35+'0402'!W35+'0403'!W35+'405'!W35+'0406'!W35+'0409'!W35+'410-sahara'!W35+'414-Al ghurair'!W35+'415'!W35+'Al Foah_418'!W35+Rak_417!W35+D.C.!W35+'Wafi _419'!W35</f>
        <v>35147.432361351202</v>
      </c>
      <c r="X35" s="330">
        <f>W35/W12</f>
        <v>3.4071420159475182E-3</v>
      </c>
      <c r="Y35" s="329">
        <f>'0401'!Y35+'0402'!Y35+'0403'!Y35+'405'!Y35+'0406'!Y35+'0409'!Y35+'410-sahara'!Y35+'414-Al ghurair'!Y35+'415'!Y35+'Al Foah_418'!Y35+Rak_417!Y35+D.C.!Y35+'Wafi _419'!Y35</f>
        <v>50951.155937735428</v>
      </c>
      <c r="Z35" s="330">
        <f>Y35/Y12</f>
        <v>3.2695120526384652E-3</v>
      </c>
      <c r="AA35" s="152">
        <f t="shared" si="21"/>
        <v>486023.27487784356</v>
      </c>
      <c r="AB35" s="161">
        <f>AA35/AA12</f>
        <v>3.3470888924435889E-3</v>
      </c>
      <c r="AC35" s="137">
        <f t="shared" si="19"/>
        <v>40501.939573153628</v>
      </c>
      <c r="AD35" s="164">
        <f>AC35/AC12</f>
        <v>3.3470888924435884E-3</v>
      </c>
      <c r="AE35" s="84">
        <f t="shared" si="1"/>
        <v>486023.27487784356</v>
      </c>
      <c r="AF35" s="33" t="e">
        <f>#REF!+'0401'!#REF!+'0402'!#REF!+'0403'!#REF!+#REF!+'405'!#REF!+'0406'!#REF!+D.C.!#REF!+#REF!+#REF!+'0409'!#REF!</f>
        <v>#REF!</v>
      </c>
      <c r="AG35" s="33" t="e">
        <f t="shared" si="2"/>
        <v>#REF!</v>
      </c>
      <c r="AH35" s="84">
        <f t="shared" si="6"/>
        <v>0</v>
      </c>
      <c r="AI35" s="33">
        <f>'0401'!AA35+'0402'!AA35+'0403'!AA35+'405'!AA35+'0406'!AA35+'0409'!AA35+'410-sahara'!AA35+'414-Al ghurair'!AA35+'415'!AA35+'Al Foah_418'!AA35+Rak_417!AA35+D.C.!AA35</f>
        <v>456887.36985702266</v>
      </c>
      <c r="AJ35" s="84">
        <f t="shared" si="7"/>
        <v>29135.905020820908</v>
      </c>
    </row>
    <row r="36" spans="1:36" customFormat="1">
      <c r="A36" s="9">
        <v>5999</v>
      </c>
      <c r="B36" s="9" t="s">
        <v>98</v>
      </c>
      <c r="C36" s="329">
        <f>'0401'!C36+'0402'!C36+'0403'!C36+'405'!C36+'0406'!C36+'0409'!C36+'410-sahara'!C36+'414-Al ghurair'!C36+'415'!C36+'Al Foah_418'!C36+Rak_417!C36+D.C.!C36+'Wafi _419'!C36</f>
        <v>5800174.0172097953</v>
      </c>
      <c r="D36" s="330">
        <f>C36/C12</f>
        <v>0.53108844533878652</v>
      </c>
      <c r="E36" s="329">
        <f>'0401'!E36+'0402'!E36+'0403'!E36+'405'!E36+'0406'!E36+'0409'!E36+'410-sahara'!E36+'414-Al ghurair'!E36+'415'!E36+'Al Foah_418'!E36+Rak_417!E36+D.C.!E36+'Wafi _419'!E36</f>
        <v>3897078.672671508</v>
      </c>
      <c r="F36" s="330">
        <f>E36/E12</f>
        <v>0.45865332313751506</v>
      </c>
      <c r="G36" s="329">
        <f>'0401'!G36+'0402'!G36+'0403'!G36+'405'!G36+'0406'!G36+'0409'!G36+'410-sahara'!G36+'414-Al ghurair'!G36+'415'!G36+'Al Foah_418'!G36+Rak_417!G36+D.C.!G36+'Wafi _419'!G36</f>
        <v>7405302.5758091342</v>
      </c>
      <c r="H36" s="330">
        <f>G36/G12</f>
        <v>0.52541204804877062</v>
      </c>
      <c r="I36" s="329">
        <f>'0401'!I36+'0402'!I36+'0403'!I36+'405'!I36+'0406'!I36+'0409'!I36+'410-sahara'!I36+'414-Al ghurair'!I36+'415'!I36+'Al Foah_418'!I36+Rak_417!I36+D.C.!I36+'Wafi _419'!I36</f>
        <v>5871874.0712287836</v>
      </c>
      <c r="J36" s="330">
        <f>I36/I12</f>
        <v>0.47181969662577605</v>
      </c>
      <c r="K36" s="329">
        <f>'0401'!K36+'0402'!K36+'0403'!K36+'405'!K36+'0406'!K36+'0409'!K36+'410-sahara'!K36+'414-Al ghurair'!K36+'415'!K36+'Al Foah_418'!K36+Rak_417!K36+D.C.!K36+'Wafi _419'!K36</f>
        <v>4987681.0677136295</v>
      </c>
      <c r="L36" s="330">
        <f>K36/K12</f>
        <v>0.43819349920098716</v>
      </c>
      <c r="M36" s="329">
        <f>'0401'!M36+'0402'!M36+'0403'!M36+'405'!M36+'0406'!M36+'0409'!M36+'410-sahara'!M36+'414-Al ghurair'!M36+'415'!M36+'Al Foah_418'!M36+Rak_417!M36+D.C.!M36+'Wafi _419'!M36</f>
        <v>8586363.3397079036</v>
      </c>
      <c r="N36" s="330">
        <f>M36/M12</f>
        <v>0.53199128607599022</v>
      </c>
      <c r="O36" s="329">
        <f>'0401'!O36+'0402'!O36+'0403'!O36+'405'!O36+'0406'!O36+'0409'!O36+'410-sahara'!O36+'414-Al ghurair'!O36+'415'!O36+'Al Foah_418'!O36+Rak_417!O36+D.C.!O36+'Wafi _419'!O36</f>
        <v>4855676.4357448164</v>
      </c>
      <c r="P36" s="330">
        <f>O36/O12</f>
        <v>0.47518798400588963</v>
      </c>
      <c r="Q36" s="329">
        <f>'0401'!Q36+'0402'!Q36+'0403'!Q36+'405'!Q36+'0406'!Q36+'0409'!Q36+'410-sahara'!Q36+'414-Al ghurair'!Q36+'415'!Q36+'Al Foah_418'!Q36+Rak_417!Q36+D.C.!Q36+'Wafi _419'!Q36</f>
        <v>5864753.5584921194</v>
      </c>
      <c r="R36" s="330">
        <f>Q36/Q12</f>
        <v>0.46220555262426949</v>
      </c>
      <c r="S36" s="329">
        <f>'0401'!S36+'0402'!S36+'0403'!S36+'405'!S36+'0406'!S36+'0409'!S36+'410-sahara'!S36+'414-Al ghurair'!S36+'415'!S36+'Al Foah_418'!S36+Rak_417!S36+D.C.!S36+'Wafi _419'!S36</f>
        <v>6438148.3979688231</v>
      </c>
      <c r="T36" s="330">
        <f>S36/S12</f>
        <v>0.50367842688008946</v>
      </c>
      <c r="U36" s="329">
        <f>'0401'!U36+'0402'!U36+'0403'!U36+'405'!U36+'0406'!U36+'0409'!U36+'410-sahara'!U36+'414-Al ghurair'!U36+'415'!U36+'Al Foah_418'!U36+Rak_417!U36+D.C.!U36+'Wafi _419'!U36</f>
        <v>4676857.5671092523</v>
      </c>
      <c r="V36" s="330">
        <f>U36/U12</f>
        <v>0.46127533876771826</v>
      </c>
      <c r="W36" s="329">
        <f>'0401'!W36+'0402'!W36+'0403'!W36+'405'!W36+'0406'!W36+'0409'!W36+'410-sahara'!W36+'414-Al ghurair'!W36+'415'!W36+'Al Foah_418'!W36+Rak_417!W36+D.C.!W36+'Wafi _419'!W36</f>
        <v>4678770.1817925368</v>
      </c>
      <c r="X36" s="330">
        <f>W36/W12</f>
        <v>0.4535533152309883</v>
      </c>
      <c r="Y36" s="329">
        <f>'0401'!Y36+'0402'!Y36+'0403'!Y36+'405'!Y36+'0406'!Y36+'0409'!Y36+'410-sahara'!Y36+'414-Al ghurair'!Y36+'415'!Y36+'Al Foah_418'!Y36+Rak_417!Y36+D.C.!Y36+'Wafi _419'!Y36</f>
        <v>8100813.4773104815</v>
      </c>
      <c r="Z36" s="330">
        <f>Y36/Y12</f>
        <v>0.51982544483601989</v>
      </c>
      <c r="AA36" s="152">
        <f t="shared" si="21"/>
        <v>71163493.362758771</v>
      </c>
      <c r="AB36" s="161">
        <f>AA36/AA12</f>
        <v>0.49008051773207656</v>
      </c>
      <c r="AC36" s="137">
        <f t="shared" si="19"/>
        <v>5930291.1135632312</v>
      </c>
      <c r="AD36" s="164">
        <f>AC36/AC12</f>
        <v>0.49008051773207661</v>
      </c>
      <c r="AE36" s="84">
        <f t="shared" si="1"/>
        <v>71163493.362758771</v>
      </c>
      <c r="AF36" s="33" t="e">
        <f>#REF!+'0401'!#REF!+'0402'!#REF!+'0403'!#REF!+#REF!+'405'!#REF!+'0406'!#REF!+D.C.!#REF!+#REF!+#REF!+'0409'!#REF!</f>
        <v>#REF!</v>
      </c>
      <c r="AG36" s="33" t="e">
        <f t="shared" si="2"/>
        <v>#REF!</v>
      </c>
      <c r="AH36" s="84">
        <f t="shared" si="6"/>
        <v>0</v>
      </c>
      <c r="AI36" s="33">
        <f>'0401'!AA36+'0402'!AA36+'0403'!AA36+'405'!AA36+'0406'!AA36+'0409'!AA36+'410-sahara'!AA36+'414-Al ghurair'!AA36+'415'!AA36+'Al Foah_418'!AA36+Rak_417!AA36+D.C.!AA36</f>
        <v>66411635.0829399</v>
      </c>
      <c r="AJ36" s="84">
        <f t="shared" si="7"/>
        <v>4751858.2798188701</v>
      </c>
    </row>
    <row r="37" spans="1:36" customFormat="1" ht="15.75" thickBot="1">
      <c r="A37" s="10"/>
      <c r="B37" s="10" t="s">
        <v>68</v>
      </c>
      <c r="C37" s="46">
        <f>'0401'!C37+'0402'!C37+'0403'!C37+'405'!C37+'0406'!C37+'0409'!C37+'410-sahara'!C37+'414-Al ghurair'!C37+'415'!C37+'Al Foah_418'!C37+Rak_417!C37+D.C.!C37+'Wafi _419'!C37</f>
        <v>5121121.8010598067</v>
      </c>
      <c r="D37" s="95">
        <f>C37/C12</f>
        <v>0.4689115546612132</v>
      </c>
      <c r="E37" s="46">
        <f>'0401'!E37+'0402'!E37+'0403'!E37+'405'!E37+'0406'!E37+'0409'!E37+'410-sahara'!E37+'414-Al ghurair'!E37+'415'!E37+'Al Foah_418'!E37+Rak_417!E37+D.C.!E37+'Wafi _419'!E37</f>
        <v>4599706.3195590451</v>
      </c>
      <c r="F37" s="95">
        <f>E37/E12</f>
        <v>0.54134667686248494</v>
      </c>
      <c r="G37" s="46">
        <f>'0401'!G37+'0402'!G37+'0403'!G37+'405'!G37+'0406'!G37+'0409'!G37+'410-sahara'!G37+'414-Al ghurair'!G37+'415'!G37+'Al Foah_418'!G37+Rak_417!G37+D.C.!G37+'Wafi _419'!G37</f>
        <v>6688973.7227841336</v>
      </c>
      <c r="H37" s="95">
        <f>G37/G12</f>
        <v>0.47458795195122944</v>
      </c>
      <c r="I37" s="46">
        <f>'0401'!I37+'0402'!I37+'0403'!I37+'405'!I37+'0406'!I37+'0409'!I37+'410-sahara'!I37+'414-Al ghurair'!I37+'415'!I37+'Al Foah_418'!I37+Rak_417!I37+D.C.!I37+'Wafi _419'!I37</f>
        <v>6573291.1332371552</v>
      </c>
      <c r="J37" s="95">
        <f>I37/I12</f>
        <v>0.52818030337422395</v>
      </c>
      <c r="K37" s="46">
        <f>'0401'!K37+'0402'!K37+'0403'!K37+'405'!K37+'0406'!K37+'0409'!K37+'410-sahara'!K37+'414-Al ghurair'!K37+'415'!K37+'Al Foah_418'!K37+Rak_417!K37+D.C.!K37+'Wafi _419'!K37</f>
        <v>6394690.1377202487</v>
      </c>
      <c r="L37" s="95">
        <f>K37/K12</f>
        <v>0.56180650079901273</v>
      </c>
      <c r="M37" s="46">
        <f>'0401'!M37+'0402'!M37+'0403'!M37+'405'!M37+'0406'!M37+'0409'!M37+'410-sahara'!M37+'414-Al ghurair'!M37+'415'!M37+'Al Foah_418'!M37+Rak_417!M37+D.C.!M37+'Wafi _419'!M37</f>
        <v>7553681.7408076059</v>
      </c>
      <c r="N37" s="95">
        <f>M37/M12</f>
        <v>0.46800871392400994</v>
      </c>
      <c r="O37" s="46">
        <f>'0401'!O37+'0402'!O37+'0403'!O37+'405'!O37+'0406'!O37+'0409'!O37+'410-sahara'!O37+'414-Al ghurair'!O37+'415'!O37+'Al Foah_418'!O37+Rak_417!O37+D.C.!O37+'Wafi _419'!O37</f>
        <v>5362756.2670581974</v>
      </c>
      <c r="P37" s="95">
        <f>O37/O12</f>
        <v>0.52481201599411076</v>
      </c>
      <c r="Q37" s="46">
        <f>'0401'!Q37+'0402'!Q37+'0403'!Q37+'405'!Q37+'0406'!Q37+'0409'!Q37+'410-sahara'!Q37+'414-Al ghurair'!Q37+'415'!Q37+'Al Foah_418'!Q37+Rak_417!Q37+D.C.!Q37+'Wafi _419'!Q37</f>
        <v>6823872.8009138741</v>
      </c>
      <c r="R37" s="95">
        <f>Q37/Q12</f>
        <v>0.53779444737573057</v>
      </c>
      <c r="S37" s="46">
        <f>'0401'!S37+'0402'!S37+'0403'!S37+'405'!S37+'0406'!S37+'0409'!S37+'410-sahara'!S37+'414-Al ghurair'!S37+'415'!S37+'Al Foah_418'!S37+Rak_417!S37+D.C.!S37+'Wafi _419'!S37</f>
        <v>6344111.183503286</v>
      </c>
      <c r="T37" s="95">
        <f>S37/S12</f>
        <v>0.49632157311991049</v>
      </c>
      <c r="U37" s="46">
        <f>'0401'!U37+'0402'!U37+'0403'!U37+'405'!U37+'0406'!U37+'0409'!U37+'410-sahara'!U37+'414-Al ghurair'!U37+'415'!U37+'Al Foah_418'!U37+Rak_417!U37+D.C.!U37+'Wafi _419'!U37</f>
        <v>5462114.0492865453</v>
      </c>
      <c r="V37" s="95">
        <f>U37/U12</f>
        <v>0.53872466123228158</v>
      </c>
      <c r="W37" s="46">
        <f>'0401'!W37+'0402'!W37+'0403'!W37+'405'!W37+'0406'!W37+'0409'!W37+'410-sahara'!W37+'414-Al ghurair'!W37+'415'!W37+'Al Foah_418'!W37+Rak_417!W37+D.C.!W37+'Wafi _419'!W37</f>
        <v>5637040.6053245319</v>
      </c>
      <c r="X37" s="95">
        <f>W37/W12</f>
        <v>0.54644668476901181</v>
      </c>
      <c r="Y37" s="46">
        <f>'0401'!Y37+'0402'!Y37+'0403'!Y37+'405'!Y37+'0406'!Y37+'0409'!Y37+'410-sahara'!Y37+'414-Al ghurair'!Y37+'415'!Y37+'Al Foah_418'!Y37+Rak_417!Y37+D.C.!Y37+'Wafi _419'!Y37</f>
        <v>7482905.1686013248</v>
      </c>
      <c r="Z37" s="95">
        <f>Y37/Y12</f>
        <v>0.48017455516398017</v>
      </c>
      <c r="AA37" s="59">
        <f t="shared" si="21"/>
        <v>74044264.929855749</v>
      </c>
      <c r="AB37" s="95">
        <f>AA37/AA12</f>
        <v>0.50991948226792327</v>
      </c>
      <c r="AC37" s="59">
        <f t="shared" si="19"/>
        <v>6170355.4108213121</v>
      </c>
      <c r="AD37" s="95">
        <f>AC37/AC12</f>
        <v>0.50991948226792327</v>
      </c>
      <c r="AE37" s="84">
        <f t="shared" ref="AE37:AE69" si="25">C37+E37+G37+I37+K37+M37+O37+Q37+S37+U37+W37+Y37</f>
        <v>74044264.929855749</v>
      </c>
      <c r="AF37" s="33" t="e">
        <f>#REF!+'0401'!#REF!+'0402'!#REF!+'0403'!#REF!+#REF!+'405'!#REF!+'0406'!#REF!+D.C.!#REF!+#REF!+#REF!+'0409'!#REF!</f>
        <v>#REF!</v>
      </c>
      <c r="AG37" s="33" t="e">
        <f t="shared" si="2"/>
        <v>#REF!</v>
      </c>
      <c r="AH37" s="84">
        <f t="shared" si="6"/>
        <v>0</v>
      </c>
      <c r="AI37" s="33">
        <f>'0401'!AA37+'0402'!AA37+'0403'!AA37+'405'!AA37+'0406'!AA37+'0409'!AA37+'410-sahara'!AA37+'414-Al ghurair'!AA37+'415'!AA37+'Al Foah_418'!AA37+Rak_417!AA37+D.C.!AA37</f>
        <v>68940717.72501713</v>
      </c>
      <c r="AJ37" s="84">
        <f t="shared" si="7"/>
        <v>5103547.2048386186</v>
      </c>
    </row>
    <row r="38" spans="1:36" customFormat="1" ht="15.75" thickTop="1">
      <c r="A38" s="2">
        <v>6002</v>
      </c>
      <c r="B38" s="2" t="s">
        <v>45</v>
      </c>
      <c r="C38" s="295">
        <f>'0401'!C38+'0402'!C38+'0403'!C38+'405'!C38+'0406'!C38+'0409'!C38+'410-sahara'!C38+'414-Al ghurair'!C38+'415'!C38+'Al Foah_418'!C38+Rak_417!C38+D.C.!C38+'Wafi _419'!C38</f>
        <v>0</v>
      </c>
      <c r="D38" s="68"/>
      <c r="E38" s="295">
        <f>'0401'!E38+'0402'!E38+'0403'!E38+'405'!E38+'0406'!E38+'0409'!E38+'410-sahara'!E38+'414-Al ghurair'!E38+'415'!E38+'Al Foah_418'!E38+Rak_417!E38+D.C.!E38+'Wafi _419'!E38</f>
        <v>0</v>
      </c>
      <c r="F38" s="68"/>
      <c r="G38" s="295">
        <f>'0401'!G38+'0402'!G38+'0403'!G38+'405'!G38+'0406'!G38+'0409'!G38+'410-sahara'!G38+'414-Al ghurair'!G38+'415'!G38+'Al Foah_418'!G38+Rak_417!G38+D.C.!G38+'Wafi _419'!G38</f>
        <v>0</v>
      </c>
      <c r="H38" s="68"/>
      <c r="I38" s="295">
        <f>'0401'!I38+'0402'!I38+'0403'!I38+'405'!I38+'0406'!I38+'0409'!I38+'410-sahara'!I38+'414-Al ghurair'!I38+'415'!I38+'Al Foah_418'!I38+Rak_417!I38+D.C.!I38+'Wafi _419'!I38</f>
        <v>0</v>
      </c>
      <c r="J38" s="68"/>
      <c r="K38" s="295">
        <f>'0401'!K38+'0402'!K38+'0403'!K38+'405'!K38+'0406'!K38+'0409'!K38+'410-sahara'!K38+'414-Al ghurair'!K38+'415'!K38+'Al Foah_418'!K38+Rak_417!K38+D.C.!K38+'Wafi _419'!K38</f>
        <v>0</v>
      </c>
      <c r="L38" s="68"/>
      <c r="M38" s="295">
        <f>'0401'!M38+'0402'!M38+'0403'!M38+'405'!M38+'0406'!M38+'0409'!M38+'410-sahara'!M38+'414-Al ghurair'!M38+'415'!M38+'Al Foah_418'!M38+Rak_417!M38+D.C.!M38+'Wafi _419'!M38</f>
        <v>0</v>
      </c>
      <c r="N38" s="68"/>
      <c r="O38" s="295">
        <f>'0401'!O38+'0402'!O38+'0403'!O38+'405'!O38+'0406'!O38+'0409'!O38+'410-sahara'!O38+'414-Al ghurair'!O38+'415'!O38+'Al Foah_418'!O38+Rak_417!O38+D.C.!O38+'Wafi _419'!O38</f>
        <v>0</v>
      </c>
      <c r="P38" s="68"/>
      <c r="Q38" s="295">
        <f>'0401'!Q38+'0402'!Q38+'0403'!Q38+'405'!Q38+'0406'!Q38+'0409'!Q38+'410-sahara'!Q38+'414-Al ghurair'!Q38+'415'!Q38+'Al Foah_418'!Q38+Rak_417!Q38+D.C.!Q38+'Wafi _419'!Q38</f>
        <v>0</v>
      </c>
      <c r="R38" s="68"/>
      <c r="S38" s="295">
        <f>'0401'!S38+'0402'!S38+'0403'!S38+'405'!S38+'0406'!S38+'0409'!S38+'410-sahara'!S38+'414-Al ghurair'!S38+'415'!S38+'Al Foah_418'!S38+Rak_417!S38+D.C.!S38+'Wafi _419'!S38</f>
        <v>0</v>
      </c>
      <c r="T38" s="68"/>
      <c r="U38" s="295">
        <f>'0401'!U38+'0402'!U38+'0403'!U38+'405'!U38+'0406'!U38+'0409'!U38+'410-sahara'!U38+'414-Al ghurair'!U38+'415'!U38+'Al Foah_418'!U38+Rak_417!U38+D.C.!U38+'Wafi _419'!U38</f>
        <v>0</v>
      </c>
      <c r="V38" s="68"/>
      <c r="W38" s="295">
        <f>'0401'!W38+'0402'!W38+'0403'!W38+'405'!W38+'0406'!W38+'0409'!W38+'410-sahara'!W38+'414-Al ghurair'!W38+'415'!W38+'Al Foah_418'!W38+Rak_417!W38+D.C.!W38+'Wafi _419'!W38</f>
        <v>0</v>
      </c>
      <c r="X38" s="68"/>
      <c r="Y38" s="295">
        <f>'0401'!Y38+'0402'!Y38+'0403'!Y38+'405'!Y38+'0406'!Y38+'0409'!Y38+'410-sahara'!Y38+'414-Al ghurair'!Y38+'415'!Y38+'Al Foah_418'!Y38+Rak_417!Y38+D.C.!Y38+'Wafi _419'!Y38</f>
        <v>0</v>
      </c>
      <c r="Z38" s="68"/>
      <c r="AA38" s="382">
        <f t="shared" si="21"/>
        <v>0</v>
      </c>
      <c r="AB38" s="147"/>
      <c r="AC38" s="128">
        <f t="shared" si="19"/>
        <v>0</v>
      </c>
      <c r="AD38" s="131"/>
      <c r="AE38" s="84">
        <f t="shared" si="25"/>
        <v>0</v>
      </c>
      <c r="AF38" s="33" t="e">
        <f>#REF!+'0401'!#REF!+'0402'!#REF!+'0403'!#REF!+#REF!+'405'!#REF!+'0406'!#REF!+D.C.!#REF!+#REF!+#REF!+'0409'!#REF!</f>
        <v>#REF!</v>
      </c>
      <c r="AG38" s="33" t="e">
        <f t="shared" ref="AG38:AG69" si="26">AA38-AF38</f>
        <v>#REF!</v>
      </c>
      <c r="AH38" s="84">
        <f t="shared" si="6"/>
        <v>0</v>
      </c>
      <c r="AI38" s="33">
        <f>'0401'!AA38+'0402'!AA38+'0403'!AA38+'405'!AA38+'0406'!AA38+'0409'!AA38+'410-sahara'!AA38+'414-Al ghurair'!AA38+'415'!AA38+'Al Foah_418'!AA38+Rak_417!AA38+D.C.!AA38</f>
        <v>0</v>
      </c>
      <c r="AJ38" s="84">
        <f t="shared" si="7"/>
        <v>0</v>
      </c>
    </row>
    <row r="39" spans="1:36" customFormat="1">
      <c r="A39" s="2">
        <v>6003</v>
      </c>
      <c r="B39" s="2" t="s">
        <v>0</v>
      </c>
      <c r="C39" s="295">
        <f>'0401'!C39+'0402'!C39+'0403'!C39+'405'!C39+'0406'!C39+'0409'!C39+'410-sahara'!C39+'414-Al ghurair'!C39+'415'!C39+'Al Foah_418'!C39+Rak_417!C39+D.C.!C39+'Wafi _419'!C39</f>
        <v>0</v>
      </c>
      <c r="D39" s="68">
        <f>C39/C12</f>
        <v>0</v>
      </c>
      <c r="E39" s="295">
        <f>'0401'!E39+'0402'!E39+'0403'!E39+'405'!E39+'0406'!E39+'0409'!E39+'410-sahara'!E39+'414-Al ghurair'!E39+'415'!E39+'Al Foah_418'!E39+Rak_417!E39+D.C.!E39+'Wafi _419'!E39</f>
        <v>0</v>
      </c>
      <c r="F39" s="68">
        <f>E39/E12</f>
        <v>0</v>
      </c>
      <c r="G39" s="295">
        <f>'0401'!G39+'0402'!G39+'0403'!G39+'405'!G39+'0406'!G39+'0409'!G39+'410-sahara'!G39+'414-Al ghurair'!G39+'415'!G39+'Al Foah_418'!G39+Rak_417!G39+D.C.!G39+'Wafi _419'!G39</f>
        <v>0</v>
      </c>
      <c r="H39" s="68">
        <f>G39/G12</f>
        <v>0</v>
      </c>
      <c r="I39" s="295">
        <f>'0401'!I39+'0402'!I39+'0403'!I39+'405'!I39+'0406'!I39+'0409'!I39+'410-sahara'!I39+'414-Al ghurair'!I39+'415'!I39+'Al Foah_418'!I39+Rak_417!I39+D.C.!I39+'Wafi _419'!I39</f>
        <v>0</v>
      </c>
      <c r="J39" s="68">
        <f>I39/I12</f>
        <v>0</v>
      </c>
      <c r="K39" s="295">
        <f>'0401'!K39+'0402'!K39+'0403'!K39+'405'!K39+'0406'!K39+'0409'!K39+'410-sahara'!K39+'414-Al ghurair'!K39+'415'!K39+'Al Foah_418'!K39+Rak_417!K39+D.C.!K39+'Wafi _419'!K39</f>
        <v>0</v>
      </c>
      <c r="L39" s="68">
        <f>K39/K12</f>
        <v>0</v>
      </c>
      <c r="M39" s="295">
        <f>'0401'!M39+'0402'!M39+'0403'!M39+'405'!M39+'0406'!M39+'0409'!M39+'410-sahara'!M39+'414-Al ghurair'!M39+'415'!M39+'Al Foah_418'!M39+Rak_417!M39+D.C.!M39+'Wafi _419'!M39</f>
        <v>0</v>
      </c>
      <c r="N39" s="68">
        <f>M39/M12</f>
        <v>0</v>
      </c>
      <c r="O39" s="295">
        <f>'0401'!O39+'0402'!O39+'0403'!O39+'405'!O39+'0406'!O39+'0409'!O39+'410-sahara'!O39+'414-Al ghurair'!O39+'415'!O39+'Al Foah_418'!O39+Rak_417!O39+D.C.!O39+'Wafi _419'!O39</f>
        <v>0</v>
      </c>
      <c r="P39" s="68">
        <f>O39/O12</f>
        <v>0</v>
      </c>
      <c r="Q39" s="295">
        <f>'0401'!Q39+'0402'!Q39+'0403'!Q39+'405'!Q39+'0406'!Q39+'0409'!Q39+'410-sahara'!Q39+'414-Al ghurair'!Q39+'415'!Q39+'Al Foah_418'!Q39+Rak_417!Q39+D.C.!Q39+'Wafi _419'!Q39</f>
        <v>0</v>
      </c>
      <c r="R39" s="68">
        <f>Q39/Q12</f>
        <v>0</v>
      </c>
      <c r="S39" s="295">
        <f>'0401'!S39+'0402'!S39+'0403'!S39+'405'!S39+'0406'!S39+'0409'!S39+'410-sahara'!S39+'414-Al ghurair'!S39+'415'!S39+'Al Foah_418'!S39+Rak_417!S39+D.C.!S39+'Wafi _419'!S39</f>
        <v>0</v>
      </c>
      <c r="T39" s="68">
        <f>S39/S12</f>
        <v>0</v>
      </c>
      <c r="U39" s="295">
        <f>'0401'!U39+'0402'!U39+'0403'!U39+'405'!U39+'0406'!U39+'0409'!U39+'410-sahara'!U39+'414-Al ghurair'!U39+'415'!U39+'Al Foah_418'!U39+Rak_417!U39+D.C.!U39+'Wafi _419'!U39</f>
        <v>0</v>
      </c>
      <c r="V39" s="68">
        <f>U39/U12</f>
        <v>0</v>
      </c>
      <c r="W39" s="295">
        <f>'0401'!W39+'0402'!W39+'0403'!W39+'405'!W39+'0406'!W39+'0409'!W39+'410-sahara'!W39+'414-Al ghurair'!W39+'415'!W39+'Al Foah_418'!W39+Rak_417!W39+D.C.!W39+'Wafi _419'!W39</f>
        <v>0</v>
      </c>
      <c r="X39" s="68">
        <f>W39/W12</f>
        <v>0</v>
      </c>
      <c r="Y39" s="295">
        <f>'0401'!Y39+'0402'!Y39+'0403'!Y39+'405'!Y39+'0406'!Y39+'0409'!Y39+'410-sahara'!Y39+'414-Al ghurair'!Y39+'415'!Y39+'Al Foah_418'!Y39+Rak_417!Y39+D.C.!Y39+'Wafi _419'!Y39</f>
        <v>0</v>
      </c>
      <c r="Z39" s="68">
        <f>Y39/Y12</f>
        <v>0</v>
      </c>
      <c r="AA39" s="382">
        <f t="shared" si="21"/>
        <v>0</v>
      </c>
      <c r="AB39" s="147">
        <f>AA39/AA12</f>
        <v>0</v>
      </c>
      <c r="AC39" s="128">
        <f t="shared" si="19"/>
        <v>0</v>
      </c>
      <c r="AD39" s="131">
        <f>AC39/AC12</f>
        <v>0</v>
      </c>
      <c r="AE39" s="84">
        <f t="shared" si="25"/>
        <v>0</v>
      </c>
      <c r="AF39" s="33" t="e">
        <f>#REF!+'0401'!#REF!+'0402'!#REF!+'0403'!#REF!+#REF!+'405'!#REF!+'0406'!#REF!+D.C.!#REF!+#REF!+#REF!+'0409'!#REF!</f>
        <v>#REF!</v>
      </c>
      <c r="AG39" s="33" t="e">
        <f t="shared" si="26"/>
        <v>#REF!</v>
      </c>
      <c r="AH39" s="84">
        <f t="shared" si="6"/>
        <v>0</v>
      </c>
      <c r="AI39" s="33">
        <f>'0401'!AA39+'0402'!AA39+'0403'!AA39+'405'!AA39+'0406'!AA39+'0409'!AA39+'410-sahara'!AA39+'414-Al ghurair'!AA39+'415'!AA39+'Al Foah_418'!AA39+Rak_417!AA39+D.C.!AA39</f>
        <v>0</v>
      </c>
      <c r="AJ39" s="84">
        <f t="shared" si="7"/>
        <v>0</v>
      </c>
    </row>
    <row r="40" spans="1:36" customFormat="1">
      <c r="A40" s="2">
        <v>6004</v>
      </c>
      <c r="B40" s="2" t="s">
        <v>1</v>
      </c>
      <c r="C40" s="295">
        <f>'0401'!C40+'0402'!C40+'0403'!C40+'405'!C40+'0406'!C40+'0409'!C40+'410-sahara'!C40+'414-Al ghurair'!C40+'415'!C40+'Al Foah_418'!C40+Rak_417!C40+D.C.!C40+'Wafi _419'!C40</f>
        <v>0</v>
      </c>
      <c r="D40" s="68"/>
      <c r="E40" s="295">
        <f>'0401'!E40+'0402'!E40+'0403'!E40+'405'!E40+'0406'!E40+'0409'!E40+'410-sahara'!E40+'414-Al ghurair'!E40+'415'!E40+'Al Foah_418'!E40+Rak_417!E40+D.C.!E40+'Wafi _419'!E40</f>
        <v>0</v>
      </c>
      <c r="F40" s="68"/>
      <c r="G40" s="295">
        <f>'0401'!G40+'0402'!G40+'0403'!G40+'405'!G40+'0406'!G40+'0409'!G40+'410-sahara'!G40+'414-Al ghurair'!G40+'415'!G40+'Al Foah_418'!G40+Rak_417!G40+D.C.!G40+'Wafi _419'!G40</f>
        <v>0</v>
      </c>
      <c r="H40" s="68"/>
      <c r="I40" s="295">
        <f>'0401'!I40+'0402'!I40+'0403'!I40+'405'!I40+'0406'!I40+'0409'!I40+'410-sahara'!I40+'414-Al ghurair'!I40+'415'!I40+'Al Foah_418'!I40+Rak_417!I40+D.C.!I40+'Wafi _419'!I40</f>
        <v>0</v>
      </c>
      <c r="J40" s="68"/>
      <c r="K40" s="295">
        <f>'0401'!K40+'0402'!K40+'0403'!K40+'405'!K40+'0406'!K40+'0409'!K40+'410-sahara'!K40+'414-Al ghurair'!K40+'415'!K40+'Al Foah_418'!K40+Rak_417!K40+D.C.!K40+'Wafi _419'!K40</f>
        <v>0</v>
      </c>
      <c r="L40" s="68"/>
      <c r="M40" s="295">
        <f>'0401'!M40+'0402'!M40+'0403'!M40+'405'!M40+'0406'!M40+'0409'!M40+'410-sahara'!M40+'414-Al ghurair'!M40+'415'!M40+'Al Foah_418'!M40+Rak_417!M40+D.C.!M40+'Wafi _419'!M40</f>
        <v>0</v>
      </c>
      <c r="N40" s="68"/>
      <c r="O40" s="295">
        <f>'0401'!O40+'0402'!O40+'0403'!O40+'405'!O40+'0406'!O40+'0409'!O40+'410-sahara'!O40+'414-Al ghurair'!O40+'415'!O40+'Al Foah_418'!O40+Rak_417!O40+D.C.!O40+'Wafi _419'!O40</f>
        <v>0</v>
      </c>
      <c r="P40" s="68"/>
      <c r="Q40" s="295">
        <f>'0401'!Q40+'0402'!Q40+'0403'!Q40+'405'!Q40+'0406'!Q40+'0409'!Q40+'410-sahara'!Q40+'414-Al ghurair'!Q40+'415'!Q40+'Al Foah_418'!Q40+Rak_417!Q40+D.C.!Q40+'Wafi _419'!Q40</f>
        <v>0</v>
      </c>
      <c r="R40" s="68"/>
      <c r="S40" s="295">
        <f>'0401'!S40+'0402'!S40+'0403'!S40+'405'!S40+'0406'!S40+'0409'!S40+'410-sahara'!S40+'414-Al ghurair'!S40+'415'!S40+'Al Foah_418'!S40+Rak_417!S40+D.C.!S40+'Wafi _419'!S40</f>
        <v>0</v>
      </c>
      <c r="T40" s="68"/>
      <c r="U40" s="295">
        <f>'0401'!U40+'0402'!U40+'0403'!U40+'405'!U40+'0406'!U40+'0409'!U40+'410-sahara'!U40+'414-Al ghurair'!U40+'415'!U40+'Al Foah_418'!U40+Rak_417!U40+D.C.!U40+'Wafi _419'!U40</f>
        <v>0</v>
      </c>
      <c r="V40" s="68"/>
      <c r="W40" s="295">
        <f>'0401'!W40+'0402'!W40+'0403'!W40+'405'!W40+'0406'!W40+'0409'!W40+'410-sahara'!W40+'414-Al ghurair'!W40+'415'!W40+'Al Foah_418'!W40+Rak_417!W40+D.C.!W40+'Wafi _419'!W40</f>
        <v>0</v>
      </c>
      <c r="X40" s="68"/>
      <c r="Y40" s="295">
        <f>'0401'!Y40+'0402'!Y40+'0403'!Y40+'405'!Y40+'0406'!Y40+'0409'!Y40+'410-sahara'!Y40+'414-Al ghurair'!Y40+'415'!Y40+'Al Foah_418'!Y40+Rak_417!Y40+D.C.!Y40+'Wafi _419'!Y40</f>
        <v>0</v>
      </c>
      <c r="Z40" s="68"/>
      <c r="AA40" s="382">
        <f t="shared" si="21"/>
        <v>0</v>
      </c>
      <c r="AB40" s="147"/>
      <c r="AC40" s="128">
        <f t="shared" si="19"/>
        <v>0</v>
      </c>
      <c r="AD40" s="131"/>
      <c r="AE40" s="84">
        <f t="shared" si="25"/>
        <v>0</v>
      </c>
      <c r="AF40" s="33" t="e">
        <f>#REF!+'0401'!#REF!+'0402'!#REF!+'0403'!#REF!+#REF!+'405'!#REF!+'0406'!#REF!+D.C.!#REF!+#REF!+#REF!+'0409'!#REF!</f>
        <v>#REF!</v>
      </c>
      <c r="AG40" s="33" t="e">
        <f t="shared" si="26"/>
        <v>#REF!</v>
      </c>
      <c r="AH40" s="84">
        <f t="shared" si="6"/>
        <v>0</v>
      </c>
      <c r="AI40" s="33">
        <f>'0401'!AA40+'0402'!AA40+'0403'!AA40+'405'!AA40+'0406'!AA40+'0409'!AA40+'410-sahara'!AA40+'414-Al ghurair'!AA40+'415'!AA40+'Al Foah_418'!AA40+Rak_417!AA40+D.C.!AA40</f>
        <v>0</v>
      </c>
      <c r="AJ40" s="84">
        <f t="shared" si="7"/>
        <v>0</v>
      </c>
    </row>
    <row r="41" spans="1:36" customFormat="1" ht="15.75" thickBot="1">
      <c r="A41" s="333">
        <v>6099</v>
      </c>
      <c r="B41" s="333" t="s">
        <v>99</v>
      </c>
      <c r="C41" s="334">
        <f>'0401'!C41+'0402'!C41+'0403'!C41+'405'!C41+'0406'!C41+'0409'!C41+'410-sahara'!C41+'414-Al ghurair'!C41+'415'!C41+'Al Foah_418'!C41+Rak_417!C41+D.C.!C41+'Wafi _419'!C41</f>
        <v>0</v>
      </c>
      <c r="D41" s="335">
        <f>C41/C12</f>
        <v>0</v>
      </c>
      <c r="E41" s="334">
        <f>'0401'!E41+'0402'!E41+'0403'!E41+'405'!E41+'0406'!E41+'0409'!E41+'410-sahara'!E41+'414-Al ghurair'!E41+'415'!E41+'Al Foah_418'!E41+Rak_417!E41+D.C.!E41+'Wafi _419'!E41</f>
        <v>0</v>
      </c>
      <c r="F41" s="335">
        <f>E41/E12</f>
        <v>0</v>
      </c>
      <c r="G41" s="334">
        <f>'0401'!G41+'0402'!G41+'0403'!G41+'405'!G41+'0406'!G41+'0409'!G41+'410-sahara'!G41+'414-Al ghurair'!G41+'415'!G41+'Al Foah_418'!G41+Rak_417!G41+D.C.!G41+'Wafi _419'!G41</f>
        <v>0</v>
      </c>
      <c r="H41" s="335">
        <f>G41/G12</f>
        <v>0</v>
      </c>
      <c r="I41" s="334">
        <f>'0401'!I41+'0402'!I41+'0403'!I41+'405'!I41+'0406'!I41+'0409'!I41+'410-sahara'!I41+'414-Al ghurair'!I41+'415'!I41+'Al Foah_418'!I41+Rak_417!I41+D.C.!I41+'Wafi _419'!I41</f>
        <v>0</v>
      </c>
      <c r="J41" s="335">
        <f>I41/I12</f>
        <v>0</v>
      </c>
      <c r="K41" s="334">
        <f>'0401'!K41+'0402'!K41+'0403'!K41+'405'!K41+'0406'!K41+'0409'!K41+'410-sahara'!K41+'414-Al ghurair'!K41+'415'!K41+'Al Foah_418'!K41+Rak_417!K41+D.C.!K41+'Wafi _419'!K41</f>
        <v>0</v>
      </c>
      <c r="L41" s="335">
        <f>K41/K12</f>
        <v>0</v>
      </c>
      <c r="M41" s="334">
        <f>'0401'!M41+'0402'!M41+'0403'!M41+'405'!M41+'0406'!M41+'0409'!M41+'410-sahara'!M41+'414-Al ghurair'!M41+'415'!M41+'Al Foah_418'!M41+Rak_417!M41+D.C.!M41+'Wafi _419'!M41</f>
        <v>0</v>
      </c>
      <c r="N41" s="335">
        <f>M41/M12</f>
        <v>0</v>
      </c>
      <c r="O41" s="334">
        <f>'0401'!O41+'0402'!O41+'0403'!O41+'405'!O41+'0406'!O41+'0409'!O41+'410-sahara'!O41+'414-Al ghurair'!O41+'415'!O41+'Al Foah_418'!O41+Rak_417!O41+D.C.!O41+'Wafi _419'!O41</f>
        <v>0</v>
      </c>
      <c r="P41" s="335">
        <f>O41/O12</f>
        <v>0</v>
      </c>
      <c r="Q41" s="334">
        <f>'0401'!Q41+'0402'!Q41+'0403'!Q41+'405'!Q41+'0406'!Q41+'0409'!Q41+'410-sahara'!Q41+'414-Al ghurair'!Q41+'415'!Q41+'Al Foah_418'!Q41+Rak_417!Q41+D.C.!Q41+'Wafi _419'!Q41</f>
        <v>0</v>
      </c>
      <c r="R41" s="335">
        <f>Q41/Q12</f>
        <v>0</v>
      </c>
      <c r="S41" s="334">
        <f>'0401'!S41+'0402'!S41+'0403'!S41+'405'!S41+'0406'!S41+'0409'!S41+'410-sahara'!S41+'414-Al ghurair'!S41+'415'!S41+'Al Foah_418'!S41+Rak_417!S41+D.C.!S41+'Wafi _419'!S41</f>
        <v>0</v>
      </c>
      <c r="T41" s="335">
        <f>S41/S12</f>
        <v>0</v>
      </c>
      <c r="U41" s="334">
        <f>'0401'!U41+'0402'!U41+'0403'!U41+'405'!U41+'0406'!U41+'0409'!U41+'410-sahara'!U41+'414-Al ghurair'!U41+'415'!U41+'Al Foah_418'!U41+Rak_417!U41+D.C.!U41+'Wafi _419'!U41</f>
        <v>0</v>
      </c>
      <c r="V41" s="335">
        <f>U41/U12</f>
        <v>0</v>
      </c>
      <c r="W41" s="334">
        <f>'0401'!W41+'0402'!W41+'0403'!W41+'405'!W41+'0406'!W41+'0409'!W41+'410-sahara'!W41+'414-Al ghurair'!W41+'415'!W41+'Al Foah_418'!W41+Rak_417!W41+D.C.!W41+'Wafi _419'!W41</f>
        <v>0</v>
      </c>
      <c r="X41" s="335">
        <f>W41/W12</f>
        <v>0</v>
      </c>
      <c r="Y41" s="334">
        <f>'0401'!Y41+'0402'!Y41+'0403'!Y41+'405'!Y41+'0406'!Y41+'0409'!Y41+'410-sahara'!Y41+'414-Al ghurair'!Y41+'415'!Y41+'Al Foah_418'!Y41+Rak_417!Y41+D.C.!Y41+'Wafi _419'!Y41</f>
        <v>0</v>
      </c>
      <c r="Z41" s="335">
        <f>Y41/Y12</f>
        <v>0</v>
      </c>
      <c r="AA41" s="336">
        <f t="shared" si="21"/>
        <v>0</v>
      </c>
      <c r="AB41" s="359">
        <f>AA41/AA12</f>
        <v>0</v>
      </c>
      <c r="AC41" s="336">
        <f t="shared" si="19"/>
        <v>0</v>
      </c>
      <c r="AD41" s="335">
        <f>AC41/AC12</f>
        <v>0</v>
      </c>
      <c r="AE41" s="84">
        <f t="shared" si="25"/>
        <v>0</v>
      </c>
      <c r="AF41" s="33" t="e">
        <f>#REF!+'0401'!#REF!+'0402'!#REF!+'0403'!#REF!+#REF!+'405'!#REF!+'0406'!#REF!+D.C.!#REF!+#REF!+#REF!+'0409'!#REF!</f>
        <v>#REF!</v>
      </c>
      <c r="AG41" s="33" t="e">
        <f t="shared" si="26"/>
        <v>#REF!</v>
      </c>
      <c r="AH41" s="84">
        <f t="shared" si="6"/>
        <v>0</v>
      </c>
      <c r="AI41" s="33">
        <f>'0401'!AA41+'0402'!AA41+'0403'!AA41+'405'!AA41+'0406'!AA41+'0409'!AA41+'410-sahara'!AA41+'414-Al ghurair'!AA41+'415'!AA41+'Al Foah_418'!AA41+Rak_417!AA41+D.C.!AA41</f>
        <v>0</v>
      </c>
      <c r="AJ41" s="84">
        <f t="shared" si="7"/>
        <v>0</v>
      </c>
    </row>
    <row r="42" spans="1:36" customFormat="1" ht="15.75" thickTop="1">
      <c r="A42" s="188">
        <v>6101</v>
      </c>
      <c r="B42" s="188" t="s">
        <v>2</v>
      </c>
      <c r="C42" s="295">
        <f>'0401'!C42+'0402'!C42+'0403'!C42+'405'!C42+'0406'!C42+'0409'!C42+'410-sahara'!C42+'414-Al ghurair'!C42+'415'!C42+'Al Foah_418'!C42+Rak_417!C42+D.C.!C42+'Wafi _419'!C42</f>
        <v>1335217.8473483673</v>
      </c>
      <c r="D42" s="68">
        <f>C42/C12</f>
        <v>0.12225818891516138</v>
      </c>
      <c r="E42" s="295">
        <f>'0401'!E42+'0402'!E42+'0403'!E42+'405'!E42+'0406'!E42+'0409'!E42+'410-sahara'!E42+'414-Al ghurair'!E42+'415'!E42+'Al Foah_418'!E42+Rak_417!E42+D.C.!E42+'Wafi _419'!E42</f>
        <v>1269767.4430154241</v>
      </c>
      <c r="F42" s="68">
        <f>E42/E12</f>
        <v>0.14944092903098025</v>
      </c>
      <c r="G42" s="295">
        <f>'0401'!G42+'0402'!G42+'0403'!G42+'405'!G42+'0406'!G42+'0409'!G42+'410-sahara'!G42+'414-Al ghurair'!G42+'415'!G42+'Al Foah_418'!G42+Rak_417!G42+D.C.!G42+'Wafi _419'!G42</f>
        <v>1374545.2774206731</v>
      </c>
      <c r="H42" s="68">
        <f>G42/G12</f>
        <v>9.7525069631128544E-2</v>
      </c>
      <c r="I42" s="295">
        <f>'0401'!I42+'0402'!I42+'0403'!I42+'405'!I42+'0406'!I42+'0409'!I42+'410-sahara'!I42+'414-Al ghurair'!I42+'415'!I42+'Al Foah_418'!I42+Rak_417!I42+D.C.!I42+'Wafi _419'!I42</f>
        <v>1343676.0290692877</v>
      </c>
      <c r="J42" s="68">
        <f>I42/I12</f>
        <v>0.10796771332429646</v>
      </c>
      <c r="K42" s="295">
        <f>'0401'!K42+'0402'!K42+'0403'!K42+'405'!K42+'0406'!K42+'0409'!K42+'410-sahara'!K42+'414-Al ghurair'!K42+'415'!K42+'Al Foah_418'!K42+Rak_417!K42+D.C.!K42+'Wafi _419'!K42</f>
        <v>1323781.9078017946</v>
      </c>
      <c r="L42" s="68">
        <f>K42/K12</f>
        <v>0.11630106626375256</v>
      </c>
      <c r="M42" s="295">
        <f>'0401'!M42+'0402'!M42+'0403'!M42+'405'!M42+'0406'!M42+'0409'!M42+'410-sahara'!M42+'414-Al ghurair'!M42+'415'!M42+'Al Foah_418'!M42+Rak_417!M42+D.C.!M42+'Wafi _419'!M42</f>
        <v>1412839.4297606188</v>
      </c>
      <c r="N42" s="68">
        <f>M42/M12</f>
        <v>8.7536275314758494E-2</v>
      </c>
      <c r="O42" s="295">
        <f>'0401'!O42+'0402'!O42+'0403'!O42+'405'!O42+'0406'!O42+'0409'!O42+'410-sahara'!O42+'414-Al ghurair'!O42+'415'!O42+'Al Foah_418'!O42+Rak_417!O42+D.C.!O42+'Wafi _419'!O42</f>
        <v>1402496.9233818187</v>
      </c>
      <c r="P42" s="68">
        <f>O42/O12</f>
        <v>0.13725166707778003</v>
      </c>
      <c r="Q42" s="295">
        <f>'0401'!Q42+'0402'!Q42+'0403'!Q42+'405'!Q42+'0406'!Q42+'0409'!Q42+'410-sahara'!Q42+'414-Al ghurair'!Q42+'415'!Q42+'Al Foah_418'!Q42+Rak_417!Q42+D.C.!Q42+'Wafi _419'!Q42</f>
        <v>1461583.3791600319</v>
      </c>
      <c r="R42" s="68">
        <f>Q42/Q12</f>
        <v>0.11518846388573575</v>
      </c>
      <c r="S42" s="295">
        <f>'0401'!S42+'0402'!S42+'0403'!S42+'405'!S42+'0406'!S42+'0409'!S42+'410-sahara'!S42+'414-Al ghurair'!S42+'415'!S42+'Al Foah_418'!S42+Rak_417!S42+D.C.!S42+'Wafi _419'!S42</f>
        <v>1462887.6368892181</v>
      </c>
      <c r="T42" s="68">
        <f>S42/S12</f>
        <v>0.11444671637005982</v>
      </c>
      <c r="U42" s="295">
        <f>'0401'!U42+'0402'!U42+'0403'!U42+'405'!U42+'0406'!U42+'0409'!U42+'410-sahara'!U42+'414-Al ghurair'!U42+'415'!U42+'Al Foah_418'!U42+Rak_417!U42+D.C.!U42+'Wafi _419'!U42</f>
        <v>1426056.0049732006</v>
      </c>
      <c r="V42" s="68">
        <f>U42/U12</f>
        <v>0.14065095148970688</v>
      </c>
      <c r="W42" s="295">
        <f>'0401'!W42+'0402'!W42+'0403'!W42+'405'!W42+'0406'!W42+'0409'!W42+'410-sahara'!W42+'414-Al ghurair'!W42+'415'!W42+'Al Foah_418'!W42+Rak_417!W42+D.C.!W42+'Wafi _419'!W42</f>
        <v>1428519.2898617387</v>
      </c>
      <c r="X42" s="68">
        <f>W42/W12</f>
        <v>0.13847862464148231</v>
      </c>
      <c r="Y42" s="295">
        <f>'0401'!Y42+'0402'!Y42+'0403'!Y42+'405'!Y42+'0406'!Y42+'0409'!Y42+'410-sahara'!Y42+'414-Al ghurair'!Y42+'415'!Y42+'Al Foah_418'!Y42+Rak_417!Y42+D.C.!Y42+'Wafi _419'!Y42</f>
        <v>1501898.7214087967</v>
      </c>
      <c r="Z42" s="68">
        <f>Y42/Y12</f>
        <v>9.6376144586183293E-2</v>
      </c>
      <c r="AA42" s="382">
        <f t="shared" si="21"/>
        <v>16743269.89009097</v>
      </c>
      <c r="AB42" s="147">
        <f>AA42/AA12</f>
        <v>0.11530561511975737</v>
      </c>
      <c r="AC42" s="128">
        <f t="shared" si="19"/>
        <v>1395272.4908409142</v>
      </c>
      <c r="AD42" s="131">
        <f>AC42/AC12</f>
        <v>0.11530561511975738</v>
      </c>
      <c r="AE42" s="84">
        <f t="shared" si="25"/>
        <v>16743269.89009097</v>
      </c>
      <c r="AF42" s="33" t="e">
        <f>#REF!+'0401'!#REF!+'0402'!#REF!+'0403'!#REF!+#REF!+'405'!#REF!+'0406'!#REF!+D.C.!#REF!+#REF!+#REF!+'0409'!#REF!</f>
        <v>#REF!</v>
      </c>
      <c r="AG42" s="33" t="e">
        <f t="shared" si="26"/>
        <v>#REF!</v>
      </c>
      <c r="AH42" s="84">
        <f t="shared" si="6"/>
        <v>0</v>
      </c>
      <c r="AI42" s="33">
        <f>'0401'!AA42+'0402'!AA42+'0403'!AA42+'405'!AA42+'0406'!AA42+'0409'!AA42+'410-sahara'!AA42+'414-Al ghurair'!AA42+'415'!AA42+'Al Foah_418'!AA42+Rak_417!AA42+D.C.!AA42</f>
        <v>16250499.615858093</v>
      </c>
      <c r="AJ42" s="84">
        <f t="shared" si="7"/>
        <v>492770.27423287742</v>
      </c>
    </row>
    <row r="43" spans="1:36" customFormat="1">
      <c r="A43" s="188">
        <v>6102</v>
      </c>
      <c r="B43" s="188" t="s">
        <v>3</v>
      </c>
      <c r="C43" s="295">
        <f>'0401'!C43+'0402'!C43+'0403'!C43+'405'!C43+'0406'!C43+'0409'!C43+'410-sahara'!C43+'414-Al ghurair'!C43+'415'!C43+'Al Foah_418'!C43+Rak_417!C43+D.C.!C43+'Wafi _419'!C43</f>
        <v>141418.33000000002</v>
      </c>
      <c r="D43" s="68">
        <f>C43/C12</f>
        <v>1.2948859947867127E-2</v>
      </c>
      <c r="E43" s="295">
        <f>'0401'!E43+'0402'!E43+'0403'!E43+'405'!E43+'0406'!E43+'0409'!E43+'410-sahara'!E43+'414-Al ghurair'!E43+'415'!E43+'Al Foah_418'!E43+Rak_417!E43+D.C.!E43+'Wafi _419'!E43</f>
        <v>144800.88</v>
      </c>
      <c r="F43" s="68">
        <f>E43/E12</f>
        <v>1.7041843489320453E-2</v>
      </c>
      <c r="G43" s="295">
        <f>'0401'!G43+'0402'!G43+'0403'!G43+'405'!G43+'0406'!G43+'0409'!G43+'410-sahara'!G43+'414-Al ghurair'!G43+'415'!G43+'Al Foah_418'!G43+Rak_417!G43+D.C.!G43+'Wafi _419'!G43</f>
        <v>143085.49</v>
      </c>
      <c r="H43" s="68">
        <f>G43/G12</f>
        <v>1.0152028168646103E-2</v>
      </c>
      <c r="I43" s="295">
        <f>'0401'!I43+'0402'!I43+'0403'!I43+'405'!I43+'0406'!I43+'0409'!I43+'410-sahara'!I43+'414-Al ghurair'!I43+'415'!I43+'Al Foah_418'!I43+Rak_417!I43+D.C.!I43+'Wafi _419'!I43</f>
        <v>144893.97999999998</v>
      </c>
      <c r="J43" s="68">
        <f>I43/I12</f>
        <v>1.1642591931845539E-2</v>
      </c>
      <c r="K43" s="295">
        <f>'0401'!K43+'0402'!K43+'0403'!K43+'405'!K43+'0406'!K43+'0409'!K43+'410-sahara'!K43+'414-Al ghurair'!K43+'415'!K43+'Al Foah_418'!K43+Rak_417!K43+D.C.!K43+'Wafi _419'!K43</f>
        <v>144228.18</v>
      </c>
      <c r="L43" s="68">
        <f>K43/K12</f>
        <v>1.2671189280063742E-2</v>
      </c>
      <c r="M43" s="295">
        <f>'0401'!M43+'0402'!M43+'0403'!M43+'405'!M43+'0406'!M43+'0409'!M43+'410-sahara'!M43+'414-Al ghurair'!M43+'415'!M43+'Al Foah_418'!M43+Rak_417!M43+D.C.!M43+'Wafi _419'!M43</f>
        <v>145439.62</v>
      </c>
      <c r="N43" s="68">
        <f>M43/M12</f>
        <v>9.011103703519192E-3</v>
      </c>
      <c r="O43" s="295">
        <f>'0401'!O43+'0402'!O43+'0403'!O43+'405'!O43+'0406'!O43+'0409'!O43+'410-sahara'!O43+'414-Al ghurair'!O43+'415'!O43+'Al Foah_418'!O43+Rak_417!O43+D.C.!O43+'Wafi _419'!O43</f>
        <v>147698.47999999998</v>
      </c>
      <c r="P43" s="68">
        <f>O43/O12</f>
        <v>1.4454122691387392E-2</v>
      </c>
      <c r="Q43" s="295">
        <f>'0401'!Q43+'0402'!Q43+'0403'!Q43+'405'!Q43+'0406'!Q43+'0409'!Q43+'410-sahara'!Q43+'414-Al ghurair'!Q43+'415'!Q43+'Al Foah_418'!Q43+Rak_417!Q43+D.C.!Q43+'Wafi _419'!Q43</f>
        <v>145096.53999999998</v>
      </c>
      <c r="R43" s="68">
        <f>Q43/Q12</f>
        <v>1.1435165311841727E-2</v>
      </c>
      <c r="S43" s="295">
        <f>'0401'!S43+'0402'!S43+'0403'!S43+'405'!S43+'0406'!S43+'0409'!S43+'410-sahara'!S43+'414-Al ghurair'!S43+'415'!S43+'Al Foah_418'!S43+Rak_417!S43+D.C.!S43+'Wafi _419'!S43</f>
        <v>145489.70000000001</v>
      </c>
      <c r="T43" s="68">
        <f>S43/S12</f>
        <v>1.1382158144471372E-2</v>
      </c>
      <c r="U43" s="295">
        <f>'0401'!U43+'0402'!U43+'0403'!U43+'405'!U43+'0406'!U43+'0409'!U43+'410-sahara'!U43+'414-Al ghurair'!U43+'415'!U43+'Al Foah_418'!U43+Rak_417!U43+D.C.!U43+'Wafi _419'!U43</f>
        <v>146897.853</v>
      </c>
      <c r="V43" s="68">
        <f>U43/U12</f>
        <v>1.4488437147062379E-2</v>
      </c>
      <c r="W43" s="295">
        <f>'0401'!W43+'0402'!W43+'0403'!W43+'405'!W43+'0406'!W43+'0409'!W43+'410-sahara'!W43+'414-Al ghurair'!W43+'415'!W43+'Al Foah_418'!W43+Rak_417!W43+D.C.!W43+'Wafi _419'!W43</f>
        <v>147450</v>
      </c>
      <c r="X43" s="68">
        <f>W43/W12</f>
        <v>1.4293592917014665E-2</v>
      </c>
      <c r="Y43" s="295">
        <f>'0401'!Y43+'0402'!Y43+'0403'!Y43+'405'!Y43+'0406'!Y43+'0409'!Y43+'410-sahara'!Y43+'414-Al ghurair'!Y43+'415'!Y43+'Al Foah_418'!Y43+Rak_417!Y43+D.C.!Y43+'Wafi _419'!Y43</f>
        <v>147450</v>
      </c>
      <c r="Z43" s="68">
        <f>Y43/Y12</f>
        <v>9.4617981337003706E-3</v>
      </c>
      <c r="AA43" s="382">
        <f t="shared" si="21"/>
        <v>1743949.0529999998</v>
      </c>
      <c r="AB43" s="147">
        <f>AA43/AA12</f>
        <v>1.2010026692139212E-2</v>
      </c>
      <c r="AC43" s="128">
        <f t="shared" si="19"/>
        <v>145329.08774999998</v>
      </c>
      <c r="AD43" s="131">
        <f>AC43/AC12</f>
        <v>1.2010026692139212E-2</v>
      </c>
      <c r="AE43" s="84">
        <f t="shared" si="25"/>
        <v>1743949.0529999998</v>
      </c>
      <c r="AF43" s="33" t="e">
        <f>#REF!+'0401'!#REF!+'0402'!#REF!+'0403'!#REF!+#REF!+'405'!#REF!+'0406'!#REF!+D.C.!#REF!+#REF!+#REF!+'0409'!#REF!</f>
        <v>#REF!</v>
      </c>
      <c r="AG43" s="33" t="e">
        <f t="shared" si="26"/>
        <v>#REF!</v>
      </c>
      <c r="AH43" s="84">
        <f t="shared" si="6"/>
        <v>0</v>
      </c>
      <c r="AI43" s="33">
        <f>'0401'!AA43+'0402'!AA43+'0403'!AA43+'405'!AA43+'0406'!AA43+'0409'!AA43+'410-sahara'!AA43+'414-Al ghurair'!AA43+'415'!AA43+'Al Foah_418'!AA43+Rak_417!AA43+D.C.!AA43</f>
        <v>1743949.0530000001</v>
      </c>
      <c r="AJ43" s="84">
        <f t="shared" si="7"/>
        <v>0</v>
      </c>
    </row>
    <row r="44" spans="1:36" customFormat="1">
      <c r="A44" s="188">
        <v>6103</v>
      </c>
      <c r="B44" s="188" t="s">
        <v>4</v>
      </c>
      <c r="C44" s="295">
        <f>'0401'!C44+'0402'!C44+'0403'!C44+'405'!C44+'0406'!C44+'0409'!C44+'410-sahara'!C44+'414-Al ghurair'!C44+'415'!C44+'Al Foah_418'!C44+Rak_417!C44+D.C.!C44+'Wafi _419'!C44</f>
        <v>0</v>
      </c>
      <c r="D44" s="68">
        <f>C44/C12</f>
        <v>0</v>
      </c>
      <c r="E44" s="295">
        <f>'0401'!E44+'0402'!E44+'0403'!E44+'405'!E44+'0406'!E44+'0409'!E44+'410-sahara'!E44+'414-Al ghurair'!E44+'415'!E44+'Al Foah_418'!E44+Rak_417!E44+D.C.!E44+'Wafi _419'!E44</f>
        <v>0</v>
      </c>
      <c r="F44" s="68">
        <f>E44/E12</f>
        <v>0</v>
      </c>
      <c r="G44" s="295">
        <f>'0401'!G44+'0402'!G44+'0403'!G44+'405'!G44+'0406'!G44+'0409'!G44+'410-sahara'!G44+'414-Al ghurair'!G44+'415'!G44+'Al Foah_418'!G44+Rak_417!G44+D.C.!G44+'Wafi _419'!G44</f>
        <v>0</v>
      </c>
      <c r="H44" s="68">
        <f>G44/G12</f>
        <v>0</v>
      </c>
      <c r="I44" s="295">
        <f>'0401'!I44+'0402'!I44+'0403'!I44+'405'!I44+'0406'!I44+'0409'!I44+'410-sahara'!I44+'414-Al ghurair'!I44+'415'!I44+'Al Foah_418'!I44+Rak_417!I44+D.C.!I44+'Wafi _419'!I44</f>
        <v>0</v>
      </c>
      <c r="J44" s="68">
        <f>I44/I12</f>
        <v>0</v>
      </c>
      <c r="K44" s="295">
        <f>'0401'!K44+'0402'!K44+'0403'!K44+'405'!K44+'0406'!K44+'0409'!K44+'410-sahara'!K44+'414-Al ghurair'!K44+'415'!K44+'Al Foah_418'!K44+Rak_417!K44+D.C.!K44+'Wafi _419'!K44</f>
        <v>0</v>
      </c>
      <c r="L44" s="68">
        <f>K44/K12</f>
        <v>0</v>
      </c>
      <c r="M44" s="295">
        <f>'0401'!M44+'0402'!M44+'0403'!M44+'405'!M44+'0406'!M44+'0409'!M44+'410-sahara'!M44+'414-Al ghurair'!M44+'415'!M44+'Al Foah_418'!M44+Rak_417!M44+D.C.!M44+'Wafi _419'!M44</f>
        <v>0</v>
      </c>
      <c r="N44" s="68">
        <f>M44/M12</f>
        <v>0</v>
      </c>
      <c r="O44" s="295">
        <f>'0401'!O44+'0402'!O44+'0403'!O44+'405'!O44+'0406'!O44+'0409'!O44+'410-sahara'!O44+'414-Al ghurair'!O44+'415'!O44+'Al Foah_418'!O44+Rak_417!O44+D.C.!O44+'Wafi _419'!O44</f>
        <v>0</v>
      </c>
      <c r="P44" s="68">
        <f>O44/O12</f>
        <v>0</v>
      </c>
      <c r="Q44" s="295">
        <f>'0401'!Q44+'0402'!Q44+'0403'!Q44+'405'!Q44+'0406'!Q44+'0409'!Q44+'410-sahara'!Q44+'414-Al ghurair'!Q44+'415'!Q44+'Al Foah_418'!Q44+Rak_417!Q44+D.C.!Q44+'Wafi _419'!Q44</f>
        <v>0</v>
      </c>
      <c r="R44" s="68">
        <f>Q44/Q12</f>
        <v>0</v>
      </c>
      <c r="S44" s="295">
        <f>'0401'!S44+'0402'!S44+'0403'!S44+'405'!S44+'0406'!S44+'0409'!S44+'410-sahara'!S44+'414-Al ghurair'!S44+'415'!S44+'Al Foah_418'!S44+Rak_417!S44+D.C.!S44+'Wafi _419'!S44</f>
        <v>0</v>
      </c>
      <c r="T44" s="68">
        <f>S44/S12</f>
        <v>0</v>
      </c>
      <c r="U44" s="295">
        <f>'0401'!U44+'0402'!U44+'0403'!U44+'405'!U44+'0406'!U44+'0409'!U44+'410-sahara'!U44+'414-Al ghurair'!U44+'415'!U44+'Al Foah_418'!U44+Rak_417!U44+D.C.!U44+'Wafi _419'!U44</f>
        <v>0</v>
      </c>
      <c r="V44" s="68">
        <f>U44/U12</f>
        <v>0</v>
      </c>
      <c r="W44" s="295">
        <f>'0401'!W44+'0402'!W44+'0403'!W44+'405'!W44+'0406'!W44+'0409'!W44+'410-sahara'!W44+'414-Al ghurair'!W44+'415'!W44+'Al Foah_418'!W44+Rak_417!W44+D.C.!W44+'Wafi _419'!W44</f>
        <v>0</v>
      </c>
      <c r="X44" s="68">
        <f>W44/W12</f>
        <v>0</v>
      </c>
      <c r="Y44" s="295">
        <f>'0401'!Y44+'0402'!Y44+'0403'!Y44+'405'!Y44+'0406'!Y44+'0409'!Y44+'410-sahara'!Y44+'414-Al ghurair'!Y44+'415'!Y44+'Al Foah_418'!Y44+Rak_417!Y44+D.C.!Y44+'Wafi _419'!Y44</f>
        <v>0</v>
      </c>
      <c r="Z44" s="68">
        <f>Y44/Y12</f>
        <v>0</v>
      </c>
      <c r="AA44" s="382">
        <f t="shared" si="21"/>
        <v>0</v>
      </c>
      <c r="AB44" s="147">
        <f>AA44/AA12</f>
        <v>0</v>
      </c>
      <c r="AC44" s="128">
        <f t="shared" si="19"/>
        <v>0</v>
      </c>
      <c r="AD44" s="328">
        <f>AC44/AC12</f>
        <v>0</v>
      </c>
      <c r="AE44" s="84">
        <f t="shared" si="25"/>
        <v>0</v>
      </c>
      <c r="AF44" s="33" t="e">
        <f>#REF!+'0401'!#REF!+'0402'!#REF!+'0403'!#REF!+#REF!+'405'!#REF!+'0406'!#REF!+D.C.!#REF!+#REF!+#REF!+'0409'!#REF!</f>
        <v>#REF!</v>
      </c>
      <c r="AG44" s="33" t="e">
        <f t="shared" si="26"/>
        <v>#REF!</v>
      </c>
      <c r="AH44" s="84">
        <f t="shared" si="6"/>
        <v>0</v>
      </c>
      <c r="AI44" s="33">
        <f>'0401'!AA44+'0402'!AA44+'0403'!AA44+'405'!AA44+'0406'!AA44+'0409'!AA44+'410-sahara'!AA44+'414-Al ghurair'!AA44+'415'!AA44+'Al Foah_418'!AA44+Rak_417!AA44+D.C.!AA44</f>
        <v>0</v>
      </c>
      <c r="AJ44" s="84">
        <f t="shared" si="7"/>
        <v>0</v>
      </c>
    </row>
    <row r="45" spans="1:36" customFormat="1">
      <c r="A45" s="188">
        <v>6104</v>
      </c>
      <c r="B45" s="188" t="s">
        <v>5</v>
      </c>
      <c r="C45" s="295">
        <f>'0401'!C45+'0402'!C45+'0403'!C45+'405'!C45+'0406'!C45+'0409'!C45+'410-sahara'!C45+'414-Al ghurair'!C45+'415'!C45+'Al Foah_418'!C45+Rak_417!C45+D.C.!C45+'Wafi _419'!C45</f>
        <v>34300.930000000008</v>
      </c>
      <c r="D45" s="68">
        <f>C45/C12</f>
        <v>3.1407381111882315E-3</v>
      </c>
      <c r="E45" s="295">
        <f>'0401'!E45+'0402'!E45+'0403'!E45+'405'!E45+'0406'!E45+'0409'!E45+'410-sahara'!E45+'414-Al ghurair'!E45+'415'!E45+'Al Foah_418'!E45+Rak_417!E45+D.C.!E45+'Wafi _419'!E45</f>
        <v>34507.229999999996</v>
      </c>
      <c r="F45" s="68">
        <f>E45/E12</f>
        <v>4.0612102143991347E-3</v>
      </c>
      <c r="G45" s="295">
        <f>'0401'!G45+'0402'!G45+'0403'!G45+'405'!G45+'0406'!G45+'0409'!G45+'410-sahara'!G45+'414-Al ghurair'!G45+'415'!G45+'Al Foah_418'!G45+Rak_417!G45+D.C.!G45+'Wafi _419'!G45</f>
        <v>34401.18</v>
      </c>
      <c r="H45" s="68">
        <f>G45/G12</f>
        <v>2.4407908055153948E-3</v>
      </c>
      <c r="I45" s="295">
        <f>'0401'!I45+'0402'!I45+'0403'!I45+'405'!I45+'0406'!I45+'0409'!I45+'410-sahara'!I45+'414-Al ghurair'!I45+'415'!I45+'Al Foah_418'!I45+Rak_417!I45+D.C.!I45+'Wafi _419'!I45</f>
        <v>34521.899999999994</v>
      </c>
      <c r="J45" s="68">
        <f>I45/I12</f>
        <v>2.7739205894680959E-3</v>
      </c>
      <c r="K45" s="295">
        <f>'0401'!K45+'0402'!K45+'0403'!K45+'405'!K45+'0406'!K45+'0409'!K45+'410-sahara'!K45+'414-Al ghurair'!K45+'415'!K45+'Al Foah_418'!K45+Rak_417!K45+D.C.!K45+'Wafi _419'!K45</f>
        <v>34268.93</v>
      </c>
      <c r="L45" s="68">
        <f>K45/K12</f>
        <v>3.0107021974156148E-3</v>
      </c>
      <c r="M45" s="295">
        <f>'0401'!M45+'0402'!M45+'0403'!M45+'405'!M45+'0406'!M45+'0409'!M45+'410-sahara'!M45+'414-Al ghurair'!M45+'415'!M45+'Al Foah_418'!M45+Rak_417!M45+D.C.!M45+'Wafi _419'!M45</f>
        <v>34847.369999999995</v>
      </c>
      <c r="N45" s="68">
        <f>M45/M12</f>
        <v>2.1590627427719045E-3</v>
      </c>
      <c r="O45" s="295">
        <f>'0401'!O45+'0402'!O45+'0403'!O45+'405'!O45+'0406'!O45+'0409'!O45+'410-sahara'!O45+'414-Al ghurair'!O45+'415'!O45+'Al Foah_418'!O45+Rak_417!O45+D.C.!O45+'Wafi _419'!O45</f>
        <v>34525.699999999997</v>
      </c>
      <c r="P45" s="68">
        <f>O45/O12</f>
        <v>3.3787666860622648E-3</v>
      </c>
      <c r="Q45" s="295">
        <f>'0401'!Q45+'0402'!Q45+'0403'!Q45+'405'!Q45+'0406'!Q45+'0409'!Q45+'410-sahara'!Q45+'414-Al ghurair'!Q45+'415'!Q45+'Al Foah_418'!Q45+Rak_417!Q45+D.C.!Q45+'Wafi _419'!Q45</f>
        <v>34691.089999999997</v>
      </c>
      <c r="R45" s="68">
        <f>Q45/Q12</f>
        <v>2.7340303841702869E-3</v>
      </c>
      <c r="S45" s="295">
        <f>'0401'!S45+'0402'!S45+'0403'!S45+'405'!S45+'0406'!S45+'0409'!S45+'410-sahara'!S45+'414-Al ghurair'!S45+'415'!S45+'Al Foah_418'!S45+Rak_417!S45+D.C.!S45+'Wafi _419'!S45</f>
        <v>34095.94</v>
      </c>
      <c r="T45" s="68">
        <f>S45/S12</f>
        <v>2.6674423080424747E-3</v>
      </c>
      <c r="U45" s="295">
        <f>'0401'!U45+'0402'!U45+'0403'!U45+'405'!U45+'0406'!U45+'0409'!U45+'410-sahara'!U45+'414-Al ghurair'!U45+'415'!U45+'Al Foah_418'!U45+Rak_417!U45+D.C.!U45+'Wafi _419'!U45</f>
        <v>35100</v>
      </c>
      <c r="V45" s="68">
        <f>U45/U12</f>
        <v>3.4618895611897714E-3</v>
      </c>
      <c r="W45" s="295">
        <f>'0401'!W45+'0402'!W45+'0403'!W45+'405'!W45+'0406'!W45+'0409'!W45+'410-sahara'!W45+'414-Al ghurair'!W45+'415'!W45+'Al Foah_418'!W45+Rak_417!W45+D.C.!W45+'Wafi _419'!W45</f>
        <v>35100</v>
      </c>
      <c r="X45" s="68">
        <f>W45/W12</f>
        <v>3.4025439904185471E-3</v>
      </c>
      <c r="Y45" s="295">
        <f>'0401'!Y45+'0402'!Y45+'0403'!Y45+'405'!Y45+'0406'!Y45+'0409'!Y45+'410-sahara'!Y45+'414-Al ghurair'!Y45+'415'!Y45+'Al Foah_418'!Y45+Rak_417!Y45+D.C.!Y45+'Wafi _419'!Y45</f>
        <v>35100</v>
      </c>
      <c r="Z45" s="68">
        <f>Y45/Y12</f>
        <v>2.2523507256214516E-3</v>
      </c>
      <c r="AA45" s="382">
        <f t="shared" si="21"/>
        <v>415460.26999999996</v>
      </c>
      <c r="AB45" s="147">
        <f>AA45/AA12</f>
        <v>2.8611437493772729E-3</v>
      </c>
      <c r="AC45" s="128">
        <f t="shared" si="19"/>
        <v>34621.689166666663</v>
      </c>
      <c r="AD45" s="131">
        <f>AC45/AC12</f>
        <v>2.8611437493772729E-3</v>
      </c>
      <c r="AE45" s="84">
        <f t="shared" si="25"/>
        <v>415460.26999999996</v>
      </c>
      <c r="AF45" s="33" t="e">
        <f>#REF!+'0401'!#REF!+'0402'!#REF!+'0403'!#REF!+#REF!+'405'!#REF!+'0406'!#REF!+D.C.!#REF!+#REF!+#REF!+'0409'!#REF!</f>
        <v>#REF!</v>
      </c>
      <c r="AG45" s="33" t="e">
        <f t="shared" si="26"/>
        <v>#REF!</v>
      </c>
      <c r="AH45" s="84">
        <f t="shared" si="6"/>
        <v>0</v>
      </c>
      <c r="AI45" s="33">
        <f>'0401'!AA45+'0402'!AA45+'0403'!AA45+'405'!AA45+'0406'!AA45+'0409'!AA45+'410-sahara'!AA45+'414-Al ghurair'!AA45+'415'!AA45+'Al Foah_418'!AA45+Rak_417!AA45+D.C.!AA45</f>
        <v>385460.27</v>
      </c>
      <c r="AJ45" s="84">
        <f t="shared" si="7"/>
        <v>29999.999999999942</v>
      </c>
    </row>
    <row r="46" spans="1:36" customFormat="1">
      <c r="A46" s="188">
        <v>6105</v>
      </c>
      <c r="B46" s="188" t="s">
        <v>39</v>
      </c>
      <c r="C46" s="295">
        <f>'0401'!C46+'0402'!C46+'0403'!C46+'405'!C46+'0406'!C46+'0409'!C46+'410-sahara'!C46+'414-Al ghurair'!C46+'415'!C46+'Al Foah_418'!C46+Rak_417!C46+D.C.!C46+'Wafi _419'!C46</f>
        <v>26813.286763847042</v>
      </c>
      <c r="D46" s="68">
        <f>C46/C$12</f>
        <v>2.4551378526889312E-3</v>
      </c>
      <c r="E46" s="295">
        <f>'0401'!E46+'0402'!E46+'0403'!E46+'405'!E46+'0406'!E46+'0409'!E46+'410-sahara'!E46+'414-Al ghurair'!E46+'415'!E46+'Al Foah_418'!E46+Rak_417!E46+D.C.!E46+'Wafi _419'!E46</f>
        <v>21526.772749159729</v>
      </c>
      <c r="F46" s="68">
        <f>E46/E$12</f>
        <v>2.5335197688118242E-3</v>
      </c>
      <c r="G46" s="295">
        <f>'0401'!G46+'0402'!G46+'0403'!G46+'405'!G46+'0406'!G46+'0409'!G46+'410-sahara'!G46+'414-Al ghurair'!G46+'415'!G46+'Al Foah_418'!G46+Rak_417!G46+D.C.!G46+'Wafi _419'!G46</f>
        <v>33731.794881927184</v>
      </c>
      <c r="H46" s="68">
        <f>G46/G$12</f>
        <v>2.3932974043721503E-3</v>
      </c>
      <c r="I46" s="295">
        <f>'0401'!I46+'0402'!I46+'0403'!I46+'405'!I46+'0406'!I46+'0409'!I46+'410-sahara'!I46+'414-Al ghurair'!I46+'415'!I46+'Al Foah_418'!I46+Rak_417!I46+D.C.!I46+'Wafi _419'!I46</f>
        <v>30135.998890718252</v>
      </c>
      <c r="J46" s="68">
        <f>I46/I$12</f>
        <v>2.4215025188981799E-3</v>
      </c>
      <c r="K46" s="295">
        <f>'0401'!K46+'0402'!K46+'0403'!K46+'405'!K46+'0406'!K46+'0409'!K46+'410-sahara'!K46+'414-Al ghurair'!K46+'415'!K46+'Al Foah_418'!K46+Rak_417!K46+D.C.!K46+'Wafi _419'!K46</f>
        <v>27818.635693041302</v>
      </c>
      <c r="L46" s="68">
        <f>K46/K$12</f>
        <v>2.444010583643665E-3</v>
      </c>
      <c r="M46" s="295">
        <f>'0401'!M46+'0402'!M46+'0403'!M46+'405'!M46+'0406'!M46+'0409'!M46+'410-sahara'!M46+'414-Al ghurair'!M46+'415'!M46+'Al Foah_418'!M46+Rak_417!M46+D.C.!M46+'Wafi _419'!M46</f>
        <v>38192.48179323721</v>
      </c>
      <c r="N46" s="68">
        <f>M46/M$12</f>
        <v>2.3663181609909949E-3</v>
      </c>
      <c r="O46" s="295">
        <f>'0401'!O46+'0402'!O46+'0403'!O46+'405'!O46+'0406'!O46+'0409'!O46+'410-sahara'!O46+'414-Al ghurair'!O46+'415'!O46+'Al Foah_418'!O46+Rak_417!O46+D.C.!O46+'Wafi _419'!O46</f>
        <v>25280.730486727221</v>
      </c>
      <c r="P46" s="68">
        <f>O46/O$12</f>
        <v>2.4740320968980383E-3</v>
      </c>
      <c r="Q46" s="295">
        <f>'0401'!Q46+'0402'!Q46+'0403'!Q46+'405'!Q46+'0406'!Q46+'0409'!Q46+'410-sahara'!Q46+'414-Al ghurair'!Q46+'415'!Q46+'Al Foah_418'!Q46+Rak_417!Q46+D.C.!Q46+'Wafi _419'!Q46</f>
        <v>30666.852862574382</v>
      </c>
      <c r="R46" s="68">
        <f>Q46/Q$12</f>
        <v>2.4168772878902884E-3</v>
      </c>
      <c r="S46" s="295">
        <f>'0401'!S46+'0402'!S46+'0403'!S46+'405'!S46+'0406'!S46+'0409'!S46+'410-sahara'!S46+'414-Al ghurair'!S46+'415'!S46+'Al Foah_418'!S46+Rak_417!S46+D.C.!S46+'Wafi _419'!S46</f>
        <v>30871.014195533058</v>
      </c>
      <c r="T46" s="68">
        <f>S46/S$12</f>
        <v>2.4151453034391983E-3</v>
      </c>
      <c r="U46" s="295">
        <f>'0401'!U46+'0402'!U46+'0403'!U46+'405'!U46+'0406'!U46+'0409'!U46+'410-sahara'!U46+'414-Al ghurair'!U46+'415'!U46+'Al Foah_418'!U46+Rak_417!U46+D.C.!U46+'Wafi _419'!U46</f>
        <v>25107.470440610814</v>
      </c>
      <c r="V46" s="68">
        <f>U46/U$12</f>
        <v>2.4763330434823738E-3</v>
      </c>
      <c r="W46" s="295">
        <f>'0401'!W46+'0402'!W46+'0403'!W46+'405'!W46+'0406'!W46+'0409'!W46+'410-sahara'!W46+'414-Al ghurair'!W46+'415'!W46+'Al Foah_418'!W46+Rak_417!W46+D.C.!W46+'Wafi _419'!W46</f>
        <v>25493.058534490137</v>
      </c>
      <c r="X46" s="68">
        <f>W46/W$12</f>
        <v>2.4712607724762868E-3</v>
      </c>
      <c r="Y46" s="295">
        <f>'0401'!Y46+'0402'!Y46+'0403'!Y46+'405'!Y46+'0406'!Y46+'0409'!Y46+'410-sahara'!Y46+'414-Al ghurair'!Y46+'415'!Y46+'Al Foah_418'!Y46+Rak_417!Y46+D.C.!Y46+'Wafi _419'!Y46</f>
        <v>36979.442132195225</v>
      </c>
      <c r="Z46" s="68">
        <f>Y46/Y$12</f>
        <v>2.3729536558269627E-3</v>
      </c>
      <c r="AA46" s="382">
        <f t="shared" si="21"/>
        <v>352617.53942406154</v>
      </c>
      <c r="AB46" s="147">
        <f>AA46/AA$12</f>
        <v>2.4283656987079605E-3</v>
      </c>
      <c r="AC46" s="128">
        <f t="shared" si="19"/>
        <v>29384.79495200513</v>
      </c>
      <c r="AD46" s="131">
        <f>AC46/AC$12</f>
        <v>2.4283656987079605E-3</v>
      </c>
      <c r="AE46" s="84">
        <f t="shared" si="25"/>
        <v>352617.53942406154</v>
      </c>
      <c r="AF46" s="33" t="e">
        <f>#REF!+'0401'!#REF!+'0402'!#REF!+'0403'!#REF!+#REF!+'405'!#REF!+'0406'!#REF!+D.C.!#REF!+#REF!+#REF!+'0409'!#REF!</f>
        <v>#REF!</v>
      </c>
      <c r="AG46" s="33" t="e">
        <f t="shared" si="26"/>
        <v>#REF!</v>
      </c>
      <c r="AH46" s="84">
        <f t="shared" si="6"/>
        <v>0</v>
      </c>
      <c r="AI46" s="33">
        <f>'0401'!AA46+'0402'!AA46+'0403'!AA46+'405'!AA46+'0406'!AA46+'0409'!AA46+'410-sahara'!AA46+'414-Al ghurair'!AA46+'415'!AA46+'Al Foah_418'!AA46+Rak_417!AA46+D.C.!AA46</f>
        <v>328964.56626088364</v>
      </c>
      <c r="AJ46" s="84">
        <f t="shared" si="7"/>
        <v>23652.9731631779</v>
      </c>
    </row>
    <row r="47" spans="1:36" customFormat="1">
      <c r="A47" s="188">
        <v>6106</v>
      </c>
      <c r="B47" s="188" t="s">
        <v>6</v>
      </c>
      <c r="C47" s="295">
        <f>'0401'!C47+'0402'!C47+'0403'!C47+'405'!C47+'0406'!C47+'0409'!C47+'410-sahara'!C47+'414-Al ghurair'!C47+'415'!C47+'Al Foah_418'!C47+Rak_417!C47+D.C.!C47+'Wafi _419'!C47</f>
        <v>2650</v>
      </c>
      <c r="D47" s="68">
        <f>C47/C12</f>
        <v>2.426451992598688E-4</v>
      </c>
      <c r="E47" s="295">
        <f>'0401'!E47+'0402'!E47+'0403'!E47+'405'!E47+'0406'!E47+'0409'!E47+'410-sahara'!E47+'414-Al ghurair'!E47+'415'!E47+'Al Foah_418'!E47+Rak_417!E47+D.C.!E47+'Wafi _419'!E47</f>
        <v>2650</v>
      </c>
      <c r="F47" s="68">
        <f>E47/E12</f>
        <v>3.1188267120130215E-4</v>
      </c>
      <c r="G47" s="295">
        <f>'0401'!G47+'0402'!G47+'0403'!G47+'405'!G47+'0406'!G47+'0409'!G47+'410-sahara'!G47+'414-Al ghurair'!G47+'415'!G47+'Al Foah_418'!G47+Rak_417!G47+D.C.!G47+'Wafi _419'!G47</f>
        <v>2650</v>
      </c>
      <c r="H47" s="68">
        <f>G47/G12</f>
        <v>1.8801958638092636E-4</v>
      </c>
      <c r="I47" s="295">
        <f>'0401'!I47+'0402'!I47+'0403'!I47+'405'!I47+'0406'!I47+'0409'!I47+'410-sahara'!I47+'414-Al ghurair'!I47+'415'!I47+'Al Foah_418'!I47+Rak_417!I47+D.C.!I47+'Wafi _419'!I47</f>
        <v>2650</v>
      </c>
      <c r="J47" s="68">
        <f>I47/I12</f>
        <v>2.1293409580847101E-4</v>
      </c>
      <c r="K47" s="295">
        <f>'0401'!K47+'0402'!K47+'0403'!K47+'405'!K47+'0406'!K47+'0409'!K47+'410-sahara'!K47+'414-Al ghurair'!K47+'415'!K47+'Al Foah_418'!K47+Rak_417!K47+D.C.!K47+'Wafi _419'!K47</f>
        <v>2650</v>
      </c>
      <c r="L47" s="68">
        <f>K47/K12</f>
        <v>2.328161638881453E-4</v>
      </c>
      <c r="M47" s="295">
        <f>'0401'!M47+'0402'!M47+'0403'!M47+'405'!M47+'0406'!M47+'0409'!M47+'410-sahara'!M47+'414-Al ghurair'!M47+'415'!M47+'Al Foah_418'!M47+Rak_417!M47+D.C.!M47+'Wafi _419'!M47</f>
        <v>2650</v>
      </c>
      <c r="N47" s="68">
        <f>M47/M12</f>
        <v>1.6418789332869446E-4</v>
      </c>
      <c r="O47" s="295">
        <f>'0401'!O47+'0402'!O47+'0403'!O47+'405'!O47+'0406'!O47+'0409'!O47+'410-sahara'!O47+'414-Al ghurair'!O47+'415'!O47+'Al Foah_418'!O47+Rak_417!O47+D.C.!O47+'Wafi _419'!O47</f>
        <v>2650</v>
      </c>
      <c r="P47" s="68">
        <f>O47/O12</f>
        <v>2.5933526961263644E-4</v>
      </c>
      <c r="Q47" s="295">
        <f>'0401'!Q47+'0402'!Q47+'0403'!Q47+'405'!Q47+'0406'!Q47+'0409'!Q47+'410-sahara'!Q47+'414-Al ghurair'!Q47+'415'!Q47+'Al Foah_418'!Q47+Rak_417!Q47+D.C.!Q47+'Wafi _419'!Q47</f>
        <v>2650</v>
      </c>
      <c r="R47" s="68">
        <f>Q47/Q12</f>
        <v>2.0884845411462313E-4</v>
      </c>
      <c r="S47" s="295">
        <f>'0401'!S47+'0402'!S47+'0403'!S47+'405'!S47+'0406'!S47+'0409'!S47+'410-sahara'!S47+'414-Al ghurair'!S47+'415'!S47+'Al Foah_418'!S47+Rak_417!S47+D.C.!S47+'Wafi _419'!S47</f>
        <v>2650</v>
      </c>
      <c r="T47" s="68">
        <f>S47/S12</f>
        <v>2.0731858738349954E-4</v>
      </c>
      <c r="U47" s="295">
        <f>'0401'!U47+'0402'!U47+'0403'!U47+'405'!U47+'0406'!U47+'0409'!U47+'410-sahara'!U47+'414-Al ghurair'!U47+'415'!U47+'Al Foah_418'!U47+Rak_417!U47+D.C.!U47+'Wafi _419'!U47</f>
        <v>2650</v>
      </c>
      <c r="V47" s="68">
        <f>U47/U12</f>
        <v>2.6136773040321635E-4</v>
      </c>
      <c r="W47" s="295">
        <f>'0401'!W47+'0402'!W47+'0403'!W47+'405'!W47+'0406'!W47+'0409'!W47+'410-sahara'!W47+'414-Al ghurair'!W47+'415'!W47+'Al Foah_418'!W47+Rak_417!W47+D.C.!W47+'Wafi _419'!W47</f>
        <v>2650</v>
      </c>
      <c r="X47" s="68">
        <f>W47/W12</f>
        <v>2.5688722434783899E-4</v>
      </c>
      <c r="Y47" s="295">
        <f>'0401'!Y47+'0402'!Y47+'0403'!Y47+'405'!Y47+'0406'!Y47+'0409'!Y47+'410-sahara'!Y47+'414-Al ghurair'!Y47+'415'!Y47+'Al Foah_418'!Y47+Rak_417!Y47+D.C.!Y47+'Wafi _419'!Y47</f>
        <v>2650</v>
      </c>
      <c r="Z47" s="68">
        <f>Y47/Y12</f>
        <v>1.7004927130760247E-4</v>
      </c>
      <c r="AA47" s="382">
        <f t="shared" si="21"/>
        <v>31800</v>
      </c>
      <c r="AB47" s="147">
        <f>AA47/AA12</f>
        <v>2.1899656308940751E-4</v>
      </c>
      <c r="AC47" s="128">
        <f t="shared" si="19"/>
        <v>2650</v>
      </c>
      <c r="AD47" s="131">
        <f>AC47/AC12</f>
        <v>2.1899656308940754E-4</v>
      </c>
      <c r="AE47" s="84">
        <f t="shared" si="25"/>
        <v>31800</v>
      </c>
      <c r="AF47" s="33" t="e">
        <f>#REF!+'0401'!#REF!+'0402'!#REF!+'0403'!#REF!+#REF!+'405'!#REF!+'0406'!#REF!+D.C.!#REF!+#REF!+#REF!+'0409'!#REF!</f>
        <v>#REF!</v>
      </c>
      <c r="AG47" s="33" t="e">
        <f t="shared" si="26"/>
        <v>#REF!</v>
      </c>
      <c r="AH47" s="84">
        <f t="shared" si="6"/>
        <v>0</v>
      </c>
      <c r="AI47" s="33">
        <f>'0401'!AA47+'0402'!AA47+'0403'!AA47+'405'!AA47+'0406'!AA47+'0409'!AA47+'410-sahara'!AA47+'414-Al ghurair'!AA47+'415'!AA47+'Al Foah_418'!AA47+Rak_417!AA47+D.C.!AA47</f>
        <v>29400</v>
      </c>
      <c r="AJ47" s="84">
        <f t="shared" si="7"/>
        <v>2400</v>
      </c>
    </row>
    <row r="48" spans="1:36" customFormat="1">
      <c r="A48" s="188">
        <v>6107</v>
      </c>
      <c r="B48" s="188" t="s">
        <v>7</v>
      </c>
      <c r="C48" s="295">
        <f>'0401'!C48+'0402'!C48+'0403'!C48+'405'!C48+'0406'!C48+'0409'!C48+'410-sahara'!C48+'414-Al ghurair'!C48+'415'!C48+'Al Foah_418'!C48+Rak_417!C48+D.C.!C48+'Wafi _419'!C48</f>
        <v>0</v>
      </c>
      <c r="D48" s="68">
        <f>C48/C12</f>
        <v>0</v>
      </c>
      <c r="E48" s="295">
        <f>'0401'!E48+'0402'!E48+'0403'!E48+'405'!E48+'0406'!E48+'0409'!E48+'410-sahara'!E48+'414-Al ghurair'!E48+'415'!E48+'Al Foah_418'!E48+Rak_417!E48+D.C.!E48+'Wafi _419'!E48</f>
        <v>0</v>
      </c>
      <c r="F48" s="68">
        <f>E48/E12</f>
        <v>0</v>
      </c>
      <c r="G48" s="295">
        <f>'0401'!G48+'0402'!G48+'0403'!G48+'405'!G48+'0406'!G48+'0409'!G48+'410-sahara'!G48+'414-Al ghurair'!G48+'415'!G48+'Al Foah_418'!G48+Rak_417!G48+D.C.!G48+'Wafi _419'!G48</f>
        <v>0</v>
      </c>
      <c r="H48" s="68">
        <f>G48/G12</f>
        <v>0</v>
      </c>
      <c r="I48" s="295">
        <f>'0401'!I48+'0402'!I48+'0403'!I48+'405'!I48+'0406'!I48+'0409'!I48+'410-sahara'!I48+'414-Al ghurair'!I48+'415'!I48+'Al Foah_418'!I48+Rak_417!I48+D.C.!I48+'Wafi _419'!I48</f>
        <v>900</v>
      </c>
      <c r="J48" s="68">
        <f>I48/I12</f>
        <v>7.2317240085895818E-5</v>
      </c>
      <c r="K48" s="295">
        <f>'0401'!K48+'0402'!K48+'0403'!K48+'405'!K48+'0406'!K48+'0409'!K48+'410-sahara'!K48+'414-Al ghurair'!K48+'415'!K48+'Al Foah_418'!K48+Rak_417!K48+D.C.!K48+'Wafi _419'!K48</f>
        <v>0</v>
      </c>
      <c r="L48" s="68">
        <f>K48/K12</f>
        <v>0</v>
      </c>
      <c r="M48" s="295">
        <f>'0401'!M48+'0402'!M48+'0403'!M48+'405'!M48+'0406'!M48+'0409'!M48+'410-sahara'!M48+'414-Al ghurair'!M48+'415'!M48+'Al Foah_418'!M48+Rak_417!M48+D.C.!M48+'Wafi _419'!M48</f>
        <v>0</v>
      </c>
      <c r="N48" s="68">
        <f>M48/M12</f>
        <v>0</v>
      </c>
      <c r="O48" s="295">
        <f>'0401'!O48+'0402'!O48+'0403'!O48+'405'!O48+'0406'!O48+'0409'!O48+'410-sahara'!O48+'414-Al ghurair'!O48+'415'!O48+'Al Foah_418'!O48+Rak_417!O48+D.C.!O48+'Wafi _419'!O48</f>
        <v>0</v>
      </c>
      <c r="P48" s="68">
        <f>O48/O12</f>
        <v>0</v>
      </c>
      <c r="Q48" s="295">
        <f>'0401'!Q48+'0402'!Q48+'0403'!Q48+'405'!Q48+'0406'!Q48+'0409'!Q48+'410-sahara'!Q48+'414-Al ghurair'!Q48+'415'!Q48+'Al Foah_418'!Q48+Rak_417!Q48+D.C.!Q48+'Wafi _419'!Q48</f>
        <v>0</v>
      </c>
      <c r="R48" s="68">
        <f>Q48/Q12</f>
        <v>0</v>
      </c>
      <c r="S48" s="295">
        <f>'0401'!S48+'0402'!S48+'0403'!S48+'405'!S48+'0406'!S48+'0409'!S48+'410-sahara'!S48+'414-Al ghurair'!S48+'415'!S48+'Al Foah_418'!S48+Rak_417!S48+D.C.!S48+'Wafi _419'!S48</f>
        <v>0</v>
      </c>
      <c r="T48" s="68">
        <f>S48/S12</f>
        <v>0</v>
      </c>
      <c r="U48" s="295">
        <f>'0401'!U48+'0402'!U48+'0403'!U48+'405'!U48+'0406'!U48+'0409'!U48+'410-sahara'!U48+'414-Al ghurair'!U48+'415'!U48+'Al Foah_418'!U48+Rak_417!U48+D.C.!U48+'Wafi _419'!U48</f>
        <v>0</v>
      </c>
      <c r="V48" s="68">
        <f>U48/U12</f>
        <v>0</v>
      </c>
      <c r="W48" s="295">
        <f>'0401'!W48+'0402'!W48+'0403'!W48+'405'!W48+'0406'!W48+'0409'!W48+'410-sahara'!W48+'414-Al ghurair'!W48+'415'!W48+'Al Foah_418'!W48+Rak_417!W48+D.C.!W48+'Wafi _419'!W48</f>
        <v>0</v>
      </c>
      <c r="X48" s="68">
        <f>W48/W12</f>
        <v>0</v>
      </c>
      <c r="Y48" s="295">
        <f>'0401'!Y48+'0402'!Y48+'0403'!Y48+'405'!Y48+'0406'!Y48+'0409'!Y48+'410-sahara'!Y48+'414-Al ghurair'!Y48+'415'!Y48+'Al Foah_418'!Y48+Rak_417!Y48+D.C.!Y48+'Wafi _419'!Y48</f>
        <v>0</v>
      </c>
      <c r="Z48" s="68">
        <f>Y48/Y12</f>
        <v>0</v>
      </c>
      <c r="AA48" s="382">
        <f t="shared" si="21"/>
        <v>900</v>
      </c>
      <c r="AB48" s="147">
        <f>AA48/AA12</f>
        <v>6.1980159364926657E-6</v>
      </c>
      <c r="AC48" s="128">
        <f t="shared" si="19"/>
        <v>75</v>
      </c>
      <c r="AD48" s="131">
        <f>AC48/AC12</f>
        <v>6.1980159364926657E-6</v>
      </c>
      <c r="AE48" s="84">
        <f t="shared" si="25"/>
        <v>900</v>
      </c>
      <c r="AF48" s="33" t="e">
        <f>#REF!+'0401'!#REF!+'0402'!#REF!+'0403'!#REF!+#REF!+'405'!#REF!+'0406'!#REF!+D.C.!#REF!+#REF!+#REF!+'0409'!#REF!</f>
        <v>#REF!</v>
      </c>
      <c r="AG48" s="33" t="e">
        <f t="shared" si="26"/>
        <v>#REF!</v>
      </c>
      <c r="AH48" s="84">
        <f t="shared" si="6"/>
        <v>0</v>
      </c>
      <c r="AI48" s="33">
        <f>'0401'!AA48+'0402'!AA48+'0403'!AA48+'405'!AA48+'0406'!AA48+'0409'!AA48+'410-sahara'!AA48+'414-Al ghurair'!AA48+'415'!AA48+'Al Foah_418'!AA48+Rak_417!AA48+D.C.!AA48</f>
        <v>900</v>
      </c>
      <c r="AJ48" s="84">
        <f t="shared" si="7"/>
        <v>0</v>
      </c>
    </row>
    <row r="49" spans="1:36" customFormat="1">
      <c r="A49" s="188">
        <v>6108</v>
      </c>
      <c r="B49" s="188" t="s">
        <v>8</v>
      </c>
      <c r="C49" s="295">
        <f>'0401'!C49+'0402'!C49+'0403'!C49+'405'!C49+'0406'!C49+'0409'!C49+'410-sahara'!C49+'414-Al ghurair'!C49+'415'!C49+'Al Foah_418'!C49+Rak_417!C49+D.C.!C49+'Wafi _419'!C49</f>
        <v>0</v>
      </c>
      <c r="D49" s="68">
        <f>C49/C12</f>
        <v>0</v>
      </c>
      <c r="E49" s="295">
        <f>'0401'!E49+'0402'!E49+'0403'!E49+'405'!E49+'0406'!E49+'0409'!E49+'410-sahara'!E49+'414-Al ghurair'!E49+'415'!E49+'Al Foah_418'!E49+Rak_417!E49+D.C.!E49+'Wafi _419'!E49</f>
        <v>0</v>
      </c>
      <c r="F49" s="68">
        <f>E49/E12</f>
        <v>0</v>
      </c>
      <c r="G49" s="295">
        <f>'0401'!G49+'0402'!G49+'0403'!G49+'405'!G49+'0406'!G49+'0409'!G49+'410-sahara'!G49+'414-Al ghurair'!G49+'415'!G49+'Al Foah_418'!G49+Rak_417!G49+D.C.!G49+'Wafi _419'!G49</f>
        <v>0</v>
      </c>
      <c r="H49" s="68">
        <f>G49/G12</f>
        <v>0</v>
      </c>
      <c r="I49" s="295">
        <f>'0401'!I49+'0402'!I49+'0403'!I49+'405'!I49+'0406'!I49+'0409'!I49+'410-sahara'!I49+'414-Al ghurair'!I49+'415'!I49+'Al Foah_418'!I49+Rak_417!I49+D.C.!I49+'Wafi _419'!I49</f>
        <v>0</v>
      </c>
      <c r="J49" s="68">
        <f>I49/I12</f>
        <v>0</v>
      </c>
      <c r="K49" s="295">
        <f>'0401'!K49+'0402'!K49+'0403'!K49+'405'!K49+'0406'!K49+'0409'!K49+'410-sahara'!K49+'414-Al ghurair'!K49+'415'!K49+'Al Foah_418'!K49+Rak_417!K49+D.C.!K49+'Wafi _419'!K49</f>
        <v>0</v>
      </c>
      <c r="L49" s="68">
        <f>K49/K12</f>
        <v>0</v>
      </c>
      <c r="M49" s="295">
        <f>'0401'!M49+'0402'!M49+'0403'!M49+'405'!M49+'0406'!M49+'0409'!M49+'410-sahara'!M49+'414-Al ghurair'!M49+'415'!M49+'Al Foah_418'!M49+Rak_417!M49+D.C.!M49+'Wafi _419'!M49</f>
        <v>0</v>
      </c>
      <c r="N49" s="68">
        <f>M49/M12</f>
        <v>0</v>
      </c>
      <c r="O49" s="295">
        <f>'0401'!O49+'0402'!O49+'0403'!O49+'405'!O49+'0406'!O49+'0409'!O49+'410-sahara'!O49+'414-Al ghurair'!O49+'415'!O49+'Al Foah_418'!O49+Rak_417!O49+D.C.!O49+'Wafi _419'!O49</f>
        <v>0</v>
      </c>
      <c r="P49" s="68">
        <f>O49/O12</f>
        <v>0</v>
      </c>
      <c r="Q49" s="295">
        <f>'0401'!Q49+'0402'!Q49+'0403'!Q49+'405'!Q49+'0406'!Q49+'0409'!Q49+'410-sahara'!Q49+'414-Al ghurair'!Q49+'415'!Q49+'Al Foah_418'!Q49+Rak_417!Q49+D.C.!Q49+'Wafi _419'!Q49</f>
        <v>0</v>
      </c>
      <c r="R49" s="68">
        <f>Q49/Q12</f>
        <v>0</v>
      </c>
      <c r="S49" s="295">
        <f>'0401'!S49+'0402'!S49+'0403'!S49+'405'!S49+'0406'!S49+'0409'!S49+'410-sahara'!S49+'414-Al ghurair'!S49+'415'!S49+'Al Foah_418'!S49+Rak_417!S49+D.C.!S49+'Wafi _419'!S49</f>
        <v>0</v>
      </c>
      <c r="T49" s="68">
        <f>S49/S12</f>
        <v>0</v>
      </c>
      <c r="U49" s="295">
        <f>'0401'!U49+'0402'!U49+'0403'!U49+'405'!U49+'0406'!U49+'0409'!U49+'410-sahara'!U49+'414-Al ghurair'!U49+'415'!U49+'Al Foah_418'!U49+Rak_417!U49+D.C.!U49+'Wafi _419'!U49</f>
        <v>0</v>
      </c>
      <c r="V49" s="68">
        <f>U49/U12</f>
        <v>0</v>
      </c>
      <c r="W49" s="295">
        <f>'0401'!W49+'0402'!W49+'0403'!W49+'405'!W49+'0406'!W49+'0409'!W49+'410-sahara'!W49+'414-Al ghurair'!W49+'415'!W49+'Al Foah_418'!W49+Rak_417!W49+D.C.!W49+'Wafi _419'!W49</f>
        <v>0</v>
      </c>
      <c r="X49" s="68">
        <f>W49/W12</f>
        <v>0</v>
      </c>
      <c r="Y49" s="295">
        <f>'0401'!Y49+'0402'!Y49+'0403'!Y49+'405'!Y49+'0406'!Y49+'0409'!Y49+'410-sahara'!Y49+'414-Al ghurair'!Y49+'415'!Y49+'Al Foah_418'!Y49+Rak_417!Y49+D.C.!Y49+'Wafi _419'!Y49</f>
        <v>0</v>
      </c>
      <c r="Z49" s="68">
        <f>Y49/Y12</f>
        <v>0</v>
      </c>
      <c r="AA49" s="382">
        <f t="shared" ref="AA49:AA76" si="27">C49+E49+G49+I49+K49+M49+O49+Q49+S49+U49+W49+Y49</f>
        <v>0</v>
      </c>
      <c r="AB49" s="147">
        <f>AA49/AA12</f>
        <v>0</v>
      </c>
      <c r="AC49" s="128">
        <f t="shared" si="19"/>
        <v>0</v>
      </c>
      <c r="AD49" s="131">
        <f>AC49/AC12</f>
        <v>0</v>
      </c>
      <c r="AE49" s="84">
        <f t="shared" si="25"/>
        <v>0</v>
      </c>
      <c r="AF49" s="33" t="e">
        <f>#REF!+'0401'!#REF!+'0402'!#REF!+'0403'!#REF!+#REF!+'405'!#REF!+'0406'!#REF!+D.C.!#REF!+#REF!+#REF!+'0409'!#REF!</f>
        <v>#REF!</v>
      </c>
      <c r="AG49" s="33" t="e">
        <f t="shared" si="26"/>
        <v>#REF!</v>
      </c>
      <c r="AH49" s="84">
        <f t="shared" si="6"/>
        <v>0</v>
      </c>
      <c r="AI49" s="33">
        <f>'0401'!AA49+'0402'!AA49+'0403'!AA49+'405'!AA49+'0406'!AA49+'0409'!AA49+'410-sahara'!AA49+'414-Al ghurair'!AA49+'415'!AA49+'Al Foah_418'!AA49+Rak_417!AA49+D.C.!AA49</f>
        <v>0</v>
      </c>
      <c r="AJ49" s="84">
        <f t="shared" si="7"/>
        <v>0</v>
      </c>
    </row>
    <row r="50" spans="1:36" customFormat="1">
      <c r="A50" s="188">
        <v>6109</v>
      </c>
      <c r="B50" s="188" t="s">
        <v>79</v>
      </c>
      <c r="C50" s="295">
        <f>'0401'!C50+'0402'!C50+'0403'!C50+'405'!C50+'0406'!C50+'0409'!C50+'410-sahara'!C50+'414-Al ghurair'!C50+'415'!C50+'Al Foah_418'!C50+Rak_417!C50+D.C.!C50+'Wafi _419'!C50</f>
        <v>0</v>
      </c>
      <c r="D50" s="68">
        <f>C50/C12</f>
        <v>0</v>
      </c>
      <c r="E50" s="295">
        <f>'0401'!E50+'0402'!E50+'0403'!E50+'405'!E50+'0406'!E50+'0409'!E50+'410-sahara'!E50+'414-Al ghurair'!E50+'415'!E50+'Al Foah_418'!E50+Rak_417!E50+D.C.!E50+'Wafi _419'!E50</f>
        <v>0</v>
      </c>
      <c r="F50" s="68">
        <f>E50/E12</f>
        <v>0</v>
      </c>
      <c r="G50" s="295">
        <f>'0401'!G50+'0402'!G50+'0403'!G50+'405'!G50+'0406'!G50+'0409'!G50+'410-sahara'!G50+'414-Al ghurair'!G50+'415'!G50+'Al Foah_418'!G50+Rak_417!G50+D.C.!G50+'Wafi _419'!G50</f>
        <v>0</v>
      </c>
      <c r="H50" s="68">
        <f>G50/G12</f>
        <v>0</v>
      </c>
      <c r="I50" s="295">
        <f>'0401'!I50+'0402'!I50+'0403'!I50+'405'!I50+'0406'!I50+'0409'!I50+'410-sahara'!I50+'414-Al ghurair'!I50+'415'!I50+'Al Foah_418'!I50+Rak_417!I50+D.C.!I50+'Wafi _419'!I50</f>
        <v>0</v>
      </c>
      <c r="J50" s="68">
        <f>I50/I12</f>
        <v>0</v>
      </c>
      <c r="K50" s="295">
        <f>'0401'!K50+'0402'!K50+'0403'!K50+'405'!K50+'0406'!K50+'0409'!K50+'410-sahara'!K50+'414-Al ghurair'!K50+'415'!K50+'Al Foah_418'!K50+Rak_417!K50+D.C.!K50+'Wafi _419'!K50</f>
        <v>0</v>
      </c>
      <c r="L50" s="68">
        <f>K50/K12</f>
        <v>0</v>
      </c>
      <c r="M50" s="295">
        <f>'0401'!M50+'0402'!M50+'0403'!M50+'405'!M50+'0406'!M50+'0409'!M50+'410-sahara'!M50+'414-Al ghurair'!M50+'415'!M50+'Al Foah_418'!M50+Rak_417!M50+D.C.!M50+'Wafi _419'!M50</f>
        <v>0</v>
      </c>
      <c r="N50" s="68">
        <f>M50/M12</f>
        <v>0</v>
      </c>
      <c r="O50" s="295">
        <f>'0401'!O50+'0402'!O50+'0403'!O50+'405'!O50+'0406'!O50+'0409'!O50+'410-sahara'!O50+'414-Al ghurair'!O50+'415'!O50+'Al Foah_418'!O50+Rak_417!O50+D.C.!O50+'Wafi _419'!O50</f>
        <v>0</v>
      </c>
      <c r="P50" s="68">
        <f>O50/O12</f>
        <v>0</v>
      </c>
      <c r="Q50" s="295">
        <f>'0401'!Q50+'0402'!Q50+'0403'!Q50+'405'!Q50+'0406'!Q50+'0409'!Q50+'410-sahara'!Q50+'414-Al ghurair'!Q50+'415'!Q50+'Al Foah_418'!Q50+Rak_417!Q50+D.C.!Q50+'Wafi _419'!Q50</f>
        <v>0</v>
      </c>
      <c r="R50" s="68">
        <f>Q50/Q12</f>
        <v>0</v>
      </c>
      <c r="S50" s="295">
        <f>'0401'!S50+'0402'!S50+'0403'!S50+'405'!S50+'0406'!S50+'0409'!S50+'410-sahara'!S50+'414-Al ghurair'!S50+'415'!S50+'Al Foah_418'!S50+Rak_417!S50+D.C.!S50+'Wafi _419'!S50</f>
        <v>0</v>
      </c>
      <c r="T50" s="68">
        <f>S50/S12</f>
        <v>0</v>
      </c>
      <c r="U50" s="295">
        <f>'0401'!U50+'0402'!U50+'0403'!U50+'405'!U50+'0406'!U50+'0409'!U50+'410-sahara'!U50+'414-Al ghurair'!U50+'415'!U50+'Al Foah_418'!U50+Rak_417!U50+D.C.!U50+'Wafi _419'!U50</f>
        <v>0</v>
      </c>
      <c r="V50" s="68">
        <f>U50/U12</f>
        <v>0</v>
      </c>
      <c r="W50" s="295">
        <f>'0401'!W50+'0402'!W50+'0403'!W50+'405'!W50+'0406'!W50+'0409'!W50+'410-sahara'!W50+'414-Al ghurair'!W50+'415'!W50+'Al Foah_418'!W50+Rak_417!W50+D.C.!W50+'Wafi _419'!W50</f>
        <v>0</v>
      </c>
      <c r="X50" s="68">
        <f>W50/W12</f>
        <v>0</v>
      </c>
      <c r="Y50" s="295">
        <f>'0401'!Y50+'0402'!Y50+'0403'!Y50+'405'!Y50+'0406'!Y50+'0409'!Y50+'410-sahara'!Y50+'414-Al ghurair'!Y50+'415'!Y50+'Al Foah_418'!Y50+Rak_417!Y50+D.C.!Y50+'Wafi _419'!Y50</f>
        <v>0</v>
      </c>
      <c r="Z50" s="68">
        <f>Y50/Y12</f>
        <v>0</v>
      </c>
      <c r="AA50" s="382">
        <f t="shared" si="27"/>
        <v>0</v>
      </c>
      <c r="AB50" s="147">
        <f>AA50/AA12</f>
        <v>0</v>
      </c>
      <c r="AC50" s="128">
        <f t="shared" si="19"/>
        <v>0</v>
      </c>
      <c r="AD50" s="131">
        <f>AC50/AC12</f>
        <v>0</v>
      </c>
      <c r="AE50" s="84">
        <f t="shared" si="25"/>
        <v>0</v>
      </c>
      <c r="AF50" s="33" t="e">
        <f>#REF!+'0401'!#REF!+'0402'!#REF!+'0403'!#REF!+#REF!+'405'!#REF!+'0406'!#REF!+D.C.!#REF!+#REF!+#REF!+'0409'!#REF!</f>
        <v>#REF!</v>
      </c>
      <c r="AG50" s="33" t="e">
        <f t="shared" si="26"/>
        <v>#REF!</v>
      </c>
      <c r="AH50" s="84">
        <f t="shared" si="6"/>
        <v>0</v>
      </c>
      <c r="AI50" s="33">
        <f>'0401'!AA50+'0402'!AA50+'0403'!AA50+'405'!AA50+'0406'!AA50+'0409'!AA50+'410-sahara'!AA50+'414-Al ghurair'!AA50+'415'!AA50+'Al Foah_418'!AA50+Rak_417!AA50+D.C.!AA50</f>
        <v>0</v>
      </c>
      <c r="AJ50" s="84">
        <f t="shared" si="7"/>
        <v>0</v>
      </c>
    </row>
    <row r="51" spans="1:36" customFormat="1">
      <c r="A51" s="188">
        <v>6110</v>
      </c>
      <c r="B51" s="188" t="s">
        <v>9</v>
      </c>
      <c r="C51" s="295">
        <f>'0401'!C51+'0402'!C51+'0403'!C51+'405'!C51+'0406'!C51+'0409'!C51+'410-sahara'!C51+'414-Al ghurair'!C51+'415'!C51+'Al Foah_418'!C51+Rak_417!C51+D.C.!C51+'Wafi _419'!C51</f>
        <v>3100</v>
      </c>
      <c r="D51" s="68">
        <f>C51/C12</f>
        <v>2.8384910102097856E-4</v>
      </c>
      <c r="E51" s="295">
        <f>'0401'!E51+'0402'!E51+'0403'!E51+'405'!E51+'0406'!E51+'0409'!E51+'410-sahara'!E51+'414-Al ghurair'!E51+'415'!E51+'Al Foah_418'!E51+Rak_417!E51+D.C.!E51+'Wafi _419'!E51</f>
        <v>3100</v>
      </c>
      <c r="F51" s="68">
        <f>E51/E12</f>
        <v>3.6484387951850436E-4</v>
      </c>
      <c r="G51" s="295">
        <f>'0401'!G51+'0402'!G51+'0403'!G51+'405'!G51+'0406'!G51+'0409'!G51+'410-sahara'!G51+'414-Al ghurair'!G51+'415'!G51+'Al Foah_418'!G51+Rak_417!G51+D.C.!G51+'Wafi _419'!G51</f>
        <v>3100</v>
      </c>
      <c r="H51" s="68">
        <f>G51/G12</f>
        <v>2.1994744067202707E-4</v>
      </c>
      <c r="I51" s="295">
        <f>'0401'!I51+'0402'!I51+'0403'!I51+'405'!I51+'0406'!I51+'0409'!I51+'410-sahara'!I51+'414-Al ghurair'!I51+'415'!I51+'Al Foah_418'!I51+Rak_417!I51+D.C.!I51+'Wafi _419'!I51</f>
        <v>3100</v>
      </c>
      <c r="J51" s="68">
        <f>I51/I12</f>
        <v>2.4909271585141891E-4</v>
      </c>
      <c r="K51" s="295">
        <f>'0401'!K51+'0402'!K51+'0403'!K51+'405'!K51+'0406'!K51+'0409'!K51+'410-sahara'!K51+'414-Al ghurair'!K51+'415'!K51+'Al Foah_418'!K51+Rak_417!K51+D.C.!K51+'Wafi _419'!K51</f>
        <v>3100</v>
      </c>
      <c r="L51" s="68">
        <f>K51/K12</f>
        <v>2.7235098417103788E-4</v>
      </c>
      <c r="M51" s="295">
        <f>'0401'!M51+'0402'!M51+'0403'!M51+'405'!M51+'0406'!M51+'0409'!M51+'410-sahara'!M51+'414-Al ghurair'!M51+'415'!M51+'Al Foah_418'!M51+Rak_417!M51+D.C.!M51+'Wafi _419'!M51</f>
        <v>3100</v>
      </c>
      <c r="N51" s="68">
        <f>M51/M12</f>
        <v>1.9206885634677465E-4</v>
      </c>
      <c r="O51" s="295">
        <f>'0401'!O51+'0402'!O51+'0403'!O51+'405'!O51+'0406'!O51+'0409'!O51+'410-sahara'!O51+'414-Al ghurair'!O51+'415'!O51+'Al Foah_418'!O51+Rak_417!O51+D.C.!O51+'Wafi _419'!O51</f>
        <v>3100</v>
      </c>
      <c r="P51" s="68">
        <f>O51/O12</f>
        <v>3.0337333426383884E-4</v>
      </c>
      <c r="Q51" s="295">
        <f>'0401'!Q51+'0402'!Q51+'0403'!Q51+'405'!Q51+'0406'!Q51+'0409'!Q51+'410-sahara'!Q51+'414-Al ghurair'!Q51+'415'!Q51+'Al Foah_418'!Q51+Rak_417!Q51+D.C.!Q51+'Wafi _419'!Q51</f>
        <v>3100</v>
      </c>
      <c r="R51" s="68">
        <f>Q51/Q12</f>
        <v>2.4431328594540821E-4</v>
      </c>
      <c r="S51" s="295">
        <f>'0401'!S51+'0402'!S51+'0403'!S51+'405'!S51+'0406'!S51+'0409'!S51+'410-sahara'!S51+'414-Al ghurair'!S51+'415'!S51+'Al Foah_418'!S51+Rak_417!S51+D.C.!S51+'Wafi _419'!S51</f>
        <v>3100</v>
      </c>
      <c r="T51" s="68">
        <f>S51/S12</f>
        <v>2.4252363052409382E-4</v>
      </c>
      <c r="U51" s="295">
        <f>'0401'!U51+'0402'!U51+'0403'!U51+'405'!U51+'0406'!U51+'0409'!U51+'410-sahara'!U51+'414-Al ghurair'!U51+'415'!U51+'Al Foah_418'!U51+Rak_417!U51+D.C.!U51+'Wafi _419'!U51</f>
        <v>3100</v>
      </c>
      <c r="V51" s="68">
        <f>U51/U12</f>
        <v>3.0575092990564931E-4</v>
      </c>
      <c r="W51" s="295">
        <f>'0401'!W51+'0402'!W51+'0403'!W51+'405'!W51+'0406'!W51+'0409'!W51+'410-sahara'!W51+'414-Al ghurair'!W51+'415'!W51+'Al Foah_418'!W51+Rak_417!W51+D.C.!W51+'Wafi _419'!W51</f>
        <v>3100</v>
      </c>
      <c r="X51" s="68">
        <f>W51/W12</f>
        <v>3.0050958319935883E-4</v>
      </c>
      <c r="Y51" s="295">
        <f>'0401'!Y51+'0402'!Y51+'0403'!Y51+'405'!Y51+'0406'!Y51+'0409'!Y51+'410-sahara'!Y51+'414-Al ghurair'!Y51+'415'!Y51+'Al Foah_418'!Y51+Rak_417!Y51+D.C.!Y51+'Wafi _419'!Y51</f>
        <v>3100</v>
      </c>
      <c r="Z51" s="68">
        <f>Y51/Y12</f>
        <v>1.9892556266172363E-4</v>
      </c>
      <c r="AA51" s="382">
        <f t="shared" si="27"/>
        <v>37200</v>
      </c>
      <c r="AB51" s="147">
        <f>AA51/AA12</f>
        <v>2.5618465870836353E-4</v>
      </c>
      <c r="AC51" s="128">
        <f t="shared" si="19"/>
        <v>3100</v>
      </c>
      <c r="AD51" s="131">
        <f>AC51/AC12</f>
        <v>2.5618465870836353E-4</v>
      </c>
      <c r="AE51" s="84">
        <f t="shared" si="25"/>
        <v>37200</v>
      </c>
      <c r="AF51" s="33" t="e">
        <f>#REF!+'0401'!#REF!+'0402'!#REF!+'0403'!#REF!+#REF!+'405'!#REF!+'0406'!#REF!+D.C.!#REF!+#REF!+#REF!+'0409'!#REF!</f>
        <v>#REF!</v>
      </c>
      <c r="AG51" s="33" t="e">
        <f t="shared" si="26"/>
        <v>#REF!</v>
      </c>
      <c r="AH51" s="84">
        <f t="shared" si="6"/>
        <v>0</v>
      </c>
      <c r="AI51" s="33">
        <f>'0401'!AA51+'0402'!AA51+'0403'!AA51+'405'!AA51+'0406'!AA51+'0409'!AA51+'410-sahara'!AA51+'414-Al ghurair'!AA51+'415'!AA51+'Al Foah_418'!AA51+Rak_417!AA51+D.C.!AA51</f>
        <v>34200</v>
      </c>
      <c r="AJ51" s="84">
        <f t="shared" si="7"/>
        <v>3000</v>
      </c>
    </row>
    <row r="52" spans="1:36" customFormat="1">
      <c r="A52" s="188">
        <v>6111</v>
      </c>
      <c r="B52" s="188" t="s">
        <v>10</v>
      </c>
      <c r="C52" s="295">
        <f>'0401'!C52+'0402'!C52+'0403'!C52+'405'!C52+'0406'!C52+'0409'!C52+'410-sahara'!C52+'414-Al ghurair'!C52+'415'!C52+'Al Foah_418'!C52+Rak_417!C52+D.C.!C52+'Wafi _419'!C52</f>
        <v>356900.16499999998</v>
      </c>
      <c r="D52" s="68">
        <f>C52/C12</f>
        <v>3.2679287415964167E-2</v>
      </c>
      <c r="E52" s="295">
        <f>'0401'!E52+'0402'!E52+'0403'!E52+'405'!E52+'0406'!E52+'0409'!E52+'410-sahara'!E52+'414-Al ghurair'!E52+'415'!E52+'Al Foah_418'!E52+Rak_417!E52+D.C.!E52+'Wafi _419'!E52</f>
        <v>356900.16499999998</v>
      </c>
      <c r="F52" s="68">
        <f>E52/E12</f>
        <v>4.2004142193353008E-2</v>
      </c>
      <c r="G52" s="295">
        <f>'0401'!G52+'0402'!G52+'0403'!G52+'405'!G52+'0406'!G52+'0409'!G52+'410-sahara'!G52+'414-Al ghurair'!G52+'415'!G52+'Al Foah_418'!G52+Rak_417!G52+D.C.!G52+'Wafi _419'!G52</f>
        <v>356900.16499999998</v>
      </c>
      <c r="H52" s="68">
        <f>G52/G12</f>
        <v>2.5322347699088442E-2</v>
      </c>
      <c r="I52" s="295">
        <f>'0401'!I52+'0402'!I52+'0403'!I52+'405'!I52+'0406'!I52+'0409'!I52+'410-sahara'!I52+'414-Al ghurair'!I52+'415'!I52+'Al Foah_418'!I52+Rak_417!I52+D.C.!I52+'Wafi _419'!I52</f>
        <v>356900.16499999998</v>
      </c>
      <c r="J52" s="68">
        <f>I52/I12</f>
        <v>2.8677816576667587E-2</v>
      </c>
      <c r="K52" s="295">
        <f>'0401'!K52+'0402'!K52+'0403'!K52+'405'!K52+'0406'!K52+'0409'!K52+'410-sahara'!K52+'414-Al ghurair'!K52+'415'!K52+'Al Foah_418'!K52+Rak_417!K52+D.C.!K52+'Wafi _419'!K52</f>
        <v>356900.16499999998</v>
      </c>
      <c r="L52" s="68">
        <f>K52/K12</f>
        <v>3.1355519738243812E-2</v>
      </c>
      <c r="M52" s="295">
        <f>'0401'!M52+'0402'!M52+'0403'!M52+'405'!M52+'0406'!M52+'0409'!M52+'410-sahara'!M52+'414-Al ghurair'!M52+'415'!M52+'Al Foah_418'!M52+Rak_417!M52+D.C.!M52+'Wafi _419'!M52</f>
        <v>356900.16499999998</v>
      </c>
      <c r="N52" s="68">
        <f>M52/M12</f>
        <v>2.2112711781137152E-2</v>
      </c>
      <c r="O52" s="295">
        <f>'0401'!O52+'0402'!O52+'0403'!O52+'405'!O52+'0406'!O52+'0409'!O52+'410-sahara'!O52+'414-Al ghurair'!O52+'415'!O52+'Al Foah_418'!O52+Rak_417!O52+D.C.!O52+'Wafi _419'!O52</f>
        <v>356900.16499999998</v>
      </c>
      <c r="P52" s="68">
        <f>O52/O12</f>
        <v>3.4927094533988463E-2</v>
      </c>
      <c r="Q52" s="295">
        <f>'0401'!Q52+'0402'!Q52+'0403'!Q52+'405'!Q52+'0406'!Q52+'0409'!Q52+'410-sahara'!Q52+'414-Al ghurair'!Q52+'415'!Q52+'Al Foah_418'!Q52+Rak_417!Q52+D.C.!Q52+'Wafi _419'!Q52</f>
        <v>359871.09166666667</v>
      </c>
      <c r="R52" s="68">
        <f>Q52/Q12</f>
        <v>2.836170610382082E-2</v>
      </c>
      <c r="S52" s="295">
        <f>'0401'!S52+'0402'!S52+'0403'!S52+'405'!S52+'0406'!S52+'0409'!S52+'410-sahara'!S52+'414-Al ghurair'!S52+'415'!S52+'Al Foah_418'!S52+Rak_417!S52+D.C.!S52+'Wafi _419'!S52</f>
        <v>359871.09166666667</v>
      </c>
      <c r="T52" s="68">
        <f>S52/S12</f>
        <v>2.8153949571506118E-2</v>
      </c>
      <c r="U52" s="295">
        <f>'0401'!U52+'0402'!U52+'0403'!U52+'405'!U52+'0406'!U52+'0409'!U52+'410-sahara'!U52+'414-Al ghurair'!U52+'415'!U52+'Al Foah_418'!U52+Rak_417!U52+D.C.!U52+'Wafi _419'!U52</f>
        <v>359870.995</v>
      </c>
      <c r="V52" s="68">
        <f>U52/U12</f>
        <v>3.5493835924942346E-2</v>
      </c>
      <c r="W52" s="295">
        <f>'0401'!W52+'0402'!W52+'0403'!W52+'405'!W52+'0406'!W52+'0409'!W52+'410-sahara'!W52+'414-Al ghurair'!W52+'415'!W52+'Al Foah_418'!W52+Rak_417!W52+D.C.!W52+'Wafi _419'!W52</f>
        <v>359870.995</v>
      </c>
      <c r="X52" s="68">
        <f>W52/W12</f>
        <v>3.4885381520318885E-2</v>
      </c>
      <c r="Y52" s="295">
        <f>'0401'!Y52+'0402'!Y52+'0403'!Y52+'405'!Y52+'0406'!Y52+'0409'!Y52+'410-sahara'!Y52+'414-Al ghurair'!Y52+'415'!Y52+'Al Foah_418'!Y52+Rak_417!Y52+D.C.!Y52+'Wafi _419'!Y52</f>
        <v>359870.995</v>
      </c>
      <c r="Z52" s="68">
        <f>Y52/Y12</f>
        <v>2.3092754892261078E-2</v>
      </c>
      <c r="AA52" s="382">
        <f t="shared" si="27"/>
        <v>4297656.3233333332</v>
      </c>
      <c r="AB52" s="147">
        <f>AA52/AA12</f>
        <v>2.9596602646209419E-2</v>
      </c>
      <c r="AC52" s="128">
        <f t="shared" si="19"/>
        <v>358138.02694444446</v>
      </c>
      <c r="AD52" s="131">
        <f>AC52/AC12</f>
        <v>2.9596602646209419E-2</v>
      </c>
      <c r="AE52" s="84">
        <f t="shared" si="25"/>
        <v>4297656.3233333332</v>
      </c>
      <c r="AF52" s="33" t="e">
        <f>#REF!+'0401'!#REF!+'0402'!#REF!+'0403'!#REF!+#REF!+'405'!#REF!+'0406'!#REF!+D.C.!#REF!+#REF!+#REF!+'0409'!#REF!</f>
        <v>#REF!</v>
      </c>
      <c r="AG52" s="33" t="e">
        <f t="shared" si="26"/>
        <v>#REF!</v>
      </c>
      <c r="AH52" s="84">
        <f t="shared" si="6"/>
        <v>0</v>
      </c>
      <c r="AI52" s="33">
        <f>'0401'!AA52+'0402'!AA52+'0403'!AA52+'405'!AA52+'0406'!AA52+'0409'!AA52+'410-sahara'!AA52+'414-Al ghurair'!AA52+'415'!AA52+'Al Foah_418'!AA52+Rak_417!AA52+D.C.!AA52</f>
        <v>3740881.2833333327</v>
      </c>
      <c r="AJ52" s="84">
        <f t="shared" si="7"/>
        <v>556775.0400000005</v>
      </c>
    </row>
    <row r="53" spans="1:36" customFormat="1">
      <c r="A53" s="188">
        <v>6112</v>
      </c>
      <c r="B53" s="188" t="s">
        <v>11</v>
      </c>
      <c r="C53" s="295">
        <f>'0401'!C53+'0402'!C53+'0403'!C53+'405'!C53+'0406'!C53+'0409'!C53+'410-sahara'!C53+'414-Al ghurair'!C53+'415'!C53+'Al Foah_418'!C53+Rak_417!C53+D.C.!C53+'Wafi _419'!C53</f>
        <v>33850</v>
      </c>
      <c r="D53" s="68">
        <f>C53/C12</f>
        <v>3.0994490546968146E-3</v>
      </c>
      <c r="E53" s="295">
        <f>'0401'!E53+'0402'!E53+'0403'!E53+'405'!E53+'0406'!E53+'0409'!E53+'410-sahara'!E53+'414-Al ghurair'!E53+'415'!E53+'Al Foah_418'!E53+Rak_417!E53+D.C.!E53+'Wafi _419'!E53</f>
        <v>33850</v>
      </c>
      <c r="F53" s="68">
        <f>E53/E12</f>
        <v>3.9838597811939916E-3</v>
      </c>
      <c r="G53" s="295">
        <f>'0401'!G53+'0402'!G53+'0403'!G53+'405'!G53+'0406'!G53+'0409'!G53+'410-sahara'!G53+'414-Al ghurair'!G53+'415'!G53+'Al Foah_418'!G53+Rak_417!G53+D.C.!G53+'Wafi _419'!G53</f>
        <v>33850</v>
      </c>
      <c r="H53" s="68">
        <f>G53/G12</f>
        <v>2.4016841505639084E-3</v>
      </c>
      <c r="I53" s="295">
        <f>'0401'!I53+'0402'!I53+'0403'!I53+'405'!I53+'0406'!I53+'0409'!I53+'410-sahara'!I53+'414-Al ghurair'!I53+'415'!I53+'Al Foah_418'!I53+Rak_417!I53+D.C.!I53+'Wafi _419'!I53</f>
        <v>33850</v>
      </c>
      <c r="J53" s="68">
        <f>I53/I12</f>
        <v>2.719931752119526E-3</v>
      </c>
      <c r="K53" s="295">
        <f>'0401'!K53+'0402'!K53+'0403'!K53+'405'!K53+'0406'!K53+'0409'!K53+'410-sahara'!K53+'414-Al ghurair'!K53+'415'!K53+'Al Foah_418'!K53+Rak_417!K53+D.C.!K53+'Wafi _419'!K53</f>
        <v>33850</v>
      </c>
      <c r="L53" s="68">
        <f>K53/K12</f>
        <v>2.9738970368353656E-3</v>
      </c>
      <c r="M53" s="295">
        <f>'0401'!M53+'0402'!M53+'0403'!M53+'405'!M53+'0406'!M53+'0409'!M53+'410-sahara'!M53+'414-Al ghurair'!M53+'415'!M53+'Al Foah_418'!M53+Rak_417!M53+D.C.!M53+'Wafi _419'!M53</f>
        <v>33850</v>
      </c>
      <c r="N53" s="68">
        <f>M53/M12</f>
        <v>2.0972679959155877E-3</v>
      </c>
      <c r="O53" s="295">
        <f>'0401'!O53+'0402'!O53+'0403'!O53+'405'!O53+'0406'!O53+'0409'!O53+'410-sahara'!O53+'414-Al ghurair'!O53+'415'!O53+'Al Foah_418'!O53+Rak_417!O53+D.C.!O53+'Wafi _419'!O53</f>
        <v>33850</v>
      </c>
      <c r="P53" s="68">
        <f>O53/O12</f>
        <v>3.3126410854293371E-3</v>
      </c>
      <c r="Q53" s="295">
        <f>'0401'!Q53+'0402'!Q53+'0403'!Q53+'405'!Q53+'0406'!Q53+'0409'!Q53+'410-sahara'!Q53+'414-Al ghurair'!Q53+'415'!Q53+'Al Foah_418'!Q53+Rak_417!Q53+D.C.!Q53+'Wafi _419'!Q53</f>
        <v>33850</v>
      </c>
      <c r="R53" s="68">
        <f>Q53/Q12</f>
        <v>2.6677434610490542E-3</v>
      </c>
      <c r="S53" s="295">
        <f>'0401'!S53+'0402'!S53+'0403'!S53+'405'!S53+'0406'!S53+'0409'!S53+'410-sahara'!S53+'414-Al ghurair'!S53+'415'!S53+'Al Foah_418'!S53+Rak_417!S53+D.C.!S53+'Wafi _419'!S53</f>
        <v>33850</v>
      </c>
      <c r="T53" s="68">
        <f>S53/S12</f>
        <v>2.6482015784647017E-3</v>
      </c>
      <c r="U53" s="295">
        <f>'0401'!U53+'0402'!U53+'0403'!U53+'405'!U53+'0406'!U53+'0409'!U53+'410-sahara'!U53+'414-Al ghurair'!U53+'415'!U53+'Al Foah_418'!U53+Rak_417!U53+D.C.!U53+'Wafi _419'!U53</f>
        <v>33850</v>
      </c>
      <c r="V53" s="68">
        <f>U53/U12</f>
        <v>3.3386028959052354E-3</v>
      </c>
      <c r="W53" s="295">
        <f>'0401'!W53+'0402'!W53+'0403'!W53+'405'!W53+'0406'!W53+'0409'!W53+'410-sahara'!W53+'414-Al ghurair'!W53+'415'!W53+'Al Foah_418'!W53+Rak_417!W53+D.C.!W53+'Wafi _419'!W53</f>
        <v>33850</v>
      </c>
      <c r="X53" s="68">
        <f>W53/W12</f>
        <v>3.2813707713865476E-3</v>
      </c>
      <c r="Y53" s="295">
        <f>'0401'!Y53+'0402'!Y53+'0403'!Y53+'405'!Y53+'0406'!Y53+'0409'!Y53+'410-sahara'!Y53+'414-Al ghurair'!Y53+'415'!Y53+'Al Foah_418'!Y53+Rak_417!Y53+D.C.!Y53+'Wafi _419'!Y53</f>
        <v>33850</v>
      </c>
      <c r="Z53" s="68">
        <f>Y53/Y12</f>
        <v>2.172138805193337E-3</v>
      </c>
      <c r="AA53" s="382">
        <f t="shared" si="27"/>
        <v>406200</v>
      </c>
      <c r="AB53" s="147">
        <f>AA53/AA12</f>
        <v>2.7973711926703566E-3</v>
      </c>
      <c r="AC53" s="128">
        <f t="shared" si="19"/>
        <v>33850</v>
      </c>
      <c r="AD53" s="131">
        <f>AC53/AC12</f>
        <v>2.7973711926703566E-3</v>
      </c>
      <c r="AE53" s="84">
        <f t="shared" si="25"/>
        <v>406200</v>
      </c>
      <c r="AF53" s="33" t="e">
        <f>#REF!+'0401'!#REF!+'0402'!#REF!+'0403'!#REF!+#REF!+'405'!#REF!+'0406'!#REF!+D.C.!#REF!+#REF!+#REF!+'0409'!#REF!</f>
        <v>#REF!</v>
      </c>
      <c r="AG53" s="33" t="e">
        <f t="shared" si="26"/>
        <v>#REF!</v>
      </c>
      <c r="AH53" s="84">
        <f t="shared" si="6"/>
        <v>0</v>
      </c>
      <c r="AI53" s="33">
        <f>'0401'!AA53+'0402'!AA53+'0403'!AA53+'405'!AA53+'0406'!AA53+'0409'!AA53+'410-sahara'!AA53+'414-Al ghurair'!AA53+'415'!AA53+'Al Foah_418'!AA53+Rak_417!AA53+D.C.!AA53</f>
        <v>343200</v>
      </c>
      <c r="AJ53" s="84">
        <f t="shared" si="7"/>
        <v>63000</v>
      </c>
    </row>
    <row r="54" spans="1:36" customFormat="1">
      <c r="A54" s="188">
        <v>6113</v>
      </c>
      <c r="B54" s="188" t="s">
        <v>12</v>
      </c>
      <c r="C54" s="295">
        <f>'0401'!C54+'0402'!C54+'0403'!C54+'405'!C54+'0406'!C54+'0409'!C54+'410-sahara'!C54+'414-Al ghurair'!C54+'415'!C54+'Al Foah_418'!C54+Rak_417!C54+D.C.!C54+'Wafi _419'!C54</f>
        <v>15750</v>
      </c>
      <c r="D54" s="68">
        <f>C54/C12</f>
        <v>1.4421365616388428E-3</v>
      </c>
      <c r="E54" s="295">
        <f>'0401'!E54+'0402'!E54+'0403'!E54+'405'!E54+'0406'!E54+'0409'!E54+'410-sahara'!E54+'414-Al ghurair'!E54+'415'!E54+'Al Foah_418'!E54+Rak_417!E54+D.C.!E54+'Wafi _419'!E54</f>
        <v>15750</v>
      </c>
      <c r="F54" s="68">
        <f>E54/E12</f>
        <v>1.8536422911020786E-3</v>
      </c>
      <c r="G54" s="295">
        <f>'0401'!G54+'0402'!G54+'0403'!G54+'405'!G54+'0406'!G54+'0409'!G54+'410-sahara'!G54+'414-Al ghurair'!G54+'415'!G54+'Al Foah_418'!G54+Rak_417!G54+D.C.!G54+'Wafi _419'!G54</f>
        <v>15750</v>
      </c>
      <c r="H54" s="68">
        <f>G54/G12</f>
        <v>1.1174749001885247E-3</v>
      </c>
      <c r="I54" s="295">
        <f>'0401'!I54+'0402'!I54+'0403'!I54+'405'!I54+'0406'!I54+'0409'!I54+'410-sahara'!I54+'414-Al ghurair'!I54+'415'!I54+'Al Foah_418'!I54+Rak_417!I54+D.C.!I54+'Wafi _419'!I54</f>
        <v>15750</v>
      </c>
      <c r="J54" s="68">
        <f>I54/I12</f>
        <v>1.2655517015031769E-3</v>
      </c>
      <c r="K54" s="295">
        <f>'0401'!K54+'0402'!K54+'0403'!K54+'405'!K54+'0406'!K54+'0409'!K54+'410-sahara'!K54+'414-Al ghurair'!K54+'415'!K54+'Al Foah_418'!K54+Rak_417!K54+D.C.!K54+'Wafi _419'!K54</f>
        <v>15750</v>
      </c>
      <c r="L54" s="68">
        <f>K54/K12</f>
        <v>1.383718709901241E-3</v>
      </c>
      <c r="M54" s="295">
        <f>'0401'!M54+'0402'!M54+'0403'!M54+'405'!M54+'0406'!M54+'0409'!M54+'410-sahara'!M54+'414-Al ghurair'!M54+'415'!M54+'Al Foah_418'!M54+Rak_417!M54+D.C.!M54+'Wafi _419'!M54</f>
        <v>15750</v>
      </c>
      <c r="N54" s="68">
        <f>M54/M12</f>
        <v>9.758337056328067E-4</v>
      </c>
      <c r="O54" s="295">
        <f>'0401'!O54+'0402'!O54+'0403'!O54+'405'!O54+'0406'!O54+'0409'!O54+'410-sahara'!O54+'414-Al ghurair'!O54+'415'!O54+'Al Foah_418'!O54+Rak_417!O54+D.C.!O54+'Wafi _419'!O54</f>
        <v>15750</v>
      </c>
      <c r="P54" s="68">
        <f>O54/O12</f>
        <v>1.5413322627920846E-3</v>
      </c>
      <c r="Q54" s="295">
        <f>'0401'!Q54+'0402'!Q54+'0403'!Q54+'405'!Q54+'0406'!Q54+'0409'!Q54+'410-sahara'!Q54+'414-Al ghurair'!Q54+'415'!Q54+'Al Foah_418'!Q54+Rak_417!Q54+D.C.!Q54+'Wafi _419'!Q54</f>
        <v>15750</v>
      </c>
      <c r="R54" s="68">
        <f>Q54/Q12</f>
        <v>1.2412691140774772E-3</v>
      </c>
      <c r="S54" s="295">
        <f>'0401'!S54+'0402'!S54+'0403'!S54+'405'!S54+'0406'!S54+'0409'!S54+'410-sahara'!S54+'414-Al ghurair'!S54+'415'!S54+'Al Foah_418'!S54+Rak_417!S54+D.C.!S54+'Wafi _419'!S54</f>
        <v>15225</v>
      </c>
      <c r="T54" s="68">
        <f>S54/S12</f>
        <v>1.1911039595901059E-3</v>
      </c>
      <c r="U54" s="295">
        <f>'0401'!U54+'0402'!U54+'0403'!U54+'405'!U54+'0406'!U54+'0409'!U54+'410-sahara'!U54+'414-Al ghurair'!U54+'415'!U54+'Al Foah_418'!U54+Rak_417!U54+D.C.!U54+'Wafi _419'!U54</f>
        <v>16500</v>
      </c>
      <c r="V54" s="68">
        <f>U54/U12</f>
        <v>1.6273839817558754E-3</v>
      </c>
      <c r="W54" s="295">
        <f>'0401'!W54+'0402'!W54+'0403'!W54+'405'!W54+'0406'!W54+'0409'!W54+'410-sahara'!W54+'414-Al ghurair'!W54+'415'!W54+'Al Foah_418'!W54+Rak_417!W54+D.C.!W54+'Wafi _419'!W54</f>
        <v>16500</v>
      </c>
      <c r="X54" s="68">
        <f>W54/W12</f>
        <v>1.5994864912223939E-3</v>
      </c>
      <c r="Y54" s="295">
        <f>'0401'!Y54+'0402'!Y54+'0403'!Y54+'405'!Y54+'0406'!Y54+'0409'!Y54+'410-sahara'!Y54+'414-Al ghurair'!Y54+'415'!Y54+'Al Foah_418'!Y54+Rak_417!Y54+D.C.!Y54+'Wafi _419'!Y54</f>
        <v>16500</v>
      </c>
      <c r="Z54" s="68">
        <f>Y54/Y12</f>
        <v>1.0587973496511097E-3</v>
      </c>
      <c r="AA54" s="382">
        <f t="shared" si="27"/>
        <v>190725</v>
      </c>
      <c r="AB54" s="147">
        <f>AA54/AA12</f>
        <v>1.3134628772084041E-3</v>
      </c>
      <c r="AC54" s="128">
        <f t="shared" si="19"/>
        <v>15893.75</v>
      </c>
      <c r="AD54" s="131">
        <f>AC54/AC12</f>
        <v>1.3134628772084041E-3</v>
      </c>
      <c r="AE54" s="84">
        <f t="shared" si="25"/>
        <v>190725</v>
      </c>
      <c r="AF54" s="33" t="e">
        <f>#REF!+'0401'!#REF!+'0402'!#REF!+'0403'!#REF!+#REF!+'405'!#REF!+'0406'!#REF!+D.C.!#REF!+#REF!+#REF!+'0409'!#REF!</f>
        <v>#REF!</v>
      </c>
      <c r="AG54" s="33" t="e">
        <f t="shared" si="26"/>
        <v>#REF!</v>
      </c>
      <c r="AH54" s="84">
        <f t="shared" si="6"/>
        <v>0</v>
      </c>
      <c r="AI54" s="33">
        <f>'0401'!AA54+'0402'!AA54+'0403'!AA54+'405'!AA54+'0406'!AA54+'0409'!AA54+'410-sahara'!AA54+'414-Al ghurair'!AA54+'415'!AA54+'Al Foah_418'!AA54+Rak_417!AA54+D.C.!AA54</f>
        <v>190725</v>
      </c>
      <c r="AJ54" s="84">
        <f t="shared" si="7"/>
        <v>0</v>
      </c>
    </row>
    <row r="55" spans="1:36" customFormat="1">
      <c r="A55" s="188">
        <v>6114</v>
      </c>
      <c r="B55" s="188" t="s">
        <v>88</v>
      </c>
      <c r="C55" s="295">
        <f>'0401'!C55+'0402'!C55+'0403'!C55+'405'!C55+'0406'!C55+'0409'!C55+'410-sahara'!C55+'414-Al ghurair'!C55+'415'!C55+'Al Foah_418'!C55+Rak_417!C55+D.C.!C55+'Wafi _419'!C55</f>
        <v>28700.48</v>
      </c>
      <c r="D55" s="68">
        <f>C55/C12</f>
        <v>2.6279372409259922E-3</v>
      </c>
      <c r="E55" s="295">
        <f>'0401'!E55+'0402'!E55+'0403'!E55+'405'!E55+'0406'!E55+'0409'!E55+'410-sahara'!E55+'414-Al ghurair'!E55+'415'!E55+'Al Foah_418'!E55+Rak_417!E55+D.C.!E55+'Wafi _419'!E55</f>
        <v>27336.23</v>
      </c>
      <c r="F55" s="68">
        <f>E55/E12</f>
        <v>3.217243936971008E-3</v>
      </c>
      <c r="G55" s="295">
        <f>'0401'!G55+'0402'!G55+'0403'!G55+'405'!G55+'0406'!G55+'0409'!G55+'410-sahara'!G55+'414-Al ghurair'!G55+'415'!G55+'Al Foah_418'!G55+Rak_417!G55+D.C.!G55+'Wafi _419'!G55</f>
        <v>28638.73</v>
      </c>
      <c r="H55" s="68">
        <f>G55/G12</f>
        <v>2.0319404411603876E-3</v>
      </c>
      <c r="I55" s="295">
        <f>'0401'!I55+'0402'!I55+'0403'!I55+'405'!I55+'0406'!I55+'0409'!I55+'410-sahara'!I55+'414-Al ghurair'!I55+'415'!I55+'Al Foah_418'!I55+Rak_417!I55+D.C.!I55+'Wafi _419'!I55</f>
        <v>41065.46</v>
      </c>
      <c r="J55" s="68">
        <f>I55/I12</f>
        <v>3.2997119222863904E-3</v>
      </c>
      <c r="K55" s="295">
        <f>'0401'!K55+'0402'!K55+'0403'!K55+'405'!K55+'0406'!K55+'0409'!K55+'410-sahara'!K55+'414-Al ghurair'!K55+'415'!K55+'Al Foah_418'!K55+Rak_417!K55+D.C.!K55+'Wafi _419'!K55</f>
        <v>41692.630000000005</v>
      </c>
      <c r="L55" s="68">
        <f>K55/K12</f>
        <v>3.6629125203803035E-3</v>
      </c>
      <c r="M55" s="295">
        <f>'0401'!M55+'0402'!M55+'0403'!M55+'405'!M55+'0406'!M55+'0409'!M55+'410-sahara'!M55+'414-Al ghurair'!M55+'415'!M55+'Al Foah_418'!M55+Rak_417!M55+D.C.!M55+'Wafi _419'!M55</f>
        <v>43835.03</v>
      </c>
      <c r="N55" s="68">
        <f>M55/M12</f>
        <v>2.7159174451698571E-3</v>
      </c>
      <c r="O55" s="295">
        <f>'0401'!O55+'0402'!O55+'0403'!O55+'405'!O55+'0406'!O55+'0409'!O55+'410-sahara'!O55+'414-Al ghurair'!O55+'415'!O55+'Al Foah_418'!O55+Rak_417!O55+D.C.!O55+'Wafi _419'!O55</f>
        <v>41600.229999999996</v>
      </c>
      <c r="P55" s="68">
        <f>O55/O12</f>
        <v>4.0710969294330893E-3</v>
      </c>
      <c r="Q55" s="295">
        <f>'0401'!Q55+'0402'!Q55+'0403'!Q55+'405'!Q55+'0406'!Q55+'0409'!Q55+'410-sahara'!Q55+'414-Al ghurair'!Q55+'415'!Q55+'Al Foah_418'!Q55+Rak_417!Q55+D.C.!Q55+'Wafi _419'!Q55</f>
        <v>40299.81</v>
      </c>
      <c r="R55" s="68">
        <f>Q55/Q12</f>
        <v>3.1760577432502E-3</v>
      </c>
      <c r="S55" s="295">
        <f>'0401'!S55+'0402'!S55+'0403'!S55+'405'!S55+'0406'!S55+'0409'!S55+'410-sahara'!S55+'414-Al ghurair'!S55+'415'!S55+'Al Foah_418'!S55+Rak_417!S55+D.C.!S55+'Wafi _419'!S55</f>
        <v>52730.84</v>
      </c>
      <c r="T55" s="68">
        <f>S55/S12</f>
        <v>4.1253144378661632E-3</v>
      </c>
      <c r="U55" s="295">
        <f>'0401'!U55+'0402'!U55+'0403'!U55+'405'!U55+'0406'!U55+'0409'!U55+'410-sahara'!U55+'414-Al ghurair'!U55+'415'!U55+'Al Foah_418'!U55+Rak_417!U55+D.C.!U55+'Wafi _419'!U55</f>
        <v>24250</v>
      </c>
      <c r="V55" s="68">
        <f>U55/U12</f>
        <v>2.3917613065199987E-3</v>
      </c>
      <c r="W55" s="295">
        <f>'0401'!W55+'0402'!W55+'0403'!W55+'405'!W55+'0406'!W55+'0409'!W55+'410-sahara'!W55+'414-Al ghurair'!W55+'415'!W55+'Al Foah_418'!W55+Rak_417!W55+D.C.!W55+'Wafi _419'!W55</f>
        <v>24250</v>
      </c>
      <c r="X55" s="68">
        <f>W55/W12</f>
        <v>2.3507604492207911E-3</v>
      </c>
      <c r="Y55" s="295">
        <f>'0401'!Y55+'0402'!Y55+'0403'!Y55+'405'!Y55+'0406'!Y55+'0409'!Y55+'410-sahara'!Y55+'414-Al ghurair'!Y55+'415'!Y55+'Al Foah_418'!Y55+Rak_417!Y55+D.C.!Y55+'Wafi _419'!Y55</f>
        <v>26250</v>
      </c>
      <c r="Z55" s="68">
        <f>Y55/Y12</f>
        <v>1.6844503289904019E-3</v>
      </c>
      <c r="AA55" s="382">
        <f t="shared" si="27"/>
        <v>420649.43999999994</v>
      </c>
      <c r="AB55" s="147">
        <f>AA55/AA12</f>
        <v>2.8968799253296833E-3</v>
      </c>
      <c r="AC55" s="128">
        <f t="shared" si="19"/>
        <v>35054.119999999995</v>
      </c>
      <c r="AD55" s="131">
        <f>AC55/AC12</f>
        <v>2.8968799253296833E-3</v>
      </c>
      <c r="AE55" s="84">
        <f t="shared" si="25"/>
        <v>420649.43999999994</v>
      </c>
      <c r="AF55" s="33" t="e">
        <f>#REF!+'0401'!#REF!+'0402'!#REF!+'0403'!#REF!+#REF!+'405'!#REF!+'0406'!#REF!+D.C.!#REF!+#REF!+#REF!+'0409'!#REF!</f>
        <v>#REF!</v>
      </c>
      <c r="AG55" s="33" t="e">
        <f t="shared" si="26"/>
        <v>#REF!</v>
      </c>
      <c r="AH55" s="84">
        <f t="shared" si="6"/>
        <v>0</v>
      </c>
      <c r="AI55" s="33">
        <f>'0401'!AA55+'0402'!AA55+'0403'!AA55+'405'!AA55+'0406'!AA55+'0409'!AA55+'410-sahara'!AA55+'414-Al ghurair'!AA55+'415'!AA55+'Al Foah_418'!AA55+Rak_417!AA55+D.C.!AA55</f>
        <v>406249.44</v>
      </c>
      <c r="AJ55" s="84">
        <f t="shared" si="7"/>
        <v>14399.999999999942</v>
      </c>
    </row>
    <row r="56" spans="1:36" customFormat="1">
      <c r="A56" s="188">
        <v>6115</v>
      </c>
      <c r="B56" s="188" t="s">
        <v>13</v>
      </c>
      <c r="C56" s="295">
        <f>'0401'!C56+'0402'!C56+'0403'!C56+'405'!C56+'0406'!C56+'0409'!C56+'410-sahara'!C56+'414-Al ghurair'!C56+'415'!C56+'Al Foah_418'!C56+Rak_417!C56+D.C.!C56+'Wafi _419'!C56</f>
        <v>2740.67</v>
      </c>
      <c r="D56" s="68">
        <f>C56/C12</f>
        <v>2.5094732764360177E-4</v>
      </c>
      <c r="E56" s="295">
        <f>'0401'!E56+'0402'!E56+'0403'!E56+'405'!E56+'0406'!E56+'0409'!E56+'410-sahara'!E56+'414-Al ghurair'!E56+'415'!E56+'Al Foah_418'!E56+Rak_417!E56+D.C.!E56+'Wafi _419'!E56</f>
        <v>2955.08</v>
      </c>
      <c r="F56" s="68">
        <f>E56/E12</f>
        <v>3.4778801660888449E-4</v>
      </c>
      <c r="G56" s="295">
        <f>'0401'!G56+'0402'!G56+'0403'!G56+'405'!G56+'0406'!G56+'0409'!G56+'410-sahara'!G56+'414-Al ghurair'!G56+'415'!G56+'Al Foah_418'!G56+Rak_417!G56+D.C.!G56+'Wafi _419'!G56</f>
        <v>7063.7799999999988</v>
      </c>
      <c r="H56" s="68">
        <f>G56/G12</f>
        <v>5.0118075240975846E-4</v>
      </c>
      <c r="I56" s="295">
        <f>'0401'!I56+'0402'!I56+'0403'!I56+'405'!I56+'0406'!I56+'0409'!I56+'410-sahara'!I56+'414-Al ghurair'!I56+'415'!I56+'Al Foah_418'!I56+Rak_417!I56+D.C.!I56+'Wafi _419'!I56</f>
        <v>2251</v>
      </c>
      <c r="J56" s="68">
        <f>I56/I12</f>
        <v>1.8087345270372386E-4</v>
      </c>
      <c r="K56" s="295">
        <f>'0401'!K56+'0402'!K56+'0403'!K56+'405'!K56+'0406'!K56+'0409'!K56+'410-sahara'!K56+'414-Al ghurair'!K56+'415'!K56+'Al Foah_418'!K56+Rak_417!K56+D.C.!K56+'Wafi _419'!K56</f>
        <v>2763.1800000000003</v>
      </c>
      <c r="L56" s="68">
        <f>K56/K12</f>
        <v>2.4275961046507373E-4</v>
      </c>
      <c r="M56" s="295">
        <f>'0401'!M56+'0402'!M56+'0403'!M56+'405'!M56+'0406'!M56+'0409'!M56+'410-sahara'!M56+'414-Al ghurair'!M56+'415'!M56+'Al Foah_418'!M56+Rak_417!M56+D.C.!M56+'Wafi _419'!M56</f>
        <v>3084.28</v>
      </c>
      <c r="N56" s="68">
        <f>M56/M12</f>
        <v>1.9109488137200974E-4</v>
      </c>
      <c r="O56" s="295">
        <f>'0401'!O56+'0402'!O56+'0403'!O56+'405'!O56+'0406'!O56+'0409'!O56+'410-sahara'!O56+'414-Al ghurair'!O56+'415'!O56+'Al Foah_418'!O56+Rak_417!O56+D.C.!O56+'Wafi _419'!O56</f>
        <v>2916.7</v>
      </c>
      <c r="P56" s="68">
        <f>O56/O12</f>
        <v>2.8543516259591574E-4</v>
      </c>
      <c r="Q56" s="295">
        <f>'0401'!Q56+'0402'!Q56+'0403'!Q56+'405'!Q56+'0406'!Q56+'0409'!Q56+'410-sahara'!Q56+'414-Al ghurair'!Q56+'415'!Q56+'Al Foah_418'!Q56+Rak_417!Q56+D.C.!Q56+'Wafi _419'!Q56</f>
        <v>2772.08</v>
      </c>
      <c r="R56" s="68">
        <f>Q56/Q12</f>
        <v>2.1846966893662809E-4</v>
      </c>
      <c r="S56" s="295">
        <f>'0401'!S56+'0402'!S56+'0403'!S56+'405'!S56+'0406'!S56+'0409'!S56+'410-sahara'!S56+'414-Al ghurair'!S56+'415'!S56+'Al Foah_418'!S56+Rak_417!S56+D.C.!S56+'Wafi _419'!S56</f>
        <v>2759.1400000000003</v>
      </c>
      <c r="T56" s="68">
        <f>S56/S12</f>
        <v>2.158569838465317E-4</v>
      </c>
      <c r="U56" s="295">
        <f>'0401'!U56+'0402'!U56+'0403'!U56+'405'!U56+'0406'!U56+'0409'!U56+'410-sahara'!U56+'414-Al ghurair'!U56+'415'!U56+'Al Foah_418'!U56+Rak_417!U56+D.C.!U56+'Wafi _419'!U56</f>
        <v>3200</v>
      </c>
      <c r="V56" s="68">
        <f>U56/U12</f>
        <v>3.1561386312841218E-4</v>
      </c>
      <c r="W56" s="295">
        <f>'0401'!W56+'0402'!W56+'0403'!W56+'405'!W56+'0406'!W56+'0409'!W56+'410-sahara'!W56+'414-Al ghurair'!W56+'415'!W56+'Al Foah_418'!W56+Rak_417!W56+D.C.!W56+'Wafi _419'!W56</f>
        <v>3200</v>
      </c>
      <c r="X56" s="68">
        <f>W56/W12</f>
        <v>3.1020344072191881E-4</v>
      </c>
      <c r="Y56" s="295">
        <f>'0401'!Y56+'0402'!Y56+'0403'!Y56+'405'!Y56+'0406'!Y56+'0409'!Y56+'410-sahara'!Y56+'414-Al ghurair'!Y56+'415'!Y56+'Al Foah_418'!Y56+Rak_417!Y56+D.C.!Y56+'Wafi _419'!Y56</f>
        <v>3200</v>
      </c>
      <c r="Z56" s="68">
        <f>Y56/Y12</f>
        <v>2.0534251629597279E-4</v>
      </c>
      <c r="AA56" s="382">
        <f t="shared" si="27"/>
        <v>38905.909999999996</v>
      </c>
      <c r="AB56" s="147">
        <f>AA56/AA12</f>
        <v>2.679327224486104E-4</v>
      </c>
      <c r="AC56" s="128">
        <f t="shared" si="19"/>
        <v>3242.1591666666664</v>
      </c>
      <c r="AD56" s="131">
        <f>AC56/AC12</f>
        <v>2.679327224486104E-4</v>
      </c>
      <c r="AE56" s="84">
        <f t="shared" si="25"/>
        <v>38905.909999999996</v>
      </c>
      <c r="AF56" s="33" t="e">
        <f>#REF!+'0401'!#REF!+'0402'!#REF!+'0403'!#REF!+#REF!+'405'!#REF!+'0406'!#REF!+D.C.!#REF!+#REF!+#REF!+'0409'!#REF!</f>
        <v>#REF!</v>
      </c>
      <c r="AG56" s="33" t="e">
        <f t="shared" si="26"/>
        <v>#REF!</v>
      </c>
      <c r="AH56" s="84">
        <f t="shared" si="6"/>
        <v>0</v>
      </c>
      <c r="AI56" s="33">
        <f>'0401'!AA56+'0402'!AA56+'0403'!AA56+'405'!AA56+'0406'!AA56+'0409'!AA56+'410-sahara'!AA56+'414-Al ghurair'!AA56+'415'!AA56+'Al Foah_418'!AA56+Rak_417!AA56+D.C.!AA56</f>
        <v>35905.909999999996</v>
      </c>
      <c r="AJ56" s="84">
        <f t="shared" si="7"/>
        <v>3000</v>
      </c>
    </row>
    <row r="57" spans="1:36" customFormat="1">
      <c r="A57" s="188">
        <v>6116</v>
      </c>
      <c r="B57" s="188" t="s">
        <v>14</v>
      </c>
      <c r="C57" s="295">
        <f>'0401'!C57+'0402'!C57+'0403'!C57+'405'!C57+'0406'!C57+'0409'!C57+'410-sahara'!C57+'414-Al ghurair'!C57+'415'!C57+'Al Foah_418'!C57+Rak_417!C57+D.C.!C57+'Wafi _419'!C57</f>
        <v>25758.880000000001</v>
      </c>
      <c r="D57" s="68">
        <f>C57/C12</f>
        <v>2.3585919133249241E-3</v>
      </c>
      <c r="E57" s="295">
        <f>'0401'!E57+'0402'!E57+'0403'!E57+'405'!E57+'0406'!E57+'0409'!E57+'410-sahara'!E57+'414-Al ghurair'!E57+'415'!E57+'Al Foah_418'!E57+Rak_417!E57+D.C.!E57+'Wafi _419'!E57</f>
        <v>25758.880000000001</v>
      </c>
      <c r="F57" s="68">
        <f>E57/E12</f>
        <v>3.0316031326618103E-3</v>
      </c>
      <c r="G57" s="295">
        <f>'0401'!G57+'0402'!G57+'0403'!G57+'405'!G57+'0406'!G57+'0409'!G57+'410-sahara'!G57+'414-Al ghurair'!G57+'415'!G57+'Al Foah_418'!G57+Rak_417!G57+D.C.!G57+'Wafi _419'!G57</f>
        <v>25758.880000000001</v>
      </c>
      <c r="H57" s="68">
        <f>G57/G12</f>
        <v>1.8276128163154403E-3</v>
      </c>
      <c r="I57" s="295">
        <f>'0401'!I57+'0402'!I57+'0403'!I57+'405'!I57+'0406'!I57+'0409'!I57+'410-sahara'!I57+'414-Al ghurair'!I57+'415'!I57+'Al Foah_418'!I57+Rak_417!I57+D.C.!I57+'Wafi _419'!I57</f>
        <v>25758.880000000001</v>
      </c>
      <c r="J57" s="68">
        <f>I57/I12</f>
        <v>2.0697901214486447E-3</v>
      </c>
      <c r="K57" s="295">
        <f>'0401'!K57+'0402'!K57+'0403'!K57+'405'!K57+'0406'!K57+'0409'!K57+'410-sahara'!K57+'414-Al ghurair'!K57+'415'!K57+'Al Foah_418'!K57+Rak_417!K57+D.C.!K57+'Wafi _419'!K57</f>
        <v>25758.880000000001</v>
      </c>
      <c r="L57" s="68">
        <f>K57/K12</f>
        <v>2.2630504255302148E-3</v>
      </c>
      <c r="M57" s="295">
        <f>'0401'!M57+'0402'!M57+'0403'!M57+'405'!M57+'0406'!M57+'0409'!M57+'410-sahara'!M57+'414-Al ghurair'!M57+'415'!M57+'Al Foah_418'!M57+Rak_417!M57+D.C.!M57+'Wafi _419'!M57</f>
        <v>24979.680000000004</v>
      </c>
      <c r="N57" s="68">
        <f>M57/M12</f>
        <v>1.547683409518839E-3</v>
      </c>
      <c r="O57" s="295">
        <f>'0401'!O57+'0402'!O57+'0403'!O57+'405'!O57+'0406'!O57+'0409'!O57+'410-sahara'!O57+'414-Al ghurair'!O57+'415'!O57+'Al Foah_418'!O57+Rak_417!O57+D.C.!O57+'Wafi _419'!O57</f>
        <v>24979.680000000004</v>
      </c>
      <c r="P57" s="68">
        <f>O57/O12</f>
        <v>2.4445705840141071E-3</v>
      </c>
      <c r="Q57" s="295">
        <f>'0401'!Q57+'0402'!Q57+'0403'!Q57+'405'!Q57+'0406'!Q57+'0409'!Q57+'410-sahara'!Q57+'414-Al ghurair'!Q57+'415'!Q57+'Al Foah_418'!Q57+Rak_417!Q57+D.C.!Q57+'Wafi _419'!Q57</f>
        <v>24979.680000000004</v>
      </c>
      <c r="R57" s="68">
        <f>Q57/Q12</f>
        <v>1.9686670008596113E-3</v>
      </c>
      <c r="S57" s="295">
        <f>'0401'!S57+'0402'!S57+'0403'!S57+'405'!S57+'0406'!S57+'0409'!S57+'410-sahara'!S57+'414-Al ghurair'!S57+'415'!S57+'Al Foah_418'!S57+Rak_417!S57+D.C.!S57+'Wafi _419'!S57</f>
        <v>24729.680000000004</v>
      </c>
      <c r="T57" s="68">
        <f>S57/S12</f>
        <v>1.9346876694513139E-3</v>
      </c>
      <c r="U57" s="295">
        <f>'0401'!U57+'0402'!U57+'0403'!U57+'405'!U57+'0406'!U57+'0409'!U57+'410-sahara'!U57+'414-Al ghurair'!U57+'415'!U57+'Al Foah_418'!U57+Rak_417!U57+D.C.!U57+'Wafi _419'!U57</f>
        <v>26758.880000000001</v>
      </c>
      <c r="V57" s="68">
        <f>U57/U12</f>
        <v>2.6392104655592521E-3</v>
      </c>
      <c r="W57" s="295">
        <f>'0401'!W57+'0402'!W57+'0403'!W57+'405'!W57+'0406'!W57+'0409'!W57+'410-sahara'!W57+'414-Al ghurair'!W57+'415'!W57+'Al Foah_418'!W57+Rak_417!W57+D.C.!W57+'Wafi _419'!W57</f>
        <v>26758.880000000001</v>
      </c>
      <c r="X57" s="68">
        <f>W57/W12</f>
        <v>2.5939677018327937E-3</v>
      </c>
      <c r="Y57" s="295">
        <f>'0401'!Y57+'0402'!Y57+'0403'!Y57+'405'!Y57+'0406'!Y57+'0409'!Y57+'410-sahara'!Y57+'414-Al ghurair'!Y57+'415'!Y57+'Al Foah_418'!Y57+Rak_417!Y57+D.C.!Y57+'Wafi _419'!Y57</f>
        <v>26758.880000000001</v>
      </c>
      <c r="Z57" s="68">
        <f>Y57/Y12</f>
        <v>1.717104922644369E-3</v>
      </c>
      <c r="AA57" s="382">
        <f t="shared" si="27"/>
        <v>308739.76</v>
      </c>
      <c r="AB57" s="147">
        <f>AA57/AA12</f>
        <v>2.1261932807876897E-3</v>
      </c>
      <c r="AC57" s="128">
        <f t="shared" si="19"/>
        <v>25728.313333333335</v>
      </c>
      <c r="AD57" s="131">
        <f>AC57/AC12</f>
        <v>2.1261932807876902E-3</v>
      </c>
      <c r="AE57" s="84">
        <f t="shared" si="25"/>
        <v>308739.76</v>
      </c>
      <c r="AF57" s="33" t="e">
        <f>#REF!+'0401'!#REF!+'0402'!#REF!+'0403'!#REF!+#REF!+'405'!#REF!+'0406'!#REF!+D.C.!#REF!+#REF!+#REF!+'0409'!#REF!</f>
        <v>#REF!</v>
      </c>
      <c r="AG57" s="33" t="e">
        <f t="shared" si="26"/>
        <v>#REF!</v>
      </c>
      <c r="AH57" s="84">
        <f t="shared" si="6"/>
        <v>0</v>
      </c>
      <c r="AI57" s="33">
        <f>'0401'!AA57+'0402'!AA57+'0403'!AA57+'405'!AA57+'0406'!AA57+'0409'!AA57+'410-sahara'!AA57+'414-Al ghurair'!AA57+'415'!AA57+'Al Foah_418'!AA57+Rak_417!AA57+D.C.!AA57</f>
        <v>296101.12</v>
      </c>
      <c r="AJ57" s="84">
        <f t="shared" si="7"/>
        <v>12638.640000000014</v>
      </c>
    </row>
    <row r="58" spans="1:36" customFormat="1">
      <c r="A58" s="188">
        <v>6117</v>
      </c>
      <c r="B58" s="188" t="s">
        <v>15</v>
      </c>
      <c r="C58" s="295">
        <f>'0401'!C58+'0402'!C58+'0403'!C58+'405'!C58+'0406'!C58+'0409'!C58+'410-sahara'!C58+'414-Al ghurair'!C58+'415'!C58+'Al Foah_418'!C58+Rak_417!C58+D.C.!C58+'Wafi _419'!C58</f>
        <v>0</v>
      </c>
      <c r="D58" s="68">
        <f>C58/C12</f>
        <v>0</v>
      </c>
      <c r="E58" s="295">
        <f>'0401'!E58+'0402'!E58+'0403'!E58+'405'!E58+'0406'!E58+'0409'!E58+'410-sahara'!E58+'414-Al ghurair'!E58+'415'!E58+'Al Foah_418'!E58+Rak_417!E58+D.C.!E58+'Wafi _419'!E58</f>
        <v>0</v>
      </c>
      <c r="F58" s="68">
        <f>E58/E12</f>
        <v>0</v>
      </c>
      <c r="G58" s="295">
        <f>'0401'!G58+'0402'!G58+'0403'!G58+'405'!G58+'0406'!G58+'0409'!G58+'410-sahara'!G58+'414-Al ghurair'!G58+'415'!G58+'Al Foah_418'!G58+Rak_417!G58+D.C.!G58+'Wafi _419'!G58</f>
        <v>0</v>
      </c>
      <c r="H58" s="68">
        <f>G58/G12</f>
        <v>0</v>
      </c>
      <c r="I58" s="295">
        <f>'0401'!I58+'0402'!I58+'0403'!I58+'405'!I58+'0406'!I58+'0409'!I58+'410-sahara'!I58+'414-Al ghurair'!I58+'415'!I58+'Al Foah_418'!I58+Rak_417!I58+D.C.!I58+'Wafi _419'!I58</f>
        <v>0</v>
      </c>
      <c r="J58" s="68">
        <f>I58/I12</f>
        <v>0</v>
      </c>
      <c r="K58" s="295">
        <f>'0401'!K58+'0402'!K58+'0403'!K58+'405'!K58+'0406'!K58+'0409'!K58+'410-sahara'!K58+'414-Al ghurair'!K58+'415'!K58+'Al Foah_418'!K58+Rak_417!K58+D.C.!K58+'Wafi _419'!K58</f>
        <v>0</v>
      </c>
      <c r="L58" s="68">
        <f>K58/K12</f>
        <v>0</v>
      </c>
      <c r="M58" s="295">
        <f>'0401'!M58+'0402'!M58+'0403'!M58+'405'!M58+'0406'!M58+'0409'!M58+'410-sahara'!M58+'414-Al ghurair'!M58+'415'!M58+'Al Foah_418'!M58+Rak_417!M58+D.C.!M58+'Wafi _419'!M58</f>
        <v>0</v>
      </c>
      <c r="N58" s="68">
        <f>M58/M12</f>
        <v>0</v>
      </c>
      <c r="O58" s="295">
        <f>'0401'!O58+'0402'!O58+'0403'!O58+'405'!O58+'0406'!O58+'0409'!O58+'410-sahara'!O58+'414-Al ghurair'!O58+'415'!O58+'Al Foah_418'!O58+Rak_417!O58+D.C.!O58+'Wafi _419'!O58</f>
        <v>0</v>
      </c>
      <c r="P58" s="68">
        <f>O58/O12</f>
        <v>0</v>
      </c>
      <c r="Q58" s="295">
        <f>'0401'!Q58+'0402'!Q58+'0403'!Q58+'405'!Q58+'0406'!Q58+'0409'!Q58+'410-sahara'!Q58+'414-Al ghurair'!Q58+'415'!Q58+'Al Foah_418'!Q58+Rak_417!Q58+D.C.!Q58+'Wafi _419'!Q58</f>
        <v>0</v>
      </c>
      <c r="R58" s="68">
        <f>Q58/Q12</f>
        <v>0</v>
      </c>
      <c r="S58" s="295">
        <f>'0401'!S58+'0402'!S58+'0403'!S58+'405'!S58+'0406'!S58+'0409'!S58+'410-sahara'!S58+'414-Al ghurair'!S58+'415'!S58+'Al Foah_418'!S58+Rak_417!S58+D.C.!S58+'Wafi _419'!S58</f>
        <v>0</v>
      </c>
      <c r="T58" s="68">
        <f>S58/S12</f>
        <v>0</v>
      </c>
      <c r="U58" s="295">
        <f>'0401'!U58+'0402'!U58+'0403'!U58+'405'!U58+'0406'!U58+'0409'!U58+'410-sahara'!U58+'414-Al ghurair'!U58+'415'!U58+'Al Foah_418'!U58+Rak_417!U58+D.C.!U58+'Wafi _419'!U58</f>
        <v>0</v>
      </c>
      <c r="V58" s="68">
        <f>U58/U12</f>
        <v>0</v>
      </c>
      <c r="W58" s="295">
        <f>'0401'!W58+'0402'!W58+'0403'!W58+'405'!W58+'0406'!W58+'0409'!W58+'410-sahara'!W58+'414-Al ghurair'!W58+'415'!W58+'Al Foah_418'!W58+Rak_417!W58+D.C.!W58+'Wafi _419'!W58</f>
        <v>0</v>
      </c>
      <c r="X58" s="68">
        <f>W58/W12</f>
        <v>0</v>
      </c>
      <c r="Y58" s="295">
        <f>'0401'!Y58+'0402'!Y58+'0403'!Y58+'405'!Y58+'0406'!Y58+'0409'!Y58+'410-sahara'!Y58+'414-Al ghurair'!Y58+'415'!Y58+'Al Foah_418'!Y58+Rak_417!Y58+D.C.!Y58+'Wafi _419'!Y58</f>
        <v>0</v>
      </c>
      <c r="Z58" s="68">
        <f>Y58/Y12</f>
        <v>0</v>
      </c>
      <c r="AA58" s="382">
        <f t="shared" si="27"/>
        <v>0</v>
      </c>
      <c r="AB58" s="147">
        <f>AA58/AA12</f>
        <v>0</v>
      </c>
      <c r="AC58" s="128">
        <f t="shared" si="19"/>
        <v>0</v>
      </c>
      <c r="AD58" s="131">
        <f>AC58/AC12</f>
        <v>0</v>
      </c>
      <c r="AE58" s="84">
        <f t="shared" si="25"/>
        <v>0</v>
      </c>
      <c r="AF58" s="33" t="e">
        <f>#REF!+'0401'!#REF!+'0402'!#REF!+'0403'!#REF!+#REF!+'405'!#REF!+'0406'!#REF!+D.C.!#REF!+#REF!+#REF!+'0409'!#REF!</f>
        <v>#REF!</v>
      </c>
      <c r="AG58" s="33" t="e">
        <f t="shared" si="26"/>
        <v>#REF!</v>
      </c>
      <c r="AH58" s="84">
        <f t="shared" si="6"/>
        <v>0</v>
      </c>
      <c r="AI58" s="33">
        <f>'0401'!AA58+'0402'!AA58+'0403'!AA58+'405'!AA58+'0406'!AA58+'0409'!AA58+'410-sahara'!AA58+'414-Al ghurair'!AA58+'415'!AA58+'Al Foah_418'!AA58+Rak_417!AA58+D.C.!AA58</f>
        <v>0</v>
      </c>
      <c r="AJ58" s="84">
        <f t="shared" si="7"/>
        <v>0</v>
      </c>
    </row>
    <row r="59" spans="1:36" customFormat="1">
      <c r="A59" s="188">
        <v>6118</v>
      </c>
      <c r="B59" s="188" t="s">
        <v>16</v>
      </c>
      <c r="C59" s="295">
        <f>'0401'!C59+'0402'!C59+'0403'!C59+'405'!C59+'0406'!C59+'0409'!C59+'410-sahara'!C59+'414-Al ghurair'!C59+'415'!C59+'Al Foah_418'!C59+Rak_417!C59+D.C.!C59+'Wafi _419'!C59</f>
        <v>170698</v>
      </c>
      <c r="D59" s="68">
        <f>C59/C12</f>
        <v>1.5629830272928712E-2</v>
      </c>
      <c r="E59" s="295">
        <f>'0401'!E59+'0402'!E59+'0403'!E59+'405'!E59+'0406'!E59+'0409'!E59+'410-sahara'!E59+'414-Al ghurair'!E59+'415'!E59+'Al Foah_418'!E59+Rak_417!E59+D.C.!E59+'Wafi _419'!E59</f>
        <v>169568.51</v>
      </c>
      <c r="F59" s="68">
        <f>E59/E12</f>
        <v>1.9956784849216872E-2</v>
      </c>
      <c r="G59" s="295">
        <f>'0401'!G59+'0402'!G59+'0403'!G59+'405'!G59+'0406'!G59+'0409'!G59+'410-sahara'!G59+'414-Al ghurair'!G59+'415'!G59+'Al Foah_418'!G59+Rak_417!G59+D.C.!G59+'Wafi _419'!G59</f>
        <v>170595.91</v>
      </c>
      <c r="H59" s="68">
        <f>G59/G12</f>
        <v>1.2103914126972731E-2</v>
      </c>
      <c r="I59" s="295">
        <f>'0401'!I59+'0402'!I59+'0403'!I59+'405'!I59+'0406'!I59+'0409'!I59+'410-sahara'!I59+'414-Al ghurair'!I59+'415'!I59+'Al Foah_418'!I59+Rak_417!I59+D.C.!I59+'Wafi _419'!I59</f>
        <v>167104.66999999998</v>
      </c>
      <c r="J59" s="68">
        <f>I59/I12</f>
        <v>1.3427276155404878E-2</v>
      </c>
      <c r="K59" s="295">
        <f>'0401'!K59+'0402'!K59+'0403'!K59+'405'!K59+'0406'!K59+'0409'!K59+'410-sahara'!K59+'414-Al ghurair'!K59+'415'!K59+'Al Foah_418'!K59+Rak_417!K59+D.C.!K59+'Wafi _419'!K59</f>
        <v>177782.58000000002</v>
      </c>
      <c r="L59" s="68">
        <f>K59/K12</f>
        <v>1.5619116332731059E-2</v>
      </c>
      <c r="M59" s="295">
        <f>'0401'!M59+'0402'!M59+'0403'!M59+'405'!M59+'0406'!M59+'0409'!M59+'410-sahara'!M59+'414-Al ghurair'!M59+'415'!M59+'Al Foah_418'!M59+Rak_417!M59+D.C.!M59+'Wafi _419'!M59</f>
        <v>171318.28</v>
      </c>
      <c r="N59" s="68">
        <f>M59/M12</f>
        <v>1.0614485842224682E-2</v>
      </c>
      <c r="O59" s="295">
        <f>'0401'!O59+'0402'!O59+'0403'!O59+'405'!O59+'0406'!O59+'0409'!O59+'410-sahara'!O59+'414-Al ghurair'!O59+'415'!O59+'Al Foah_418'!O59+Rak_417!O59+D.C.!O59+'Wafi _419'!O59</f>
        <v>173091.41999999998</v>
      </c>
      <c r="P59" s="68">
        <f>O59/O12</f>
        <v>1.6939135876729846E-2</v>
      </c>
      <c r="Q59" s="295">
        <f>'0401'!Q59+'0402'!Q59+'0403'!Q59+'405'!Q59+'0406'!Q59+'0409'!Q59+'410-sahara'!Q59+'414-Al ghurair'!Q59+'415'!Q59+'Al Foah_418'!Q59+Rak_417!Q59+D.C.!Q59+'Wafi _419'!Q59</f>
        <v>176290.94333333333</v>
      </c>
      <c r="R59" s="68">
        <f>Q59/Q12</f>
        <v>1.3893619241349167E-2</v>
      </c>
      <c r="S59" s="295">
        <f>'0401'!S59+'0402'!S59+'0403'!S59+'405'!S59+'0406'!S59+'0409'!S59+'410-sahara'!S59+'414-Al ghurair'!S59+'415'!S59+'Al Foah_418'!S59+Rak_417!S59+D.C.!S59+'Wafi _419'!S59</f>
        <v>175789.66333333333</v>
      </c>
      <c r="T59" s="68">
        <f>S59/S12</f>
        <v>1.3752628180712314E-2</v>
      </c>
      <c r="U59" s="295">
        <f>'0401'!U59+'0402'!U59+'0403'!U59+'405'!U59+'0406'!U59+'0409'!U59+'410-sahara'!U59+'414-Al ghurair'!U59+'415'!U59+'Al Foah_418'!U59+Rak_417!U59+D.C.!U59+'Wafi _419'!U59</f>
        <v>181892.42333333334</v>
      </c>
      <c r="V59" s="68">
        <f>U59/U12</f>
        <v>1.7939928250631836E-2</v>
      </c>
      <c r="W59" s="295">
        <f>'0401'!W59+'0402'!W59+'0403'!W59+'405'!W59+'0406'!W59+'0409'!W59+'410-sahara'!W59+'414-Al ghurair'!W59+'415'!W59+'Al Foah_418'!W59+Rak_417!W59+D.C.!W59+'Wafi _419'!W59</f>
        <v>174352.82333333333</v>
      </c>
      <c r="X59" s="68">
        <f>W59/W12</f>
        <v>1.6901514280494016E-2</v>
      </c>
      <c r="Y59" s="295">
        <f>'0401'!Y59+'0402'!Y59+'0403'!Y59+'405'!Y59+'0406'!Y59+'0409'!Y59+'410-sahara'!Y59+'414-Al ghurair'!Y59+'415'!Y59+'Al Foah_418'!Y59+Rak_417!Y59+D.C.!Y59+'Wafi _419'!Y59</f>
        <v>174682.52333333332</v>
      </c>
      <c r="Z59" s="68">
        <f>Y59/Y12</f>
        <v>1.1209296529436452E-2</v>
      </c>
      <c r="AA59" s="382">
        <f t="shared" si="27"/>
        <v>2083167.7466666666</v>
      </c>
      <c r="AB59" s="147">
        <f>AA59/AA12</f>
        <v>1.4346118769141684E-2</v>
      </c>
      <c r="AC59" s="128">
        <f t="shared" si="19"/>
        <v>173597.31222222222</v>
      </c>
      <c r="AD59" s="131">
        <f>AC59/AC12</f>
        <v>1.4346118769141684E-2</v>
      </c>
      <c r="AE59" s="84">
        <f t="shared" si="25"/>
        <v>2083167.7466666666</v>
      </c>
      <c r="AF59" s="33" t="e">
        <f>#REF!+'0401'!#REF!+'0402'!#REF!+'0403'!#REF!+#REF!+'405'!#REF!+'0406'!#REF!+D.C.!#REF!+#REF!+#REF!+'0409'!#REF!</f>
        <v>#REF!</v>
      </c>
      <c r="AG59" s="33" t="e">
        <f t="shared" si="26"/>
        <v>#REF!</v>
      </c>
      <c r="AH59" s="84">
        <f t="shared" si="6"/>
        <v>0</v>
      </c>
      <c r="AI59" s="33">
        <f>'0401'!AA59+'0402'!AA59+'0403'!AA59+'405'!AA59+'0406'!AA59+'0409'!AA59+'410-sahara'!AA59+'414-Al ghurair'!AA59+'415'!AA59+'Al Foah_418'!AA59+Rak_417!AA59+D.C.!AA59</f>
        <v>2083167.7466666666</v>
      </c>
      <c r="AJ59" s="84">
        <f t="shared" si="7"/>
        <v>0</v>
      </c>
    </row>
    <row r="60" spans="1:36" customFormat="1">
      <c r="A60" s="188">
        <v>6119</v>
      </c>
      <c r="B60" s="188" t="s">
        <v>17</v>
      </c>
      <c r="C60" s="295">
        <f>'0401'!C60+'0402'!C60+'0403'!C60+'405'!C60+'0406'!C60+'0409'!C60+'410-sahara'!C60+'414-Al ghurair'!C60+'415'!C60+'Al Foah_418'!C60+Rak_417!C60+D.C.!C60+'Wafi _419'!C60</f>
        <v>0</v>
      </c>
      <c r="D60" s="68">
        <f>C60/C12</f>
        <v>0</v>
      </c>
      <c r="E60" s="295">
        <f>'0401'!E60+'0402'!E60+'0403'!E60+'405'!E60+'0406'!E60+'0409'!E60+'410-sahara'!E60+'414-Al ghurair'!E60+'415'!E60+'Al Foah_418'!E60+Rak_417!E60+D.C.!E60+'Wafi _419'!E60</f>
        <v>0</v>
      </c>
      <c r="F60" s="68">
        <f>E60/E12</f>
        <v>0</v>
      </c>
      <c r="G60" s="295">
        <f>'0401'!G60+'0402'!G60+'0403'!G60+'405'!G60+'0406'!G60+'0409'!G60+'410-sahara'!G60+'414-Al ghurair'!G60+'415'!G60+'Al Foah_418'!G60+Rak_417!G60+D.C.!G60+'Wafi _419'!G60</f>
        <v>0</v>
      </c>
      <c r="H60" s="68">
        <f>G60/G12</f>
        <v>0</v>
      </c>
      <c r="I60" s="295">
        <f>'0401'!I60+'0402'!I60+'0403'!I60+'405'!I60+'0406'!I60+'0409'!I60+'410-sahara'!I60+'414-Al ghurair'!I60+'415'!I60+'Al Foah_418'!I60+Rak_417!I60+D.C.!I60+'Wafi _419'!I60</f>
        <v>0</v>
      </c>
      <c r="J60" s="68">
        <f>I60/I12</f>
        <v>0</v>
      </c>
      <c r="K60" s="295">
        <f>'0401'!K60+'0402'!K60+'0403'!K60+'405'!K60+'0406'!K60+'0409'!K60+'410-sahara'!K60+'414-Al ghurair'!K60+'415'!K60+'Al Foah_418'!K60+Rak_417!K60+D.C.!K60+'Wafi _419'!K60</f>
        <v>0</v>
      </c>
      <c r="L60" s="68">
        <f>K60/K12</f>
        <v>0</v>
      </c>
      <c r="M60" s="295">
        <f>'0401'!M60+'0402'!M60+'0403'!M60+'405'!M60+'0406'!M60+'0409'!M60+'410-sahara'!M60+'414-Al ghurair'!M60+'415'!M60+'Al Foah_418'!M60+Rak_417!M60+D.C.!M60+'Wafi _419'!M60</f>
        <v>0</v>
      </c>
      <c r="N60" s="68">
        <f>M60/M12</f>
        <v>0</v>
      </c>
      <c r="O60" s="295">
        <f>'0401'!O60+'0402'!O60+'0403'!O60+'405'!O60+'0406'!O60+'0409'!O60+'410-sahara'!O60+'414-Al ghurair'!O60+'415'!O60+'Al Foah_418'!O60+Rak_417!O60+D.C.!O60+'Wafi _419'!O60</f>
        <v>0</v>
      </c>
      <c r="P60" s="68">
        <f>O60/O12</f>
        <v>0</v>
      </c>
      <c r="Q60" s="295">
        <f>'0401'!Q60+'0402'!Q60+'0403'!Q60+'405'!Q60+'0406'!Q60+'0409'!Q60+'410-sahara'!Q60+'414-Al ghurair'!Q60+'415'!Q60+'Al Foah_418'!Q60+Rak_417!Q60+D.C.!Q60+'Wafi _419'!Q60</f>
        <v>0</v>
      </c>
      <c r="R60" s="68">
        <f>Q60/Q12</f>
        <v>0</v>
      </c>
      <c r="S60" s="295">
        <f>'0401'!S60+'0402'!S60+'0403'!S60+'405'!S60+'0406'!S60+'0409'!S60+'410-sahara'!S60+'414-Al ghurair'!S60+'415'!S60+'Al Foah_418'!S60+Rak_417!S60+D.C.!S60+'Wafi _419'!S60</f>
        <v>0</v>
      </c>
      <c r="T60" s="68">
        <f>S60/S12</f>
        <v>0</v>
      </c>
      <c r="U60" s="295">
        <f>'0401'!U60+'0402'!U60+'0403'!U60+'405'!U60+'0406'!U60+'0409'!U60+'410-sahara'!U60+'414-Al ghurair'!U60+'415'!U60+'Al Foah_418'!U60+Rak_417!U60+D.C.!U60+'Wafi _419'!U60</f>
        <v>0</v>
      </c>
      <c r="V60" s="68">
        <f>U60/U12</f>
        <v>0</v>
      </c>
      <c r="W60" s="295">
        <f>'0401'!W60+'0402'!W60+'0403'!W60+'405'!W60+'0406'!W60+'0409'!W60+'410-sahara'!W60+'414-Al ghurair'!W60+'415'!W60+'Al Foah_418'!W60+Rak_417!W60+D.C.!W60+'Wafi _419'!W60</f>
        <v>0</v>
      </c>
      <c r="X60" s="68">
        <f>W60/W12</f>
        <v>0</v>
      </c>
      <c r="Y60" s="295">
        <f>'0401'!Y60+'0402'!Y60+'0403'!Y60+'405'!Y60+'0406'!Y60+'0409'!Y60+'410-sahara'!Y60+'414-Al ghurair'!Y60+'415'!Y60+'Al Foah_418'!Y60+Rak_417!Y60+D.C.!Y60+'Wafi _419'!Y60</f>
        <v>0</v>
      </c>
      <c r="Z60" s="68">
        <f>Y60/Y12</f>
        <v>0</v>
      </c>
      <c r="AA60" s="382">
        <f t="shared" si="27"/>
        <v>0</v>
      </c>
      <c r="AB60" s="147">
        <f>AA60/AA12</f>
        <v>0</v>
      </c>
      <c r="AC60" s="128">
        <f t="shared" si="19"/>
        <v>0</v>
      </c>
      <c r="AD60" s="131">
        <f>AC60/AC12</f>
        <v>0</v>
      </c>
      <c r="AE60" s="84">
        <f t="shared" si="25"/>
        <v>0</v>
      </c>
      <c r="AF60" s="33" t="e">
        <f>#REF!+'0401'!#REF!+'0402'!#REF!+'0403'!#REF!+#REF!+'405'!#REF!+'0406'!#REF!+D.C.!#REF!+#REF!+#REF!+'0409'!#REF!</f>
        <v>#REF!</v>
      </c>
      <c r="AG60" s="33" t="e">
        <f t="shared" si="26"/>
        <v>#REF!</v>
      </c>
      <c r="AH60" s="84">
        <f t="shared" si="6"/>
        <v>0</v>
      </c>
      <c r="AI60" s="33">
        <f>'0401'!AA60+'0402'!AA60+'0403'!AA60+'405'!AA60+'0406'!AA60+'0409'!AA60+'410-sahara'!AA60+'414-Al ghurair'!AA60+'415'!AA60+'Al Foah_418'!AA60+Rak_417!AA60+D.C.!AA60</f>
        <v>0</v>
      </c>
      <c r="AJ60" s="84">
        <f t="shared" si="7"/>
        <v>0</v>
      </c>
    </row>
    <row r="61" spans="1:36" customFormat="1">
      <c r="A61" s="188">
        <v>6120</v>
      </c>
      <c r="B61" s="188" t="s">
        <v>18</v>
      </c>
      <c r="C61" s="295">
        <f>'0401'!C61+'0402'!C61+'0403'!C61+'405'!C61+'0406'!C61+'0409'!C61+'410-sahara'!C61+'414-Al ghurair'!C61+'415'!C61+'Al Foah_418'!C61+Rak_417!C61+D.C.!C61+'Wafi _419'!C61</f>
        <v>0</v>
      </c>
      <c r="D61" s="68">
        <f>C61/C12</f>
        <v>0</v>
      </c>
      <c r="E61" s="295">
        <f>'0401'!E61+'0402'!E61+'0403'!E61+'405'!E61+'0406'!E61+'0409'!E61+'410-sahara'!E61+'414-Al ghurair'!E61+'415'!E61+'Al Foah_418'!E61+Rak_417!E61+D.C.!E61+'Wafi _419'!E61</f>
        <v>0</v>
      </c>
      <c r="F61" s="68">
        <f>E61/E12</f>
        <v>0</v>
      </c>
      <c r="G61" s="295">
        <f>'0401'!G61+'0402'!G61+'0403'!G61+'405'!G61+'0406'!G61+'0409'!G61+'410-sahara'!G61+'414-Al ghurair'!G61+'415'!G61+'Al Foah_418'!G61+Rak_417!G61+D.C.!G61+'Wafi _419'!G61</f>
        <v>0</v>
      </c>
      <c r="H61" s="68">
        <f>G61/G12</f>
        <v>0</v>
      </c>
      <c r="I61" s="295">
        <f>'0401'!I61+'0402'!I61+'0403'!I61+'405'!I61+'0406'!I61+'0409'!I61+'410-sahara'!I61+'414-Al ghurair'!I61+'415'!I61+'Al Foah_418'!I61+Rak_417!I61+D.C.!I61+'Wafi _419'!I61</f>
        <v>0</v>
      </c>
      <c r="J61" s="68">
        <f>I61/I12</f>
        <v>0</v>
      </c>
      <c r="K61" s="295">
        <f>'0401'!K61+'0402'!K61+'0403'!K61+'405'!K61+'0406'!K61+'0409'!K61+'410-sahara'!K61+'414-Al ghurair'!K61+'415'!K61+'Al Foah_418'!K61+Rak_417!K61+D.C.!K61+'Wafi _419'!K61</f>
        <v>0</v>
      </c>
      <c r="L61" s="68">
        <f>K61/K12</f>
        <v>0</v>
      </c>
      <c r="M61" s="295">
        <f>'0401'!M61+'0402'!M61+'0403'!M61+'405'!M61+'0406'!M61+'0409'!M61+'410-sahara'!M61+'414-Al ghurair'!M61+'415'!M61+'Al Foah_418'!M61+Rak_417!M61+D.C.!M61+'Wafi _419'!M61</f>
        <v>0</v>
      </c>
      <c r="N61" s="68">
        <f>M61/M12</f>
        <v>0</v>
      </c>
      <c r="O61" s="295">
        <f>'0401'!O61+'0402'!O61+'0403'!O61+'405'!O61+'0406'!O61+'0409'!O61+'410-sahara'!O61+'414-Al ghurair'!O61+'415'!O61+'Al Foah_418'!O61+Rak_417!O61+D.C.!O61+'Wafi _419'!O61</f>
        <v>0</v>
      </c>
      <c r="P61" s="68">
        <f>O61/O12</f>
        <v>0</v>
      </c>
      <c r="Q61" s="295">
        <f>'0401'!Q61+'0402'!Q61+'0403'!Q61+'405'!Q61+'0406'!Q61+'0409'!Q61+'410-sahara'!Q61+'414-Al ghurair'!Q61+'415'!Q61+'Al Foah_418'!Q61+Rak_417!Q61+D.C.!Q61+'Wafi _419'!Q61</f>
        <v>0</v>
      </c>
      <c r="R61" s="68">
        <f>Q61/Q12</f>
        <v>0</v>
      </c>
      <c r="S61" s="295">
        <f>'0401'!S61+'0402'!S61+'0403'!S61+'405'!S61+'0406'!S61+'0409'!S61+'410-sahara'!S61+'414-Al ghurair'!S61+'415'!S61+'Al Foah_418'!S61+Rak_417!S61+D.C.!S61+'Wafi _419'!S61</f>
        <v>0</v>
      </c>
      <c r="T61" s="68">
        <f>S61/S12</f>
        <v>0</v>
      </c>
      <c r="U61" s="295">
        <f>'0401'!U61+'0402'!U61+'0403'!U61+'405'!U61+'0406'!U61+'0409'!U61+'410-sahara'!U61+'414-Al ghurair'!U61+'415'!U61+'Al Foah_418'!U61+Rak_417!U61+D.C.!U61+'Wafi _419'!U61</f>
        <v>0</v>
      </c>
      <c r="V61" s="68">
        <f>U61/U12</f>
        <v>0</v>
      </c>
      <c r="W61" s="295">
        <f>'0401'!W61+'0402'!W61+'0403'!W61+'405'!W61+'0406'!W61+'0409'!W61+'410-sahara'!W61+'414-Al ghurair'!W61+'415'!W61+'Al Foah_418'!W61+Rak_417!W61+D.C.!W61+'Wafi _419'!W61</f>
        <v>0</v>
      </c>
      <c r="X61" s="68">
        <f>W61/W12</f>
        <v>0</v>
      </c>
      <c r="Y61" s="295">
        <f>'0401'!Y61+'0402'!Y61+'0403'!Y61+'405'!Y61+'0406'!Y61+'0409'!Y61+'410-sahara'!Y61+'414-Al ghurair'!Y61+'415'!Y61+'Al Foah_418'!Y61+Rak_417!Y61+D.C.!Y61+'Wafi _419'!Y61</f>
        <v>0</v>
      </c>
      <c r="Z61" s="68">
        <f>Y61/Y12</f>
        <v>0</v>
      </c>
      <c r="AA61" s="382">
        <f t="shared" si="27"/>
        <v>0</v>
      </c>
      <c r="AB61" s="147">
        <f>AA61/AA12</f>
        <v>0</v>
      </c>
      <c r="AC61" s="128">
        <f t="shared" si="19"/>
        <v>0</v>
      </c>
      <c r="AD61" s="131">
        <f>AC61/AC12</f>
        <v>0</v>
      </c>
      <c r="AE61" s="84">
        <f t="shared" si="25"/>
        <v>0</v>
      </c>
      <c r="AF61" s="33" t="e">
        <f>#REF!+'0401'!#REF!+'0402'!#REF!+'0403'!#REF!+#REF!+'405'!#REF!+'0406'!#REF!+D.C.!#REF!+#REF!+#REF!+'0409'!#REF!</f>
        <v>#REF!</v>
      </c>
      <c r="AG61" s="33" t="e">
        <f t="shared" si="26"/>
        <v>#REF!</v>
      </c>
      <c r="AH61" s="84">
        <f t="shared" si="6"/>
        <v>0</v>
      </c>
      <c r="AI61" s="33">
        <f>'0401'!AA61+'0402'!AA61+'0403'!AA61+'405'!AA61+'0406'!AA61+'0409'!AA61+'410-sahara'!AA61+'414-Al ghurair'!AA61+'415'!AA61+'Al Foah_418'!AA61+Rak_417!AA61+D.C.!AA61</f>
        <v>0</v>
      </c>
      <c r="AJ61" s="84">
        <f t="shared" si="7"/>
        <v>0</v>
      </c>
    </row>
    <row r="62" spans="1:36" customFormat="1">
      <c r="A62" s="188">
        <v>6121</v>
      </c>
      <c r="B62" s="188" t="s">
        <v>19</v>
      </c>
      <c r="C62" s="295">
        <f>'0401'!C62+'0402'!C62+'0403'!C62+'405'!C62+'0406'!C62+'0409'!C62+'410-sahara'!C62+'414-Al ghurair'!C62+'415'!C62+'Al Foah_418'!C62+Rak_417!C62+D.C.!C62+'Wafi _419'!C62</f>
        <v>3150</v>
      </c>
      <c r="D62" s="68">
        <f>C62/C12</f>
        <v>2.8842731232776858E-4</v>
      </c>
      <c r="E62" s="295">
        <f>'0401'!E62+'0402'!E62+'0403'!E62+'405'!E62+'0406'!E62+'0409'!E62+'410-sahara'!E62+'414-Al ghurair'!E62+'415'!E62+'Al Foah_418'!E62+Rak_417!E62+D.C.!E62+'Wafi _419'!E62</f>
        <v>3150</v>
      </c>
      <c r="F62" s="68">
        <f>E62/E12</f>
        <v>3.7072845822041573E-4</v>
      </c>
      <c r="G62" s="295">
        <f>'0401'!G62+'0402'!G62+'0403'!G62+'405'!G62+'0406'!G62+'0409'!G62+'410-sahara'!G62+'414-Al ghurair'!G62+'415'!G62+'Al Foah_418'!G62+Rak_417!G62+D.C.!G62+'Wafi _419'!G62</f>
        <v>3150</v>
      </c>
      <c r="H62" s="68">
        <f>G62/G12</f>
        <v>2.2349498003770493E-4</v>
      </c>
      <c r="I62" s="295">
        <f>'0401'!I62+'0402'!I62+'0403'!I62+'405'!I62+'0406'!I62+'0409'!I62+'410-sahara'!I62+'414-Al ghurair'!I62+'415'!I62+'Al Foah_418'!I62+Rak_417!I62+D.C.!I62+'Wafi _419'!I62</f>
        <v>3150</v>
      </c>
      <c r="J62" s="68">
        <f>I62/I12</f>
        <v>2.5311034030063535E-4</v>
      </c>
      <c r="K62" s="295">
        <f>'0401'!K62+'0402'!K62+'0403'!K62+'405'!K62+'0406'!K62+'0409'!K62+'410-sahara'!K62+'414-Al ghurair'!K62+'415'!K62+'Al Foah_418'!K62+Rak_417!K62+D.C.!K62+'Wafi _419'!K62</f>
        <v>3150</v>
      </c>
      <c r="L62" s="68">
        <f>K62/K12</f>
        <v>2.7674374198024821E-4</v>
      </c>
      <c r="M62" s="295">
        <f>'0401'!M62+'0402'!M62+'0403'!M62+'405'!M62+'0406'!M62+'0409'!M62+'410-sahara'!M62+'414-Al ghurair'!M62+'415'!M62+'Al Foah_418'!M62+Rak_417!M62+D.C.!M62+'Wafi _419'!M62</f>
        <v>6650</v>
      </c>
      <c r="N62" s="68">
        <f>M62/M12</f>
        <v>4.120186757116295E-4</v>
      </c>
      <c r="O62" s="295">
        <f>'0401'!O62+'0402'!O62+'0403'!O62+'405'!O62+'0406'!O62+'0409'!O62+'410-sahara'!O62+'414-Al ghurair'!O62+'415'!O62+'Al Foah_418'!O62+Rak_417!O62+D.C.!O62+'Wafi _419'!O62</f>
        <v>3150</v>
      </c>
      <c r="P62" s="68">
        <f>O62/O12</f>
        <v>3.0826645255841692E-4</v>
      </c>
      <c r="Q62" s="295">
        <f>'0401'!Q62+'0402'!Q62+'0403'!Q62+'405'!Q62+'0406'!Q62+'0409'!Q62+'410-sahara'!Q62+'414-Al ghurair'!Q62+'415'!Q62+'Al Foah_418'!Q62+Rak_417!Q62+D.C.!Q62+'Wafi _419'!Q62</f>
        <v>3150</v>
      </c>
      <c r="R62" s="68">
        <f>Q62/Q12</f>
        <v>2.4825382281549541E-4</v>
      </c>
      <c r="S62" s="295">
        <f>'0401'!S62+'0402'!S62+'0403'!S62+'405'!S62+'0406'!S62+'0409'!S62+'410-sahara'!S62+'414-Al ghurair'!S62+'415'!S62+'Al Foah_418'!S62+Rak_417!S62+D.C.!S62+'Wafi _419'!S62</f>
        <v>6650</v>
      </c>
      <c r="T62" s="68">
        <f>S62/S12</f>
        <v>5.2025230418878193E-4</v>
      </c>
      <c r="U62" s="295">
        <f>'0401'!U62+'0402'!U62+'0403'!U62+'405'!U62+'0406'!U62+'0409'!U62+'410-sahara'!U62+'414-Al ghurair'!U62+'415'!U62+'Al Foah_418'!U62+Rak_417!U62+D.C.!U62+'Wafi _419'!U62</f>
        <v>3150</v>
      </c>
      <c r="V62" s="68">
        <f>U62/U12</f>
        <v>3.1068239651703075E-4</v>
      </c>
      <c r="W62" s="295">
        <f>'0401'!W62+'0402'!W62+'0403'!W62+'405'!W62+'0406'!W62+'0409'!W62+'410-sahara'!W62+'414-Al ghurair'!W62+'415'!W62+'Al Foah_418'!W62+Rak_417!W62+D.C.!W62+'Wafi _419'!W62</f>
        <v>3150</v>
      </c>
      <c r="X62" s="68">
        <f>W62/W12</f>
        <v>3.0535651196063882E-4</v>
      </c>
      <c r="Y62" s="295">
        <f>'0401'!Y62+'0402'!Y62+'0403'!Y62+'405'!Y62+'0406'!Y62+'0409'!Y62+'410-sahara'!Y62+'414-Al ghurair'!Y62+'415'!Y62+'Al Foah_418'!Y62+Rak_417!Y62+D.C.!Y62+'Wafi _419'!Y62</f>
        <v>6650</v>
      </c>
      <c r="Z62" s="68">
        <f>Y62/Y12</f>
        <v>4.2672741667756849E-4</v>
      </c>
      <c r="AA62" s="382">
        <f t="shared" si="27"/>
        <v>48300</v>
      </c>
      <c r="AB62" s="147">
        <f>AA62/AA12</f>
        <v>3.3262685525843974E-4</v>
      </c>
      <c r="AC62" s="128">
        <f t="shared" si="19"/>
        <v>4025</v>
      </c>
      <c r="AD62" s="131">
        <f>AC62/AC12</f>
        <v>3.3262685525843974E-4</v>
      </c>
      <c r="AE62" s="84">
        <f t="shared" si="25"/>
        <v>48300</v>
      </c>
      <c r="AF62" s="33" t="e">
        <f>#REF!+'0401'!#REF!+'0402'!#REF!+'0403'!#REF!+#REF!+'405'!#REF!+'0406'!#REF!+D.C.!#REF!+#REF!+#REF!+'0409'!#REF!</f>
        <v>#REF!</v>
      </c>
      <c r="AG62" s="33" t="e">
        <f t="shared" si="26"/>
        <v>#REF!</v>
      </c>
      <c r="AH62" s="84">
        <f t="shared" si="6"/>
        <v>0</v>
      </c>
      <c r="AI62" s="33">
        <f>'0401'!AA62+'0402'!AA62+'0403'!AA62+'405'!AA62+'0406'!AA62+'0409'!AA62+'410-sahara'!AA62+'414-Al ghurair'!AA62+'415'!AA62+'Al Foah_418'!AA62+Rak_417!AA62+D.C.!AA62</f>
        <v>44550</v>
      </c>
      <c r="AJ62" s="84">
        <f t="shared" si="7"/>
        <v>3750</v>
      </c>
    </row>
    <row r="63" spans="1:36" customFormat="1">
      <c r="A63" s="188">
        <v>6122</v>
      </c>
      <c r="B63" s="188" t="s">
        <v>20</v>
      </c>
      <c r="C63" s="295">
        <f>'0401'!C63+'0402'!C63+'0403'!C63+'405'!C63+'0406'!C63+'0409'!C63+'410-sahara'!C63+'414-Al ghurair'!C63+'415'!C63+'Al Foah_418'!C63+Rak_417!C63+D.C.!C63+'Wafi _419'!C63</f>
        <v>5374.99</v>
      </c>
      <c r="D63" s="68">
        <f>C63/C12</f>
        <v>4.9215679983766116E-4</v>
      </c>
      <c r="E63" s="295">
        <f>'0401'!E63+'0402'!E63+'0403'!E63+'405'!E63+'0406'!E63+'0409'!E63+'410-sahara'!E63+'414-Al ghurair'!E63+'415'!E63+'Al Foah_418'!E63+Rak_417!E63+D.C.!E63+'Wafi _419'!E63</f>
        <v>5374.99</v>
      </c>
      <c r="F63" s="68">
        <f>E63/E12</f>
        <v>6.3259103353973084E-4</v>
      </c>
      <c r="G63" s="295">
        <f>'0401'!G63+'0402'!G63+'0403'!G63+'405'!G63+'0406'!G63+'0409'!G63+'410-sahara'!G63+'414-Al ghurair'!G63+'415'!G63+'Al Foah_418'!G63+Rak_417!G63+D.C.!G63+'Wafi _419'!G63</f>
        <v>5374.99</v>
      </c>
      <c r="H63" s="68">
        <f>G63/G12</f>
        <v>3.8135977230249637E-4</v>
      </c>
      <c r="I63" s="295">
        <f>'0401'!I63+'0402'!I63+'0403'!I63+'405'!I63+'0406'!I63+'0409'!I63+'410-sahara'!I63+'414-Al ghurair'!I63+'415'!I63+'Al Foah_418'!I63+Rak_417!I63+D.C.!I63+'Wafi _419'!I63</f>
        <v>5374.99</v>
      </c>
      <c r="J63" s="68">
        <f>I63/I12</f>
        <v>4.3189382476587683E-4</v>
      </c>
      <c r="K63" s="295">
        <f>'0401'!K63+'0402'!K63+'0403'!K63+'405'!K63+'0406'!K63+'0409'!K63+'410-sahara'!K63+'414-Al ghurair'!K63+'415'!K63+'Al Foah_418'!K63+Rak_417!K63+D.C.!K63+'Wafi _419'!K63</f>
        <v>5374.99</v>
      </c>
      <c r="L63" s="68">
        <f>K63/K12</f>
        <v>4.7222058593854419E-4</v>
      </c>
      <c r="M63" s="295">
        <f>'0401'!M63+'0402'!M63+'0403'!M63+'405'!M63+'0406'!M63+'0409'!M63+'410-sahara'!M63+'414-Al ghurair'!M63+'415'!M63+'Al Foah_418'!M63+Rak_417!M63+D.C.!M63+'Wafi _419'!M63</f>
        <v>5374.99</v>
      </c>
      <c r="N63" s="68">
        <f>M63/M12</f>
        <v>3.3302199425011298E-4</v>
      </c>
      <c r="O63" s="295">
        <f>'0401'!O63+'0402'!O63+'0403'!O63+'405'!O63+'0406'!O63+'0409'!O63+'410-sahara'!O63+'414-Al ghurair'!O63+'415'!O63+'Al Foah_418'!O63+Rak_417!O63+D.C.!O63+'Wafi _419'!O63</f>
        <v>5374.99</v>
      </c>
      <c r="P63" s="68">
        <f>O63/O12</f>
        <v>5.26009238043481E-4</v>
      </c>
      <c r="Q63" s="295">
        <f>'0401'!Q63+'0402'!Q63+'0403'!Q63+'405'!Q63+'0406'!Q63+'0409'!Q63+'410-sahara'!Q63+'414-Al ghurair'!Q63+'415'!Q63+'Al Foah_418'!Q63+Rak_417!Q63+D.C.!Q63+'Wafi _419'!Q63</f>
        <v>5374.99</v>
      </c>
      <c r="R63" s="68">
        <f>Q63/Q12</f>
        <v>4.2360692542700308E-4</v>
      </c>
      <c r="S63" s="295">
        <f>'0401'!S63+'0402'!S63+'0403'!S63+'405'!S63+'0406'!S63+'0409'!S63+'410-sahara'!S63+'414-Al ghurair'!S63+'415'!S63+'Al Foah_418'!S63+Rak_417!S63+D.C.!S63+'Wafi _419'!S63</f>
        <v>5374.99</v>
      </c>
      <c r="T63" s="68">
        <f>S63/S12</f>
        <v>4.2050389962280612E-4</v>
      </c>
      <c r="U63" s="295">
        <f>'0401'!U63+'0402'!U63+'0403'!U63+'405'!U63+'0406'!U63+'0409'!U63+'410-sahara'!U63+'414-Al ghurair'!U63+'415'!U63+'Al Foah_418'!U63+Rak_417!U63+D.C.!U63+'Wafi _419'!U63</f>
        <v>5374.99</v>
      </c>
      <c r="V63" s="68">
        <f>U63/U12</f>
        <v>5.3013167443018258E-4</v>
      </c>
      <c r="W63" s="295">
        <f>'0401'!W63+'0402'!W63+'0403'!W63+'405'!W63+'0406'!W63+'0409'!W63+'410-sahara'!W63+'414-Al ghurair'!W63+'415'!W63+'Al Foah_418'!W63+Rak_417!W63+D.C.!W63+'Wafi _419'!W63</f>
        <v>5374.99</v>
      </c>
      <c r="X63" s="68">
        <f>W63/W12</f>
        <v>5.2104387245184569E-4</v>
      </c>
      <c r="Y63" s="295">
        <f>'0401'!Y63+'0402'!Y63+'0403'!Y63+'405'!Y63+'0406'!Y63+'0409'!Y63+'410-sahara'!Y63+'414-Al ghurair'!Y63+'415'!Y63+'Al Foah_418'!Y63+Rak_417!Y63+D.C.!Y63+'Wafi _419'!Y63</f>
        <v>5374.99</v>
      </c>
      <c r="Z63" s="68">
        <f>Y63/Y12</f>
        <v>3.4491061614552835E-4</v>
      </c>
      <c r="AA63" s="382">
        <f t="shared" si="27"/>
        <v>64499.879999999983</v>
      </c>
      <c r="AB63" s="147">
        <f>AA63/AA12</f>
        <v>4.4419031571318272E-4</v>
      </c>
      <c r="AC63" s="128">
        <f t="shared" si="19"/>
        <v>5374.9899999999989</v>
      </c>
      <c r="AD63" s="131">
        <f>AC63/AC12</f>
        <v>4.4419031571318277E-4</v>
      </c>
      <c r="AE63" s="84">
        <f t="shared" si="25"/>
        <v>64499.879999999983</v>
      </c>
      <c r="AF63" s="33" t="e">
        <f>#REF!+'0401'!#REF!+'0402'!#REF!+'0403'!#REF!+#REF!+'405'!#REF!+'0406'!#REF!+D.C.!#REF!+#REF!+#REF!+'0409'!#REF!</f>
        <v>#REF!</v>
      </c>
      <c r="AG63" s="33" t="e">
        <f t="shared" si="26"/>
        <v>#REF!</v>
      </c>
      <c r="AH63" s="84">
        <f t="shared" si="6"/>
        <v>0</v>
      </c>
      <c r="AI63" s="33">
        <f>'0401'!AA63+'0402'!AA63+'0403'!AA63+'405'!AA63+'0406'!AA63+'0409'!AA63+'410-sahara'!AA63+'414-Al ghurair'!AA63+'415'!AA63+'Al Foah_418'!AA63+Rak_417!AA63+D.C.!AA63</f>
        <v>64499.88</v>
      </c>
      <c r="AJ63" s="84">
        <f t="shared" si="7"/>
        <v>0</v>
      </c>
    </row>
    <row r="64" spans="1:36" customFormat="1">
      <c r="A64" s="188">
        <v>6123</v>
      </c>
      <c r="B64" s="188" t="s">
        <v>21</v>
      </c>
      <c r="C64" s="295">
        <f>'0401'!C64+'0402'!C64+'0403'!C64+'405'!C64+'0406'!C64+'0409'!C64+'410-sahara'!C64+'414-Al ghurair'!C64+'415'!C64+'Al Foah_418'!C64+Rak_417!C64+D.C.!C64+'Wafi _419'!C64</f>
        <v>0</v>
      </c>
      <c r="D64" s="68">
        <f>C64/C12</f>
        <v>0</v>
      </c>
      <c r="E64" s="295">
        <f>'0401'!E64+'0402'!E64+'0403'!E64+'405'!E64+'0406'!E64+'0409'!E64+'410-sahara'!E64+'414-Al ghurair'!E64+'415'!E64+'Al Foah_418'!E64+Rak_417!E64+D.C.!E64+'Wafi _419'!E64</f>
        <v>0</v>
      </c>
      <c r="F64" s="68">
        <f>E64/E12</f>
        <v>0</v>
      </c>
      <c r="G64" s="295">
        <f>'0401'!G64+'0402'!G64+'0403'!G64+'405'!G64+'0406'!G64+'0409'!G64+'410-sahara'!G64+'414-Al ghurair'!G64+'415'!G64+'Al Foah_418'!G64+Rak_417!G64+D.C.!G64+'Wafi _419'!G64</f>
        <v>0</v>
      </c>
      <c r="H64" s="68">
        <f>G64/G12</f>
        <v>0</v>
      </c>
      <c r="I64" s="295">
        <f>'0401'!I64+'0402'!I64+'0403'!I64+'405'!I64+'0406'!I64+'0409'!I64+'410-sahara'!I64+'414-Al ghurair'!I64+'415'!I64+'Al Foah_418'!I64+Rak_417!I64+D.C.!I64+'Wafi _419'!I64</f>
        <v>0</v>
      </c>
      <c r="J64" s="68">
        <f>I64/I12</f>
        <v>0</v>
      </c>
      <c r="K64" s="295">
        <f>'0401'!K64+'0402'!K64+'0403'!K64+'405'!K64+'0406'!K64+'0409'!K64+'410-sahara'!K64+'414-Al ghurair'!K64+'415'!K64+'Al Foah_418'!K64+Rak_417!K64+D.C.!K64+'Wafi _419'!K64</f>
        <v>0</v>
      </c>
      <c r="L64" s="68">
        <f>K64/K12</f>
        <v>0</v>
      </c>
      <c r="M64" s="295">
        <f>'0401'!M64+'0402'!M64+'0403'!M64+'405'!M64+'0406'!M64+'0409'!M64+'410-sahara'!M64+'414-Al ghurair'!M64+'415'!M64+'Al Foah_418'!M64+Rak_417!M64+D.C.!M64+'Wafi _419'!M64</f>
        <v>0</v>
      </c>
      <c r="N64" s="68">
        <f>M64/M12</f>
        <v>0</v>
      </c>
      <c r="O64" s="295">
        <f>'0401'!O64+'0402'!O64+'0403'!O64+'405'!O64+'0406'!O64+'0409'!O64+'410-sahara'!O64+'414-Al ghurair'!O64+'415'!O64+'Al Foah_418'!O64+Rak_417!O64+D.C.!O64+'Wafi _419'!O64</f>
        <v>0</v>
      </c>
      <c r="P64" s="68">
        <f>O64/O12</f>
        <v>0</v>
      </c>
      <c r="Q64" s="295">
        <f>'0401'!Q64+'0402'!Q64+'0403'!Q64+'405'!Q64+'0406'!Q64+'0409'!Q64+'410-sahara'!Q64+'414-Al ghurair'!Q64+'415'!Q64+'Al Foah_418'!Q64+Rak_417!Q64+D.C.!Q64+'Wafi _419'!Q64</f>
        <v>0</v>
      </c>
      <c r="R64" s="68">
        <f>Q64/Q12</f>
        <v>0</v>
      </c>
      <c r="S64" s="295">
        <f>'0401'!S64+'0402'!S64+'0403'!S64+'405'!S64+'0406'!S64+'0409'!S64+'410-sahara'!S64+'414-Al ghurair'!S64+'415'!S64+'Al Foah_418'!S64+Rak_417!S64+D.C.!S64+'Wafi _419'!S64</f>
        <v>0</v>
      </c>
      <c r="T64" s="68">
        <f>S64/S12</f>
        <v>0</v>
      </c>
      <c r="U64" s="295">
        <f>'0401'!U64+'0402'!U64+'0403'!U64+'405'!U64+'0406'!U64+'0409'!U64+'410-sahara'!U64+'414-Al ghurair'!U64+'415'!U64+'Al Foah_418'!U64+Rak_417!U64+D.C.!U64+'Wafi _419'!U64</f>
        <v>0</v>
      </c>
      <c r="V64" s="68">
        <f>U64/U12</f>
        <v>0</v>
      </c>
      <c r="W64" s="295">
        <f>'0401'!W64+'0402'!W64+'0403'!W64+'405'!W64+'0406'!W64+'0409'!W64+'410-sahara'!W64+'414-Al ghurair'!W64+'415'!W64+'Al Foah_418'!W64+Rak_417!W64+D.C.!W64+'Wafi _419'!W64</f>
        <v>0</v>
      </c>
      <c r="X64" s="68">
        <f>W64/W12</f>
        <v>0</v>
      </c>
      <c r="Y64" s="295">
        <f>'0401'!Y64+'0402'!Y64+'0403'!Y64+'405'!Y64+'0406'!Y64+'0409'!Y64+'410-sahara'!Y64+'414-Al ghurair'!Y64+'415'!Y64+'Al Foah_418'!Y64+Rak_417!Y64+D.C.!Y64+'Wafi _419'!Y64</f>
        <v>0</v>
      </c>
      <c r="Z64" s="68">
        <f>Y64/Y12</f>
        <v>0</v>
      </c>
      <c r="AA64" s="382">
        <f t="shared" si="27"/>
        <v>0</v>
      </c>
      <c r="AB64" s="147">
        <f>AA64/AA12</f>
        <v>0</v>
      </c>
      <c r="AC64" s="128">
        <f t="shared" si="19"/>
        <v>0</v>
      </c>
      <c r="AD64" s="131">
        <f>AC64/AC12</f>
        <v>0</v>
      </c>
      <c r="AE64" s="84">
        <f t="shared" si="25"/>
        <v>0</v>
      </c>
      <c r="AF64" s="33" t="e">
        <f>#REF!+'0401'!#REF!+'0402'!#REF!+'0403'!#REF!+#REF!+'405'!#REF!+'0406'!#REF!+D.C.!#REF!+#REF!+#REF!+'0409'!#REF!</f>
        <v>#REF!</v>
      </c>
      <c r="AG64" s="33" t="e">
        <f t="shared" si="26"/>
        <v>#REF!</v>
      </c>
      <c r="AH64" s="84">
        <f t="shared" si="6"/>
        <v>0</v>
      </c>
      <c r="AI64" s="33">
        <f>'0401'!AA64+'0402'!AA64+'0403'!AA64+'405'!AA64+'0406'!AA64+'0409'!AA64+'410-sahara'!AA64+'414-Al ghurair'!AA64+'415'!AA64+'Al Foah_418'!AA64+Rak_417!AA64+D.C.!AA64</f>
        <v>0</v>
      </c>
      <c r="AJ64" s="84">
        <f t="shared" si="7"/>
        <v>0</v>
      </c>
    </row>
    <row r="65" spans="1:36" customFormat="1">
      <c r="A65" s="188">
        <v>6124</v>
      </c>
      <c r="B65" s="188" t="s">
        <v>22</v>
      </c>
      <c r="C65" s="295">
        <f>'0401'!C65+'0402'!C65+'0403'!C65+'405'!C65+'0406'!C65+'0409'!C65+'410-sahara'!C65+'414-Al ghurair'!C65+'415'!C65+'Al Foah_418'!C65+Rak_417!C65+D.C.!C65+'Wafi _419'!C65</f>
        <v>132600</v>
      </c>
      <c r="D65" s="68">
        <f>C65/C12</f>
        <v>1.2141416385607019E-2</v>
      </c>
      <c r="E65" s="295">
        <f>'0401'!E65+'0402'!E65+'0403'!E65+'405'!E65+'0406'!E65+'0409'!E65+'410-sahara'!E65+'414-Al ghurair'!E65+'415'!E65+'Al Foah_418'!E65+Rak_417!E65+D.C.!E65+'Wafi _419'!E65</f>
        <v>132600</v>
      </c>
      <c r="F65" s="68">
        <f>E65/E12</f>
        <v>1.5605902717468929E-2</v>
      </c>
      <c r="G65" s="295">
        <f>'0401'!G65+'0402'!G65+'0403'!G65+'405'!G65+'0406'!G65+'0409'!G65+'410-sahara'!G65+'414-Al ghurair'!G65+'415'!G65+'Al Foah_418'!G65+Rak_417!G65+D.C.!G65+'Wafi _419'!G65</f>
        <v>132600</v>
      </c>
      <c r="H65" s="68">
        <f>G65/G12</f>
        <v>9.4080743977776743E-3</v>
      </c>
      <c r="I65" s="295">
        <f>'0401'!I65+'0402'!I65+'0403'!I65+'405'!I65+'0406'!I65+'0409'!I65+'410-sahara'!I65+'414-Al ghurair'!I65+'415'!I65+'Al Foah_418'!I65+Rak_417!I65+D.C.!I65+'Wafi _419'!I65</f>
        <v>132600</v>
      </c>
      <c r="J65" s="68">
        <f>I65/I12</f>
        <v>1.0654740039321984E-2</v>
      </c>
      <c r="K65" s="295">
        <f>'0401'!K65+'0402'!K65+'0403'!K65+'405'!K65+'0406'!K65+'0409'!K65+'410-sahara'!K65+'414-Al ghurair'!K65+'415'!K65+'Al Foah_418'!K65+Rak_417!K65+D.C.!K65+'Wafi _419'!K65</f>
        <v>132600</v>
      </c>
      <c r="L65" s="68">
        <f>K65/K12</f>
        <v>1.1649593710025686E-2</v>
      </c>
      <c r="M65" s="295">
        <f>'0401'!M65+'0402'!M65+'0403'!M65+'405'!M65+'0406'!M65+'0409'!M65+'410-sahara'!M65+'414-Al ghurair'!M65+'415'!M65+'Al Foah_418'!M65+Rak_417!M65+D.C.!M65+'Wafi _419'!M65</f>
        <v>132600</v>
      </c>
      <c r="N65" s="68">
        <f>M65/M12</f>
        <v>8.2155904359942963E-3</v>
      </c>
      <c r="O65" s="295">
        <f>'0401'!O65+'0402'!O65+'0403'!O65+'405'!O65+'0406'!O65+'0409'!O65+'410-sahara'!O65+'414-Al ghurair'!O65+'415'!O65+'Al Foah_418'!O65+Rak_417!O65+D.C.!O65+'Wafi _419'!O65</f>
        <v>132600</v>
      </c>
      <c r="P65" s="68">
        <f>O65/O12</f>
        <v>1.2976549717220979E-2</v>
      </c>
      <c r="Q65" s="295">
        <f>'0401'!Q65+'0402'!Q65+'0403'!Q65+'405'!Q65+'0406'!Q65+'0409'!Q65+'410-sahara'!Q65+'414-Al ghurair'!Q65+'415'!Q65+'Al Foah_418'!Q65+Rak_417!Q65+D.C.!Q65+'Wafi _419'!Q65</f>
        <v>132600</v>
      </c>
      <c r="R65" s="68">
        <f>Q65/Q12</f>
        <v>1.0450303779471331E-2</v>
      </c>
      <c r="S65" s="295">
        <f>'0401'!S65+'0402'!S65+'0403'!S65+'405'!S65+'0406'!S65+'0409'!S65+'410-sahara'!S65+'414-Al ghurair'!S65+'415'!S65+'Al Foah_418'!S65+Rak_417!S65+D.C.!S65+'Wafi _419'!S65</f>
        <v>132600</v>
      </c>
      <c r="T65" s="68">
        <f>S65/S12</f>
        <v>1.037375271209511E-2</v>
      </c>
      <c r="U65" s="295">
        <f>'0401'!U65+'0402'!U65+'0403'!U65+'405'!U65+'0406'!U65+'0409'!U65+'410-sahara'!U65+'414-Al ghurair'!U65+'415'!U65+'Al Foah_418'!U65+Rak_417!U65+D.C.!U65+'Wafi _419'!U65</f>
        <v>132600</v>
      </c>
      <c r="V65" s="68">
        <f>U65/U12</f>
        <v>1.3078249453383581E-2</v>
      </c>
      <c r="W65" s="295">
        <f>'0401'!W65+'0402'!W65+'0403'!W65+'405'!W65+'0406'!W65+'0409'!W65+'410-sahara'!W65+'414-Al ghurair'!W65+'415'!W65+'Al Foah_418'!W65+Rak_417!W65+D.C.!W65+'Wafi _419'!W65</f>
        <v>237600</v>
      </c>
      <c r="X65" s="68">
        <f>W65/W12</f>
        <v>2.3032605473602471E-2</v>
      </c>
      <c r="Y65" s="295">
        <f>'0401'!Y65+'0402'!Y65+'0403'!Y65+'405'!Y65+'0406'!Y65+'0409'!Y65+'410-sahara'!Y65+'414-Al ghurair'!Y65+'415'!Y65+'Al Foah_418'!Y65+Rak_417!Y65+D.C.!Y65+'Wafi _419'!Y65</f>
        <v>132600</v>
      </c>
      <c r="Z65" s="68">
        <f>Y65/Y12</f>
        <v>8.5088805190143731E-3</v>
      </c>
      <c r="AA65" s="382">
        <f t="shared" si="27"/>
        <v>1696200</v>
      </c>
      <c r="AB65" s="147">
        <f>AA65/AA12</f>
        <v>1.168119403497651E-2</v>
      </c>
      <c r="AC65" s="128">
        <f t="shared" si="19"/>
        <v>141350</v>
      </c>
      <c r="AD65" s="131">
        <f>AC65/AC12</f>
        <v>1.1681194034976512E-2</v>
      </c>
      <c r="AE65" s="84">
        <f t="shared" si="25"/>
        <v>1696200</v>
      </c>
      <c r="AF65" s="33" t="e">
        <f>#REF!+'0401'!#REF!+'0402'!#REF!+'0403'!#REF!+#REF!+'405'!#REF!+'0406'!#REF!+D.C.!#REF!+#REF!+#REF!+'0409'!#REF!</f>
        <v>#REF!</v>
      </c>
      <c r="AG65" s="33" t="e">
        <f t="shared" si="26"/>
        <v>#REF!</v>
      </c>
      <c r="AH65" s="84">
        <f t="shared" si="6"/>
        <v>0</v>
      </c>
      <c r="AI65" s="33">
        <f>'0401'!AA65+'0402'!AA65+'0403'!AA65+'405'!AA65+'0406'!AA65+'0409'!AA65+'410-sahara'!AA65+'414-Al ghurair'!AA65+'415'!AA65+'Al Foah_418'!AA65+Rak_417!AA65+D.C.!AA65</f>
        <v>1606200</v>
      </c>
      <c r="AJ65" s="84">
        <f t="shared" si="7"/>
        <v>90000</v>
      </c>
    </row>
    <row r="66" spans="1:36" customFormat="1">
      <c r="A66" s="188">
        <v>6125</v>
      </c>
      <c r="B66" s="188" t="s">
        <v>78</v>
      </c>
      <c r="C66" s="295">
        <f>'0401'!C66+'0402'!C66+'0403'!C66+'405'!C66+'0406'!C66+'0409'!C66+'410-sahara'!C66+'414-Al ghurair'!C66+'415'!C66+'Al Foah_418'!C66+Rak_417!C66+D.C.!C66+'Wafi _419'!C66</f>
        <v>6304.5284433164143</v>
      </c>
      <c r="D66" s="68">
        <f>C66/C12</f>
        <v>5.7726926806340442E-4</v>
      </c>
      <c r="E66" s="295">
        <f>'0401'!E66+'0402'!E66+'0403'!E66+'405'!E66+'0406'!E66+'0409'!E66+'410-sahara'!E66+'414-Al ghurair'!E66+'415'!E66+'Al Foah_418'!E66+Rak_417!E66+D.C.!E66+'Wafi _419'!E66</f>
        <v>5104.5284433164134</v>
      </c>
      <c r="F66" s="68">
        <f>E66/E12</f>
        <v>6.0075998721681033E-4</v>
      </c>
      <c r="G66" s="295">
        <f>'0401'!G66+'0402'!G66+'0403'!G66+'405'!G66+'0406'!G66+'0409'!G66+'410-sahara'!G66+'414-Al ghurair'!G66+'415'!G66+'Al Foah_418'!G66+Rak_417!G66+D.C.!G66+'Wafi _419'!G66</f>
        <v>9165.4384433164123</v>
      </c>
      <c r="H66" s="68">
        <f>G66/G12</f>
        <v>6.5029507362724282E-4</v>
      </c>
      <c r="I66" s="295">
        <f>'0401'!I66+'0402'!I66+'0403'!I66+'405'!I66+'0406'!I66+'0409'!I66+'410-sahara'!I66+'414-Al ghurair'!I66+'415'!I66+'Al Foah_418'!I66+Rak_417!I66+D.C.!I66+'Wafi _419'!I66</f>
        <v>4854.5284433164134</v>
      </c>
      <c r="J66" s="68">
        <f>I66/I12</f>
        <v>3.9007344326569238E-4</v>
      </c>
      <c r="K66" s="295">
        <f>'0401'!K66+'0402'!K66+'0403'!K66+'405'!K66+'0406'!K66+'0409'!K66+'410-sahara'!K66+'414-Al ghurair'!K66+'415'!K66+'Al Foah_418'!K66+Rak_417!K66+D.C.!K66+'Wafi _419'!K66</f>
        <v>4854.5284433164134</v>
      </c>
      <c r="L66" s="68">
        <f>K66/K12</f>
        <v>4.2649535458823284E-4</v>
      </c>
      <c r="M66" s="295">
        <f>'0401'!M66+'0402'!M66+'0403'!M66+'405'!M66+'0406'!M66+'0409'!M66+'410-sahara'!M66+'414-Al ghurair'!M66+'415'!M66+'Al Foah_418'!M66+Rak_417!M66+D.C.!M66+'Wafi _419'!M66</f>
        <v>4854.5284433164134</v>
      </c>
      <c r="N66" s="68">
        <f>M66/M12</f>
        <v>3.0077539555182961E-4</v>
      </c>
      <c r="O66" s="295">
        <f>'0401'!O66+'0402'!O66+'0403'!O66+'405'!O66+'0406'!O66+'0409'!O66+'410-sahara'!O66+'414-Al ghurair'!O66+'415'!O66+'Al Foah_418'!O66+Rak_417!O66+D.C.!O66+'Wafi _419'!O66</f>
        <v>4854.5284433164134</v>
      </c>
      <c r="P66" s="68">
        <f>O66/O12</f>
        <v>4.7507563875082051E-4</v>
      </c>
      <c r="Q66" s="295">
        <f>'0401'!Q66+'0402'!Q66+'0403'!Q66+'405'!Q66+'0406'!Q66+'0409'!Q66+'410-sahara'!Q66+'414-Al ghurair'!Q66+'415'!Q66+'Al Foah_418'!Q66+Rak_417!Q66+D.C.!Q66+'Wafi _419'!Q66</f>
        <v>5535.7184433164139</v>
      </c>
      <c r="R66" s="68">
        <f>Q66/Q12</f>
        <v>4.3627405256620416E-4</v>
      </c>
      <c r="S66" s="295">
        <f>'0401'!S66+'0402'!S66+'0403'!S66+'405'!S66+'0406'!S66+'0409'!S66+'410-sahara'!S66+'414-Al ghurair'!S66+'415'!S66+'Al Foah_418'!S66+Rak_417!S66+D.C.!S66+'Wafi _419'!S66</f>
        <v>4925.7184433164139</v>
      </c>
      <c r="T66" s="68">
        <f>S66/S12</f>
        <v>3.853558451008337E-4</v>
      </c>
      <c r="U66" s="295">
        <f>'0401'!U66+'0402'!U66+'0403'!U66+'405'!U66+'0406'!U66+'0409'!U66+'410-sahara'!U66+'414-Al ghurair'!U66+'415'!U66+'Al Foah_418'!U66+Rak_417!U66+D.C.!U66+'Wafi _419'!U66</f>
        <v>5076.1402876480552</v>
      </c>
      <c r="V66" s="68">
        <f>U66/U12</f>
        <v>5.0065632686449135E-4</v>
      </c>
      <c r="W66" s="295">
        <f>'0401'!W66+'0402'!W66+'0403'!W66+'405'!W66+'0406'!W66+'0409'!W66+'410-sahara'!W66+'414-Al ghurair'!W66+'415'!W66+'Al Foah_418'!W66+Rak_417!W66+D.C.!W66+'Wafi _419'!W66</f>
        <v>5076.1402876480552</v>
      </c>
      <c r="X66" s="68">
        <f>W66/W12</f>
        <v>4.9207380712986792E-4</v>
      </c>
      <c r="Y66" s="295">
        <f>'0401'!Y66+'0402'!Y66+'0403'!Y66+'405'!Y66+'0406'!Y66+'0409'!Y66+'410-sahara'!Y66+'414-Al ghurair'!Y66+'415'!Y66+'Al Foah_418'!Y66+Rak_417!Y66+D.C.!Y66+'Wafi _419'!Y66</f>
        <v>5076.1402876480552</v>
      </c>
      <c r="Z66" s="68">
        <f>Y66/Y12</f>
        <v>3.2573356866781713E-4</v>
      </c>
      <c r="AA66" s="382">
        <f t="shared" si="27"/>
        <v>65682.466852791884</v>
      </c>
      <c r="AB66" s="147">
        <f>AA66/AA12</f>
        <v>4.5233441811306152E-4</v>
      </c>
      <c r="AC66" s="128">
        <f t="shared" si="19"/>
        <v>5473.5389043993237</v>
      </c>
      <c r="AD66" s="131">
        <f>AC66/AC12</f>
        <v>4.5233441811306152E-4</v>
      </c>
      <c r="AE66" s="84">
        <f t="shared" si="25"/>
        <v>65682.466852791884</v>
      </c>
      <c r="AF66" s="33" t="e">
        <f>#REF!+'0401'!#REF!+'0402'!#REF!+'0403'!#REF!+#REF!+'405'!#REF!+'0406'!#REF!+D.C.!#REF!+#REF!+#REF!+'0409'!#REF!</f>
        <v>#REF!</v>
      </c>
      <c r="AG66" s="33" t="e">
        <f t="shared" si="26"/>
        <v>#REF!</v>
      </c>
      <c r="AH66" s="84">
        <f t="shared" si="6"/>
        <v>0</v>
      </c>
      <c r="AI66" s="33">
        <f>'0401'!AA66+'0402'!AA66+'0403'!AA66+'405'!AA66+'0406'!AA66+'0409'!AA66+'410-sahara'!AA66+'414-Al ghurair'!AA66+'415'!AA66+'Al Foah_418'!AA66+Rak_417!AA66+D.C.!AA66</f>
        <v>60606.324720812183</v>
      </c>
      <c r="AJ66" s="84">
        <f t="shared" si="7"/>
        <v>5076.1421319797009</v>
      </c>
    </row>
    <row r="67" spans="1:36" s="1" customFormat="1">
      <c r="A67" s="188">
        <v>6126</v>
      </c>
      <c r="B67" s="188" t="s">
        <v>104</v>
      </c>
      <c r="C67" s="295">
        <f>'0401'!C67+'0402'!C67+'0403'!C67+'405'!C67+'0406'!C67+'0409'!C67+'410-sahara'!C67+'414-Al ghurair'!C67+'415'!C67+'Al Foah_418'!C67+Rak_417!C67+D.C.!C67+'Wafi _419'!C67</f>
        <v>0</v>
      </c>
      <c r="D67" s="68"/>
      <c r="E67" s="295">
        <f>'0401'!E67+'0402'!E67+'0403'!E67+'405'!E67+'0406'!E67+'0409'!E67+'410-sahara'!E67+'414-Al ghurair'!E67+'415'!E67+'Al Foah_418'!E67+Rak_417!E67+D.C.!E67+'Wafi _419'!E67</f>
        <v>0</v>
      </c>
      <c r="F67" s="68"/>
      <c r="G67" s="295">
        <f>'0401'!G67+'0402'!G67+'0403'!G67+'405'!G67+'0406'!G67+'0409'!G67+'410-sahara'!G67+'414-Al ghurair'!G67+'415'!G67+'Al Foah_418'!G67+Rak_417!G67+D.C.!G67+'Wafi _419'!G67</f>
        <v>0</v>
      </c>
      <c r="H67" s="68"/>
      <c r="I67" s="295">
        <f>'0401'!I67+'0402'!I67+'0403'!I67+'405'!I67+'0406'!I67+'0409'!I67+'410-sahara'!I67+'414-Al ghurair'!I67+'415'!I67+'Al Foah_418'!I67+Rak_417!I67+D.C.!I67+'Wafi _419'!I67</f>
        <v>0</v>
      </c>
      <c r="J67" s="68"/>
      <c r="K67" s="295">
        <f>'0401'!K67+'0402'!K67+'0403'!K67+'405'!K67+'0406'!K67+'0409'!K67+'410-sahara'!K67+'414-Al ghurair'!K67+'415'!K67+'Al Foah_418'!K67+Rak_417!K67+D.C.!K67+'Wafi _419'!K67</f>
        <v>0</v>
      </c>
      <c r="L67" s="68"/>
      <c r="M67" s="295">
        <f>'0401'!M67+'0402'!M67+'0403'!M67+'405'!M67+'0406'!M67+'0409'!M67+'410-sahara'!M67+'414-Al ghurair'!M67+'415'!M67+'Al Foah_418'!M67+Rak_417!M67+D.C.!M67+'Wafi _419'!M67</f>
        <v>0</v>
      </c>
      <c r="N67" s="68"/>
      <c r="O67" s="295">
        <f>'0401'!O67+'0402'!O67+'0403'!O67+'405'!O67+'0406'!O67+'0409'!O67+'410-sahara'!O67+'414-Al ghurair'!O67+'415'!O67+'Al Foah_418'!O67+Rak_417!O67+D.C.!O67+'Wafi _419'!O67</f>
        <v>0</v>
      </c>
      <c r="P67" s="68"/>
      <c r="Q67" s="295">
        <f>'0401'!Q67+'0402'!Q67+'0403'!Q67+'405'!Q67+'0406'!Q67+'0409'!Q67+'410-sahara'!Q67+'414-Al ghurair'!Q67+'415'!Q67+'Al Foah_418'!Q67+Rak_417!Q67+D.C.!Q67+'Wafi _419'!Q67</f>
        <v>0</v>
      </c>
      <c r="R67" s="68"/>
      <c r="S67" s="295">
        <f>'0401'!S67+'0402'!S67+'0403'!S67+'405'!S67+'0406'!S67+'0409'!S67+'410-sahara'!S67+'414-Al ghurair'!S67+'415'!S67+'Al Foah_418'!S67+Rak_417!S67+D.C.!S67+'Wafi _419'!S67</f>
        <v>0</v>
      </c>
      <c r="T67" s="68"/>
      <c r="U67" s="295">
        <f>'0401'!U67+'0402'!U67+'0403'!U67+'405'!U67+'0406'!U67+'0409'!U67+'410-sahara'!U67+'414-Al ghurair'!U67+'415'!U67+'Al Foah_418'!U67+Rak_417!U67+D.C.!U67+'Wafi _419'!U67</f>
        <v>0</v>
      </c>
      <c r="V67" s="68"/>
      <c r="W67" s="295">
        <f>'0401'!W67+'0402'!W67+'0403'!W67+'405'!W67+'0406'!W67+'0409'!W67+'410-sahara'!W67+'414-Al ghurair'!W67+'415'!W67+'Al Foah_418'!W67+Rak_417!W67+D.C.!W67+'Wafi _419'!W67</f>
        <v>0</v>
      </c>
      <c r="X67" s="68"/>
      <c r="Y67" s="295">
        <f>'0401'!Y67+'0402'!Y67+'0403'!Y67+'405'!Y67+'0406'!Y67+'0409'!Y67+'410-sahara'!Y67+'414-Al ghurair'!Y67+'415'!Y67+'Al Foah_418'!Y67+Rak_417!Y67+D.C.!Y67+'Wafi _419'!Y67</f>
        <v>0</v>
      </c>
      <c r="Z67" s="68"/>
      <c r="AA67" s="382">
        <f t="shared" si="27"/>
        <v>0</v>
      </c>
      <c r="AB67" s="147"/>
      <c r="AC67" s="128">
        <f t="shared" si="19"/>
        <v>0</v>
      </c>
      <c r="AD67" s="131"/>
      <c r="AE67" s="84">
        <f t="shared" si="25"/>
        <v>0</v>
      </c>
      <c r="AF67" s="33" t="e">
        <f>#REF!+'0401'!#REF!+'0402'!#REF!+'0403'!#REF!+#REF!+'405'!#REF!+'0406'!#REF!+D.C.!#REF!+#REF!+#REF!+'0409'!#REF!</f>
        <v>#REF!</v>
      </c>
      <c r="AG67" s="33" t="e">
        <f t="shared" si="26"/>
        <v>#REF!</v>
      </c>
      <c r="AH67" s="84">
        <f t="shared" si="6"/>
        <v>0</v>
      </c>
      <c r="AI67" s="33">
        <f>'0401'!AA67+'0402'!AA67+'0403'!AA67+'405'!AA67+'0406'!AA67+'0409'!AA67+'410-sahara'!AA67+'414-Al ghurair'!AA67+'415'!AA67+'Al Foah_418'!AA67+Rak_417!AA67+D.C.!AA67</f>
        <v>0</v>
      </c>
      <c r="AJ67" s="84">
        <f t="shared" si="7"/>
        <v>0</v>
      </c>
    </row>
    <row r="68" spans="1:36" customFormat="1">
      <c r="A68" s="188">
        <v>6127</v>
      </c>
      <c r="B68" s="188" t="s">
        <v>76</v>
      </c>
      <c r="C68" s="295">
        <f>'0401'!C68+'0402'!C68+'0403'!C68+'405'!C68+'0406'!C68+'0409'!C68+'410-sahara'!C68+'414-Al ghurair'!C68+'415'!C68+'Al Foah_418'!C68+Rak_417!C68+D.C.!C68+'Wafi _419'!C68</f>
        <v>4587</v>
      </c>
      <c r="D68" s="68">
        <f>C68/C$12</f>
        <v>4.200051052849125E-4</v>
      </c>
      <c r="E68" s="295">
        <f>'0401'!E68+'0402'!E68+'0403'!E68+'405'!E68+'0406'!E68+'0409'!E68+'410-sahara'!E68+'414-Al ghurair'!E68+'415'!E68+'Al Foah_418'!E68+Rak_417!E68+D.C.!E68+'Wafi _419'!E68</f>
        <v>4584</v>
      </c>
      <c r="F68" s="68">
        <f>E68/E$12</f>
        <v>5.3949817539123356E-4</v>
      </c>
      <c r="G68" s="295">
        <f>'0401'!G68+'0402'!G68+'0403'!G68+'405'!G68+'0406'!G68+'0409'!G68+'410-sahara'!G68+'414-Al ghurair'!G68+'415'!G68+'Al Foah_418'!G68+Rak_417!G68+D.C.!G68+'Wafi _419'!G68</f>
        <v>4584</v>
      </c>
      <c r="H68" s="68">
        <f>G68/G$12</f>
        <v>3.2523840904534582E-4</v>
      </c>
      <c r="I68" s="295">
        <f>'0401'!I68+'0402'!I68+'0403'!I68+'405'!I68+'0406'!I68+'0409'!I68+'410-sahara'!I68+'414-Al ghurair'!I68+'415'!I68+'Al Foah_418'!I68+Rak_417!I68+D.C.!I68+'Wafi _419'!I68</f>
        <v>4584</v>
      </c>
      <c r="J68" s="68">
        <f>I68/I$12</f>
        <v>3.6833580950416272E-4</v>
      </c>
      <c r="K68" s="295">
        <f>'0401'!K68+'0402'!K68+'0403'!K68+'405'!K68+'0406'!K68+'0409'!K68+'410-sahara'!K68+'414-Al ghurair'!K68+'415'!K68+'Al Foah_418'!K68+Rak_417!K68+D.C.!K68+'Wafi _419'!K68</f>
        <v>4584</v>
      </c>
      <c r="L68" s="68">
        <f>K68/K$12</f>
        <v>4.027280359483993E-4</v>
      </c>
      <c r="M68" s="295">
        <f>'0401'!M68+'0402'!M68+'0403'!M68+'405'!M68+'0406'!M68+'0409'!M68+'410-sahara'!M68+'414-Al ghurair'!M68+'415'!M68+'Al Foah_418'!M68+Rak_417!M68+D.C.!M68+'Wafi _419'!M68</f>
        <v>4584</v>
      </c>
      <c r="N68" s="68">
        <f>M68/M$12</f>
        <v>2.8401407661084356E-4</v>
      </c>
      <c r="O68" s="295">
        <f>'0401'!O68+'0402'!O68+'0403'!O68+'405'!O68+'0406'!O68+'0409'!O68+'410-sahara'!O68+'414-Al ghurair'!O68+'415'!O68+'Al Foah_418'!O68+Rak_417!O68+D.C.!O68+'Wafi _419'!O68</f>
        <v>4584</v>
      </c>
      <c r="P68" s="68">
        <f>O68/O$12</f>
        <v>4.4860108524691529E-4</v>
      </c>
      <c r="Q68" s="295">
        <f>'0401'!Q68+'0402'!Q68+'0403'!Q68+'405'!Q68+'0406'!Q68+'0409'!Q68+'410-sahara'!Q68+'414-Al ghurair'!Q68+'415'!Q68+'Al Foah_418'!Q68+Rak_417!Q68+D.C.!Q68+'Wafi _419'!Q68</f>
        <v>4584</v>
      </c>
      <c r="R68" s="68">
        <f>Q68/Q$12</f>
        <v>3.6126842024959715E-4</v>
      </c>
      <c r="S68" s="295">
        <f>'0401'!S68+'0402'!S68+'0403'!S68+'405'!S68+'0406'!S68+'0409'!S68+'410-sahara'!S68+'414-Al ghurair'!S68+'415'!S68+'Al Foah_418'!S68+Rak_417!S68+D.C.!S68+'Wafi _419'!S68</f>
        <v>4584</v>
      </c>
      <c r="T68" s="68">
        <f>S68/S$12</f>
        <v>3.5862203945885357E-4</v>
      </c>
      <c r="U68" s="295">
        <f>'0401'!U68+'0402'!U68+'0403'!U68+'405'!U68+'0406'!U68+'0409'!U68+'410-sahara'!U68+'414-Al ghurair'!U68+'415'!U68+'Al Foah_418'!U68+Rak_417!U68+D.C.!U68+'Wafi _419'!U68</f>
        <v>4584</v>
      </c>
      <c r="V68" s="68">
        <f>U68/U$12</f>
        <v>4.5211685893145045E-4</v>
      </c>
      <c r="W68" s="295">
        <f>'0401'!W68+'0402'!W68+'0403'!W68+'405'!W68+'0406'!W68+'0409'!W68+'410-sahara'!W68+'414-Al ghurair'!W68+'415'!W68+'Al Foah_418'!W68+Rak_417!W68+D.C.!W68+'Wafi _419'!W68</f>
        <v>4584</v>
      </c>
      <c r="X68" s="68">
        <f>W68/W$12</f>
        <v>4.4436642883414871E-4</v>
      </c>
      <c r="Y68" s="295">
        <f>'0401'!Y68+'0402'!Y68+'0403'!Y68+'405'!Y68+'0406'!Y68+'0409'!Y68+'410-sahara'!Y68+'414-Al ghurair'!Y68+'415'!Y68+'Al Foah_418'!Y68+Rak_417!Y68+D.C.!Y68+'Wafi _419'!Y68</f>
        <v>4584</v>
      </c>
      <c r="Z68" s="68">
        <f>Y68/Y$12</f>
        <v>2.9415315459398102E-4</v>
      </c>
      <c r="AA68" s="382">
        <f t="shared" si="27"/>
        <v>55011</v>
      </c>
      <c r="AB68" s="147">
        <f>AA68/AA$12</f>
        <v>3.7884339409155335E-4</v>
      </c>
      <c r="AC68" s="128">
        <f t="shared" si="19"/>
        <v>4584.25</v>
      </c>
      <c r="AD68" s="131">
        <f>AC68/AC$12</f>
        <v>3.7884339409155341E-4</v>
      </c>
      <c r="AE68" s="84">
        <f t="shared" si="25"/>
        <v>55011</v>
      </c>
      <c r="AF68" s="33" t="e">
        <f>#REF!+'0401'!#REF!+'0402'!#REF!+'0403'!#REF!+#REF!+'405'!#REF!+'0406'!#REF!+D.C.!#REF!+#REF!+#REF!+'0409'!#REF!</f>
        <v>#REF!</v>
      </c>
      <c r="AG68" s="33" t="e">
        <f t="shared" si="26"/>
        <v>#REF!</v>
      </c>
      <c r="AH68" s="84">
        <f t="shared" si="6"/>
        <v>0</v>
      </c>
      <c r="AI68" s="33">
        <f>'0401'!AA68+'0402'!AA68+'0403'!AA68+'405'!AA68+'0406'!AA68+'0409'!AA68+'410-sahara'!AA68+'414-Al ghurair'!AA68+'415'!AA68+'Al Foah_418'!AA68+Rak_417!AA68+D.C.!AA68</f>
        <v>50424</v>
      </c>
      <c r="AJ68" s="84">
        <f t="shared" si="7"/>
        <v>4587</v>
      </c>
    </row>
    <row r="69" spans="1:36" s="1" customFormat="1">
      <c r="A69" s="188">
        <v>6129</v>
      </c>
      <c r="B69" s="188" t="s">
        <v>232</v>
      </c>
      <c r="C69" s="295">
        <f>'0401'!C69+'0402'!C69+'0403'!C69+'405'!C69+'0406'!C69+'0409'!C69+'410-sahara'!C69+'414-Al ghurair'!C69+'415'!C69+'Al Foah_418'!C69+Rak_417!C69+D.C.!C69+'Wafi _419'!C69</f>
        <v>0</v>
      </c>
      <c r="D69" s="68">
        <f>C69/C$12</f>
        <v>0</v>
      </c>
      <c r="E69" s="295">
        <f>'0401'!E69+'0402'!E69+'0403'!E69+'405'!E69+'0406'!E69+'0409'!E69+'410-sahara'!E69+'414-Al ghurair'!E69+'415'!E69+'Al Foah_418'!E69+Rak_417!E69+D.C.!E69+'Wafi _419'!E69</f>
        <v>0</v>
      </c>
      <c r="F69" s="68">
        <f>E69/E$12</f>
        <v>0</v>
      </c>
      <c r="G69" s="295">
        <f>'0401'!G69+'0402'!G69+'0403'!G69+'405'!G69+'0406'!G69+'0409'!G69+'410-sahara'!G69+'414-Al ghurair'!G69+'415'!G69+'Al Foah_418'!G69+Rak_417!G69+D.C.!G69+'Wafi _419'!G69</f>
        <v>0</v>
      </c>
      <c r="H69" s="68">
        <f>G69/G$12</f>
        <v>0</v>
      </c>
      <c r="I69" s="295">
        <f>'0401'!I69+'0402'!I69+'0403'!I69+'405'!I69+'0406'!I69+'0409'!I69+'410-sahara'!I69+'414-Al ghurair'!I69+'415'!I69+'Al Foah_418'!I69+Rak_417!I69+D.C.!I69+'Wafi _419'!I69</f>
        <v>0</v>
      </c>
      <c r="J69" s="68">
        <f>I69/I$12</f>
        <v>0</v>
      </c>
      <c r="K69" s="295">
        <f>'0401'!K69+'0402'!K69+'0403'!K69+'405'!K69+'0406'!K69+'0409'!K69+'410-sahara'!K69+'414-Al ghurair'!K69+'415'!K69+'Al Foah_418'!K69+Rak_417!K69+D.C.!K69+'Wafi _419'!K69</f>
        <v>0</v>
      </c>
      <c r="L69" s="68">
        <f>K69/K$12</f>
        <v>0</v>
      </c>
      <c r="M69" s="295">
        <f>'0401'!M69+'0402'!M69+'0403'!M69+'405'!M69+'0406'!M69+'0409'!M69+'410-sahara'!M69+'414-Al ghurair'!M69+'415'!M69+'Al Foah_418'!M69+Rak_417!M69+D.C.!M69+'Wafi _419'!M69</f>
        <v>0</v>
      </c>
      <c r="N69" s="68">
        <f>M69/M$12</f>
        <v>0</v>
      </c>
      <c r="O69" s="295">
        <f>'0401'!O69+'0402'!O69+'0403'!O69+'405'!O69+'0406'!O69+'0409'!O69+'410-sahara'!O69+'414-Al ghurair'!O69+'415'!O69+'Al Foah_418'!O69+Rak_417!O69+D.C.!O69+'Wafi _419'!O69</f>
        <v>0</v>
      </c>
      <c r="P69" s="68">
        <f>O69/O$12</f>
        <v>0</v>
      </c>
      <c r="Q69" s="295">
        <f>'0401'!Q69+'0402'!Q69+'0403'!Q69+'405'!Q69+'0406'!Q69+'0409'!Q69+'410-sahara'!Q69+'414-Al ghurair'!Q69+'415'!Q69+'Al Foah_418'!Q69+Rak_417!Q69+D.C.!Q69+'Wafi _419'!Q69</f>
        <v>0</v>
      </c>
      <c r="R69" s="68">
        <f>Q69/Q$12</f>
        <v>0</v>
      </c>
      <c r="S69" s="295">
        <f>'0401'!S69+'0402'!S69+'0403'!S69+'405'!S69+'0406'!S69+'0409'!S69+'410-sahara'!S69+'414-Al ghurair'!S69+'415'!S69+'Al Foah_418'!S69+Rak_417!S69+D.C.!S69+'Wafi _419'!S69</f>
        <v>0</v>
      </c>
      <c r="T69" s="68">
        <f>S69/S$12</f>
        <v>0</v>
      </c>
      <c r="U69" s="295">
        <f>'0401'!U69+'0402'!U69+'0403'!U69+'405'!U69+'0406'!U69+'0409'!U69+'410-sahara'!U69+'414-Al ghurair'!U69+'415'!U69+'Al Foah_418'!U69+Rak_417!U69+D.C.!U69+'Wafi _419'!U69</f>
        <v>0</v>
      </c>
      <c r="V69" s="68">
        <f>U69/U$12</f>
        <v>0</v>
      </c>
      <c r="W69" s="295">
        <f>'0401'!W69+'0402'!W69+'0403'!W69+'405'!W69+'0406'!W69+'0409'!W69+'410-sahara'!W69+'414-Al ghurair'!W69+'415'!W69+'Al Foah_418'!W69+Rak_417!W69+D.C.!W69+'Wafi _419'!W69</f>
        <v>0</v>
      </c>
      <c r="X69" s="68">
        <f>W69/W$12</f>
        <v>0</v>
      </c>
      <c r="Y69" s="295">
        <f>'0401'!Y69+'0402'!Y69+'0403'!Y69+'405'!Y69+'0406'!Y69+'0409'!Y69+'410-sahara'!Y69+'414-Al ghurair'!Y69+'415'!Y69+'Al Foah_418'!Y69+Rak_417!Y69+D.C.!Y69+'Wafi _419'!Y69</f>
        <v>0</v>
      </c>
      <c r="Z69" s="68">
        <f>Y69/Y$12</f>
        <v>0</v>
      </c>
      <c r="AA69" s="382">
        <f t="shared" ref="AA69:AA74" si="28">C69+E69+G69+I69+K69+M69+O69+Q69+S69+U69+W69+Y69</f>
        <v>0</v>
      </c>
      <c r="AB69" s="147">
        <f>AA69/AA$12</f>
        <v>0</v>
      </c>
      <c r="AC69" s="128">
        <f t="shared" ref="AC69:AC74" si="29">AA69/12</f>
        <v>0</v>
      </c>
      <c r="AD69" s="131">
        <f>AC69/AC$12</f>
        <v>0</v>
      </c>
      <c r="AE69" s="84">
        <f t="shared" si="25"/>
        <v>0</v>
      </c>
      <c r="AF69" s="33" t="e">
        <f>#REF!+'0401'!#REF!+'0402'!#REF!+'0403'!#REF!+#REF!+'405'!#REF!+'0406'!#REF!+D.C.!#REF!+#REF!+#REF!+'0409'!#REF!</f>
        <v>#REF!</v>
      </c>
      <c r="AG69" s="33" t="e">
        <f t="shared" si="26"/>
        <v>#REF!</v>
      </c>
      <c r="AH69" s="84">
        <f t="shared" si="6"/>
        <v>0</v>
      </c>
      <c r="AI69" s="33">
        <f>'0401'!AA69+'0402'!AA69+'0403'!AA69+'405'!AA69+'0406'!AA69+'0409'!AA69+'410-sahara'!AA69+'414-Al ghurair'!AA69+'415'!AA69+'Al Foah_418'!AA69+Rak_417!AA69+D.C.!AA69</f>
        <v>0</v>
      </c>
      <c r="AJ69" s="84">
        <f t="shared" si="7"/>
        <v>0</v>
      </c>
    </row>
    <row r="70" spans="1:36" s="1" customFormat="1">
      <c r="A70" s="2">
        <v>6131</v>
      </c>
      <c r="B70" s="188" t="s">
        <v>314</v>
      </c>
      <c r="C70" s="295">
        <f>'0401'!C70+'0402'!C70+'0403'!C70+'405'!C70+'0406'!C70+'0409'!C70+'410-sahara'!C70+'414-Al ghurair'!C70+'415'!C70+'Al Foah_418'!C70+Rak_417!C70+D.C.!C70+'Wafi _419'!C70</f>
        <v>8248.7309644670058</v>
      </c>
      <c r="D70" s="702">
        <f t="shared" ref="D70:D74" si="30">C70/C$12</f>
        <v>7.5528866736382881E-4</v>
      </c>
      <c r="E70" s="295">
        <f>'0401'!E70+'0402'!E70+'0403'!E70+'405'!E70+'0406'!E70+'0409'!E70+'410-sahara'!E70+'414-Al ghurair'!E70+'415'!E70+'Al Foah_418'!E70+Rak_417!E70+D.C.!E70+'Wafi _419'!E70</f>
        <v>8248.7309644670058</v>
      </c>
      <c r="F70" s="702">
        <f t="shared" ref="F70:F74" si="31">E70/E$12</f>
        <v>9.7080613102598602E-4</v>
      </c>
      <c r="G70" s="295">
        <f>'0401'!G70+'0402'!G70+'0403'!G70+'405'!G70+'0406'!G70+'0409'!G70+'410-sahara'!G70+'414-Al ghurair'!G70+'415'!G70+'Al Foah_418'!G70+Rak_417!G70+D.C.!G70+'Wafi _419'!G70</f>
        <v>8248.7309644670058</v>
      </c>
      <c r="H70" s="702">
        <f t="shared" ref="H70:H74" si="32">G70/G$12</f>
        <v>5.8525395626665136E-4</v>
      </c>
      <c r="I70" s="295">
        <f>'0401'!I70+'0402'!I70+'0403'!I70+'405'!I70+'0406'!I70+'0409'!I70+'410-sahara'!I70+'414-Al ghurair'!I70+'415'!I70+'Al Foah_418'!I70+Rak_417!I70+D.C.!I70+'Wafi _419'!I70</f>
        <v>8248.7309644670058</v>
      </c>
      <c r="J70" s="702">
        <f t="shared" ref="J70:J74" si="33">I70/I$12</f>
        <v>6.6280606395702603E-4</v>
      </c>
      <c r="K70" s="295">
        <f>'0401'!K70+'0402'!K70+'0403'!K70+'405'!K70+'0406'!K70+'0409'!K70+'410-sahara'!K70+'414-Al ghurair'!K70+'415'!K70+'Al Foah_418'!K70+Rak_417!K70+D.C.!K70+'Wafi _419'!K70</f>
        <v>8248.7309644670058</v>
      </c>
      <c r="L70" s="702">
        <f t="shared" ref="L70:L74" si="34">K70/K$12</f>
        <v>7.246935472047431E-4</v>
      </c>
      <c r="M70" s="295">
        <f>'0401'!M70+'0402'!M70+'0403'!M70+'405'!M70+'0406'!M70+'0409'!M70+'410-sahara'!M70+'414-Al ghurair'!M70+'415'!M70+'Al Foah_418'!M70+Rak_417!M70+D.C.!M70+'Wafi _419'!M70</f>
        <v>8248.7309644670058</v>
      </c>
      <c r="N70" s="702">
        <f t="shared" ref="N70:N74" si="35">M70/M$12</f>
        <v>5.1107236214755012E-4</v>
      </c>
      <c r="O70" s="295">
        <f>'0401'!O70+'0402'!O70+'0403'!O70+'405'!O70+'0406'!O70+'0409'!O70+'410-sahara'!O70+'414-Al ghurair'!O70+'415'!O70+'Al Foah_418'!O70+Rak_417!O70+D.C.!O70+'Wafi _419'!O70</f>
        <v>8248.7309644670058</v>
      </c>
      <c r="P70" s="702">
        <f t="shared" ref="P70:P74" si="36">O70/O$12</f>
        <v>8.0724032778571836E-4</v>
      </c>
      <c r="Q70" s="295">
        <f>'0401'!Q70+'0402'!Q70+'0403'!Q70+'405'!Q70+'0406'!Q70+'0409'!Q70+'410-sahara'!Q70+'414-Al ghurair'!Q70+'415'!Q70+'Al Foah_418'!Q70+Rak_417!Q70+D.C.!Q70+'Wafi _419'!Q70</f>
        <v>8248.7309644670058</v>
      </c>
      <c r="R70" s="702">
        <f t="shared" ref="R70:R74" si="37">Q70/Q$12</f>
        <v>6.5008856993824845E-4</v>
      </c>
      <c r="S70" s="295">
        <f>'0401'!S70+'0402'!S70+'0403'!S70+'405'!S70+'0406'!S70+'0409'!S70+'410-sahara'!S70+'414-Al ghurair'!S70+'415'!S70+'Al Foah_418'!S70+Rak_417!S70+D.C.!S70+'Wafi _419'!S70</f>
        <v>8248.7309644670058</v>
      </c>
      <c r="T70" s="702">
        <f t="shared" ref="T70:T74" si="38">S70/S$12</f>
        <v>6.4532650990937036E-4</v>
      </c>
      <c r="U70" s="295">
        <f>'0401'!U70+'0402'!U70+'0403'!U70+'405'!U70+'0406'!U70+'0409'!U70+'410-sahara'!U70+'414-Al ghurair'!U70+'415'!U70+'Al Foah_418'!U70+Rak_417!U70+D.C.!U70+'Wafi _419'!U70</f>
        <v>8248.7309644670058</v>
      </c>
      <c r="V70" s="702">
        <f t="shared" ref="V70:V74" si="39">U70/U$12</f>
        <v>8.1356682675074539E-4</v>
      </c>
      <c r="W70" s="295">
        <f>'0401'!W70+'0402'!W70+'0403'!W70+'405'!W70+'0406'!W70+'0409'!W70+'410-sahara'!W70+'414-Al ghurair'!W70+'415'!W70+'Al Foah_418'!W70+Rak_417!W70+D.C.!W70+'Wafi _419'!W70</f>
        <v>8248.7309644670058</v>
      </c>
      <c r="X70" s="702">
        <f t="shared" ref="X70:X74" si="40">W70/W$12</f>
        <v>7.9962022711471778E-4</v>
      </c>
      <c r="Y70" s="295">
        <f>'0401'!Y70+'0402'!Y70+'0403'!Y70+'405'!Y70+'0406'!Y70+'0409'!Y70+'410-sahara'!Y70+'414-Al ghurair'!Y70+'415'!Y70+'Al Foah_418'!Y70+Rak_417!Y70+D.C.!Y70+'Wafi _419'!Y70</f>
        <v>8248.7309644670058</v>
      </c>
      <c r="Z70" s="702">
        <f t="shared" ref="Z70:Z74" si="41">Y70/Y$12</f>
        <v>5.2931724140380045E-4</v>
      </c>
      <c r="AA70" s="144">
        <f t="shared" si="28"/>
        <v>98984.771573604041</v>
      </c>
      <c r="AB70" s="702">
        <f t="shared" ref="AB70:AB74" si="42">AA70/AA$12</f>
        <v>6.8167687964809339E-4</v>
      </c>
      <c r="AC70" s="128">
        <f t="shared" si="29"/>
        <v>8248.730964467004</v>
      </c>
      <c r="AD70" s="702">
        <f t="shared" ref="AD70:AD74" si="43">AC70/AC$12</f>
        <v>6.816768796480935E-4</v>
      </c>
      <c r="AE70" s="645"/>
      <c r="AF70" s="226"/>
      <c r="AG70" s="226"/>
    </row>
    <row r="71" spans="1:36" s="1" customFormat="1">
      <c r="A71" s="2">
        <v>6132</v>
      </c>
      <c r="B71" s="188" t="s">
        <v>315</v>
      </c>
      <c r="C71" s="295">
        <f>'0401'!C71+'0402'!C71+'0403'!C71+'405'!C71+'0406'!C71+'0409'!C71+'410-sahara'!C71+'414-Al ghurair'!C71+'415'!C71+'Al Foah_418'!C71+Rak_417!C71+D.C.!C71+'Wafi _419'!C71</f>
        <v>558.37433164128595</v>
      </c>
      <c r="D71" s="702">
        <f t="shared" si="30"/>
        <v>5.1127113570828638E-5</v>
      </c>
      <c r="E71" s="295">
        <f>'0401'!E71+'0402'!E71+'0403'!E71+'405'!E71+'0406'!E71+'0409'!E71+'410-sahara'!E71+'414-Al ghurair'!E71+'415'!E71+'Al Foah_418'!E71+Rak_417!E71+D.C.!E71+'Wafi _419'!E71</f>
        <v>558.37433164128595</v>
      </c>
      <c r="F71" s="702">
        <f t="shared" si="31"/>
        <v>6.5715953993406045E-5</v>
      </c>
      <c r="G71" s="295">
        <f>'0401'!G71+'0402'!G71+'0403'!G71+'405'!G71+'0406'!G71+'0409'!G71+'410-sahara'!G71+'414-Al ghurair'!G71+'415'!G71+'Al Foah_418'!G71+Rak_417!G71+D.C.!G71+'Wafi _419'!G71</f>
        <v>558.37433164128595</v>
      </c>
      <c r="H71" s="702">
        <f t="shared" si="32"/>
        <v>3.9617098445630483E-5</v>
      </c>
      <c r="I71" s="295">
        <f>'0401'!I71+'0402'!I71+'0403'!I71+'405'!I71+'0406'!I71+'0409'!I71+'410-sahara'!I71+'414-Al ghurair'!I71+'415'!I71+'Al Foah_418'!I71+Rak_417!I71+D.C.!I71+'Wafi _419'!I71</f>
        <v>558.37433164128595</v>
      </c>
      <c r="J71" s="702">
        <f t="shared" si="33"/>
        <v>4.4866767332338322E-5</v>
      </c>
      <c r="K71" s="295">
        <f>'0401'!K71+'0402'!K71+'0403'!K71+'405'!K71+'0406'!K71+'0409'!K71+'410-sahara'!K71+'414-Al ghurair'!K71+'415'!K71+'Al Foah_418'!K71+Rak_417!K71+D.C.!K71+'Wafi _419'!K71</f>
        <v>558.37433164128595</v>
      </c>
      <c r="L71" s="702">
        <f t="shared" si="34"/>
        <v>4.9056064115596688E-5</v>
      </c>
      <c r="M71" s="295">
        <f>'0401'!M71+'0402'!M71+'0403'!M71+'405'!M71+'0406'!M71+'0409'!M71+'410-sahara'!M71+'414-Al ghurair'!M71+'415'!M71+'Al Foah_418'!M71+Rak_417!M71+D.C.!M71+'Wafi _419'!M71</f>
        <v>558.37433164128595</v>
      </c>
      <c r="N71" s="702">
        <f t="shared" si="35"/>
        <v>3.4595586868302086E-5</v>
      </c>
      <c r="O71" s="295">
        <f>'0401'!O71+'0402'!O71+'0403'!O71+'405'!O71+'0406'!O71+'0409'!O71+'410-sahara'!O71+'414-Al ghurair'!O71+'415'!O71+'Al Foah_418'!O71+Rak_417!O71+D.C.!O71+'Wafi _419'!O71</f>
        <v>558.37433164128595</v>
      </c>
      <c r="P71" s="702">
        <f t="shared" si="36"/>
        <v>5.4643833147535308E-5</v>
      </c>
      <c r="Q71" s="295">
        <f>'0401'!Q71+'0402'!Q71+'0403'!Q71+'405'!Q71+'0406'!Q71+'0409'!Q71+'410-sahara'!Q71+'414-Al ghurair'!Q71+'415'!Q71+'Al Foah_418'!Q71+Rak_417!Q71+D.C.!Q71+'Wafi _419'!Q71</f>
        <v>558.37433164128595</v>
      </c>
      <c r="R71" s="702">
        <f t="shared" si="37"/>
        <v>4.4005892822856028E-5</v>
      </c>
      <c r="S71" s="295">
        <f>'0401'!S71+'0402'!S71+'0403'!S71+'405'!S71+'0406'!S71+'0409'!S71+'410-sahara'!S71+'414-Al ghurair'!S71+'415'!S71+'Al Foah_418'!S71+Rak_417!S71+D.C.!S71+'Wafi _419'!S71</f>
        <v>558.37433164128595</v>
      </c>
      <c r="T71" s="702">
        <f t="shared" si="38"/>
        <v>4.3683538742293244E-5</v>
      </c>
      <c r="U71" s="295">
        <f>'0401'!U71+'0402'!U71+'0403'!U71+'405'!U71+'0406'!U71+'0409'!U71+'410-sahara'!U71+'414-Al ghurair'!U71+'415'!U71+'Al Foah_418'!U71+Rak_417!U71+D.C.!U71+'Wafi _419'!U71</f>
        <v>558.37433164128595</v>
      </c>
      <c r="V71" s="702">
        <f t="shared" si="39"/>
        <v>5.5072087462828582E-5</v>
      </c>
      <c r="W71" s="295">
        <f>'0401'!W71+'0402'!W71+'0403'!W71+'405'!W71+'0406'!W71+'0409'!W71+'410-sahara'!W71+'414-Al ghurair'!W71+'415'!W71+'Al Foah_418'!W71+Rak_417!W71+D.C.!W71+'Wafi _419'!W71</f>
        <v>558.37433164128595</v>
      </c>
      <c r="X71" s="702">
        <f t="shared" si="40"/>
        <v>5.4128012151852713E-5</v>
      </c>
      <c r="Y71" s="295">
        <f>'0401'!Y71+'0402'!Y71+'0403'!Y71+'405'!Y71+'0406'!Y71+'0409'!Y71+'410-sahara'!Y71+'414-Al ghurair'!Y71+'415'!Y71+'Al Foah_418'!Y71+Rak_417!Y71+D.C.!Y71+'Wafi _419'!Y71</f>
        <v>558.37433164128595</v>
      </c>
      <c r="Z71" s="702">
        <f t="shared" si="41"/>
        <v>3.5830621966969898E-5</v>
      </c>
      <c r="AA71" s="144">
        <f t="shared" si="28"/>
        <v>6700.49197969543</v>
      </c>
      <c r="AB71" s="702">
        <f t="shared" si="42"/>
        <v>4.6144173413881742E-5</v>
      </c>
      <c r="AC71" s="128">
        <f t="shared" si="29"/>
        <v>558.37433164128583</v>
      </c>
      <c r="AD71" s="702">
        <f t="shared" si="43"/>
        <v>4.6144173413881742E-5</v>
      </c>
      <c r="AE71" s="645"/>
      <c r="AF71" s="226"/>
      <c r="AG71" s="226"/>
    </row>
    <row r="72" spans="1:36" s="1" customFormat="1">
      <c r="A72" s="2">
        <v>6133</v>
      </c>
      <c r="B72" s="188" t="s">
        <v>316</v>
      </c>
      <c r="C72" s="295">
        <f>'0401'!C72+'0402'!C72+'0403'!C72+'405'!C72+'0406'!C72+'0409'!C72+'410-sahara'!C72+'414-Al ghurair'!C72+'415'!C72+'Al Foah_418'!C72+Rak_417!C72+D.C.!C72+'Wafi _419'!C72</f>
        <v>1200</v>
      </c>
      <c r="D72" s="702">
        <f t="shared" si="30"/>
        <v>1.0987707136295945E-4</v>
      </c>
      <c r="E72" s="295">
        <f>'0401'!E72+'0402'!E72+'0403'!E72+'405'!E72+'0406'!E72+'0409'!E72+'410-sahara'!E72+'414-Al ghurair'!E72+'415'!E72+'Al Foah_418'!E72+Rak_417!E72+D.C.!E72+'Wafi _419'!E72</f>
        <v>1200</v>
      </c>
      <c r="F72" s="702">
        <f t="shared" si="31"/>
        <v>1.4122988884587265E-4</v>
      </c>
      <c r="G72" s="295">
        <f>'0401'!G72+'0402'!G72+'0403'!G72+'405'!G72+'0406'!G72+'0409'!G72+'410-sahara'!G72+'414-Al ghurair'!G72+'415'!G72+'Al Foah_418'!G72+Rak_417!G72+D.C.!G72+'Wafi _419'!G72</f>
        <v>1200</v>
      </c>
      <c r="H72" s="702">
        <f t="shared" si="32"/>
        <v>8.5140944776268546E-5</v>
      </c>
      <c r="I72" s="295">
        <f>'0401'!I72+'0402'!I72+'0403'!I72+'405'!I72+'0406'!I72+'0409'!I72+'410-sahara'!I72+'414-Al ghurair'!I72+'415'!I72+'Al Foah_418'!I72+Rak_417!I72+D.C.!I72+'Wafi _419'!I72</f>
        <v>1200</v>
      </c>
      <c r="J72" s="702">
        <f t="shared" si="33"/>
        <v>9.6422986781194428E-5</v>
      </c>
      <c r="K72" s="295">
        <f>'0401'!K72+'0402'!K72+'0403'!K72+'405'!K72+'0406'!K72+'0409'!K72+'410-sahara'!K72+'414-Al ghurair'!K72+'415'!K72+'Al Foah_418'!K72+Rak_417!K72+D.C.!K72+'Wafi _419'!K72</f>
        <v>1200</v>
      </c>
      <c r="L72" s="702">
        <f t="shared" si="34"/>
        <v>1.0542618742104693E-4</v>
      </c>
      <c r="M72" s="295">
        <f>'0401'!M72+'0402'!M72+'0403'!M72+'405'!M72+'0406'!M72+'0409'!M72+'410-sahara'!M72+'414-Al ghurair'!M72+'415'!M72+'Al Foah_418'!M72+Rak_417!M72+D.C.!M72+'Wafi _419'!M72</f>
        <v>1200</v>
      </c>
      <c r="N72" s="702">
        <f t="shared" si="35"/>
        <v>7.4349234714880509E-5</v>
      </c>
      <c r="O72" s="295">
        <f>'0401'!O72+'0402'!O72+'0403'!O72+'405'!O72+'0406'!O72+'0409'!O72+'410-sahara'!O72+'414-Al ghurair'!O72+'415'!O72+'Al Foah_418'!O72+Rak_417!O72+D.C.!O72+'Wafi _419'!O72</f>
        <v>1200</v>
      </c>
      <c r="P72" s="702">
        <f t="shared" si="36"/>
        <v>1.1743483906987311E-4</v>
      </c>
      <c r="Q72" s="295">
        <f>'0401'!Q72+'0402'!Q72+'0403'!Q72+'405'!Q72+'0406'!Q72+'0409'!Q72+'410-sahara'!Q72+'414-Al ghurair'!Q72+'415'!Q72+'Al Foah_418'!Q72+Rak_417!Q72+D.C.!Q72+'Wafi _419'!Q72</f>
        <v>1200</v>
      </c>
      <c r="R72" s="702">
        <f t="shared" si="37"/>
        <v>9.4572884882093491E-5</v>
      </c>
      <c r="S72" s="295">
        <f>'0401'!S72+'0402'!S72+'0403'!S72+'405'!S72+'0406'!S72+'0409'!S72+'410-sahara'!S72+'414-Al ghurair'!S72+'415'!S72+'Al Foah_418'!S72+Rak_417!S72+D.C.!S72+'Wafi _419'!S72</f>
        <v>1200</v>
      </c>
      <c r="T72" s="702">
        <f t="shared" si="38"/>
        <v>9.38801150415847E-5</v>
      </c>
      <c r="U72" s="295">
        <f>'0401'!U72+'0402'!U72+'0403'!U72+'405'!U72+'0406'!U72+'0409'!U72+'410-sahara'!U72+'414-Al ghurair'!U72+'415'!U72+'Al Foah_418'!U72+Rak_417!U72+D.C.!U72+'Wafi _419'!U72</f>
        <v>1200</v>
      </c>
      <c r="V72" s="702">
        <f t="shared" si="39"/>
        <v>1.1835519867315458E-4</v>
      </c>
      <c r="W72" s="295">
        <f>'0401'!W72+'0402'!W72+'0403'!W72+'405'!W72+'0406'!W72+'0409'!W72+'410-sahara'!W72+'414-Al ghurair'!W72+'415'!W72+'Al Foah_418'!W72+Rak_417!W72+D.C.!W72+'Wafi _419'!W72</f>
        <v>1200</v>
      </c>
      <c r="X72" s="702">
        <f t="shared" si="40"/>
        <v>1.1632629027071955E-4</v>
      </c>
      <c r="Y72" s="295">
        <f>'0401'!Y72+'0402'!Y72+'0403'!Y72+'405'!Y72+'0406'!Y72+'0409'!Y72+'410-sahara'!Y72+'414-Al ghurair'!Y72+'415'!Y72+'Al Foah_418'!Y72+Rak_417!Y72+D.C.!Y72+'Wafi _419'!Y72</f>
        <v>1200</v>
      </c>
      <c r="Z72" s="702">
        <f t="shared" si="41"/>
        <v>7.7003443610989801E-5</v>
      </c>
      <c r="AA72" s="144">
        <f t="shared" si="28"/>
        <v>14400</v>
      </c>
      <c r="AB72" s="702">
        <f t="shared" si="42"/>
        <v>9.9168254983882651E-5</v>
      </c>
      <c r="AC72" s="128">
        <f t="shared" si="29"/>
        <v>1200</v>
      </c>
      <c r="AD72" s="702">
        <f t="shared" si="43"/>
        <v>9.9168254983882651E-5</v>
      </c>
      <c r="AE72" s="645"/>
      <c r="AF72" s="226"/>
      <c r="AG72" s="226"/>
    </row>
    <row r="73" spans="1:36" s="1" customFormat="1">
      <c r="A73" s="2">
        <v>6134</v>
      </c>
      <c r="B73" s="188" t="s">
        <v>317</v>
      </c>
      <c r="C73" s="295">
        <f>'0401'!C73+'0402'!C73+'0403'!C73+'405'!C73+'0406'!C73+'0409'!C73+'410-sahara'!C73+'414-Al ghurair'!C73+'415'!C73+'Al Foah_418'!C73+Rak_417!C73+D.C.!C73+'Wafi _419'!C73</f>
        <v>1421.3197969543146</v>
      </c>
      <c r="D73" s="702">
        <f t="shared" si="30"/>
        <v>1.3014204729961355E-4</v>
      </c>
      <c r="E73" s="295">
        <f>'0401'!E73+'0402'!E73+'0403'!E73+'405'!E73+'0406'!E73+'0409'!E73+'410-sahara'!E73+'414-Al ghurair'!E73+'415'!E73+'Al Foah_418'!E73+Rak_417!E73+D.C.!E73+'Wafi _419'!E73</f>
        <v>1421.3197969543146</v>
      </c>
      <c r="F73" s="702">
        <f t="shared" si="31"/>
        <v>1.6727736411524679E-4</v>
      </c>
      <c r="G73" s="295">
        <f>'0401'!G73+'0402'!G73+'0403'!G73+'405'!G73+'0406'!G73+'0409'!G73+'410-sahara'!G73+'414-Al ghurair'!G73+'415'!G73+'Al Foah_418'!G73+Rak_417!G73+D.C.!G73+'Wafi _419'!G73</f>
        <v>1421.3197969543146</v>
      </c>
      <c r="H73" s="702">
        <f t="shared" si="32"/>
        <v>1.0084375861825376E-4</v>
      </c>
      <c r="I73" s="295">
        <f>'0401'!I73+'0402'!I73+'0403'!I73+'405'!I73+'0406'!I73+'0409'!I73+'410-sahara'!I73+'414-Al ghurair'!I73+'415'!I73+'Al Foah_418'!I73+Rak_417!I73+D.C.!I73+'Wafi _419'!I73</f>
        <v>1421.3197969543146</v>
      </c>
      <c r="J73" s="702">
        <f t="shared" si="33"/>
        <v>1.1420658332797984E-4</v>
      </c>
      <c r="K73" s="295">
        <f>'0401'!K73+'0402'!K73+'0403'!K73+'405'!K73+'0406'!K73+'0409'!K73+'410-sahara'!K73+'414-Al ghurair'!K73+'415'!K73+'Al Foah_418'!K73+Rak_417!K73+D.C.!K73+'Wafi _419'!K73</f>
        <v>1421.3197969543146</v>
      </c>
      <c r="L73" s="702">
        <f t="shared" si="34"/>
        <v>1.2487027274912495E-4</v>
      </c>
      <c r="M73" s="295">
        <f>'0401'!M73+'0402'!M73+'0403'!M73+'405'!M73+'0406'!M73+'0409'!M73+'410-sahara'!M73+'414-Al ghurair'!M73+'415'!M73+'Al Foah_418'!M73+Rak_417!M73+D.C.!M73+'Wafi _419'!M73</f>
        <v>1421.3197969543146</v>
      </c>
      <c r="N73" s="702">
        <f t="shared" si="35"/>
        <v>8.8061699323885539E-5</v>
      </c>
      <c r="O73" s="295">
        <f>'0401'!O73+'0402'!O73+'0403'!O73+'405'!O73+'0406'!O73+'0409'!O73+'410-sahara'!O73+'414-Al ghurair'!O73+'415'!O73+'Al Foah_418'!O73+Rak_417!O73+D.C.!O73+'Wafi _419'!O73</f>
        <v>1421.3197969543146</v>
      </c>
      <c r="P73" s="702">
        <f t="shared" si="36"/>
        <v>1.3909371801846222E-4</v>
      </c>
      <c r="Q73" s="295">
        <f>'0401'!Q73+'0402'!Q73+'0403'!Q73+'405'!Q73+'0406'!Q73+'0409'!Q73+'410-sahara'!Q73+'414-Al ghurair'!Q73+'415'!Q73+'Al Foah_418'!Q73+Rak_417!Q73+D.C.!Q73+'Wafi _419'!Q73</f>
        <v>1421.3197969543146</v>
      </c>
      <c r="R73" s="702">
        <f t="shared" si="37"/>
        <v>1.1201526128166741E-4</v>
      </c>
      <c r="S73" s="295">
        <f>'0401'!S73+'0402'!S73+'0403'!S73+'405'!S73+'0406'!S73+'0409'!S73+'410-sahara'!S73+'414-Al ghurair'!S73+'415'!S73+'Al Foah_418'!S73+Rak_417!S73+D.C.!S73+'Wafi _419'!S73</f>
        <v>1421.3197969543146</v>
      </c>
      <c r="T73" s="702">
        <f t="shared" si="38"/>
        <v>1.1119472170746071E-4</v>
      </c>
      <c r="U73" s="295">
        <f>'0401'!U73+'0402'!U73+'0403'!U73+'405'!U73+'0406'!U73+'0409'!U73+'410-sahara'!U73+'414-Al ghurair'!U73+'415'!U73+'Al Foah_418'!U73+Rak_417!U73+D.C.!U73+'Wafi _419'!U73</f>
        <v>1421.3197969543146</v>
      </c>
      <c r="V73" s="702">
        <f t="shared" si="39"/>
        <v>1.4018382245551301E-4</v>
      </c>
      <c r="W73" s="295">
        <f>'0401'!W73+'0402'!W73+'0403'!W73+'405'!W73+'0406'!W73+'0409'!W73+'410-sahara'!W73+'414-Al ghurair'!W73+'415'!W73+'Al Foah_418'!W73+Rak_417!W73+D.C.!W73+'Wafi _419'!W73</f>
        <v>1421.3197969543146</v>
      </c>
      <c r="X73" s="702">
        <f t="shared" si="40"/>
        <v>1.3778071605668983E-4</v>
      </c>
      <c r="Y73" s="295">
        <f>'0401'!Y73+'0402'!Y73+'0403'!Y73+'405'!Y73+'0406'!Y73+'0409'!Y73+'410-sahara'!Y73+'414-Al ghurair'!Y73+'415'!Y73+'Al Foah_418'!Y73+Rak_417!Y73+D.C.!Y73+'Wafi _419'!Y73</f>
        <v>1421.3197969543146</v>
      </c>
      <c r="Z73" s="702">
        <f t="shared" si="41"/>
        <v>9.1205432364962523E-5</v>
      </c>
      <c r="AA73" s="144">
        <f t="shared" si="28"/>
        <v>17055.837563451776</v>
      </c>
      <c r="AB73" s="702">
        <f t="shared" si="42"/>
        <v>1.1745817003167149E-4</v>
      </c>
      <c r="AC73" s="128">
        <f t="shared" si="29"/>
        <v>1421.3197969543146</v>
      </c>
      <c r="AD73" s="702">
        <f t="shared" si="43"/>
        <v>1.1745817003167149E-4</v>
      </c>
      <c r="AE73" s="645"/>
      <c r="AF73" s="226"/>
      <c r="AG73" s="226"/>
    </row>
    <row r="74" spans="1:36" s="1" customFormat="1">
      <c r="A74" s="2">
        <v>6135</v>
      </c>
      <c r="B74" s="188" t="s">
        <v>318</v>
      </c>
      <c r="C74" s="295">
        <f>'0401'!C74+'0402'!C74+'0403'!C74+'405'!C74+'0406'!C74+'0409'!C74+'410-sahara'!C74+'414-Al ghurair'!C74+'415'!C74+'Al Foah_418'!C74+Rak_417!C74+D.C.!C74+'Wafi _419'!C74</f>
        <v>0</v>
      </c>
      <c r="D74" s="702">
        <f t="shared" si="30"/>
        <v>0</v>
      </c>
      <c r="E74" s="295">
        <f>'0401'!E74+'0402'!E74+'0403'!E74+'405'!E74+'0406'!E74+'0409'!E74+'410-sahara'!E74+'414-Al ghurair'!E74+'415'!E74+'Al Foah_418'!E74+Rak_417!E74+D.C.!E74+'Wafi _419'!E74</f>
        <v>0</v>
      </c>
      <c r="F74" s="702">
        <f t="shared" si="31"/>
        <v>0</v>
      </c>
      <c r="G74" s="295">
        <f>'0401'!G74+'0402'!G74+'0403'!G74+'405'!G74+'0406'!G74+'0409'!G74+'410-sahara'!G74+'414-Al ghurair'!G74+'415'!G74+'Al Foah_418'!G74+Rak_417!G74+D.C.!G74+'Wafi _419'!G74</f>
        <v>0</v>
      </c>
      <c r="H74" s="702">
        <f t="shared" si="32"/>
        <v>0</v>
      </c>
      <c r="I74" s="295">
        <f>'0401'!I74+'0402'!I74+'0403'!I74+'405'!I74+'0406'!I74+'0409'!I74+'410-sahara'!I74+'414-Al ghurair'!I74+'415'!I74+'Al Foah_418'!I74+Rak_417!I74+D.C.!I74+'Wafi _419'!I74</f>
        <v>0</v>
      </c>
      <c r="J74" s="702">
        <f t="shared" si="33"/>
        <v>0</v>
      </c>
      <c r="K74" s="295">
        <f>'0401'!K74+'0402'!K74+'0403'!K74+'405'!K74+'0406'!K74+'0409'!K74+'410-sahara'!K74+'414-Al ghurair'!K74+'415'!K74+'Al Foah_418'!K74+Rak_417!K74+D.C.!K74+'Wafi _419'!K74</f>
        <v>0</v>
      </c>
      <c r="L74" s="702">
        <f t="shared" si="34"/>
        <v>0</v>
      </c>
      <c r="M74" s="295">
        <f>'0401'!M74+'0402'!M74+'0403'!M74+'405'!M74+'0406'!M74+'0409'!M74+'410-sahara'!M74+'414-Al ghurair'!M74+'415'!M74+'Al Foah_418'!M74+Rak_417!M74+D.C.!M74+'Wafi _419'!M74</f>
        <v>0</v>
      </c>
      <c r="N74" s="702">
        <f t="shared" si="35"/>
        <v>0</v>
      </c>
      <c r="O74" s="295">
        <f>'0401'!O74+'0402'!O74+'0403'!O74+'405'!O74+'0406'!O74+'0409'!O74+'410-sahara'!O74+'414-Al ghurair'!O74+'415'!O74+'Al Foah_418'!O74+Rak_417!O74+D.C.!O74+'Wafi _419'!O74</f>
        <v>0</v>
      </c>
      <c r="P74" s="702">
        <f t="shared" si="36"/>
        <v>0</v>
      </c>
      <c r="Q74" s="295">
        <f>'0401'!Q74+'0402'!Q74+'0403'!Q74+'405'!Q74+'0406'!Q74+'0409'!Q74+'410-sahara'!Q74+'414-Al ghurair'!Q74+'415'!Q74+'Al Foah_418'!Q74+Rak_417!Q74+D.C.!Q74+'Wafi _419'!Q74</f>
        <v>0</v>
      </c>
      <c r="R74" s="702">
        <f t="shared" si="37"/>
        <v>0</v>
      </c>
      <c r="S74" s="295">
        <f>'0401'!S74+'0402'!S74+'0403'!S74+'405'!S74+'0406'!S74+'0409'!S74+'410-sahara'!S74+'414-Al ghurair'!S74+'415'!S74+'Al Foah_418'!S74+Rak_417!S74+D.C.!S74+'Wafi _419'!S74</f>
        <v>0</v>
      </c>
      <c r="T74" s="702">
        <f t="shared" si="38"/>
        <v>0</v>
      </c>
      <c r="U74" s="295">
        <f>'0401'!U74+'0402'!U74+'0403'!U74+'405'!U74+'0406'!U74+'0409'!U74+'410-sahara'!U74+'414-Al ghurair'!U74+'415'!U74+'Al Foah_418'!U74+Rak_417!U74+D.C.!U74+'Wafi _419'!U74</f>
        <v>0</v>
      </c>
      <c r="V74" s="702">
        <f t="shared" si="39"/>
        <v>0</v>
      </c>
      <c r="W74" s="295">
        <f>'0401'!W74+'0402'!W74+'0403'!W74+'405'!W74+'0406'!W74+'0409'!W74+'410-sahara'!W74+'414-Al ghurair'!W74+'415'!W74+'Al Foah_418'!W74+Rak_417!W74+D.C.!W74+'Wafi _419'!W74</f>
        <v>0</v>
      </c>
      <c r="X74" s="702">
        <f t="shared" si="40"/>
        <v>0</v>
      </c>
      <c r="Y74" s="295">
        <f>'0401'!Y74+'0402'!Y74+'0403'!Y74+'405'!Y74+'0406'!Y74+'0409'!Y74+'410-sahara'!Y74+'414-Al ghurair'!Y74+'415'!Y74+'Al Foah_418'!Y74+Rak_417!Y74+D.C.!Y74+'Wafi _419'!Y74</f>
        <v>0</v>
      </c>
      <c r="Z74" s="702">
        <f t="shared" si="41"/>
        <v>0</v>
      </c>
      <c r="AA74" s="144">
        <f t="shared" si="28"/>
        <v>0</v>
      </c>
      <c r="AB74" s="702">
        <f t="shared" si="42"/>
        <v>0</v>
      </c>
      <c r="AC74" s="128">
        <f t="shared" si="29"/>
        <v>0</v>
      </c>
      <c r="AD74" s="702">
        <f t="shared" si="43"/>
        <v>0</v>
      </c>
      <c r="AE74" s="645"/>
      <c r="AF74" s="226"/>
      <c r="AG74" s="226"/>
    </row>
    <row r="75" spans="1:36" s="1" customFormat="1">
      <c r="A75" s="2">
        <v>6136</v>
      </c>
      <c r="B75" s="188" t="s">
        <v>330</v>
      </c>
      <c r="C75" s="295">
        <f>'0401'!C75+'0402'!C75+'0403'!C75+'405'!C75+'0406'!C75+'0409'!C75+'410-sahara'!C75+'414-Al ghurair'!C75+'415'!C75+'Al Foah_418'!C75+Rak_417!C75+D.C.!C75+'Wafi _419'!C75</f>
        <v>1857.284263959391</v>
      </c>
      <c r="D75" s="702">
        <f t="shared" ref="D75" si="44">C75/C$12</f>
        <v>1.7006079634363969E-4</v>
      </c>
      <c r="E75" s="295">
        <f>'0401'!E75+'0402'!E75+'0403'!E75+'405'!E75+'0406'!E75+'0409'!E75+'410-sahara'!E75+'414-Al ghurair'!E75+'415'!E75+'Al Foah_418'!E75+Rak_417!E75+D.C.!E75+'Wafi _419'!E75</f>
        <v>1857.284263959391</v>
      </c>
      <c r="F75" s="702">
        <f t="shared" ref="F75" si="45">E75/E$12</f>
        <v>2.18586708461811E-4</v>
      </c>
      <c r="G75" s="295">
        <f>'0401'!G75+'0402'!G75+'0403'!G75+'405'!G75+'0406'!G75+'0409'!G75+'410-sahara'!G75+'414-Al ghurair'!G75+'415'!G75+'Al Foah_418'!G75+Rak_417!G75+D.C.!G75+'Wafi _419'!G75</f>
        <v>1857.284263959391</v>
      </c>
      <c r="H75" s="702">
        <f t="shared" ref="H75" si="46">G75/G$12</f>
        <v>1.3177578079299923E-4</v>
      </c>
      <c r="I75" s="295">
        <f>'0401'!I75+'0402'!I75+'0403'!I75+'405'!I75+'0406'!I75+'0409'!I75+'410-sahara'!I75+'414-Al ghurair'!I75+'415'!I75+'Al Foah_418'!I75+Rak_417!I75+D.C.!I75+'Wafi _419'!I75</f>
        <v>1857.284263959391</v>
      </c>
      <c r="J75" s="702">
        <f t="shared" ref="J75" si="47">I75/I$12</f>
        <v>1.4923741336056397E-4</v>
      </c>
      <c r="K75" s="295">
        <f>'0401'!K75+'0402'!K75+'0403'!K75+'405'!K75+'0406'!K75+'0409'!K75+'410-sahara'!K75+'414-Al ghurair'!K75+'415'!K75+'Al Foah_418'!K75+Rak_417!K75+D.C.!K75+'Wafi _419'!K75</f>
        <v>1857.284263959391</v>
      </c>
      <c r="L75" s="702">
        <f t="shared" ref="L75" si="48">K75/K$12</f>
        <v>1.6317199908861995E-4</v>
      </c>
      <c r="M75" s="295">
        <f>'0401'!M75+'0402'!M75+'0403'!M75+'405'!M75+'0406'!M75+'0409'!M75+'410-sahara'!M75+'414-Al ghurair'!M75+'415'!M75+'Al Foah_418'!M75+Rak_417!M75+D.C.!M75+'Wafi _419'!M75</f>
        <v>1857.284263959391</v>
      </c>
      <c r="N75" s="702">
        <f t="shared" ref="N75" si="49">M75/M$12</f>
        <v>1.1507305306114237E-4</v>
      </c>
      <c r="O75" s="295">
        <f>'0401'!O75+'0402'!O75+'0403'!O75+'405'!O75+'0406'!O75+'0409'!O75+'410-sahara'!O75+'414-Al ghurair'!O75+'415'!O75+'Al Foah_418'!O75+Rak_417!O75+D.C.!O75+'Wafi _419'!O75</f>
        <v>1857.284263959391</v>
      </c>
      <c r="P75" s="702">
        <f t="shared" ref="P75" si="50">O75/O$12</f>
        <v>1.8175823220423234E-4</v>
      </c>
      <c r="Q75" s="295">
        <f>'0401'!Q75+'0402'!Q75+'0403'!Q75+'405'!Q75+'0406'!Q75+'0409'!Q75+'410-sahara'!Q75+'414-Al ghurair'!Q75+'415'!Q75+'Al Foah_418'!Q75+Rak_417!Q75+D.C.!Q75+'Wafi _419'!Q75</f>
        <v>1857.284263959391</v>
      </c>
      <c r="R75" s="702">
        <f t="shared" ref="R75" si="51">Q75/Q$12</f>
        <v>1.4637394240729602E-4</v>
      </c>
      <c r="S75" s="295">
        <f>'0401'!S75+'0402'!S75+'0403'!S75+'405'!S75+'0406'!S75+'0409'!S75+'410-sahara'!S75+'414-Al ghurair'!S75+'415'!S75+'Al Foah_418'!S75+Rak_417!S75+D.C.!S75+'Wafi _419'!S75</f>
        <v>1857.284263959391</v>
      </c>
      <c r="T75" s="702">
        <f t="shared" ref="T75" si="52">S75/S$12</f>
        <v>1.4530171697119384E-4</v>
      </c>
      <c r="U75" s="295">
        <f>'0401'!U75+'0402'!U75+'0403'!U75+'405'!U75+'0406'!U75+'0409'!U75+'410-sahara'!U75+'414-Al ghurair'!U75+'415'!U75+'Al Foah_418'!U75+Rak_417!U75+D.C.!U75+'Wafi _419'!U75</f>
        <v>1857.284263959391</v>
      </c>
      <c r="V75" s="702">
        <f t="shared" ref="V75" si="53">U75/U$12</f>
        <v>1.831827067111978E-4</v>
      </c>
      <c r="W75" s="295">
        <f>'0401'!W75+'0402'!W75+'0403'!W75+'405'!W75+'0406'!W75+'0409'!W75+'410-sahara'!W75+'414-Al ghurair'!W75+'415'!W75+'Al Foah_418'!W75+Rak_417!W75+D.C.!W75+'Wafi _419'!W75</f>
        <v>1857.284263959391</v>
      </c>
      <c r="X75" s="702">
        <f t="shared" ref="X75" si="54">W75/W$12</f>
        <v>1.8004249033714987E-4</v>
      </c>
      <c r="Y75" s="295">
        <f>'0401'!Y75+'0402'!Y75+'0403'!Y75+'405'!Y75+'0406'!Y75+'0409'!Y75+'410-sahara'!Y75+'414-Al ghurair'!Y75+'415'!Y75+'Al Foah_418'!Y75+Rak_417!Y75+D.C.!Y75+'Wafi _419'!Y75</f>
        <v>1857.284263959391</v>
      </c>
      <c r="Z75" s="702">
        <f t="shared" ref="Z75" si="55">Y75/Y$12</f>
        <v>1.1918107007447972E-4</v>
      </c>
      <c r="AA75" s="144">
        <f t="shared" ref="AA75" si="56">C75+E75+G75+I75+K75+M75+O75+Q75+S75+U75+W75+Y75</f>
        <v>22287.411167512691</v>
      </c>
      <c r="AB75" s="702">
        <f t="shared" ref="AB75" si="57">AA75/AA$12</f>
        <v>1.5348636622156475E-4</v>
      </c>
      <c r="AC75" s="128">
        <f t="shared" ref="AC75" si="58">AA75/12</f>
        <v>1857.284263959391</v>
      </c>
      <c r="AD75" s="702">
        <f t="shared" ref="AD75" si="59">AC75/AC$12</f>
        <v>1.5348636622156475E-4</v>
      </c>
      <c r="AE75" s="645"/>
      <c r="AF75" s="226"/>
      <c r="AG75" s="226"/>
    </row>
    <row r="76" spans="1:36" customFormat="1" ht="15.75" thickBot="1">
      <c r="A76" s="333">
        <v>6199</v>
      </c>
      <c r="B76" s="333" t="s">
        <v>23</v>
      </c>
      <c r="C76" s="334">
        <f>'0401'!C76+'0402'!C76+'0403'!C76+'405'!C76+'0406'!C76+'0409'!C76+'410-sahara'!C76+'414-Al ghurair'!C76+'415'!C76+'Al Foah_418'!C76+Rak_417!C76+D.C.!C76+'Wafi _419'!C76</f>
        <v>2343200.8169125523</v>
      </c>
      <c r="D76" s="335">
        <f>C76/C12</f>
        <v>0.21455336948137116</v>
      </c>
      <c r="E76" s="334">
        <f>'0401'!E76+'0402'!E76+'0403'!E76+'405'!E76+'0406'!E76+'0409'!E76+'410-sahara'!E76+'414-Al ghurair'!E76+'415'!E76+'Al Foah_418'!E76+Rak_417!E76+D.C.!E76+'Wafi _419'!E76</f>
        <v>2272570.4185649222</v>
      </c>
      <c r="F76" s="335">
        <f>E76/E12</f>
        <v>0.26746238967361857</v>
      </c>
      <c r="G76" s="334">
        <f>'0401'!G76+'0402'!G76+'0403'!G76+'405'!G76+'0406'!G76+'0409'!G76+'410-sahara'!G76+'414-Al ghurair'!G76+'415'!G76+'Al Foah_418'!G76+Rak_417!G76+D.C.!G76+'Wafi _419'!G76</f>
        <v>2398231.3451029379</v>
      </c>
      <c r="H76" s="335">
        <f>G76/G12</f>
        <v>0.17015640209510455</v>
      </c>
      <c r="I76" s="334">
        <f>'0401'!I76+'0402'!I76+'0403'!I76+'405'!I76+'0406'!I76+'0409'!I76+'410-sahara'!I76+'414-Al ghurair'!I76+'415'!I76+'Al Foah_418'!I76+Rak_417!I76+D.C.!I76+'Wafi _419'!I76</f>
        <v>2366407.3107603444</v>
      </c>
      <c r="J76" s="335">
        <f>I76/I12</f>
        <v>0.19014671737030545</v>
      </c>
      <c r="K76" s="334">
        <f>'0401'!K76+'0402'!K76+'0403'!K76+'405'!K76+'0406'!K76+'0409'!K76+'410-sahara'!K76+'414-Al ghurair'!K76+'415'!K76+'Al Foah_418'!K76+Rak_417!K76+D.C.!K76+'Wafi _419'!K76</f>
        <v>2354194.316295174</v>
      </c>
      <c r="L76" s="335">
        <f>K76/K12</f>
        <v>0.20682810934608203</v>
      </c>
      <c r="M76" s="334">
        <f>'0401'!M76+'0402'!M76+'0403'!M76+'405'!M76+'0406'!M76+'0409'!M76+'410-sahara'!M76+'414-Al ghurair'!M76+'415'!M76+'Al Foah_418'!M76+Rak_417!M76+D.C.!M76+'Wafi _419'!M76</f>
        <v>2454135.5643541948</v>
      </c>
      <c r="N76" s="335">
        <f>M76/M12</f>
        <v>0.15205258424692147</v>
      </c>
      <c r="O76" s="334">
        <f>'0401'!O76+'0402'!O76+'0403'!O76+'405'!O76+'0406'!O76+'0409'!O76+'410-sahara'!O76+'414-Al ghurair'!O76+'415'!O76+'Al Foah_418'!O76+Rak_417!O76+D.C.!O76+'Wafi _419'!O76</f>
        <v>2428689.2566688848</v>
      </c>
      <c r="P76" s="335">
        <f>O76/O12</f>
        <v>0.23767727667303351</v>
      </c>
      <c r="Q76" s="334">
        <f>'0401'!Q76+'0402'!Q76+'0403'!Q76+'405'!Q76+'0406'!Q76+'0409'!Q76+'410-sahara'!Q76+'414-Al ghurair'!Q76+'415'!Q76+'Al Foah_418'!Q76+Rak_417!Q76+D.C.!Q76+'Wafi _419'!Q76</f>
        <v>2496131.8848229451</v>
      </c>
      <c r="R76" s="335">
        <f>Q76/Q12</f>
        <v>0.19672199449490288</v>
      </c>
      <c r="S76" s="334">
        <f>'0401'!S76+'0402'!S76+'0403'!S76+'405'!S76+'0406'!S76+'0409'!S76+'410-sahara'!S76+'414-Al ghurair'!S76+'415'!S76+'Al Foah_418'!S76+Rak_417!S76+D.C.!S76+'Wafi _419'!S76</f>
        <v>2511470.1238850895</v>
      </c>
      <c r="T76" s="335">
        <f>S76/S12</f>
        <v>0.19648092012819598</v>
      </c>
      <c r="U76" s="334">
        <f>'0401'!U76+'0402'!U76+'0403'!U76+'405'!U76+'0406'!U76+'0409'!U76+'410-sahara'!U76+'414-Al ghurair'!U76+'415'!U76+'Al Foah_418'!U76+Rak_417!U76+D.C.!U76+'Wafi _419'!U76</f>
        <v>2449304.4663918139</v>
      </c>
      <c r="V76" s="335">
        <f>U76/U12</f>
        <v>0.24157326394237333</v>
      </c>
      <c r="W76" s="334">
        <f>'0401'!W76+'0402'!W76+'0403'!W76+'405'!W76+'0406'!W76+'0409'!W76+'410-sahara'!W76+'414-Al ghurair'!W76+'415'!W76+'Al Foah_418'!W76+Rak_417!W76+D.C.!W76+'Wafi _419'!W76</f>
        <v>2550165.8863742319</v>
      </c>
      <c r="X76" s="335">
        <f>W76/W12</f>
        <v>0.24720944761404642</v>
      </c>
      <c r="Y76" s="334">
        <f>'0401'!Y76+'0402'!Y76+'0403'!Y76+'405'!Y76+'0406'!Y76+'0409'!Y76+'410-sahara'!Y76+'414-Al ghurair'!Y76+'415'!Y76+'Al Foah_418'!Y76+Rak_417!Y76+D.C.!Y76+'Wafi _419'!Y76</f>
        <v>2535861.4015189954</v>
      </c>
      <c r="Z76" s="335">
        <f>Y76/Y12</f>
        <v>0.1627250503642946</v>
      </c>
      <c r="AA76" s="336">
        <f t="shared" si="27"/>
        <v>29160362.791652087</v>
      </c>
      <c r="AB76" s="335">
        <f>AA76/AA12</f>
        <v>0.20081821477396378</v>
      </c>
      <c r="AC76" s="336">
        <f t="shared" si="19"/>
        <v>2430030.2326376741</v>
      </c>
      <c r="AD76" s="335">
        <f>AC76/AC12</f>
        <v>0.2008182147739638</v>
      </c>
      <c r="AE76" s="84">
        <f t="shared" ref="AE76:AE149" si="60">C76+E76+G76+I76+K76+M76+O76+Q76+S76+U76+W76+Y76</f>
        <v>29160362.791652087</v>
      </c>
      <c r="AF76" s="33" t="e">
        <f>#REF!+'0401'!#REF!+'0402'!#REF!+'0403'!#REF!+#REF!+'405'!#REF!+'0406'!#REF!+D.C.!#REF!+#REF!+#REF!+'0409'!#REF!</f>
        <v>#REF!</v>
      </c>
      <c r="AG76" s="33" t="e">
        <f t="shared" ref="AG76:AG116" si="61">AA76-AF76</f>
        <v>#REF!</v>
      </c>
      <c r="AH76" s="84">
        <f t="shared" ref="AH76:AH149" si="62">AA76-AE76</f>
        <v>0</v>
      </c>
      <c r="AI76" s="33">
        <f>'0401'!AA76+'0402'!AA76+'0403'!AA76+'405'!AA76+'0406'!AA76+'0409'!AA76+'410-sahara'!AA76+'414-Al ghurair'!AA76+'415'!AA76+'Al Foah_418'!AA76+Rak_417!AA76+D.C.!AA76</f>
        <v>27842151.199281417</v>
      </c>
      <c r="AJ76" s="84">
        <f t="shared" ref="AJ76:AJ149" si="63">AA76-AI76</f>
        <v>1318211.5923706703</v>
      </c>
    </row>
    <row r="77" spans="1:36" customFormat="1" ht="15.75" thickTop="1">
      <c r="A77" s="2">
        <v>6201</v>
      </c>
      <c r="B77" s="2" t="s">
        <v>24</v>
      </c>
      <c r="C77" s="295">
        <f>'0401'!C77+'0402'!C77+'0403'!C77+'405'!C77+'0406'!C77+'0409'!C77+'410-sahara'!C77+'414-Al ghurair'!C77+'415'!C77+'Al Foah_418'!C77+Rak_417!C77+D.C.!C77+'Wafi _419'!C77</f>
        <v>638700</v>
      </c>
      <c r="D77" s="68">
        <f>C77/C12</f>
        <v>5.8482071232935168E-2</v>
      </c>
      <c r="E77" s="295">
        <f>'0401'!E77+'0402'!E77+'0403'!E77+'405'!E77+'0406'!E77+'0409'!E77+'410-sahara'!E77+'414-Al ghurair'!E77+'415'!E77+'Al Foah_418'!E77+Rak_417!E77+D.C.!E77+'Wafi _419'!E77</f>
        <v>638700</v>
      </c>
      <c r="F77" s="68">
        <f>E77/E12</f>
        <v>7.5169608338215718E-2</v>
      </c>
      <c r="G77" s="295">
        <f>'0401'!G77+'0402'!G77+'0403'!G77+'405'!G77+'0406'!G77+'0409'!G77+'410-sahara'!G77+'414-Al ghurair'!G77+'415'!G77+'Al Foah_418'!G77+Rak_417!G77+D.C.!G77+'Wafi _419'!G77</f>
        <v>638700</v>
      </c>
      <c r="H77" s="68">
        <f>G77/G12</f>
        <v>4.5316267857168933E-2</v>
      </c>
      <c r="I77" s="295">
        <f>'0401'!I77+'0402'!I77+'0403'!I77+'405'!I77+'0406'!I77+'0409'!I77+'410-sahara'!I77+'414-Al ghurair'!I77+'415'!I77+'Al Foah_418'!I77+Rak_417!I77+D.C.!I77+'Wafi _419'!I77</f>
        <v>638700</v>
      </c>
      <c r="J77" s="68">
        <f>I77/I12</f>
        <v>5.1321134714290735E-2</v>
      </c>
      <c r="K77" s="295">
        <f>'0401'!K77+'0402'!K77+'0403'!K77+'405'!K77+'0406'!K77+'0409'!K77+'410-sahara'!K77+'414-Al ghurair'!K77+'415'!K77+'Al Foah_418'!K77+Rak_417!K77+D.C.!K77+'Wafi _419'!K77</f>
        <v>638700</v>
      </c>
      <c r="L77" s="68">
        <f>K77/K12</f>
        <v>5.6113088254852228E-2</v>
      </c>
      <c r="M77" s="295">
        <f>'0401'!M77+'0402'!M77+'0403'!M77+'405'!M77+'0406'!M77+'0409'!M77+'410-sahara'!M77+'414-Al ghurair'!M77+'415'!M77+'Al Foah_418'!M77+Rak_417!M77+D.C.!M77+'Wafi _419'!M77</f>
        <v>638700</v>
      </c>
      <c r="N77" s="68">
        <f>M77/M12</f>
        <v>3.9572380176995152E-2</v>
      </c>
      <c r="O77" s="295">
        <f>'0401'!O77+'0402'!O77+'0403'!O77+'405'!O77+'0406'!O77+'0409'!O77+'410-sahara'!O77+'414-Al ghurair'!O77+'415'!O77+'Al Foah_418'!O77+Rak_417!O77+D.C.!O77+'Wafi _419'!O77</f>
        <v>638700</v>
      </c>
      <c r="P77" s="68">
        <f>O77/O12</f>
        <v>6.2504693094939959E-2</v>
      </c>
      <c r="Q77" s="295">
        <f>'0401'!Q77+'0402'!Q77+'0403'!Q77+'405'!Q77+'0406'!Q77+'0409'!Q77+'410-sahara'!Q77+'414-Al ghurair'!Q77+'415'!Q77+'Al Foah_418'!Q77+Rak_417!Q77+D.C.!Q77+'Wafi _419'!Q77</f>
        <v>638700</v>
      </c>
      <c r="R77" s="68">
        <f>Q77/Q12</f>
        <v>5.0336417978494259E-2</v>
      </c>
      <c r="S77" s="295">
        <f>'0401'!S77+'0402'!S77+'0403'!S77+'405'!S77+'0406'!S77+'0409'!S77+'410-sahara'!S77+'414-Al ghurair'!S77+'415'!S77+'Al Foah_418'!S77+Rak_417!S77+D.C.!S77+'Wafi _419'!S77</f>
        <v>638700</v>
      </c>
      <c r="T77" s="68">
        <f>S77/S12</f>
        <v>4.996769123088346E-2</v>
      </c>
      <c r="U77" s="295">
        <f>'0401'!U77+'0402'!U77+'0403'!U77+'405'!U77+'0406'!U77+'0409'!U77+'410-sahara'!U77+'414-Al ghurair'!U77+'415'!U77+'Al Foah_418'!U77+Rak_417!U77+D.C.!U77+'Wafi _419'!U77</f>
        <v>638700</v>
      </c>
      <c r="V77" s="68">
        <f>U77/U12</f>
        <v>6.299455449378652E-2</v>
      </c>
      <c r="W77" s="295">
        <f>'0401'!W77+'0402'!W77+'0403'!W77+'405'!W77+'0406'!W77+'0409'!W77+'410-sahara'!W77+'414-Al ghurair'!W77+'415'!W77+'Al Foah_418'!W77+Rak_417!W77+D.C.!W77+'Wafi _419'!W77</f>
        <v>638700</v>
      </c>
      <c r="X77" s="68">
        <f>W77/W12</f>
        <v>6.1914667996590483E-2</v>
      </c>
      <c r="Y77" s="295">
        <f>'0401'!Y77+'0402'!Y77+'0403'!Y77+'405'!Y77+'0406'!Y77+'0409'!Y77+'410-sahara'!Y77+'414-Al ghurair'!Y77+'415'!Y77+'Al Foah_418'!Y77+Rak_417!Y77+D.C.!Y77+'Wafi _419'!Y77</f>
        <v>638700</v>
      </c>
      <c r="Z77" s="68">
        <f>Y77/Y12</f>
        <v>4.0985082861949323E-2</v>
      </c>
      <c r="AA77" s="382">
        <f t="shared" ref="AA77:AA149" si="64">C77+E77+G77+I77+K77+M77+O77+Q77+S77+U77+W77+Y77</f>
        <v>7664400</v>
      </c>
      <c r="AB77" s="147">
        <f>AA77/AA12</f>
        <v>5.2782303715171543E-2</v>
      </c>
      <c r="AC77" s="128">
        <f t="shared" ref="AC77:AC149" si="65">AA77/12</f>
        <v>638700</v>
      </c>
      <c r="AD77" s="131">
        <f>AC77/AC12</f>
        <v>5.2782303715171543E-2</v>
      </c>
      <c r="AE77" s="84">
        <f t="shared" si="60"/>
        <v>7664400</v>
      </c>
      <c r="AF77" s="33" t="e">
        <f>#REF!+'0401'!#REF!+'0402'!#REF!+'0403'!#REF!+#REF!+'405'!#REF!+'0406'!#REF!+D.C.!#REF!+#REF!+#REF!+'0409'!#REF!</f>
        <v>#REF!</v>
      </c>
      <c r="AG77" s="33" t="e">
        <f t="shared" si="61"/>
        <v>#REF!</v>
      </c>
      <c r="AH77" s="84">
        <f t="shared" si="62"/>
        <v>0</v>
      </c>
      <c r="AI77" s="33">
        <f>'0401'!AA77+'0402'!AA77+'0403'!AA77+'405'!AA77+'0406'!AA77+'0409'!AA77+'410-sahara'!AA77+'414-Al ghurair'!AA77+'415'!AA77+'Al Foah_418'!AA77+Rak_417!AA77+D.C.!AA77</f>
        <v>7023600</v>
      </c>
      <c r="AJ77" s="84">
        <f t="shared" si="63"/>
        <v>640800</v>
      </c>
    </row>
    <row r="78" spans="1:36" customFormat="1">
      <c r="A78" s="2">
        <v>6202</v>
      </c>
      <c r="B78" s="2" t="s">
        <v>25</v>
      </c>
      <c r="C78" s="295">
        <f>'0401'!C78+'0402'!C78+'0403'!C78+'405'!C78+'0406'!C78+'0409'!C78+'410-sahara'!C78+'414-Al ghurair'!C78+'415'!C78+'Al Foah_418'!C78+Rak_417!C78+D.C.!C78+'Wafi _419'!C78</f>
        <v>319350</v>
      </c>
      <c r="D78" s="68">
        <f>C78/C12</f>
        <v>2.9241035616467584E-2</v>
      </c>
      <c r="E78" s="295">
        <f>'0401'!E78+'0402'!E78+'0403'!E78+'405'!E78+'0406'!E78+'0409'!E78+'410-sahara'!E78+'414-Al ghurair'!E78+'415'!E78+'Al Foah_418'!E78+Rak_417!E78+D.C.!E78+'Wafi _419'!E78</f>
        <v>319350</v>
      </c>
      <c r="F78" s="68">
        <f>E78/E12</f>
        <v>3.7584804169107859E-2</v>
      </c>
      <c r="G78" s="295">
        <f>'0401'!G78+'0402'!G78+'0403'!G78+'405'!G78+'0406'!G78+'0409'!G78+'410-sahara'!G78+'414-Al ghurair'!G78+'415'!G78+'Al Foah_418'!G78+Rak_417!G78+D.C.!G78+'Wafi _419'!G78</f>
        <v>319350</v>
      </c>
      <c r="H78" s="68">
        <f>G78/G12</f>
        <v>2.2658133928584467E-2</v>
      </c>
      <c r="I78" s="295">
        <f>'0401'!I78+'0402'!I78+'0403'!I78+'405'!I78+'0406'!I78+'0409'!I78+'410-sahara'!I78+'414-Al ghurair'!I78+'415'!I78+'Al Foah_418'!I78+Rak_417!I78+D.C.!I78+'Wafi _419'!I78</f>
        <v>319350</v>
      </c>
      <c r="J78" s="68">
        <f>I78/I12</f>
        <v>2.5660567357145368E-2</v>
      </c>
      <c r="K78" s="295">
        <f>'0401'!K78+'0402'!K78+'0403'!K78+'405'!K78+'0406'!K78+'0409'!K78+'410-sahara'!K78+'414-Al ghurair'!K78+'415'!K78+'Al Foah_418'!K78+Rak_417!K78+D.C.!K78+'Wafi _419'!K78</f>
        <v>319350</v>
      </c>
      <c r="L78" s="68">
        <f>K78/K12</f>
        <v>2.8056544127426114E-2</v>
      </c>
      <c r="M78" s="295">
        <f>'0401'!M78+'0402'!M78+'0403'!M78+'405'!M78+'0406'!M78+'0409'!M78+'410-sahara'!M78+'414-Al ghurair'!M78+'415'!M78+'Al Foah_418'!M78+Rak_417!M78+D.C.!M78+'Wafi _419'!M78</f>
        <v>319350</v>
      </c>
      <c r="N78" s="68">
        <f>M78/M12</f>
        <v>1.9786190088497576E-2</v>
      </c>
      <c r="O78" s="295">
        <f>'0401'!O78+'0402'!O78+'0403'!O78+'405'!O78+'0406'!O78+'0409'!O78+'410-sahara'!O78+'414-Al ghurair'!O78+'415'!O78+'Al Foah_418'!O78+Rak_417!O78+D.C.!O78+'Wafi _419'!O78</f>
        <v>319350</v>
      </c>
      <c r="P78" s="68">
        <f>O78/O12</f>
        <v>3.1252346547469979E-2</v>
      </c>
      <c r="Q78" s="295">
        <f>'0401'!Q78+'0402'!Q78+'0403'!Q78+'405'!Q78+'0406'!Q78+'0409'!Q78+'410-sahara'!Q78+'414-Al ghurair'!Q78+'415'!Q78+'Al Foah_418'!Q78+Rak_417!Q78+D.C.!Q78+'Wafi _419'!Q78</f>
        <v>319350</v>
      </c>
      <c r="R78" s="68">
        <f>Q78/Q12</f>
        <v>2.516820898924713E-2</v>
      </c>
      <c r="S78" s="295">
        <f>'0401'!S78+'0402'!S78+'0403'!S78+'405'!S78+'0406'!S78+'0409'!S78+'410-sahara'!S78+'414-Al ghurair'!S78+'415'!S78+'Al Foah_418'!S78+Rak_417!S78+D.C.!S78+'Wafi _419'!S78</f>
        <v>319350</v>
      </c>
      <c r="T78" s="68">
        <f>S78/S12</f>
        <v>2.498384561544173E-2</v>
      </c>
      <c r="U78" s="295">
        <f>'0401'!U78+'0402'!U78+'0403'!U78+'405'!U78+'0406'!U78+'0409'!U78+'410-sahara'!U78+'414-Al ghurair'!U78+'415'!U78+'Al Foah_418'!U78+Rak_417!U78+D.C.!U78+'Wafi _419'!U78</f>
        <v>319350</v>
      </c>
      <c r="V78" s="68">
        <f>U78/U12</f>
        <v>3.149727724689326E-2</v>
      </c>
      <c r="W78" s="295">
        <f>'0401'!W78+'0402'!W78+'0403'!W78+'405'!W78+'0406'!W78+'0409'!W78+'410-sahara'!W78+'414-Al ghurair'!W78+'415'!W78+'Al Foah_418'!W78+Rak_417!W78+D.C.!W78+'Wafi _419'!W78</f>
        <v>319350</v>
      </c>
      <c r="X78" s="68">
        <f>W78/W12</f>
        <v>3.0957333998295242E-2</v>
      </c>
      <c r="Y78" s="295">
        <f>'0401'!Y78+'0402'!Y78+'0403'!Y78+'405'!Y78+'0406'!Y78+'0409'!Y78+'410-sahara'!Y78+'414-Al ghurair'!Y78+'415'!Y78+'Al Foah_418'!Y78+Rak_417!Y78+D.C.!Y78+'Wafi _419'!Y78</f>
        <v>319350</v>
      </c>
      <c r="Z78" s="68">
        <f>Y78/Y12</f>
        <v>2.0492541430974662E-2</v>
      </c>
      <c r="AA78" s="382">
        <f t="shared" si="64"/>
        <v>3832200</v>
      </c>
      <c r="AB78" s="147">
        <f>AA78/AA12</f>
        <v>2.6391151857585771E-2</v>
      </c>
      <c r="AC78" s="128">
        <f t="shared" si="65"/>
        <v>319350</v>
      </c>
      <c r="AD78" s="131">
        <f>AC78/AC12</f>
        <v>2.6391151857585771E-2</v>
      </c>
      <c r="AE78" s="84">
        <f t="shared" si="60"/>
        <v>3832200</v>
      </c>
      <c r="AF78" s="33" t="e">
        <f>#REF!+'0401'!#REF!+'0402'!#REF!+'0403'!#REF!+#REF!+'405'!#REF!+'0406'!#REF!+D.C.!#REF!+#REF!+#REF!+'0409'!#REF!</f>
        <v>#REF!</v>
      </c>
      <c r="AG78" s="33" t="e">
        <f t="shared" si="61"/>
        <v>#REF!</v>
      </c>
      <c r="AH78" s="84">
        <f t="shared" si="62"/>
        <v>0</v>
      </c>
      <c r="AI78" s="33">
        <f>'0401'!AA78+'0402'!AA78+'0403'!AA78+'405'!AA78+'0406'!AA78+'0409'!AA78+'410-sahara'!AA78+'414-Al ghurair'!AA78+'415'!AA78+'Al Foah_418'!AA78+Rak_417!AA78+D.C.!AA78</f>
        <v>3511800</v>
      </c>
      <c r="AJ78" s="84">
        <f t="shared" si="63"/>
        <v>320400</v>
      </c>
    </row>
    <row r="79" spans="1:36" customFormat="1">
      <c r="A79" s="2">
        <v>6203</v>
      </c>
      <c r="B79" s="2" t="s">
        <v>26</v>
      </c>
      <c r="C79" s="295">
        <f>'0401'!C79+'0402'!C79+'0403'!C79+'405'!C79+'0406'!C79+'0409'!C79+'410-sahara'!C79+'414-Al ghurair'!C79+'415'!C79+'Al Foah_418'!C79+Rak_417!C79+D.C.!C79+'Wafi _419'!C79</f>
        <v>106450</v>
      </c>
      <c r="D79" s="68">
        <f>C79/$C12</f>
        <v>9.7470118721558613E-3</v>
      </c>
      <c r="E79" s="295">
        <f>'0401'!E79+'0402'!E79+'0403'!E79+'405'!E79+'0406'!E79+'0409'!E79+'410-sahara'!E79+'414-Al ghurair'!E79+'415'!E79+'Al Foah_418'!E79+Rak_417!E79+D.C.!E79+'Wafi _419'!E79</f>
        <v>106450</v>
      </c>
      <c r="F79" s="68">
        <f>E79/$C12</f>
        <v>9.7470118721558613E-3</v>
      </c>
      <c r="G79" s="295">
        <f>'0401'!G79+'0402'!G79+'0403'!G79+'405'!G79+'0406'!G79+'0409'!G79+'410-sahara'!G79+'414-Al ghurair'!G79+'415'!G79+'Al Foah_418'!G79+Rak_417!G79+D.C.!G79+'Wafi _419'!G79</f>
        <v>106450</v>
      </c>
      <c r="H79" s="68">
        <f>G79/$C12</f>
        <v>9.7470118721558613E-3</v>
      </c>
      <c r="I79" s="295">
        <f>'0401'!I79+'0402'!I79+'0403'!I79+'405'!I79+'0406'!I79+'0409'!I79+'410-sahara'!I79+'414-Al ghurair'!I79+'415'!I79+'Al Foah_418'!I79+Rak_417!I79+D.C.!I79+'Wafi _419'!I79</f>
        <v>106450</v>
      </c>
      <c r="J79" s="68">
        <f>I79/$C12</f>
        <v>9.7470118721558613E-3</v>
      </c>
      <c r="K79" s="295">
        <f>'0401'!K79+'0402'!K79+'0403'!K79+'405'!K79+'0406'!K79+'0409'!K79+'410-sahara'!K79+'414-Al ghurair'!K79+'415'!K79+'Al Foah_418'!K79+Rak_417!K79+D.C.!K79+'Wafi _419'!K79</f>
        <v>106450</v>
      </c>
      <c r="L79" s="68">
        <f>K79/$C12</f>
        <v>9.7470118721558613E-3</v>
      </c>
      <c r="M79" s="295">
        <f>'0401'!M79+'0402'!M79+'0403'!M79+'405'!M79+'0406'!M79+'0409'!M79+'410-sahara'!M79+'414-Al ghurair'!M79+'415'!M79+'Al Foah_418'!M79+Rak_417!M79+D.C.!M79+'Wafi _419'!M79</f>
        <v>106450</v>
      </c>
      <c r="N79" s="68">
        <f>M79/$C12</f>
        <v>9.7470118721558613E-3</v>
      </c>
      <c r="O79" s="295">
        <f>'0401'!O79+'0402'!O79+'0403'!O79+'405'!O79+'0406'!O79+'0409'!O79+'410-sahara'!O79+'414-Al ghurair'!O79+'415'!O79+'Al Foah_418'!O79+Rak_417!O79+D.C.!O79+'Wafi _419'!O79</f>
        <v>106450</v>
      </c>
      <c r="P79" s="68">
        <f>O79/$C12</f>
        <v>9.7470118721558613E-3</v>
      </c>
      <c r="Q79" s="295">
        <f>'0401'!Q79+'0402'!Q79+'0403'!Q79+'405'!Q79+'0406'!Q79+'0409'!Q79+'410-sahara'!Q79+'414-Al ghurair'!Q79+'415'!Q79+'Al Foah_418'!Q79+Rak_417!Q79+D.C.!Q79+'Wafi _419'!Q79</f>
        <v>106450</v>
      </c>
      <c r="R79" s="68">
        <f>Q79/$C12</f>
        <v>9.7470118721558613E-3</v>
      </c>
      <c r="S79" s="295">
        <f>'0401'!S79+'0402'!S79+'0403'!S79+'405'!S79+'0406'!S79+'0409'!S79+'410-sahara'!S79+'414-Al ghurair'!S79+'415'!S79+'Al Foah_418'!S79+Rak_417!S79+D.C.!S79+'Wafi _419'!S79</f>
        <v>106450</v>
      </c>
      <c r="T79" s="68">
        <f>S79/$C12</f>
        <v>9.7470118721558613E-3</v>
      </c>
      <c r="U79" s="295">
        <f>'0401'!U79+'0402'!U79+'0403'!U79+'405'!U79+'0406'!U79+'0409'!U79+'410-sahara'!U79+'414-Al ghurair'!U79+'415'!U79+'Al Foah_418'!U79+Rak_417!U79+D.C.!U79+'Wafi _419'!U79</f>
        <v>106450</v>
      </c>
      <c r="V79" s="68">
        <f>U79/$C12</f>
        <v>9.7470118721558613E-3</v>
      </c>
      <c r="W79" s="295">
        <f>'0401'!W79+'0402'!W79+'0403'!W79+'405'!W79+'0406'!W79+'0409'!W79+'410-sahara'!W79+'414-Al ghurair'!W79+'415'!W79+'Al Foah_418'!W79+Rak_417!W79+D.C.!W79+'Wafi _419'!W79</f>
        <v>106450</v>
      </c>
      <c r="X79" s="68">
        <f>W79/$C12</f>
        <v>9.7470118721558613E-3</v>
      </c>
      <c r="Y79" s="295">
        <f>'0401'!Y79+'0402'!Y79+'0403'!Y79+'405'!Y79+'0406'!Y79+'0409'!Y79+'410-sahara'!Y79+'414-Al ghurair'!Y79+'415'!Y79+'Al Foah_418'!Y79+Rak_417!Y79+D.C.!Y79+'Wafi _419'!Y79</f>
        <v>106450</v>
      </c>
      <c r="Z79" s="68">
        <f>Y79/$C12</f>
        <v>9.7470118721558613E-3</v>
      </c>
      <c r="AA79" s="382">
        <f t="shared" si="64"/>
        <v>1277400</v>
      </c>
      <c r="AB79" s="147">
        <f>AA79/$C12</f>
        <v>0.11696414246587034</v>
      </c>
      <c r="AC79" s="128">
        <f t="shared" si="65"/>
        <v>106450</v>
      </c>
      <c r="AD79" s="131">
        <f>AC79/$C12</f>
        <v>9.7470118721558613E-3</v>
      </c>
      <c r="AE79" s="84">
        <f t="shared" si="60"/>
        <v>1277400</v>
      </c>
      <c r="AF79" s="33" t="e">
        <f>#REF!+'0401'!#REF!+'0402'!#REF!+'0403'!#REF!+#REF!+'405'!#REF!+'0406'!#REF!+D.C.!#REF!+#REF!+#REF!+'0409'!#REF!</f>
        <v>#REF!</v>
      </c>
      <c r="AG79" s="33" t="e">
        <f t="shared" si="61"/>
        <v>#REF!</v>
      </c>
      <c r="AH79" s="84">
        <f t="shared" si="62"/>
        <v>0</v>
      </c>
      <c r="AI79" s="33">
        <f>'0401'!AA79+'0402'!AA79+'0403'!AA79+'405'!AA79+'0406'!AA79+'0409'!AA79+'410-sahara'!AA79+'414-Al ghurair'!AA79+'415'!AA79+'Al Foah_418'!AA79+Rak_417!AA79+D.C.!AA79</f>
        <v>1170600</v>
      </c>
      <c r="AJ79" s="84">
        <f t="shared" si="63"/>
        <v>106800</v>
      </c>
    </row>
    <row r="80" spans="1:36" customFormat="1">
      <c r="A80" s="2">
        <v>6204</v>
      </c>
      <c r="B80" s="2" t="s">
        <v>27</v>
      </c>
      <c r="C80" s="295">
        <f>'0401'!C80+'0402'!C80+'0403'!C80+'405'!C80+'0406'!C80+'0409'!C80+'410-sahara'!C80+'414-Al ghurair'!C80+'415'!C80+'Al Foah_418'!C80+Rak_417!C80+D.C.!C80+'Wafi _419'!C80</f>
        <v>0</v>
      </c>
      <c r="D80" s="68"/>
      <c r="E80" s="295">
        <f>'0401'!E80+'0402'!E80+'0403'!E80+'405'!E80+'0406'!E80+'0409'!E80+'410-sahara'!E80+'414-Al ghurair'!E80+'415'!E80+'Al Foah_418'!E80+Rak_417!E80+D.C.!E80+'Wafi _419'!E80</f>
        <v>0</v>
      </c>
      <c r="F80" s="68"/>
      <c r="G80" s="295">
        <f>'0401'!G80+'0402'!G80+'0403'!G80+'405'!G80+'0406'!G80+'0409'!G80+'410-sahara'!G80+'414-Al ghurair'!G80+'415'!G80+'Al Foah_418'!G80+Rak_417!G80+D.C.!G80+'Wafi _419'!G80</f>
        <v>0</v>
      </c>
      <c r="H80" s="68"/>
      <c r="I80" s="295">
        <f>'0401'!I80+'0402'!I80+'0403'!I80+'405'!I80+'0406'!I80+'0409'!I80+'410-sahara'!I80+'414-Al ghurair'!I80+'415'!I80+'Al Foah_418'!I80+Rak_417!I80+D.C.!I80+'Wafi _419'!I80</f>
        <v>0</v>
      </c>
      <c r="J80" s="68"/>
      <c r="K80" s="295">
        <f>'0401'!K80+'0402'!K80+'0403'!K80+'405'!K80+'0406'!K80+'0409'!K80+'410-sahara'!K80+'414-Al ghurair'!K80+'415'!K80+'Al Foah_418'!K80+Rak_417!K80+D.C.!K80+'Wafi _419'!K80</f>
        <v>0</v>
      </c>
      <c r="L80" s="68"/>
      <c r="M80" s="295">
        <f>'0401'!M80+'0402'!M80+'0403'!M80+'405'!M80+'0406'!M80+'0409'!M80+'410-sahara'!M80+'414-Al ghurair'!M80+'415'!M80+'Al Foah_418'!M80+Rak_417!M80+D.C.!M80+'Wafi _419'!M80</f>
        <v>0</v>
      </c>
      <c r="N80" s="68"/>
      <c r="O80" s="295">
        <f>'0401'!O80+'0402'!O80+'0403'!O80+'405'!O80+'0406'!O80+'0409'!O80+'410-sahara'!O80+'414-Al ghurair'!O80+'415'!O80+'Al Foah_418'!O80+Rak_417!O80+D.C.!O80+'Wafi _419'!O80</f>
        <v>0</v>
      </c>
      <c r="P80" s="68"/>
      <c r="Q80" s="295">
        <f>'0401'!Q80+'0402'!Q80+'0403'!Q80+'405'!Q80+'0406'!Q80+'0409'!Q80+'410-sahara'!Q80+'414-Al ghurair'!Q80+'415'!Q80+'Al Foah_418'!Q80+Rak_417!Q80+D.C.!Q80+'Wafi _419'!Q80</f>
        <v>0</v>
      </c>
      <c r="R80" s="68"/>
      <c r="S80" s="295">
        <f>'0401'!S80+'0402'!S80+'0403'!S80+'405'!S80+'0406'!S80+'0409'!S80+'410-sahara'!S80+'414-Al ghurair'!S80+'415'!S80+'Al Foah_418'!S80+Rak_417!S80+D.C.!S80+'Wafi _419'!S80</f>
        <v>0</v>
      </c>
      <c r="T80" s="68"/>
      <c r="U80" s="295">
        <f>'0401'!U80+'0402'!U80+'0403'!U80+'405'!U80+'0406'!U80+'0409'!U80+'410-sahara'!U80+'414-Al ghurair'!U80+'415'!U80+'Al Foah_418'!U80+Rak_417!U80+D.C.!U80+'Wafi _419'!U80</f>
        <v>0</v>
      </c>
      <c r="V80" s="68"/>
      <c r="W80" s="295">
        <f>'0401'!W80+'0402'!W80+'0403'!W80+'405'!W80+'0406'!W80+'0409'!W80+'410-sahara'!W80+'414-Al ghurair'!W80+'415'!W80+'Al Foah_418'!W80+Rak_417!W80+D.C.!W80+'Wafi _419'!W80</f>
        <v>0</v>
      </c>
      <c r="X80" s="68"/>
      <c r="Y80" s="295">
        <f>'0401'!Y80+'0402'!Y80+'0403'!Y80+'405'!Y80+'0406'!Y80+'0409'!Y80+'410-sahara'!Y80+'414-Al ghurair'!Y80+'415'!Y80+'Al Foah_418'!Y80+Rak_417!Y80+D.C.!Y80+'Wafi _419'!Y80</f>
        <v>0</v>
      </c>
      <c r="Z80" s="68"/>
      <c r="AA80" s="382">
        <f t="shared" si="64"/>
        <v>0</v>
      </c>
      <c r="AB80" s="147"/>
      <c r="AC80" s="128">
        <f t="shared" si="65"/>
        <v>0</v>
      </c>
      <c r="AD80" s="131"/>
      <c r="AE80" s="84">
        <f t="shared" si="60"/>
        <v>0</v>
      </c>
      <c r="AF80" s="33" t="e">
        <f>#REF!+'0401'!#REF!+'0402'!#REF!+'0403'!#REF!+#REF!+'405'!#REF!+'0406'!#REF!+D.C.!#REF!+#REF!+#REF!+'0409'!#REF!</f>
        <v>#REF!</v>
      </c>
      <c r="AG80" s="33" t="e">
        <f t="shared" si="61"/>
        <v>#REF!</v>
      </c>
      <c r="AH80" s="84">
        <f t="shared" si="62"/>
        <v>0</v>
      </c>
      <c r="AI80" s="33">
        <f>'0401'!AA80+'0402'!AA80+'0403'!AA80+'405'!AA80+'0406'!AA80+'0409'!AA80+'410-sahara'!AA80+'414-Al ghurair'!AA80+'415'!AA80+'Al Foah_418'!AA80+Rak_417!AA80+D.C.!AA80</f>
        <v>0</v>
      </c>
      <c r="AJ80" s="84">
        <f t="shared" si="63"/>
        <v>0</v>
      </c>
    </row>
    <row r="81" spans="1:36" customFormat="1">
      <c r="A81" s="2">
        <v>6205</v>
      </c>
      <c r="B81" s="2" t="s">
        <v>28</v>
      </c>
      <c r="C81" s="295">
        <f>'0401'!C81+'0402'!C81+'0403'!C81+'405'!C81+'0406'!C81+'0409'!C81+'410-sahara'!C81+'414-Al ghurair'!C81+'415'!C81+'Al Foah_418'!C81+Rak_417!C81+D.C.!C81+'Wafi _419'!C81</f>
        <v>0</v>
      </c>
      <c r="D81" s="68"/>
      <c r="E81" s="295">
        <f>'0401'!E81+'0402'!E81+'0403'!E81+'405'!E81+'0406'!E81+'0409'!E81+'410-sahara'!E81+'414-Al ghurair'!E81+'415'!E81+'Al Foah_418'!E81+Rak_417!E81+D.C.!E81+'Wafi _419'!E81</f>
        <v>0</v>
      </c>
      <c r="F81" s="68"/>
      <c r="G81" s="295">
        <f>'0401'!G81+'0402'!G81+'0403'!G81+'405'!G81+'0406'!G81+'0409'!G81+'410-sahara'!G81+'414-Al ghurair'!G81+'415'!G81+'Al Foah_418'!G81+Rak_417!G81+D.C.!G81+'Wafi _419'!G81</f>
        <v>0</v>
      </c>
      <c r="H81" s="68"/>
      <c r="I81" s="295">
        <f>'0401'!I81+'0402'!I81+'0403'!I81+'405'!I81+'0406'!I81+'0409'!I81+'410-sahara'!I81+'414-Al ghurair'!I81+'415'!I81+'Al Foah_418'!I81+Rak_417!I81+D.C.!I81+'Wafi _419'!I81</f>
        <v>0</v>
      </c>
      <c r="J81" s="68"/>
      <c r="K81" s="295">
        <f>'0401'!K81+'0402'!K81+'0403'!K81+'405'!K81+'0406'!K81+'0409'!K81+'410-sahara'!K81+'414-Al ghurair'!K81+'415'!K81+'Al Foah_418'!K81+Rak_417!K81+D.C.!K81+'Wafi _419'!K81</f>
        <v>0</v>
      </c>
      <c r="L81" s="68"/>
      <c r="M81" s="295">
        <f>'0401'!M81+'0402'!M81+'0403'!M81+'405'!M81+'0406'!M81+'0409'!M81+'410-sahara'!M81+'414-Al ghurair'!M81+'415'!M81+'Al Foah_418'!M81+Rak_417!M81+D.C.!M81+'Wafi _419'!M81</f>
        <v>0</v>
      </c>
      <c r="N81" s="68"/>
      <c r="O81" s="295">
        <f>'0401'!O81+'0402'!O81+'0403'!O81+'405'!O81+'0406'!O81+'0409'!O81+'410-sahara'!O81+'414-Al ghurair'!O81+'415'!O81+'Al Foah_418'!O81+Rak_417!O81+D.C.!O81+'Wafi _419'!O81</f>
        <v>0</v>
      </c>
      <c r="P81" s="68"/>
      <c r="Q81" s="295">
        <f>'0401'!Q81+'0402'!Q81+'0403'!Q81+'405'!Q81+'0406'!Q81+'0409'!Q81+'410-sahara'!Q81+'414-Al ghurair'!Q81+'415'!Q81+'Al Foah_418'!Q81+Rak_417!Q81+D.C.!Q81+'Wafi _419'!Q81</f>
        <v>0</v>
      </c>
      <c r="R81" s="68"/>
      <c r="S81" s="295">
        <f>'0401'!S81+'0402'!S81+'0403'!S81+'405'!S81+'0406'!S81+'0409'!S81+'410-sahara'!S81+'414-Al ghurair'!S81+'415'!S81+'Al Foah_418'!S81+Rak_417!S81+D.C.!S81+'Wafi _419'!S81</f>
        <v>0</v>
      </c>
      <c r="T81" s="68"/>
      <c r="U81" s="295">
        <f>'0401'!U81+'0402'!U81+'0403'!U81+'405'!U81+'0406'!U81+'0409'!U81+'410-sahara'!U81+'414-Al ghurair'!U81+'415'!U81+'Al Foah_418'!U81+Rak_417!U81+D.C.!U81+'Wafi _419'!U81</f>
        <v>0</v>
      </c>
      <c r="V81" s="68"/>
      <c r="W81" s="295">
        <f>'0401'!W81+'0402'!W81+'0403'!W81+'405'!W81+'0406'!W81+'0409'!W81+'410-sahara'!W81+'414-Al ghurair'!W81+'415'!W81+'Al Foah_418'!W81+Rak_417!W81+D.C.!W81+'Wafi _419'!W81</f>
        <v>0</v>
      </c>
      <c r="X81" s="68"/>
      <c r="Y81" s="295">
        <f>'0401'!Y81+'0402'!Y81+'0403'!Y81+'405'!Y81+'0406'!Y81+'0409'!Y81+'410-sahara'!Y81+'414-Al ghurair'!Y81+'415'!Y81+'Al Foah_418'!Y81+Rak_417!Y81+D.C.!Y81+'Wafi _419'!Y81</f>
        <v>0</v>
      </c>
      <c r="Z81" s="68"/>
      <c r="AA81" s="382">
        <f t="shared" si="64"/>
        <v>0</v>
      </c>
      <c r="AB81" s="147"/>
      <c r="AC81" s="128">
        <f t="shared" si="65"/>
        <v>0</v>
      </c>
      <c r="AD81" s="131"/>
      <c r="AE81" s="84">
        <f t="shared" si="60"/>
        <v>0</v>
      </c>
      <c r="AF81" s="33" t="e">
        <f>#REF!+'0401'!#REF!+'0402'!#REF!+'0403'!#REF!+#REF!+'405'!#REF!+'0406'!#REF!+D.C.!#REF!+#REF!+#REF!+'0409'!#REF!</f>
        <v>#REF!</v>
      </c>
      <c r="AG81" s="33" t="e">
        <f t="shared" si="61"/>
        <v>#REF!</v>
      </c>
      <c r="AH81" s="84">
        <f t="shared" si="62"/>
        <v>0</v>
      </c>
      <c r="AI81" s="33">
        <f>'0401'!AA81+'0402'!AA81+'0403'!AA81+'405'!AA81+'0406'!AA81+'0409'!AA81+'410-sahara'!AA81+'414-Al ghurair'!AA81+'415'!AA81+'Al Foah_418'!AA81+Rak_417!AA81+D.C.!AA81</f>
        <v>0</v>
      </c>
      <c r="AJ81" s="84">
        <f t="shared" si="63"/>
        <v>0</v>
      </c>
    </row>
    <row r="82" spans="1:36" customFormat="1">
      <c r="A82" s="2">
        <v>6206</v>
      </c>
      <c r="B82" s="2" t="s">
        <v>217</v>
      </c>
      <c r="C82" s="295">
        <f>'0401'!C82+'0402'!C82+'0403'!C82+'405'!C82+'0406'!C82+'0409'!C82+'410-sahara'!C82+'414-Al ghurair'!C82+'415'!C82+'Al Foah_418'!C82+Rak_417!C82+D.C.!C82+'Wafi _419'!C82</f>
        <v>18076.316666666666</v>
      </c>
      <c r="D82" s="68">
        <f>C82/C$12</f>
        <v>1.6551439469689889E-3</v>
      </c>
      <c r="E82" s="295">
        <f>'0401'!E82+'0402'!E82+'0403'!E82+'405'!E82+'0406'!E82+'0409'!E82+'410-sahara'!E82+'414-Al ghurair'!E82+'415'!E82+'Al Foah_418'!E82+Rak_417!E82+D.C.!E82+'Wafi _419'!E82</f>
        <v>18076.316666666666</v>
      </c>
      <c r="F82" s="68">
        <f>E82/E$12</f>
        <v>2.1274301613134405E-3</v>
      </c>
      <c r="G82" s="295">
        <f>'0401'!G82+'0402'!G82+'0403'!G82+'405'!G82+'0406'!G82+'0409'!G82+'410-sahara'!G82+'414-Al ghurair'!G82+'415'!G82+'Al Foah_418'!G82+Rak_417!G82+D.C.!G82+'Wafi _419'!G82</f>
        <v>18076.316666666666</v>
      </c>
      <c r="H82" s="68">
        <f>G82/G$12</f>
        <v>1.2825288992291744E-3</v>
      </c>
      <c r="I82" s="295">
        <f>'0401'!I82+'0402'!I82+'0403'!I82+'405'!I82+'0406'!I82+'0409'!I82+'410-sahara'!I82+'414-Al ghurair'!I82+'415'!I82+'Al Foah_418'!I82+Rak_417!I82+D.C.!I82+'Wafi _419'!I82</f>
        <v>18076.316666666666</v>
      </c>
      <c r="J82" s="68">
        <f>I82/I$12</f>
        <v>1.4524770358355704E-3</v>
      </c>
      <c r="K82" s="295">
        <f>'0401'!K82+'0402'!K82+'0403'!K82+'405'!K82+'0406'!K82+'0409'!K82+'410-sahara'!K82+'414-Al ghurair'!K82+'415'!K82+'Al Foah_418'!K82+Rak_417!K82+D.C.!K82+'Wafi _419'!K82</f>
        <v>18076.316666666666</v>
      </c>
      <c r="L82" s="68">
        <f>K82/K$12</f>
        <v>1.5880976239851618E-3</v>
      </c>
      <c r="M82" s="295">
        <f>'0401'!M82+'0402'!M82+'0403'!M82+'405'!M82+'0406'!M82+'0409'!M82+'410-sahara'!M82+'414-Al ghurair'!M82+'415'!M82+'Al Foah_418'!M82+Rak_417!M82+D.C.!M82+'Wafi _419'!M82</f>
        <v>18076.316666666666</v>
      </c>
      <c r="N82" s="68">
        <f>M82/M$12</f>
        <v>1.1199669255254219E-3</v>
      </c>
      <c r="O82" s="295">
        <f>'0401'!O82+'0402'!O82+'0403'!O82+'405'!O82+'0406'!O82+'0409'!O82+'410-sahara'!O82+'414-Al ghurair'!O82+'415'!O82+'Al Foah_418'!O82+Rak_417!O82+D.C.!O82+'Wafi _419'!O82</f>
        <v>18076.316666666666</v>
      </c>
      <c r="P82" s="68">
        <f>O82/O$12</f>
        <v>1.7689911156050541E-3</v>
      </c>
      <c r="Q82" s="295">
        <f>'0401'!Q82+'0402'!Q82+'0403'!Q82+'405'!Q82+'0406'!Q82+'0409'!Q82+'410-sahara'!Q82+'414-Al ghurair'!Q82+'415'!Q82+'Al Foah_418'!Q82+Rak_417!Q82+D.C.!Q82+'Wafi _419'!Q82</f>
        <v>18076.316666666666</v>
      </c>
      <c r="R82" s="68">
        <f>Q82/Q$12</f>
        <v>1.4246078460074456E-3</v>
      </c>
      <c r="S82" s="295">
        <f>'0401'!S82+'0402'!S82+'0403'!S82+'405'!S82+'0406'!S82+'0409'!S82+'410-sahara'!S82+'414-Al ghurair'!S82+'415'!S82+'Al Foah_418'!S82+Rak_417!S82+D.C.!S82+'Wafi _419'!S82</f>
        <v>18076.316666666666</v>
      </c>
      <c r="T82" s="68">
        <f>S82/S$12</f>
        <v>1.414172240162318E-3</v>
      </c>
      <c r="U82" s="295">
        <f>'0401'!U82+'0402'!U82+'0403'!U82+'405'!U82+'0406'!U82+'0409'!U82+'410-sahara'!U82+'414-Al ghurair'!U82+'415'!U82+'Al Foah_418'!U82+Rak_417!U82+D.C.!U82+'Wafi _419'!U82</f>
        <v>18076.316666666666</v>
      </c>
      <c r="V82" s="68">
        <f>U82/U$12</f>
        <v>1.7828550419684904E-3</v>
      </c>
      <c r="W82" s="295">
        <f>'0401'!W82+'0402'!W82+'0403'!W82+'405'!W82+'0406'!W82+'0409'!W82+'410-sahara'!W82+'414-Al ghurair'!W82+'415'!W82+'Al Foah_418'!W82+Rak_417!W82+D.C.!W82+'Wafi _419'!W82</f>
        <v>18076.316666666666</v>
      </c>
      <c r="X82" s="68">
        <f>W82/W$12</f>
        <v>1.752292382993427E-3</v>
      </c>
      <c r="Y82" s="295">
        <f>'0401'!Y82+'0402'!Y82+'0403'!Y82+'405'!Y82+'0406'!Y82+'0409'!Y82+'410-sahara'!Y82+'414-Al ghurair'!Y82+'415'!Y82+'Al Foah_418'!Y82+Rak_417!Y82+D.C.!Y82+'Wafi _419'!Y82</f>
        <v>18076.316666666666</v>
      </c>
      <c r="Z82" s="68">
        <f>Y82/Y$12</f>
        <v>1.1599488592800515E-3</v>
      </c>
      <c r="AA82" s="382">
        <f t="shared" si="64"/>
        <v>216915.79999999993</v>
      </c>
      <c r="AB82" s="147">
        <f>AA82/AA$12</f>
        <v>1.4938306503078393E-3</v>
      </c>
      <c r="AC82" s="128">
        <f t="shared" si="65"/>
        <v>18076.316666666662</v>
      </c>
      <c r="AD82" s="131">
        <f>AC82/AC$12</f>
        <v>1.4938306503078395E-3</v>
      </c>
      <c r="AE82" s="84">
        <f t="shared" si="60"/>
        <v>216915.79999999993</v>
      </c>
      <c r="AF82" s="33" t="e">
        <f>#REF!+'0401'!#REF!+'0402'!#REF!+'0403'!#REF!+#REF!+'405'!#REF!+'0406'!#REF!+D.C.!#REF!+#REF!+#REF!+'0409'!#REF!</f>
        <v>#REF!</v>
      </c>
      <c r="AG82" s="33" t="e">
        <f t="shared" si="61"/>
        <v>#REF!</v>
      </c>
      <c r="AH82" s="84">
        <f t="shared" si="62"/>
        <v>0</v>
      </c>
      <c r="AI82" s="33">
        <f>'0401'!AA82+'0402'!AA82+'0403'!AA82+'405'!AA82+'0406'!AA82+'0409'!AA82+'410-sahara'!AA82+'414-Al ghurair'!AA82+'415'!AA82+'Al Foah_418'!AA82+Rak_417!AA82+D.C.!AA82</f>
        <v>199100.19999999998</v>
      </c>
      <c r="AJ82" s="84">
        <f t="shared" si="63"/>
        <v>17815.599999999948</v>
      </c>
    </row>
    <row r="83" spans="1:36" customFormat="1">
      <c r="A83" s="2">
        <v>6207</v>
      </c>
      <c r="B83" s="2" t="s">
        <v>218</v>
      </c>
      <c r="C83" s="295">
        <f>'0401'!C83+'0402'!C83+'0403'!C83+'405'!C83+'0406'!C83+'0409'!C83+'410-sahara'!C83+'414-Al ghurair'!C83+'415'!C83+'Al Foah_418'!C83+Rak_417!C83+D.C.!C83+'Wafi _419'!C83</f>
        <v>58966.666666666672</v>
      </c>
      <c r="D83" s="68">
        <f>C83/C$12</f>
        <v>5.39923720114098E-3</v>
      </c>
      <c r="E83" s="295">
        <f>'0401'!E83+'0402'!E83+'0403'!E83+'405'!E83+'0406'!E83+'0409'!E83+'410-sahara'!E83+'414-Al ghurair'!E83+'415'!E83+'Al Foah_418'!E83+Rak_417!E83+D.C.!E83+'Wafi _419'!E83</f>
        <v>58966.666666666672</v>
      </c>
      <c r="F83" s="68">
        <f>E83/E$12</f>
        <v>6.9398798157874657E-3</v>
      </c>
      <c r="G83" s="295">
        <f>'0401'!G83+'0402'!G83+'0403'!G83+'405'!G83+'0406'!G83+'0409'!G83+'410-sahara'!G83+'414-Al ghurair'!G83+'415'!G83+'Al Foah_418'!G83+Rak_417!G83+D.C.!G83+'Wafi _419'!G83</f>
        <v>58966.666666666672</v>
      </c>
      <c r="H83" s="68">
        <f>G83/G$12</f>
        <v>4.1837314252560851E-3</v>
      </c>
      <c r="I83" s="295">
        <f>'0401'!I83+'0402'!I83+'0403'!I83+'405'!I83+'0406'!I83+'0409'!I83+'410-sahara'!I83+'414-Al ghurair'!I83+'415'!I83+'Al Foah_418'!I83+Rak_417!I83+D.C.!I83+'Wafi _419'!I83</f>
        <v>58966.666666666672</v>
      </c>
      <c r="J83" s="68">
        <f>I83/I$12</f>
        <v>4.7381184337759149E-3</v>
      </c>
      <c r="K83" s="295">
        <f>'0401'!K83+'0402'!K83+'0403'!K83+'405'!K83+'0406'!K83+'0409'!K83+'410-sahara'!K83+'414-Al ghurair'!K83+'415'!K83+'Al Foah_418'!K83+Rak_417!K83+D.C.!K83+'Wafi _419'!K83</f>
        <v>58966.666666666672</v>
      </c>
      <c r="L83" s="68">
        <f>K83/K$12</f>
        <v>5.1805257096620011E-3</v>
      </c>
      <c r="M83" s="295">
        <f>'0401'!M83+'0402'!M83+'0403'!M83+'405'!M83+'0406'!M83+'0409'!M83+'410-sahara'!M83+'414-Al ghurair'!M83+'415'!M83+'Al Foah_418'!M83+Rak_417!M83+D.C.!M83+'Wafi _419'!M83</f>
        <v>58966.666666666672</v>
      </c>
      <c r="N83" s="68">
        <f>M83/M$12</f>
        <v>3.6534387836284344E-3</v>
      </c>
      <c r="O83" s="295">
        <f>'0401'!O83+'0402'!O83+'0403'!O83+'405'!O83+'0406'!O83+'0409'!O83+'410-sahara'!O83+'414-Al ghurair'!O83+'415'!O83+'Al Foah_418'!O83+Rak_417!O83+D.C.!O83+'Wafi _419'!O83</f>
        <v>58966.666666666672</v>
      </c>
      <c r="P83" s="68">
        <f>O83/O$12</f>
        <v>5.7706175087390427E-3</v>
      </c>
      <c r="Q83" s="295">
        <f>'0401'!Q83+'0402'!Q83+'0403'!Q83+'405'!Q83+'0406'!Q83+'0409'!Q83+'410-sahara'!Q83+'414-Al ghurair'!Q83+'415'!Q83+'Al Foah_418'!Q83+Rak_417!Q83+D.C.!Q83+'Wafi _419'!Q83</f>
        <v>58966.666666666672</v>
      </c>
      <c r="R83" s="68">
        <f>Q83/Q$12</f>
        <v>4.6472064821228721E-3</v>
      </c>
      <c r="S83" s="295">
        <f>'0401'!S83+'0402'!S83+'0403'!S83+'405'!S83+'0406'!S83+'0409'!S83+'410-sahara'!S83+'414-Al ghurair'!S83+'415'!S83+'Al Foah_418'!S83+Rak_417!S83+D.C.!S83+'Wafi _419'!S83</f>
        <v>58966.666666666672</v>
      </c>
      <c r="T83" s="68">
        <f>S83/S$12</f>
        <v>4.6131645419045372E-3</v>
      </c>
      <c r="U83" s="295">
        <f>'0401'!U83+'0402'!U83+'0403'!U83+'405'!U83+'0406'!U83+'0409'!U83+'410-sahara'!U83+'414-Al ghurair'!U83+'415'!U83+'Al Foah_418'!U83+Rak_417!U83+D.C.!U83+'Wafi _419'!U83</f>
        <v>58966.666666666672</v>
      </c>
      <c r="V83" s="68">
        <f>U83/U$12</f>
        <v>5.8158429570225123E-3</v>
      </c>
      <c r="W83" s="295">
        <f>'0401'!W83+'0402'!W83+'0403'!W83+'405'!W83+'0406'!W83+'0409'!W83+'410-sahara'!W83+'414-Al ghurair'!W83+'415'!W83+'Al Foah_418'!W83+Rak_417!W83+D.C.!W83+'Wafi _419'!W83</f>
        <v>58966.666666666672</v>
      </c>
      <c r="X83" s="68">
        <f>W83/W$12</f>
        <v>5.7161446524695257E-3</v>
      </c>
      <c r="Y83" s="295">
        <f>'0401'!Y83+'0402'!Y83+'0403'!Y83+'405'!Y83+'0406'!Y83+'0409'!Y83+'410-sahara'!Y83+'414-Al ghurair'!Y83+'415'!Y83+'Al Foah_418'!Y83+Rak_417!Y83+D.C.!Y83+'Wafi _419'!Y83</f>
        <v>58966.666666666672</v>
      </c>
      <c r="Z83" s="68">
        <f>Y83/Y$12</f>
        <v>3.783863659662249E-3</v>
      </c>
      <c r="AA83" s="382">
        <f t="shared" si="64"/>
        <v>707600</v>
      </c>
      <c r="AB83" s="147">
        <f>AA83/AA$12</f>
        <v>4.8730178629580109E-3</v>
      </c>
      <c r="AC83" s="128">
        <f t="shared" si="65"/>
        <v>58966.666666666664</v>
      </c>
      <c r="AD83" s="131">
        <f>AC83/AC$12</f>
        <v>4.8730178629580118E-3</v>
      </c>
      <c r="AE83" s="84">
        <f t="shared" si="60"/>
        <v>707600</v>
      </c>
      <c r="AF83" s="33" t="e">
        <f>#REF!+'0401'!#REF!+'0402'!#REF!+'0403'!#REF!+#REF!+'405'!#REF!+'0406'!#REF!+D.C.!#REF!+#REF!+#REF!+'0409'!#REF!</f>
        <v>#REF!</v>
      </c>
      <c r="AG83" s="33" t="e">
        <f t="shared" si="61"/>
        <v>#REF!</v>
      </c>
      <c r="AH83" s="84">
        <f t="shared" si="62"/>
        <v>0</v>
      </c>
      <c r="AI83" s="33">
        <f>'0401'!AA83+'0402'!AA83+'0403'!AA83+'405'!AA83+'0406'!AA83+'0409'!AA83+'410-sahara'!AA83+'414-Al ghurair'!AA83+'415'!AA83+'Al Foah_418'!AA83+Rak_417!AA83+D.C.!AA83</f>
        <v>649600</v>
      </c>
      <c r="AJ83" s="84">
        <f t="shared" si="63"/>
        <v>58000</v>
      </c>
    </row>
    <row r="84" spans="1:36" customFormat="1">
      <c r="A84" s="2">
        <v>6208</v>
      </c>
      <c r="B84" s="2" t="s">
        <v>219</v>
      </c>
      <c r="C84" s="295">
        <f>'0401'!C84+'0402'!C84+'0403'!C84+'405'!C84+'0406'!C84+'0409'!C84+'410-sahara'!C84+'414-Al ghurair'!C84+'415'!C84+'Al Foah_418'!C84+Rak_417!C84+D.C.!C84+'Wafi _419'!C84</f>
        <v>0</v>
      </c>
      <c r="D84" s="68"/>
      <c r="E84" s="295">
        <f>'0401'!E84+'0402'!E84+'0403'!E84+'405'!E84+'0406'!E84+'0409'!E84+'410-sahara'!E84+'414-Al ghurair'!E84+'415'!E84+'Al Foah_418'!E84+Rak_417!E84+D.C.!E84+'Wafi _419'!E84</f>
        <v>0</v>
      </c>
      <c r="F84" s="68"/>
      <c r="G84" s="295">
        <f>'0401'!G84+'0402'!G84+'0403'!G84+'405'!G84+'0406'!G84+'0409'!G84+'410-sahara'!G84+'414-Al ghurair'!G84+'415'!G84+'Al Foah_418'!G84+Rak_417!G84+D.C.!G84+'Wafi _419'!G84</f>
        <v>0</v>
      </c>
      <c r="H84" s="68"/>
      <c r="I84" s="295">
        <f>'0401'!I84+'0402'!I84+'0403'!I84+'405'!I84+'0406'!I84+'0409'!I84+'410-sahara'!I84+'414-Al ghurair'!I84+'415'!I84+'Al Foah_418'!I84+Rak_417!I84+D.C.!I84+'Wafi _419'!I84</f>
        <v>0</v>
      </c>
      <c r="J84" s="68"/>
      <c r="K84" s="295">
        <f>'0401'!K84+'0402'!K84+'0403'!K84+'405'!K84+'0406'!K84+'0409'!K84+'410-sahara'!K84+'414-Al ghurair'!K84+'415'!K84+'Al Foah_418'!K84+Rak_417!K84+D.C.!K84+'Wafi _419'!K84</f>
        <v>0</v>
      </c>
      <c r="L84" s="68"/>
      <c r="M84" s="295">
        <f>'0401'!M84+'0402'!M84+'0403'!M84+'405'!M84+'0406'!M84+'0409'!M84+'410-sahara'!M84+'414-Al ghurair'!M84+'415'!M84+'Al Foah_418'!M84+Rak_417!M84+D.C.!M84+'Wafi _419'!M84</f>
        <v>0</v>
      </c>
      <c r="N84" s="68"/>
      <c r="O84" s="295">
        <f>'0401'!O84+'0402'!O84+'0403'!O84+'405'!O84+'0406'!O84+'0409'!O84+'410-sahara'!O84+'414-Al ghurair'!O84+'415'!O84+'Al Foah_418'!O84+Rak_417!O84+D.C.!O84+'Wafi _419'!O84</f>
        <v>0</v>
      </c>
      <c r="P84" s="68"/>
      <c r="Q84" s="295">
        <f>'0401'!Q84+'0402'!Q84+'0403'!Q84+'405'!Q84+'0406'!Q84+'0409'!Q84+'410-sahara'!Q84+'414-Al ghurair'!Q84+'415'!Q84+'Al Foah_418'!Q84+Rak_417!Q84+D.C.!Q84+'Wafi _419'!Q84</f>
        <v>0</v>
      </c>
      <c r="R84" s="68"/>
      <c r="S84" s="295">
        <f>'0401'!S84+'0402'!S84+'0403'!S84+'405'!S84+'0406'!S84+'0409'!S84+'410-sahara'!S84+'414-Al ghurair'!S84+'415'!S84+'Al Foah_418'!S84+Rak_417!S84+D.C.!S84+'Wafi _419'!S84</f>
        <v>0</v>
      </c>
      <c r="T84" s="68"/>
      <c r="U84" s="295">
        <f>'0401'!U84+'0402'!U84+'0403'!U84+'405'!U84+'0406'!U84+'0409'!U84+'410-sahara'!U84+'414-Al ghurair'!U84+'415'!U84+'Al Foah_418'!U84+Rak_417!U84+D.C.!U84+'Wafi _419'!U84</f>
        <v>0</v>
      </c>
      <c r="V84" s="68"/>
      <c r="W84" s="295">
        <f>'0401'!W84+'0402'!W84+'0403'!W84+'405'!W84+'0406'!W84+'0409'!W84+'410-sahara'!W84+'414-Al ghurair'!W84+'415'!W84+'Al Foah_418'!W84+Rak_417!W84+D.C.!W84+'Wafi _419'!W84</f>
        <v>0</v>
      </c>
      <c r="X84" s="68"/>
      <c r="Y84" s="295">
        <f>'0401'!Y84+'0402'!Y84+'0403'!Y84+'405'!Y84+'0406'!Y84+'0409'!Y84+'410-sahara'!Y84+'414-Al ghurair'!Y84+'415'!Y84+'Al Foah_418'!Y84+Rak_417!Y84+D.C.!Y84+'Wafi _419'!Y84</f>
        <v>0</v>
      </c>
      <c r="Z84" s="68"/>
      <c r="AA84" s="382">
        <f t="shared" si="64"/>
        <v>0</v>
      </c>
      <c r="AB84" s="147"/>
      <c r="AC84" s="128">
        <f t="shared" si="65"/>
        <v>0</v>
      </c>
      <c r="AD84" s="131"/>
      <c r="AE84" s="84">
        <f t="shared" si="60"/>
        <v>0</v>
      </c>
      <c r="AF84" s="33" t="e">
        <f>#REF!+'0401'!#REF!+'0402'!#REF!+'0403'!#REF!+#REF!+'405'!#REF!+'0406'!#REF!+D.C.!#REF!+#REF!+#REF!+'0409'!#REF!</f>
        <v>#REF!</v>
      </c>
      <c r="AG84" s="33" t="e">
        <f t="shared" si="61"/>
        <v>#REF!</v>
      </c>
      <c r="AH84" s="84">
        <f t="shared" si="62"/>
        <v>0</v>
      </c>
      <c r="AI84" s="33">
        <f>'0401'!AA84+'0402'!AA84+'0403'!AA84+'405'!AA84+'0406'!AA84+'0409'!AA84+'410-sahara'!AA84+'414-Al ghurair'!AA84+'415'!AA84+'Al Foah_418'!AA84+Rak_417!AA84+D.C.!AA84</f>
        <v>0</v>
      </c>
      <c r="AJ84" s="84">
        <f t="shared" si="63"/>
        <v>0</v>
      </c>
    </row>
    <row r="85" spans="1:36" customFormat="1">
      <c r="A85" s="188">
        <v>6209</v>
      </c>
      <c r="B85" s="2" t="s">
        <v>29</v>
      </c>
      <c r="C85" s="295">
        <f>'0401'!C85+'0402'!C85+'0403'!C85+'405'!C85+'0406'!C85+'0409'!C85+'410-sahara'!C85+'414-Al ghurair'!C85+'415'!C85+'Al Foah_418'!C85+Rak_417!C85+D.C.!C85+'Wafi _419'!C85</f>
        <v>79837.5</v>
      </c>
      <c r="D85" s="68">
        <f>C85/C12</f>
        <v>7.310258904116896E-3</v>
      </c>
      <c r="E85" s="295">
        <f>'0401'!E85+'0402'!E85+'0403'!E85+'405'!E85+'0406'!E85+'0409'!E85+'410-sahara'!E85+'414-Al ghurair'!E85+'415'!E85+'Al Foah_418'!E85+Rak_417!E85+D.C.!E85+'Wafi _419'!E85</f>
        <v>79837.5</v>
      </c>
      <c r="F85" s="68">
        <f>E85/E12</f>
        <v>9.3962010422769648E-3</v>
      </c>
      <c r="G85" s="295">
        <f>'0401'!G85+'0402'!G85+'0403'!G85+'405'!G85+'0406'!G85+'0409'!G85+'410-sahara'!G85+'414-Al ghurair'!G85+'415'!G85+'Al Foah_418'!G85+Rak_417!G85+D.C.!G85+'Wafi _419'!G85</f>
        <v>79837.5</v>
      </c>
      <c r="H85" s="68">
        <f>G85/G12</f>
        <v>5.6645334821461167E-3</v>
      </c>
      <c r="I85" s="295">
        <f>'0401'!I85+'0402'!I85+'0403'!I85+'405'!I85+'0406'!I85+'0409'!I85+'410-sahara'!I85+'414-Al ghurair'!I85+'415'!I85+'Al Foah_418'!I85+Rak_417!I85+D.C.!I85+'Wafi _419'!I85</f>
        <v>79837.5</v>
      </c>
      <c r="J85" s="68">
        <f>I85/I12</f>
        <v>6.4151418392863419E-3</v>
      </c>
      <c r="K85" s="295">
        <f>'0401'!K85+'0402'!K85+'0403'!K85+'405'!K85+'0406'!K85+'0409'!K85+'410-sahara'!K85+'414-Al ghurair'!K85+'415'!K85+'Al Foah_418'!K85+Rak_417!K85+D.C.!K85+'Wafi _419'!K85</f>
        <v>79837.5</v>
      </c>
      <c r="L85" s="68">
        <f>K85/K12</f>
        <v>7.0141360318565285E-3</v>
      </c>
      <c r="M85" s="295">
        <f>'0401'!M85+'0402'!M85+'0403'!M85+'405'!M85+'0406'!M85+'0409'!M85+'410-sahara'!M85+'414-Al ghurair'!M85+'415'!M85+'Al Foah_418'!M85+Rak_417!M85+D.C.!M85+'Wafi _419'!M85</f>
        <v>79837.5</v>
      </c>
      <c r="N85" s="68">
        <f>M85/M12</f>
        <v>4.946547522124394E-3</v>
      </c>
      <c r="O85" s="295">
        <f>'0401'!O85+'0402'!O85+'0403'!O85+'405'!O85+'0406'!O85+'0409'!O85+'410-sahara'!O85+'414-Al ghurair'!O85+'415'!O85+'Al Foah_418'!O85+Rak_417!O85+D.C.!O85+'Wafi _419'!O85</f>
        <v>79837.5</v>
      </c>
      <c r="P85" s="68">
        <f>O85/O12</f>
        <v>7.8130866368674948E-3</v>
      </c>
      <c r="Q85" s="295">
        <f>'0401'!Q85+'0402'!Q85+'0403'!Q85+'405'!Q85+'0406'!Q85+'0409'!Q85+'410-sahara'!Q85+'414-Al ghurair'!Q85+'415'!Q85+'Al Foah_418'!Q85+Rak_417!Q85+D.C.!Q85+'Wafi _419'!Q85</f>
        <v>79837.5</v>
      </c>
      <c r="R85" s="68">
        <f>Q85/Q12</f>
        <v>6.2920522473117824E-3</v>
      </c>
      <c r="S85" s="295">
        <f>'0401'!S85+'0402'!S85+'0403'!S85+'405'!S85+'0406'!S85+'0409'!S85+'410-sahara'!S85+'414-Al ghurair'!S85+'415'!S85+'Al Foah_418'!S85+Rak_417!S85+D.C.!S85+'Wafi _419'!S85</f>
        <v>79837.5</v>
      </c>
      <c r="T85" s="68">
        <f>S85/S12</f>
        <v>6.2459614038604325E-3</v>
      </c>
      <c r="U85" s="295">
        <f>'0401'!U85+'0402'!U85+'0403'!U85+'405'!U85+'0406'!U85+'0409'!U85+'410-sahara'!U85+'414-Al ghurair'!U85+'415'!U85+'Al Foah_418'!U85+Rak_417!U85+D.C.!U85+'Wafi _419'!U85</f>
        <v>79837.5</v>
      </c>
      <c r="V85" s="68">
        <f>U85/U12</f>
        <v>7.874319311723315E-3</v>
      </c>
      <c r="W85" s="295">
        <f>'0401'!W85+'0402'!W85+'0403'!W85+'405'!W85+'0406'!W85+'0409'!W85+'410-sahara'!W85+'414-Al ghurair'!W85+'415'!W85+'Al Foah_418'!W85+Rak_417!W85+D.C.!W85+'Wafi _419'!W85</f>
        <v>79837.5</v>
      </c>
      <c r="X85" s="68">
        <f>W85/W12</f>
        <v>7.7393334995738104E-3</v>
      </c>
      <c r="Y85" s="295">
        <f>'0401'!Y85+'0402'!Y85+'0403'!Y85+'405'!Y85+'0406'!Y85+'0409'!Y85+'410-sahara'!Y85+'414-Al ghurair'!Y85+'415'!Y85+'Al Foah_418'!Y85+Rak_417!Y85+D.C.!Y85+'Wafi _419'!Y85</f>
        <v>79837.5</v>
      </c>
      <c r="Z85" s="68">
        <f>Y85/Y12</f>
        <v>5.1231353577436654E-3</v>
      </c>
      <c r="AA85" s="382">
        <f t="shared" si="64"/>
        <v>958050</v>
      </c>
      <c r="AB85" s="147">
        <f>AA85/AA12</f>
        <v>6.5977879643964428E-3</v>
      </c>
      <c r="AC85" s="128">
        <f t="shared" si="65"/>
        <v>79837.5</v>
      </c>
      <c r="AD85" s="131">
        <f>AC85/AC12</f>
        <v>6.5977879643964428E-3</v>
      </c>
      <c r="AE85" s="84">
        <f t="shared" si="60"/>
        <v>958050</v>
      </c>
      <c r="AF85" s="33" t="e">
        <f>#REF!+'0401'!#REF!+'0402'!#REF!+'0403'!#REF!+#REF!+'405'!#REF!+'0406'!#REF!+D.C.!#REF!+#REF!+#REF!+'0409'!#REF!</f>
        <v>#REF!</v>
      </c>
      <c r="AG85" s="33" t="e">
        <f t="shared" si="61"/>
        <v>#REF!</v>
      </c>
      <c r="AH85" s="84">
        <f t="shared" si="62"/>
        <v>0</v>
      </c>
      <c r="AI85" s="33">
        <f>'0401'!AA85+'0402'!AA85+'0403'!AA85+'405'!AA85+'0406'!AA85+'0409'!AA85+'410-sahara'!AA85+'414-Al ghurair'!AA85+'415'!AA85+'Al Foah_418'!AA85+Rak_417!AA85+D.C.!AA85</f>
        <v>877950</v>
      </c>
      <c r="AJ85" s="84">
        <f t="shared" si="63"/>
        <v>80100</v>
      </c>
    </row>
    <row r="86" spans="1:36" customFormat="1">
      <c r="A86" s="188">
        <v>6210</v>
      </c>
      <c r="B86" s="2" t="s">
        <v>30</v>
      </c>
      <c r="C86" s="295">
        <f>'0401'!C86+'0402'!C86+'0403'!C86+'405'!C86+'0406'!C86+'0409'!C86+'410-sahara'!C86+'414-Al ghurair'!C86+'415'!C86+'Al Foah_418'!C86+Rak_417!C86+D.C.!C86+'Wafi _419'!C86</f>
        <v>36747.123287671238</v>
      </c>
      <c r="D86" s="68">
        <f>C86/C12</f>
        <v>3.3647219065524349E-3</v>
      </c>
      <c r="E86" s="295">
        <f>'0401'!E86+'0402'!E86+'0403'!E86+'405'!E86+'0406'!E86+'0409'!E86+'410-sahara'!E86+'414-Al ghurair'!E86+'415'!E86+'Al Foah_418'!E86+Rak_417!E86+D.C.!E86+'Wafi _419'!E86</f>
        <v>36747.123287671238</v>
      </c>
      <c r="F86" s="68">
        <f>E86/E12</f>
        <v>4.3248267811028234E-3</v>
      </c>
      <c r="G86" s="295">
        <f>'0401'!G86+'0402'!G86+'0403'!G86+'405'!G86+'0406'!G86+'0409'!G86+'410-sahara'!G86+'414-Al ghurair'!G86+'415'!G86+'Al Foah_418'!G86+Rak_417!G86+D.C.!G86+'Wafi _419'!G86</f>
        <v>36747.123287671238</v>
      </c>
      <c r="H86" s="68">
        <f>G86/G12</f>
        <v>2.607237328768624E-3</v>
      </c>
      <c r="I86" s="295">
        <f>'0401'!I86+'0402'!I86+'0403'!I86+'405'!I86+'0406'!I86+'0409'!I86+'410-sahara'!I86+'414-Al ghurair'!I86+'415'!I86+'Al Foah_418'!I86+Rak_417!I86+D.C.!I86+'Wafi _419'!I86</f>
        <v>36747.123287671238</v>
      </c>
      <c r="J86" s="68">
        <f>I86/I12</f>
        <v>2.9527228191783715E-3</v>
      </c>
      <c r="K86" s="295">
        <f>'0401'!K86+'0402'!K86+'0403'!K86+'405'!K86+'0406'!K86+'0409'!K86+'410-sahara'!K86+'414-Al ghurair'!K86+'415'!K86+'Al Foah_418'!K86+Rak_417!K86+D.C.!K86+'Wafi _419'!K86</f>
        <v>36747.123287671238</v>
      </c>
      <c r="L86" s="68">
        <f>K86/K12</f>
        <v>3.2284242557586219E-3</v>
      </c>
      <c r="M86" s="295">
        <f>'0401'!M86+'0402'!M86+'0403'!M86+'405'!M86+'0406'!M86+'0409'!M86+'410-sahara'!M86+'414-Al ghurair'!M86+'415'!M86+'Al Foah_418'!M86+Rak_417!M86+D.C.!M86+'Wafi _419'!M86</f>
        <v>36747.123287671238</v>
      </c>
      <c r="N86" s="68">
        <f>M86/M12</f>
        <v>2.2767670786764337E-3</v>
      </c>
      <c r="O86" s="295">
        <f>'0401'!O86+'0402'!O86+'0403'!O86+'405'!O86+'0406'!O86+'0409'!O86+'410-sahara'!O86+'414-Al ghurair'!O86+'415'!O86+'Al Foah_418'!O86+Rak_417!O86+D.C.!O86+'Wafi _419'!O86</f>
        <v>36747.123287671238</v>
      </c>
      <c r="P86" s="68">
        <f>O86/O12</f>
        <v>3.596160424640382E-3</v>
      </c>
      <c r="Q86" s="295">
        <f>'0401'!Q86+'0402'!Q86+'0403'!Q86+'405'!Q86+'0406'!Q86+'0409'!Q86+'410-sahara'!Q86+'414-Al ghurair'!Q86+'415'!Q86+'Al Foah_418'!Q86+Rak_417!Q86+D.C.!Q86+'Wafi _419'!Q86</f>
        <v>36747.123287671238</v>
      </c>
      <c r="R86" s="68">
        <f>Q86/Q12</f>
        <v>2.8960678836941907E-3</v>
      </c>
      <c r="S86" s="295">
        <f>'0401'!S86+'0402'!S86+'0403'!S86+'405'!S86+'0406'!S86+'0409'!S86+'410-sahara'!S86+'414-Al ghurair'!S86+'415'!S86+'Al Foah_418'!S86+Rak_417!S86+D.C.!S86+'Wafi _419'!S86</f>
        <v>36747.123287671238</v>
      </c>
      <c r="T86" s="68">
        <f>S86/S12</f>
        <v>2.8748534680782269E-3</v>
      </c>
      <c r="U86" s="295">
        <f>'0401'!U86+'0402'!U86+'0403'!U86+'405'!U86+'0406'!U86+'0409'!U86+'410-sahara'!U86+'414-Al ghurair'!U86+'415'!U86+'Al Foah_418'!U86+Rak_417!U86+D.C.!U86+'Wafi _419'!U86</f>
        <v>36747.123287671238</v>
      </c>
      <c r="V86" s="68">
        <f>U86/U12</f>
        <v>3.6243442311493621E-3</v>
      </c>
      <c r="W86" s="295">
        <f>'0401'!W86+'0402'!W86+'0403'!W86+'405'!W86+'0406'!W86+'0409'!W86+'410-sahara'!W86+'414-Al ghurair'!W86+'415'!W86+'Al Foah_418'!W86+Rak_417!W86+D.C.!W86+'Wafi _419'!W86</f>
        <v>36747.123287671238</v>
      </c>
      <c r="X86" s="68">
        <f>W86/W12</f>
        <v>3.5622137751463025E-3</v>
      </c>
      <c r="Y86" s="295">
        <f>'0401'!Y86+'0402'!Y86+'0403'!Y86+'405'!Y86+'0406'!Y86+'0409'!Y86+'410-sahara'!Y86+'414-Al ghurair'!Y86+'415'!Y86+'Al Foah_418'!Y86+Rak_417!Y86+D.C.!Y86+'Wafi _419'!Y86</f>
        <v>36747.123287671238</v>
      </c>
      <c r="Z86" s="68">
        <f>Y86/Y12</f>
        <v>2.3580458632902353E-3</v>
      </c>
      <c r="AA86" s="382">
        <f t="shared" si="64"/>
        <v>440965.47945205489</v>
      </c>
      <c r="AB86" s="147">
        <f>AA86/AA12</f>
        <v>3.0367900767632947E-3</v>
      </c>
      <c r="AC86" s="128">
        <f t="shared" si="65"/>
        <v>36747.123287671238</v>
      </c>
      <c r="AD86" s="131">
        <f>AC86/AC12</f>
        <v>3.0367900767632947E-3</v>
      </c>
      <c r="AE86" s="84">
        <f t="shared" si="60"/>
        <v>440965.47945205489</v>
      </c>
      <c r="AF86" s="33" t="e">
        <f>#REF!+'0401'!#REF!+'0402'!#REF!+'0403'!#REF!+#REF!+'405'!#REF!+'0406'!#REF!+D.C.!#REF!+#REF!+#REF!+'0409'!#REF!</f>
        <v>#REF!</v>
      </c>
      <c r="AG86" s="33" t="e">
        <f t="shared" si="61"/>
        <v>#REF!</v>
      </c>
      <c r="AH86" s="84">
        <f t="shared" si="62"/>
        <v>0</v>
      </c>
      <c r="AI86" s="33">
        <f>'0401'!AA86+'0402'!AA86+'0403'!AA86+'405'!AA86+'0406'!AA86+'0409'!AA86+'410-sahara'!AA86+'414-Al ghurair'!AA86+'415'!AA86+'Al Foah_418'!AA86+Rak_417!AA86+D.C.!AA86</f>
        <v>404097.53424657532</v>
      </c>
      <c r="AJ86" s="84">
        <f t="shared" si="63"/>
        <v>36867.945205479569</v>
      </c>
    </row>
    <row r="87" spans="1:36" customFormat="1">
      <c r="A87" s="188">
        <v>6211</v>
      </c>
      <c r="B87" s="2" t="s">
        <v>31</v>
      </c>
      <c r="C87" s="295">
        <f>'0401'!C87+'0402'!C87+'0403'!C87+'405'!C87+'0406'!C87+'0409'!C87+'410-sahara'!C87+'414-Al ghurair'!C87+'415'!C87+'Al Foah_418'!C87+Rak_417!C87+D.C.!C87+'Wafi _419'!C87</f>
        <v>39905</v>
      </c>
      <c r="D87" s="68">
        <f>C87/C12</f>
        <v>3.6538704439490807E-3</v>
      </c>
      <c r="E87" s="295">
        <f>'0401'!E87+'0402'!E87+'0403'!E87+'405'!E87+'0406'!E87+'0409'!E87+'410-sahara'!E87+'414-Al ghurair'!E87+'415'!E87+'Al Foah_418'!E87+Rak_417!E87+D.C.!E87+'Wafi _419'!E87</f>
        <v>39905</v>
      </c>
      <c r="F87" s="68">
        <f>E87/E12</f>
        <v>4.6964822619954567E-3</v>
      </c>
      <c r="G87" s="295">
        <f>'0401'!G87+'0402'!G87+'0403'!G87+'405'!G87+'0406'!G87+'0409'!G87+'410-sahara'!G87+'414-Al ghurair'!G87+'415'!G87+'Al Foah_418'!G87+Rak_417!G87+D.C.!G87+'Wafi _419'!G87</f>
        <v>39905</v>
      </c>
      <c r="H87" s="68">
        <f>G87/G12</f>
        <v>2.831291167747497E-3</v>
      </c>
      <c r="I87" s="295">
        <f>'0401'!I87+'0402'!I87+'0403'!I87+'405'!I87+'0406'!I87+'0409'!I87+'410-sahara'!I87+'414-Al ghurair'!I87+'415'!I87+'Al Foah_418'!I87+Rak_417!I87+D.C.!I87+'Wafi _419'!I87</f>
        <v>39905</v>
      </c>
      <c r="J87" s="68">
        <f>I87/I12</f>
        <v>3.2064660729196363E-3</v>
      </c>
      <c r="K87" s="295">
        <f>'0401'!K87+'0402'!K87+'0403'!K87+'405'!K87+'0406'!K87+'0409'!K87+'410-sahara'!K87+'414-Al ghurair'!K87+'415'!K87+'Al Foah_418'!K87+Rak_417!K87+D.C.!K87+'Wafi _419'!K87</f>
        <v>39905</v>
      </c>
      <c r="L87" s="68">
        <f>K87/K12</f>
        <v>3.5058600075307316E-3</v>
      </c>
      <c r="M87" s="295">
        <f>'0401'!M87+'0402'!M87+'0403'!M87+'405'!M87+'0406'!M87+'0409'!M87+'410-sahara'!M87+'414-Al ghurair'!M87+'415'!M87+'Al Foah_418'!M87+Rak_417!M87+D.C.!M87+'Wafi _419'!M87</f>
        <v>39905</v>
      </c>
      <c r="N87" s="68">
        <f>M87/M12</f>
        <v>2.4724218427477555E-3</v>
      </c>
      <c r="O87" s="295">
        <f>'0401'!O87+'0402'!O87+'0403'!O87+'405'!O87+'0406'!O87+'0409'!O87+'410-sahara'!O87+'414-Al ghurair'!O87+'415'!O87+'Al Foah_418'!O87+Rak_417!O87+D.C.!O87+'Wafi _419'!O87</f>
        <v>39905</v>
      </c>
      <c r="P87" s="68">
        <f>O87/O12</f>
        <v>3.9051977109027386E-3</v>
      </c>
      <c r="Q87" s="295">
        <f>'0401'!Q87+'0402'!Q87+'0403'!Q87+'405'!Q87+'0406'!Q87+'0409'!Q87+'410-sahara'!Q87+'414-Al ghurair'!Q87+'415'!Q87+'Al Foah_418'!Q87+Rak_417!Q87+D.C.!Q87+'Wafi _419'!Q87</f>
        <v>39905</v>
      </c>
      <c r="R87" s="68">
        <f>Q87/Q12</f>
        <v>3.1449424760166176E-3</v>
      </c>
      <c r="S87" s="295">
        <f>'0401'!S87+'0402'!S87+'0403'!S87+'405'!S87+'0406'!S87+'0409'!S87+'410-sahara'!S87+'414-Al ghurair'!S87+'415'!S87+'Al Foah_418'!S87+Rak_417!S87+D.C.!S87+'Wafi _419'!S87</f>
        <v>39905</v>
      </c>
      <c r="T87" s="68">
        <f>S87/S12</f>
        <v>3.121904992278698E-3</v>
      </c>
      <c r="U87" s="295">
        <f>'0401'!U87+'0402'!U87+'0403'!U87+'405'!U87+'0406'!U87+'0409'!U87+'410-sahara'!U87+'414-Al ghurair'!U87+'415'!U87+'Al Foah_418'!U87+Rak_417!U87+D.C.!U87+'Wafi _419'!U87</f>
        <v>39905</v>
      </c>
      <c r="V87" s="68">
        <f>U87/U12</f>
        <v>3.9358035025435275E-3</v>
      </c>
      <c r="W87" s="295">
        <f>'0401'!W87+'0402'!W87+'0403'!W87+'405'!W87+'0406'!W87+'0409'!W87+'410-sahara'!W87+'414-Al ghurair'!W87+'415'!W87+'Al Foah_418'!W87+Rak_417!W87+D.C.!W87+'Wafi _419'!W87</f>
        <v>39905</v>
      </c>
      <c r="X87" s="68">
        <f>W87/W12</f>
        <v>3.8683338443775534E-3</v>
      </c>
      <c r="Y87" s="295">
        <f>'0401'!Y87+'0402'!Y87+'0403'!Y87+'405'!Y87+'0406'!Y87+'0409'!Y87+'410-sahara'!Y87+'414-Al ghurair'!Y87+'415'!Y87+'Al Foah_418'!Y87+Rak_417!Y87+D.C.!Y87+'Wafi _419'!Y87</f>
        <v>39905</v>
      </c>
      <c r="Z87" s="68">
        <f>Y87/Y12</f>
        <v>2.5606853477471232E-3</v>
      </c>
      <c r="AA87" s="382">
        <f t="shared" si="64"/>
        <v>478860</v>
      </c>
      <c r="AB87" s="147">
        <f>AA87/AA12</f>
        <v>3.297757679276531E-3</v>
      </c>
      <c r="AC87" s="128">
        <f t="shared" si="65"/>
        <v>39905</v>
      </c>
      <c r="AD87" s="131">
        <f>AC87/AC12</f>
        <v>3.297757679276531E-3</v>
      </c>
      <c r="AE87" s="84">
        <f t="shared" si="60"/>
        <v>478860</v>
      </c>
      <c r="AF87" s="33" t="e">
        <f>#REF!+'0401'!#REF!+'0402'!#REF!+'0403'!#REF!+#REF!+'405'!#REF!+'0406'!#REF!+D.C.!#REF!+#REF!+#REF!+'0409'!#REF!</f>
        <v>#REF!</v>
      </c>
      <c r="AG87" s="33" t="e">
        <f t="shared" si="61"/>
        <v>#REF!</v>
      </c>
      <c r="AH87" s="84">
        <f t="shared" si="62"/>
        <v>0</v>
      </c>
      <c r="AI87" s="33">
        <f>'0401'!AA87+'0402'!AA87+'0403'!AA87+'405'!AA87+'0406'!AA87+'0409'!AA87+'410-sahara'!AA87+'414-Al ghurair'!AA87+'415'!AA87+'Al Foah_418'!AA87+Rak_417!AA87+D.C.!AA87</f>
        <v>436860</v>
      </c>
      <c r="AJ87" s="84">
        <f t="shared" si="63"/>
        <v>42000</v>
      </c>
    </row>
    <row r="88" spans="1:36" customFormat="1">
      <c r="A88" s="2">
        <v>6212</v>
      </c>
      <c r="B88" s="2" t="s">
        <v>32</v>
      </c>
      <c r="C88" s="295">
        <f>'0401'!C88+'0402'!C88+'0403'!C88+'405'!C88+'0406'!C88+'0409'!C88+'410-sahara'!C88+'414-Al ghurair'!C88+'415'!C88+'Al Foah_418'!C88+Rak_417!C88+D.C.!C88+'Wafi _419'!C88</f>
        <v>1200</v>
      </c>
      <c r="D88" s="68">
        <f>C88/C12</f>
        <v>1.0987707136295945E-4</v>
      </c>
      <c r="E88" s="295">
        <f>'0401'!E88+'0402'!E88+'0403'!E88+'405'!E88+'0406'!E88+'0409'!E88+'410-sahara'!E88+'414-Al ghurair'!E88+'415'!E88+'Al Foah_418'!E88+Rak_417!E88+D.C.!E88+'Wafi _419'!E88</f>
        <v>1200</v>
      </c>
      <c r="F88" s="68">
        <f>E88/E12</f>
        <v>1.4122988884587265E-4</v>
      </c>
      <c r="G88" s="295">
        <f>'0401'!G88+'0402'!G88+'0403'!G88+'405'!G88+'0406'!G88+'0409'!G88+'410-sahara'!G88+'414-Al ghurair'!G88+'415'!G88+'Al Foah_418'!G88+Rak_417!G88+D.C.!G88+'Wafi _419'!G88</f>
        <v>1200</v>
      </c>
      <c r="H88" s="68">
        <f>G88/G12</f>
        <v>8.5140944776268546E-5</v>
      </c>
      <c r="I88" s="295">
        <f>'0401'!I88+'0402'!I88+'0403'!I88+'405'!I88+'0406'!I88+'0409'!I88+'410-sahara'!I88+'414-Al ghurair'!I88+'415'!I88+'Al Foah_418'!I88+Rak_417!I88+D.C.!I88+'Wafi _419'!I88</f>
        <v>1200</v>
      </c>
      <c r="J88" s="68">
        <f>I88/I12</f>
        <v>9.6422986781194428E-5</v>
      </c>
      <c r="K88" s="295">
        <f>'0401'!K88+'0402'!K88+'0403'!K88+'405'!K88+'0406'!K88+'0409'!K88+'410-sahara'!K88+'414-Al ghurair'!K88+'415'!K88+'Al Foah_418'!K88+Rak_417!K88+D.C.!K88+'Wafi _419'!K88</f>
        <v>1200</v>
      </c>
      <c r="L88" s="68">
        <f>K88/K12</f>
        <v>1.0542618742104693E-4</v>
      </c>
      <c r="M88" s="295">
        <f>'0401'!M88+'0402'!M88+'0403'!M88+'405'!M88+'0406'!M88+'0409'!M88+'410-sahara'!M88+'414-Al ghurair'!M88+'415'!M88+'Al Foah_418'!M88+Rak_417!M88+D.C.!M88+'Wafi _419'!M88</f>
        <v>1200</v>
      </c>
      <c r="N88" s="68">
        <f>M88/M12</f>
        <v>7.4349234714880509E-5</v>
      </c>
      <c r="O88" s="295">
        <f>'0401'!O88+'0402'!O88+'0403'!O88+'405'!O88+'0406'!O88+'0409'!O88+'410-sahara'!O88+'414-Al ghurair'!O88+'415'!O88+'Al Foah_418'!O88+Rak_417!O88+D.C.!O88+'Wafi _419'!O88</f>
        <v>1200</v>
      </c>
      <c r="P88" s="68">
        <f>O88/O12</f>
        <v>1.1743483906987311E-4</v>
      </c>
      <c r="Q88" s="295">
        <f>'0401'!Q88+'0402'!Q88+'0403'!Q88+'405'!Q88+'0406'!Q88+'0409'!Q88+'410-sahara'!Q88+'414-Al ghurair'!Q88+'415'!Q88+'Al Foah_418'!Q88+Rak_417!Q88+D.C.!Q88+'Wafi _419'!Q88</f>
        <v>1200</v>
      </c>
      <c r="R88" s="68">
        <f>Q88/Q12</f>
        <v>9.4572884882093491E-5</v>
      </c>
      <c r="S88" s="295">
        <f>'0401'!S88+'0402'!S88+'0403'!S88+'405'!S88+'0406'!S88+'0409'!S88+'410-sahara'!S88+'414-Al ghurair'!S88+'415'!S88+'Al Foah_418'!S88+Rak_417!S88+D.C.!S88+'Wafi _419'!S88</f>
        <v>1200</v>
      </c>
      <c r="T88" s="68">
        <f>S88/S12</f>
        <v>9.38801150415847E-5</v>
      </c>
      <c r="U88" s="295">
        <f>'0401'!U88+'0402'!U88+'0403'!U88+'405'!U88+'0406'!U88+'0409'!U88+'410-sahara'!U88+'414-Al ghurair'!U88+'415'!U88+'Al Foah_418'!U88+Rak_417!U88+D.C.!U88+'Wafi _419'!U88</f>
        <v>1200</v>
      </c>
      <c r="V88" s="68">
        <f>U88/U12</f>
        <v>1.1835519867315458E-4</v>
      </c>
      <c r="W88" s="295">
        <f>'0401'!W88+'0402'!W88+'0403'!W88+'405'!W88+'0406'!W88+'0409'!W88+'410-sahara'!W88+'414-Al ghurair'!W88+'415'!W88+'Al Foah_418'!W88+Rak_417!W88+D.C.!W88+'Wafi _419'!W88</f>
        <v>1200</v>
      </c>
      <c r="X88" s="68">
        <f>W88/W12</f>
        <v>1.1632629027071955E-4</v>
      </c>
      <c r="Y88" s="295">
        <f>'0401'!Y88+'0402'!Y88+'0403'!Y88+'405'!Y88+'0406'!Y88+'0409'!Y88+'410-sahara'!Y88+'414-Al ghurair'!Y88+'415'!Y88+'Al Foah_418'!Y88+Rak_417!Y88+D.C.!Y88+'Wafi _419'!Y88</f>
        <v>1200</v>
      </c>
      <c r="Z88" s="68">
        <f>Y88/Y12</f>
        <v>7.7003443610989801E-5</v>
      </c>
      <c r="AA88" s="382">
        <f t="shared" si="64"/>
        <v>14400</v>
      </c>
      <c r="AB88" s="147">
        <f>AA88/AA12</f>
        <v>9.9168254983882651E-5</v>
      </c>
      <c r="AC88" s="128">
        <f t="shared" si="65"/>
        <v>1200</v>
      </c>
      <c r="AD88" s="131">
        <f>AC88/AC12</f>
        <v>9.9168254983882651E-5</v>
      </c>
      <c r="AE88" s="84">
        <f t="shared" si="60"/>
        <v>14400</v>
      </c>
      <c r="AF88" s="33" t="e">
        <f>#REF!+'0401'!#REF!+'0402'!#REF!+'0403'!#REF!+#REF!+'405'!#REF!+'0406'!#REF!+D.C.!#REF!+#REF!+#REF!+'0409'!#REF!</f>
        <v>#REF!</v>
      </c>
      <c r="AG88" s="33" t="e">
        <f t="shared" si="61"/>
        <v>#REF!</v>
      </c>
      <c r="AH88" s="84">
        <f t="shared" si="62"/>
        <v>0</v>
      </c>
      <c r="AI88" s="33">
        <f>'0401'!AA88+'0402'!AA88+'0403'!AA88+'405'!AA88+'0406'!AA88+'0409'!AA88+'410-sahara'!AA88+'414-Al ghurair'!AA88+'415'!AA88+'Al Foah_418'!AA88+Rak_417!AA88+D.C.!AA88</f>
        <v>13200</v>
      </c>
      <c r="AJ88" s="84">
        <f t="shared" si="63"/>
        <v>1200</v>
      </c>
    </row>
    <row r="89" spans="1:36" customFormat="1">
      <c r="A89" s="2">
        <v>6213</v>
      </c>
      <c r="B89" s="2" t="s">
        <v>33</v>
      </c>
      <c r="C89" s="295">
        <f>'0401'!C89+'0402'!C89+'0403'!C89+'405'!C89+'0406'!C89+'0409'!C89+'410-sahara'!C89+'414-Al ghurair'!C89+'415'!C89+'Al Foah_418'!C89+Rak_417!C89+D.C.!C89+'Wafi _419'!C89</f>
        <v>0</v>
      </c>
      <c r="D89" s="68">
        <f>C89/C12</f>
        <v>0</v>
      </c>
      <c r="E89" s="295">
        <f>'0401'!E89+'0402'!E89+'0403'!E89+'405'!E89+'0406'!E89+'0409'!E89+'410-sahara'!E89+'414-Al ghurair'!E89+'415'!E89+'Al Foah_418'!E89+Rak_417!E89+D.C.!E89+'Wafi _419'!E89</f>
        <v>0</v>
      </c>
      <c r="F89" s="68">
        <f>E89/E12</f>
        <v>0</v>
      </c>
      <c r="G89" s="295">
        <f>'0401'!G89+'0402'!G89+'0403'!G89+'405'!G89+'0406'!G89+'0409'!G89+'410-sahara'!G89+'414-Al ghurair'!G89+'415'!G89+'Al Foah_418'!G89+Rak_417!G89+D.C.!G89+'Wafi _419'!G89</f>
        <v>0</v>
      </c>
      <c r="H89" s="68">
        <f>G89/G12</f>
        <v>0</v>
      </c>
      <c r="I89" s="295">
        <f>'0401'!I89+'0402'!I89+'0403'!I89+'405'!I89+'0406'!I89+'0409'!I89+'410-sahara'!I89+'414-Al ghurair'!I89+'415'!I89+'Al Foah_418'!I89+Rak_417!I89+D.C.!I89+'Wafi _419'!I89</f>
        <v>0</v>
      </c>
      <c r="J89" s="68">
        <f>I89/I12</f>
        <v>0</v>
      </c>
      <c r="K89" s="295">
        <f>'0401'!K89+'0402'!K89+'0403'!K89+'405'!K89+'0406'!K89+'0409'!K89+'410-sahara'!K89+'414-Al ghurair'!K89+'415'!K89+'Al Foah_418'!K89+Rak_417!K89+D.C.!K89+'Wafi _419'!K89</f>
        <v>0</v>
      </c>
      <c r="L89" s="68">
        <f>K89/K12</f>
        <v>0</v>
      </c>
      <c r="M89" s="295">
        <f>'0401'!M89+'0402'!M89+'0403'!M89+'405'!M89+'0406'!M89+'0409'!M89+'410-sahara'!M89+'414-Al ghurair'!M89+'415'!M89+'Al Foah_418'!M89+Rak_417!M89+D.C.!M89+'Wafi _419'!M89</f>
        <v>0</v>
      </c>
      <c r="N89" s="68">
        <f>M89/M12</f>
        <v>0</v>
      </c>
      <c r="O89" s="295">
        <f>'0401'!O89+'0402'!O89+'0403'!O89+'405'!O89+'0406'!O89+'0409'!O89+'410-sahara'!O89+'414-Al ghurair'!O89+'415'!O89+'Al Foah_418'!O89+Rak_417!O89+D.C.!O89+'Wafi _419'!O89</f>
        <v>0</v>
      </c>
      <c r="P89" s="68">
        <f>O89/O12</f>
        <v>0</v>
      </c>
      <c r="Q89" s="295">
        <f>'0401'!Q89+'0402'!Q89+'0403'!Q89+'405'!Q89+'0406'!Q89+'0409'!Q89+'410-sahara'!Q89+'414-Al ghurair'!Q89+'415'!Q89+'Al Foah_418'!Q89+Rak_417!Q89+D.C.!Q89+'Wafi _419'!Q89</f>
        <v>0</v>
      </c>
      <c r="R89" s="68">
        <f>Q89/Q12</f>
        <v>0</v>
      </c>
      <c r="S89" s="295">
        <f>'0401'!S89+'0402'!S89+'0403'!S89+'405'!S89+'0406'!S89+'0409'!S89+'410-sahara'!S89+'414-Al ghurair'!S89+'415'!S89+'Al Foah_418'!S89+Rak_417!S89+D.C.!S89+'Wafi _419'!S89</f>
        <v>0</v>
      </c>
      <c r="T89" s="68">
        <f>S89/S12</f>
        <v>0</v>
      </c>
      <c r="U89" s="295">
        <f>'0401'!U89+'0402'!U89+'0403'!U89+'405'!U89+'0406'!U89+'0409'!U89+'410-sahara'!U89+'414-Al ghurair'!U89+'415'!U89+'Al Foah_418'!U89+Rak_417!U89+D.C.!U89+'Wafi _419'!U89</f>
        <v>0</v>
      </c>
      <c r="V89" s="68">
        <f>U89/U12</f>
        <v>0</v>
      </c>
      <c r="W89" s="295">
        <f>'0401'!W89+'0402'!W89+'0403'!W89+'405'!W89+'0406'!W89+'0409'!W89+'410-sahara'!W89+'414-Al ghurair'!W89+'415'!W89+'Al Foah_418'!W89+Rak_417!W89+D.C.!W89+'Wafi _419'!W89</f>
        <v>0</v>
      </c>
      <c r="X89" s="68">
        <f>W89/W12</f>
        <v>0</v>
      </c>
      <c r="Y89" s="295">
        <f>'0401'!Y89+'0402'!Y89+'0403'!Y89+'405'!Y89+'0406'!Y89+'0409'!Y89+'410-sahara'!Y89+'414-Al ghurair'!Y89+'415'!Y89+'Al Foah_418'!Y89+Rak_417!Y89+D.C.!Y89+'Wafi _419'!Y89</f>
        <v>0</v>
      </c>
      <c r="Z89" s="68">
        <f>Y89/Y12</f>
        <v>0</v>
      </c>
      <c r="AA89" s="382">
        <f t="shared" si="64"/>
        <v>0</v>
      </c>
      <c r="AB89" s="147">
        <f>AA89/AA12</f>
        <v>0</v>
      </c>
      <c r="AC89" s="128">
        <f t="shared" si="65"/>
        <v>0</v>
      </c>
      <c r="AD89" s="131">
        <f>AC89/AC12</f>
        <v>0</v>
      </c>
      <c r="AE89" s="84">
        <f t="shared" si="60"/>
        <v>0</v>
      </c>
      <c r="AF89" s="33" t="e">
        <f>#REF!+'0401'!#REF!+'0402'!#REF!+'0403'!#REF!+#REF!+'405'!#REF!+'0406'!#REF!+D.C.!#REF!+#REF!+#REF!+'0409'!#REF!</f>
        <v>#REF!</v>
      </c>
      <c r="AG89" s="33" t="e">
        <f t="shared" si="61"/>
        <v>#REF!</v>
      </c>
      <c r="AH89" s="84">
        <f t="shared" si="62"/>
        <v>0</v>
      </c>
      <c r="AI89" s="33">
        <f>'0401'!AA89+'0402'!AA89+'0403'!AA89+'405'!AA89+'0406'!AA89+'0409'!AA89+'410-sahara'!AA89+'414-Al ghurair'!AA89+'415'!AA89+'Al Foah_418'!AA89+Rak_417!AA89+D.C.!AA89</f>
        <v>0</v>
      </c>
      <c r="AJ89" s="84">
        <f t="shared" si="63"/>
        <v>0</v>
      </c>
    </row>
    <row r="90" spans="1:36" customFormat="1">
      <c r="A90" s="2">
        <v>6214</v>
      </c>
      <c r="B90" s="2" t="s">
        <v>34</v>
      </c>
      <c r="C90" s="295">
        <f>'0401'!C90+'0402'!C90+'0403'!C90+'405'!C90+'0406'!C90+'0409'!C90+'410-sahara'!C90+'414-Al ghurair'!C90+'415'!C90+'Al Foah_418'!C90+Rak_417!C90+D.C.!C90+'Wafi _419'!C90</f>
        <v>36964.996666666666</v>
      </c>
      <c r="D90" s="68">
        <f>C90/C12</f>
        <v>3.3846713138957429E-3</v>
      </c>
      <c r="E90" s="295">
        <f>'0401'!E90+'0402'!E90+'0403'!E90+'405'!E90+'0406'!E90+'0409'!E90+'410-sahara'!E90+'414-Al ghurair'!E90+'415'!E90+'Al Foah_418'!E90+Rak_417!E90+D.C.!E90+'Wafi _419'!E90</f>
        <v>36964.996666666666</v>
      </c>
      <c r="F90" s="68">
        <f>E90/E12</f>
        <v>4.3504686420178223E-3</v>
      </c>
      <c r="G90" s="295">
        <f>'0401'!G90+'0402'!G90+'0403'!G90+'405'!G90+'0406'!G90+'0409'!G90+'410-sahara'!G90+'414-Al ghurair'!G90+'415'!G90+'Al Foah_418'!G90+Rak_417!G90+D.C.!G90+'Wafi _419'!G90</f>
        <v>36964.996666666666</v>
      </c>
      <c r="H90" s="68">
        <f>G90/G12</f>
        <v>2.6226956165430145E-3</v>
      </c>
      <c r="I90" s="295">
        <f>'0401'!I90+'0402'!I90+'0403'!I90+'405'!I90+'0406'!I90+'0409'!I90+'410-sahara'!I90+'414-Al ghurair'!I90+'415'!I90+'Al Foah_418'!I90+Rak_417!I90+D.C.!I90+'Wafi _419'!I90</f>
        <v>36964.996666666666</v>
      </c>
      <c r="J90" s="68">
        <f>I90/I12</f>
        <v>2.97022948746408E-3</v>
      </c>
      <c r="K90" s="295">
        <f>'0401'!K90+'0402'!K90+'0403'!K90+'405'!K90+'0406'!K90+'0409'!K90+'410-sahara'!K90+'414-Al ghurair'!K90+'415'!K90+'Al Foah_418'!K90+Rak_417!K90+D.C.!K90+'Wafi _419'!K90</f>
        <v>36964.996666666666</v>
      </c>
      <c r="L90" s="68">
        <f>K90/K12</f>
        <v>3.2475655554986458E-3</v>
      </c>
      <c r="M90" s="295">
        <f>'0401'!M90+'0402'!M90+'0403'!M90+'405'!M90+'0406'!M90+'0409'!M90+'410-sahara'!M90+'414-Al ghurair'!M90+'415'!M90+'Al Foah_418'!M90+Rak_417!M90+D.C.!M90+'Wafi _419'!M90</f>
        <v>36964.996666666666</v>
      </c>
      <c r="N90" s="68">
        <f>M90/M12</f>
        <v>2.2902660111706464E-3</v>
      </c>
      <c r="O90" s="295">
        <f>'0401'!O90+'0402'!O90+'0403'!O90+'405'!O90+'0406'!O90+'0409'!O90+'410-sahara'!O90+'414-Al ghurair'!O90+'415'!O90+'Al Foah_418'!O90+Rak_417!O90+D.C.!O90+'Wafi _419'!O90</f>
        <v>36964.996666666666</v>
      </c>
      <c r="P90" s="68">
        <f>O90/O12</f>
        <v>3.6174820289736633E-3</v>
      </c>
      <c r="Q90" s="295">
        <f>'0401'!Q90+'0402'!Q90+'0403'!Q90+'405'!Q90+'0406'!Q90+'0409'!Q90+'410-sahara'!Q90+'414-Al ghurair'!Q90+'415'!Q90+'Al Foah_418'!Q90+Rak_417!Q90+D.C.!Q90+'Wafi _419'!Q90</f>
        <v>36964.996666666666</v>
      </c>
      <c r="R90" s="68">
        <f>Q90/Q12</f>
        <v>2.9132386453530304E-3</v>
      </c>
      <c r="S90" s="295">
        <f>'0401'!S90+'0402'!S90+'0403'!S90+'405'!S90+'0406'!S90+'0409'!S90+'410-sahara'!S90+'414-Al ghurair'!S90+'415'!S90+'Al Foah_418'!S90+Rak_417!S90+D.C.!S90+'Wafi _419'!S90</f>
        <v>36964.996666666666</v>
      </c>
      <c r="T90" s="68">
        <f>S90/S12</f>
        <v>2.891898449648718E-3</v>
      </c>
      <c r="U90" s="295">
        <f>'0401'!U90+'0402'!U90+'0403'!U90+'405'!U90+'0406'!U90+'0409'!U90+'410-sahara'!U90+'414-Al ghurair'!U90+'415'!U90+'Al Foah_418'!U90+Rak_417!U90+D.C.!U90+'Wafi _419'!U90</f>
        <v>36964.996666666666</v>
      </c>
      <c r="V90" s="68">
        <f>U90/U12</f>
        <v>3.6458329370298581E-3</v>
      </c>
      <c r="W90" s="295">
        <f>'0401'!W90+'0402'!W90+'0403'!W90+'405'!W90+'0406'!W90+'0409'!W90+'410-sahara'!W90+'414-Al ghurair'!W90+'415'!W90+'Al Foah_418'!W90+Rak_417!W90+D.C.!W90+'Wafi _419'!W90</f>
        <v>36964.996666666666</v>
      </c>
      <c r="X90" s="68">
        <f>W90/W12</f>
        <v>3.5833341100857063E-3</v>
      </c>
      <c r="Y90" s="295">
        <f>'0401'!Y90+'0402'!Y90+'0403'!Y90+'405'!Y90+'0406'!Y90+'0409'!Y90+'410-sahara'!Y90+'414-Al ghurair'!Y90+'415'!Y90+'Al Foah_418'!Y90+Rak_417!Y90+D.C.!Y90+'Wafi _419'!Y90</f>
        <v>36964.996666666666</v>
      </c>
      <c r="Z90" s="68">
        <f>Y90/Y12</f>
        <v>2.3720266970017438E-3</v>
      </c>
      <c r="AA90" s="382">
        <f t="shared" si="64"/>
        <v>443579.9599999999</v>
      </c>
      <c r="AB90" s="147">
        <f>AA90/AA12</f>
        <v>3.0547951790986429E-3</v>
      </c>
      <c r="AC90" s="128">
        <f t="shared" si="65"/>
        <v>36964.996666666659</v>
      </c>
      <c r="AD90" s="131">
        <f>AC90/AC12</f>
        <v>3.0547951790986429E-3</v>
      </c>
      <c r="AE90" s="84">
        <f t="shared" si="60"/>
        <v>443579.9599999999</v>
      </c>
      <c r="AF90" s="33" t="e">
        <f>#REF!+'0401'!#REF!+'0402'!#REF!+'0403'!#REF!+#REF!+'405'!#REF!+'0406'!#REF!+D.C.!#REF!+#REF!+#REF!+'0409'!#REF!</f>
        <v>#REF!</v>
      </c>
      <c r="AG90" s="33" t="e">
        <f t="shared" si="61"/>
        <v>#REF!</v>
      </c>
      <c r="AH90" s="84">
        <f t="shared" si="62"/>
        <v>0</v>
      </c>
      <c r="AI90" s="33">
        <f>'0401'!AA90+'0402'!AA90+'0403'!AA90+'405'!AA90+'0406'!AA90+'0409'!AA90+'410-sahara'!AA90+'414-Al ghurair'!AA90+'415'!AA90+'Al Foah_418'!AA90+Rak_417!AA90+D.C.!AA90</f>
        <v>386619.96</v>
      </c>
      <c r="AJ90" s="84">
        <f t="shared" si="63"/>
        <v>56959.999999999884</v>
      </c>
    </row>
    <row r="91" spans="1:36" customFormat="1">
      <c r="A91" s="2">
        <v>6215</v>
      </c>
      <c r="B91" s="2" t="s">
        <v>35</v>
      </c>
      <c r="C91" s="295">
        <f>'0401'!C91+'0402'!C91+'0403'!C91+'405'!C91+'0406'!C91+'0409'!C91+'410-sahara'!C91+'414-Al ghurair'!C91+'415'!C91+'Al Foah_418'!C91+Rak_417!C91+D.C.!C91+'Wafi _419'!C91</f>
        <v>0</v>
      </c>
      <c r="D91" s="68">
        <f>C91/C12</f>
        <v>0</v>
      </c>
      <c r="E91" s="295">
        <f>'0401'!E91+'0402'!E91+'0403'!E91+'405'!E91+'0406'!E91+'0409'!E91+'410-sahara'!E91+'414-Al ghurair'!E91+'415'!E91+'Al Foah_418'!E91+Rak_417!E91+D.C.!E91+'Wafi _419'!E91</f>
        <v>0</v>
      </c>
      <c r="F91" s="68">
        <f>E91/E12</f>
        <v>0</v>
      </c>
      <c r="G91" s="295">
        <f>'0401'!G91+'0402'!G91+'0403'!G91+'405'!G91+'0406'!G91+'0409'!G91+'410-sahara'!G91+'414-Al ghurair'!G91+'415'!G91+'Al Foah_418'!G91+Rak_417!G91+D.C.!G91+'Wafi _419'!G91</f>
        <v>0</v>
      </c>
      <c r="H91" s="68">
        <f>G91/G12</f>
        <v>0</v>
      </c>
      <c r="I91" s="295">
        <f>'0401'!I91+'0402'!I91+'0403'!I91+'405'!I91+'0406'!I91+'0409'!I91+'410-sahara'!I91+'414-Al ghurair'!I91+'415'!I91+'Al Foah_418'!I91+Rak_417!I91+D.C.!I91+'Wafi _419'!I91</f>
        <v>0</v>
      </c>
      <c r="J91" s="68">
        <f>I91/I12</f>
        <v>0</v>
      </c>
      <c r="K91" s="295">
        <f>'0401'!K91+'0402'!K91+'0403'!K91+'405'!K91+'0406'!K91+'0409'!K91+'410-sahara'!K91+'414-Al ghurair'!K91+'415'!K91+'Al Foah_418'!K91+Rak_417!K91+D.C.!K91+'Wafi _419'!K91</f>
        <v>0</v>
      </c>
      <c r="L91" s="68">
        <f>K91/K12</f>
        <v>0</v>
      </c>
      <c r="M91" s="295">
        <f>'0401'!M91+'0402'!M91+'0403'!M91+'405'!M91+'0406'!M91+'0409'!M91+'410-sahara'!M91+'414-Al ghurair'!M91+'415'!M91+'Al Foah_418'!M91+Rak_417!M91+D.C.!M91+'Wafi _419'!M91</f>
        <v>0</v>
      </c>
      <c r="N91" s="68">
        <f>M91/M12</f>
        <v>0</v>
      </c>
      <c r="O91" s="295">
        <f>'0401'!O91+'0402'!O91+'0403'!O91+'405'!O91+'0406'!O91+'0409'!O91+'410-sahara'!O91+'414-Al ghurair'!O91+'415'!O91+'Al Foah_418'!O91+Rak_417!O91+D.C.!O91+'Wafi _419'!O91</f>
        <v>0</v>
      </c>
      <c r="P91" s="68">
        <f>O91/O12</f>
        <v>0</v>
      </c>
      <c r="Q91" s="295">
        <f>'0401'!Q91+'0402'!Q91+'0403'!Q91+'405'!Q91+'0406'!Q91+'0409'!Q91+'410-sahara'!Q91+'414-Al ghurair'!Q91+'415'!Q91+'Al Foah_418'!Q91+Rak_417!Q91+D.C.!Q91+'Wafi _419'!Q91</f>
        <v>0</v>
      </c>
      <c r="R91" s="68">
        <f>Q91/Q12</f>
        <v>0</v>
      </c>
      <c r="S91" s="295">
        <f>'0401'!S91+'0402'!S91+'0403'!S91+'405'!S91+'0406'!S91+'0409'!S91+'410-sahara'!S91+'414-Al ghurair'!S91+'415'!S91+'Al Foah_418'!S91+Rak_417!S91+D.C.!S91+'Wafi _419'!S91</f>
        <v>0</v>
      </c>
      <c r="T91" s="68">
        <f>S91/S12</f>
        <v>0</v>
      </c>
      <c r="U91" s="295">
        <f>'0401'!U91+'0402'!U91+'0403'!U91+'405'!U91+'0406'!U91+'0409'!U91+'410-sahara'!U91+'414-Al ghurair'!U91+'415'!U91+'Al Foah_418'!U91+Rak_417!U91+D.C.!U91+'Wafi _419'!U91</f>
        <v>0</v>
      </c>
      <c r="V91" s="68">
        <f>U91/U12</f>
        <v>0</v>
      </c>
      <c r="W91" s="295">
        <f>'0401'!W91+'0402'!W91+'0403'!W91+'405'!W91+'0406'!W91+'0409'!W91+'410-sahara'!W91+'414-Al ghurair'!W91+'415'!W91+'Al Foah_418'!W91+Rak_417!W91+D.C.!W91+'Wafi _419'!W91</f>
        <v>0</v>
      </c>
      <c r="X91" s="68">
        <f>W91/W12</f>
        <v>0</v>
      </c>
      <c r="Y91" s="295">
        <f>'0401'!Y91+'0402'!Y91+'0403'!Y91+'405'!Y91+'0406'!Y91+'0409'!Y91+'410-sahara'!Y91+'414-Al ghurair'!Y91+'415'!Y91+'Al Foah_418'!Y91+Rak_417!Y91+D.C.!Y91+'Wafi _419'!Y91</f>
        <v>0</v>
      </c>
      <c r="Z91" s="68">
        <f>Y91/Y12</f>
        <v>0</v>
      </c>
      <c r="AA91" s="382">
        <f t="shared" si="64"/>
        <v>0</v>
      </c>
      <c r="AB91" s="147">
        <f>AA91/AA12</f>
        <v>0</v>
      </c>
      <c r="AC91" s="128">
        <f t="shared" si="65"/>
        <v>0</v>
      </c>
      <c r="AD91" s="131">
        <f>AC91/AC12</f>
        <v>0</v>
      </c>
      <c r="AE91" s="84">
        <f t="shared" si="60"/>
        <v>0</v>
      </c>
      <c r="AF91" s="33" t="e">
        <f>#REF!+'0401'!#REF!+'0402'!#REF!+'0403'!#REF!+#REF!+'405'!#REF!+'0406'!#REF!+D.C.!#REF!+#REF!+#REF!+'0409'!#REF!</f>
        <v>#REF!</v>
      </c>
      <c r="AG91" s="33" t="e">
        <f t="shared" si="61"/>
        <v>#REF!</v>
      </c>
      <c r="AH91" s="84">
        <f t="shared" si="62"/>
        <v>0</v>
      </c>
      <c r="AI91" s="33">
        <f>'0401'!AA91+'0402'!AA91+'0403'!AA91+'405'!AA91+'0406'!AA91+'0409'!AA91+'410-sahara'!AA91+'414-Al ghurair'!AA91+'415'!AA91+'Al Foah_418'!AA91+Rak_417!AA91+D.C.!AA91</f>
        <v>0</v>
      </c>
      <c r="AJ91" s="84">
        <f t="shared" si="63"/>
        <v>0</v>
      </c>
    </row>
    <row r="92" spans="1:36" customFormat="1">
      <c r="A92" s="2">
        <v>6216</v>
      </c>
      <c r="B92" s="2" t="s">
        <v>91</v>
      </c>
      <c r="C92" s="295">
        <f>'0401'!C92+'0402'!C92+'0403'!C92+'405'!C92+'0406'!C92+'0409'!C92+'410-sahara'!C92+'414-Al ghurair'!C92+'415'!C92+'Al Foah_418'!C92+Rak_417!C92+D.C.!C92+'Wafi _419'!C92</f>
        <v>0</v>
      </c>
      <c r="D92" s="68"/>
      <c r="E92" s="295">
        <f>'0401'!E92+'0402'!E92+'0403'!E92+'405'!E92+'0406'!E92+'0409'!E92+'410-sahara'!E92+'414-Al ghurair'!E92+'415'!E92+'Al Foah_418'!E92+Rak_417!E92+D.C.!E92+'Wafi _419'!E92</f>
        <v>0</v>
      </c>
      <c r="F92" s="68"/>
      <c r="G92" s="295">
        <f>'0401'!G92+'0402'!G92+'0403'!G92+'405'!G92+'0406'!G92+'0409'!G92+'410-sahara'!G92+'414-Al ghurair'!G92+'415'!G92+'Al Foah_418'!G92+Rak_417!G92+D.C.!G92+'Wafi _419'!G92</f>
        <v>0</v>
      </c>
      <c r="H92" s="68"/>
      <c r="I92" s="295">
        <f>'0401'!I92+'0402'!I92+'0403'!I92+'405'!I92+'0406'!I92+'0409'!I92+'410-sahara'!I92+'414-Al ghurair'!I92+'415'!I92+'Al Foah_418'!I92+Rak_417!I92+D.C.!I92+'Wafi _419'!I92</f>
        <v>0</v>
      </c>
      <c r="J92" s="68"/>
      <c r="K92" s="295">
        <f>'0401'!K92+'0402'!K92+'0403'!K92+'405'!K92+'0406'!K92+'0409'!K92+'410-sahara'!K92+'414-Al ghurair'!K92+'415'!K92+'Al Foah_418'!K92+Rak_417!K92+D.C.!K92+'Wafi _419'!K92</f>
        <v>0</v>
      </c>
      <c r="L92" s="68"/>
      <c r="M92" s="295">
        <f>'0401'!M92+'0402'!M92+'0403'!M92+'405'!M92+'0406'!M92+'0409'!M92+'410-sahara'!M92+'414-Al ghurair'!M92+'415'!M92+'Al Foah_418'!M92+Rak_417!M92+D.C.!M92+'Wafi _419'!M92</f>
        <v>0</v>
      </c>
      <c r="N92" s="68"/>
      <c r="O92" s="295">
        <f>'0401'!O92+'0402'!O92+'0403'!O92+'405'!O92+'0406'!O92+'0409'!O92+'410-sahara'!O92+'414-Al ghurair'!O92+'415'!O92+'Al Foah_418'!O92+Rak_417!O92+D.C.!O92+'Wafi _419'!O92</f>
        <v>0</v>
      </c>
      <c r="P92" s="68"/>
      <c r="Q92" s="295">
        <f>'0401'!Q92+'0402'!Q92+'0403'!Q92+'405'!Q92+'0406'!Q92+'0409'!Q92+'410-sahara'!Q92+'414-Al ghurair'!Q92+'415'!Q92+'Al Foah_418'!Q92+Rak_417!Q92+D.C.!Q92+'Wafi _419'!Q92</f>
        <v>0</v>
      </c>
      <c r="R92" s="68"/>
      <c r="S92" s="295">
        <f>'0401'!S92+'0402'!S92+'0403'!S92+'405'!S92+'0406'!S92+'0409'!S92+'410-sahara'!S92+'414-Al ghurair'!S92+'415'!S92+'Al Foah_418'!S92+Rak_417!S92+D.C.!S92+'Wafi _419'!S92</f>
        <v>0</v>
      </c>
      <c r="T92" s="68"/>
      <c r="U92" s="295">
        <f>'0401'!U92+'0402'!U92+'0403'!U92+'405'!U92+'0406'!U92+'0409'!U92+'410-sahara'!U92+'414-Al ghurair'!U92+'415'!U92+'Al Foah_418'!U92+Rak_417!U92+D.C.!U92+'Wafi _419'!U92</f>
        <v>0</v>
      </c>
      <c r="V92" s="68"/>
      <c r="W92" s="295">
        <f>'0401'!W92+'0402'!W92+'0403'!W92+'405'!W92+'0406'!W92+'0409'!W92+'410-sahara'!W92+'414-Al ghurair'!W92+'415'!W92+'Al Foah_418'!W92+Rak_417!W92+D.C.!W92+'Wafi _419'!W92</f>
        <v>0</v>
      </c>
      <c r="X92" s="68"/>
      <c r="Y92" s="295">
        <f>'0401'!Y92+'0402'!Y92+'0403'!Y92+'405'!Y92+'0406'!Y92+'0409'!Y92+'410-sahara'!Y92+'414-Al ghurair'!Y92+'415'!Y92+'Al Foah_418'!Y92+Rak_417!Y92+D.C.!Y92+'Wafi _419'!Y92</f>
        <v>0</v>
      </c>
      <c r="Z92" s="68"/>
      <c r="AA92" s="382">
        <f t="shared" si="64"/>
        <v>0</v>
      </c>
      <c r="AB92" s="147"/>
      <c r="AC92" s="128">
        <f t="shared" si="65"/>
        <v>0</v>
      </c>
      <c r="AD92" s="131"/>
      <c r="AE92" s="84">
        <f t="shared" si="60"/>
        <v>0</v>
      </c>
      <c r="AF92" s="33" t="e">
        <f>#REF!+'0401'!#REF!+'0402'!#REF!+'0403'!#REF!+#REF!+'405'!#REF!+'0406'!#REF!+D.C.!#REF!+#REF!+#REF!+'0409'!#REF!</f>
        <v>#REF!</v>
      </c>
      <c r="AG92" s="33" t="e">
        <f t="shared" si="61"/>
        <v>#REF!</v>
      </c>
      <c r="AH92" s="84">
        <f t="shared" si="62"/>
        <v>0</v>
      </c>
      <c r="AI92" s="33">
        <f>'0401'!AA92+'0402'!AA92+'0403'!AA92+'405'!AA92+'0406'!AA92+'0409'!AA92+'410-sahara'!AA92+'414-Al ghurair'!AA92+'415'!AA92+'Al Foah_418'!AA92+Rak_417!AA92+D.C.!AA92</f>
        <v>0</v>
      </c>
      <c r="AJ92" s="84">
        <f t="shared" si="63"/>
        <v>0</v>
      </c>
    </row>
    <row r="93" spans="1:36" customFormat="1" ht="15.75" thickBot="1">
      <c r="A93" s="333">
        <v>6299</v>
      </c>
      <c r="B93" s="333" t="s">
        <v>100</v>
      </c>
      <c r="C93" s="350">
        <f>'0401'!C93+'0402'!C93+'0403'!C93+'405'!C93+'0406'!C93+'0409'!C93+'410-sahara'!C93+'414-Al ghurair'!C93+'415'!C93+'Al Foah_418'!C93+Rak_417!C93+D.C.!C93+'Wafi _419'!C93</f>
        <v>1336197.6032876715</v>
      </c>
      <c r="D93" s="351">
        <f>C93/C12</f>
        <v>0.12234789950954572</v>
      </c>
      <c r="E93" s="350">
        <f>'0401'!E93+'0402'!E93+'0403'!E93+'405'!E93+'0406'!E93+'0409'!E93+'410-sahara'!E93+'414-Al ghurair'!E93+'415'!E93+'Al Foah_418'!E93+Rak_417!E93+D.C.!E93+'Wafi _419'!E93</f>
        <v>1336197.6032876715</v>
      </c>
      <c r="F93" s="351">
        <f>E93/E12</f>
        <v>0.15725919915703274</v>
      </c>
      <c r="G93" s="350">
        <f>'0401'!G93+'0402'!G93+'0403'!G93+'405'!G93+'0406'!G93+'0409'!G93+'410-sahara'!G93+'414-Al ghurair'!G93+'415'!G93+'Al Foah_418'!G93+Rak_417!G93+D.C.!G93+'Wafi _419'!G93</f>
        <v>1336197.6032876715</v>
      </c>
      <c r="H93" s="351">
        <f>G93/G12</f>
        <v>9.4804271959748346E-2</v>
      </c>
      <c r="I93" s="350">
        <f>'0401'!I93+'0402'!I93+'0403'!I93+'405'!I93+'0406'!I93+'0409'!I93+'410-sahara'!I93+'414-Al ghurair'!I93+'415'!I93+'Al Foah_418'!I93+Rak_417!I93+D.C.!I93+'Wafi _419'!I93</f>
        <v>1336197.6032876715</v>
      </c>
      <c r="J93" s="351">
        <f>I93/I12</f>
        <v>0.10736680319905902</v>
      </c>
      <c r="K93" s="350">
        <f>'0401'!K93+'0402'!K93+'0403'!K93+'405'!K93+'0406'!K93+'0409'!K93+'410-sahara'!K93+'414-Al ghurair'!K93+'415'!K93+'Al Foah_418'!K93+Rak_417!K93+D.C.!K93+'Wafi _419'!K93</f>
        <v>1336197.6032876715</v>
      </c>
      <c r="L93" s="351">
        <f>K93/K12</f>
        <v>0.1173918491297998</v>
      </c>
      <c r="M93" s="350">
        <f>'0401'!M93+'0402'!M93+'0403'!M93+'405'!M93+'0406'!M93+'0409'!M93+'410-sahara'!M93+'414-Al ghurair'!M93+'415'!M93+'Al Foah_418'!M93+Rak_417!M93+D.C.!M93+'Wafi _419'!M93</f>
        <v>1336197.6032876715</v>
      </c>
      <c r="N93" s="351">
        <f>M93/M12</f>
        <v>8.2787724360246562E-2</v>
      </c>
      <c r="O93" s="350">
        <f>'0401'!O93+'0402'!O93+'0403'!O93+'405'!O93+'0406'!O93+'0409'!O93+'410-sahara'!O93+'414-Al ghurair'!O93+'415'!O93+'Al Foah_418'!O93+Rak_417!O93+D.C.!O93+'Wafi _419'!O93</f>
        <v>1336197.6032876715</v>
      </c>
      <c r="P93" s="351">
        <f>O93/O12</f>
        <v>0.13076345875636489</v>
      </c>
      <c r="Q93" s="350">
        <f>'0401'!Q93+'0402'!Q93+'0403'!Q93+'405'!Q93+'0406'!Q93+'0409'!Q93+'410-sahara'!Q93+'414-Al ghurair'!Q93+'415'!Q93+'Al Foah_418'!Q93+Rak_417!Q93+D.C.!Q93+'Wafi _419'!Q93</f>
        <v>1336197.6032876715</v>
      </c>
      <c r="R93" s="351">
        <f>Q93/Q12</f>
        <v>0.10530671842954516</v>
      </c>
      <c r="S93" s="350">
        <f>'0401'!S93+'0402'!S93+'0403'!S93+'405'!S93+'0406'!S93+'0409'!S93+'410-sahara'!S93+'414-Al ghurair'!S93+'415'!S93+'Al Foah_418'!S93+Rak_417!S93+D.C.!S93+'Wafi _419'!S93</f>
        <v>1336197.6032876715</v>
      </c>
      <c r="T93" s="351">
        <f>S93/S12</f>
        <v>0.10453532059578029</v>
      </c>
      <c r="U93" s="350">
        <f>'0401'!U93+'0402'!U93+'0403'!U93+'405'!U93+'0406'!U93+'0409'!U93+'410-sahara'!U93+'414-Al ghurair'!U93+'415'!U93+'Al Foah_418'!U93+Rak_417!U93+D.C.!U93+'Wafi _419'!U93</f>
        <v>1336197.6032876715</v>
      </c>
      <c r="V93" s="351">
        <f>U93/U12</f>
        <v>0.13178827733642112</v>
      </c>
      <c r="W93" s="350">
        <f>'0401'!W93+'0402'!W93+'0403'!W93+'405'!W93+'0406'!W93+'0409'!W93+'410-sahara'!W93+'414-Al ghurair'!W93+'415'!W93+'Al Foah_418'!W93+Rak_417!W93+D.C.!W93+'Wafi _419'!W93</f>
        <v>1336197.6032876715</v>
      </c>
      <c r="X93" s="351">
        <f>W93/W12</f>
        <v>0.12952909188256786</v>
      </c>
      <c r="Y93" s="350">
        <f>'0401'!Y93+'0402'!Y93+'0403'!Y93+'405'!Y93+'0406'!Y93+'0409'!Y93+'410-sahara'!Y93+'414-Al ghurair'!Y93+'415'!Y93+'Al Foah_418'!Y93+Rak_417!Y93+D.C.!Y93+'Wafi _419'!Y93</f>
        <v>1336197.6032876715</v>
      </c>
      <c r="Z93" s="351">
        <f>Y93/Y12</f>
        <v>8.5743180664918275E-2</v>
      </c>
      <c r="AA93" s="350">
        <f t="shared" si="64"/>
        <v>16034371.239452055</v>
      </c>
      <c r="AB93" s="351">
        <f>AA93/AA12</f>
        <v>0.11042365385973721</v>
      </c>
      <c r="AC93" s="352">
        <f t="shared" si="65"/>
        <v>1336197.6032876712</v>
      </c>
      <c r="AD93" s="351">
        <f>AC93/AC12</f>
        <v>0.11042365385973722</v>
      </c>
      <c r="AE93" s="84">
        <f t="shared" si="60"/>
        <v>16034371.239452055</v>
      </c>
      <c r="AF93" s="33" t="e">
        <f>#REF!+'0401'!#REF!+'0402'!#REF!+'0403'!#REF!+#REF!+'405'!#REF!+'0406'!#REF!+D.C.!#REF!+#REF!+#REF!+'0409'!#REF!</f>
        <v>#REF!</v>
      </c>
      <c r="AG93" s="33" t="e">
        <f t="shared" si="61"/>
        <v>#REF!</v>
      </c>
      <c r="AH93" s="84">
        <f t="shared" si="62"/>
        <v>0</v>
      </c>
      <c r="AI93" s="33">
        <f>'0401'!AA93+'0402'!AA93+'0403'!AA93+'405'!AA93+'0406'!AA93+'0409'!AA93+'410-sahara'!AA93+'414-Al ghurair'!AA93+'415'!AA93+'Al Foah_418'!AA93+Rak_417!AA93+D.C.!AA93</f>
        <v>14673427.694246575</v>
      </c>
      <c r="AJ93" s="84">
        <f t="shared" si="63"/>
        <v>1360943.5452054795</v>
      </c>
    </row>
    <row r="94" spans="1:36" customFormat="1" ht="15.75" thickTop="1">
      <c r="A94" s="2">
        <v>6301</v>
      </c>
      <c r="B94" s="2" t="s">
        <v>36</v>
      </c>
      <c r="C94" s="463">
        <f>'0401'!C94+'0402'!C94+'0403'!C94+'405'!C94+'0406'!C94+'0409'!C94+'410-sahara'!C94+'414-Al ghurair'!C94+'415'!C94+'Al Foah_418'!C94+Rak_417!C94+D.C.!C94+'Wafi _419'!C94</f>
        <v>0</v>
      </c>
      <c r="D94" s="467">
        <f>C94/C12</f>
        <v>0</v>
      </c>
      <c r="E94" s="463">
        <f>'0401'!E94+'0402'!E94+'0403'!E94+'405'!E94+'0406'!E94+'0409'!E94+'410-sahara'!E94+'414-Al ghurair'!E94+'415'!E94+'Al Foah_418'!E94+Rak_417!E94+D.C.!E94+'Wafi _419'!E94</f>
        <v>0</v>
      </c>
      <c r="F94" s="467">
        <f>E94/E12</f>
        <v>0</v>
      </c>
      <c r="G94" s="463">
        <f>'0401'!G94+'0402'!G94+'0403'!G94+'405'!G94+'0406'!G94+'0409'!G94+'410-sahara'!G94+'414-Al ghurair'!G94+'415'!G94+'Al Foah_418'!G94+Rak_417!G94+D.C.!G94+'Wafi _419'!G94</f>
        <v>0</v>
      </c>
      <c r="H94" s="467">
        <f>G94/G12</f>
        <v>0</v>
      </c>
      <c r="I94" s="463">
        <f>'0401'!I94+'0402'!I94+'0403'!I94+'405'!I94+'0406'!I94+'0409'!I94+'410-sahara'!I94+'414-Al ghurair'!I94+'415'!I94+'Al Foah_418'!I94+Rak_417!I94+D.C.!I94+'Wafi _419'!I94</f>
        <v>0</v>
      </c>
      <c r="J94" s="467">
        <f>I94/I12</f>
        <v>0</v>
      </c>
      <c r="K94" s="463">
        <f>'0401'!K94+'0402'!K94+'0403'!K94+'405'!K94+'0406'!K94+'0409'!K94+'410-sahara'!K94+'414-Al ghurair'!K94+'415'!K94+'Al Foah_418'!K94+Rak_417!K94+D.C.!K94+'Wafi _419'!K94</f>
        <v>0</v>
      </c>
      <c r="L94" s="467">
        <f>K94/K12</f>
        <v>0</v>
      </c>
      <c r="M94" s="463">
        <f>'0401'!M94+'0402'!M94+'0403'!M94+'405'!M94+'0406'!M94+'0409'!M94+'410-sahara'!M94+'414-Al ghurair'!M94+'415'!M94+'Al Foah_418'!M94+Rak_417!M94+D.C.!M94+'Wafi _419'!M94</f>
        <v>0</v>
      </c>
      <c r="N94" s="467">
        <f>M94/M12</f>
        <v>0</v>
      </c>
      <c r="O94" s="463">
        <f>'0401'!O94+'0402'!O94+'0403'!O94+'405'!O94+'0406'!O94+'0409'!O94+'410-sahara'!O94+'414-Al ghurair'!O94+'415'!O94+'Al Foah_418'!O94+Rak_417!O94+D.C.!O94+'Wafi _419'!O94</f>
        <v>0</v>
      </c>
      <c r="P94" s="467">
        <f>O94/O12</f>
        <v>0</v>
      </c>
      <c r="Q94" s="463">
        <f>'0401'!Q94+'0402'!Q94+'0403'!Q94+'405'!Q94+'0406'!Q94+'0409'!Q94+'410-sahara'!Q94+'414-Al ghurair'!Q94+'415'!Q94+'Al Foah_418'!Q94+Rak_417!Q94+D.C.!Q94+'Wafi _419'!Q94</f>
        <v>0</v>
      </c>
      <c r="R94" s="467">
        <f>Q94/Q12</f>
        <v>0</v>
      </c>
      <c r="S94" s="463">
        <f>'0401'!S94+'0402'!S94+'0403'!S94+'405'!S94+'0406'!S94+'0409'!S94+'410-sahara'!S94+'414-Al ghurair'!S94+'415'!S94+'Al Foah_418'!S94+Rak_417!S94+D.C.!S94+'Wafi _419'!S94</f>
        <v>0</v>
      </c>
      <c r="T94" s="467">
        <f>S94/S12</f>
        <v>0</v>
      </c>
      <c r="U94" s="463">
        <f>'0401'!U94+'0402'!U94+'0403'!U94+'405'!U94+'0406'!U94+'0409'!U94+'410-sahara'!U94+'414-Al ghurair'!U94+'415'!U94+'Al Foah_418'!U94+Rak_417!U94+D.C.!U94+'Wafi _419'!U94</f>
        <v>0</v>
      </c>
      <c r="V94" s="467">
        <f>U94/U12</f>
        <v>0</v>
      </c>
      <c r="W94" s="463">
        <f>'0401'!W94+'0402'!W94+'0403'!W94+'405'!W94+'0406'!W94+'0409'!W94+'410-sahara'!W94+'414-Al ghurair'!W94+'415'!W94+'Al Foah_418'!W94+Rak_417!W94+D.C.!W94+'Wafi _419'!W94</f>
        <v>0</v>
      </c>
      <c r="X94" s="467">
        <f>W94/W12</f>
        <v>0</v>
      </c>
      <c r="Y94" s="463">
        <f>'0401'!Y94+'0402'!Y94+'0403'!Y94+'405'!Y94+'0406'!Y94+'0409'!Y94+'410-sahara'!Y94+'414-Al ghurair'!Y94+'415'!Y94+'Al Foah_418'!Y94+Rak_417!Y94+D.C.!Y94+'Wafi _419'!Y94</f>
        <v>0</v>
      </c>
      <c r="Z94" s="467">
        <f>Y94/Y12</f>
        <v>0</v>
      </c>
      <c r="AA94" s="745">
        <f t="shared" si="64"/>
        <v>0</v>
      </c>
      <c r="AB94" s="746">
        <f>AA94/AA12</f>
        <v>0</v>
      </c>
      <c r="AC94" s="472">
        <f t="shared" si="65"/>
        <v>0</v>
      </c>
      <c r="AD94" s="747">
        <f>AC94/AC12</f>
        <v>0</v>
      </c>
      <c r="AE94" s="84">
        <f t="shared" si="60"/>
        <v>0</v>
      </c>
      <c r="AF94" s="33" t="e">
        <f>#REF!+'0401'!#REF!+'0402'!#REF!+'0403'!#REF!+#REF!+'405'!#REF!+'0406'!#REF!+D.C.!#REF!+#REF!+#REF!+'0409'!#REF!</f>
        <v>#REF!</v>
      </c>
      <c r="AG94" s="33" t="e">
        <f t="shared" si="61"/>
        <v>#REF!</v>
      </c>
      <c r="AH94" s="84">
        <f t="shared" si="62"/>
        <v>0</v>
      </c>
      <c r="AI94" s="33">
        <f>'0401'!AA94+'0402'!AA94+'0403'!AA94+'405'!AA94+'0406'!AA94+'0409'!AA94+'410-sahara'!AA94+'414-Al ghurair'!AA94+'415'!AA94+'Al Foah_418'!AA94+Rak_417!AA94+D.C.!AA94</f>
        <v>0</v>
      </c>
      <c r="AJ94" s="84">
        <f t="shared" si="63"/>
        <v>0</v>
      </c>
    </row>
    <row r="95" spans="1:36" customFormat="1">
      <c r="A95" s="2">
        <v>6302</v>
      </c>
      <c r="B95" s="2" t="s">
        <v>37</v>
      </c>
      <c r="C95" s="463">
        <f>'0401'!C95+'0402'!C95+'0403'!C95+'405'!C95+'0406'!C95+'0409'!C95+'410-sahara'!C95+'414-Al ghurair'!C95+'415'!C95+'Al Foah_418'!C95+Rak_417!C95+D.C.!C95+'Wafi _419'!C95</f>
        <v>13865</v>
      </c>
      <c r="D95" s="467">
        <f>C95/C12</f>
        <v>1.2695379953728606E-3</v>
      </c>
      <c r="E95" s="463">
        <f>'0401'!E95+'0402'!E95+'0403'!E95+'405'!E95+'0406'!E95+'0409'!E95+'410-sahara'!E95+'414-Al ghurair'!E95+'415'!E95+'Al Foah_418'!E95+Rak_417!E95+D.C.!E95+'Wafi _419'!E95</f>
        <v>13865</v>
      </c>
      <c r="F95" s="467">
        <f>E95/E12</f>
        <v>1.6317936740400203E-3</v>
      </c>
      <c r="G95" s="463">
        <f>'0401'!G95+'0402'!G95+'0403'!G95+'405'!G95+'0406'!G95+'0409'!G95+'410-sahara'!G95+'414-Al ghurair'!G95+'415'!G95+'Al Foah_418'!G95+Rak_417!G95+D.C.!G95+'Wafi _419'!G95</f>
        <v>14280.916666666666</v>
      </c>
      <c r="H95" s="467">
        <f>G95/G12</f>
        <v>1.0132422810592997E-3</v>
      </c>
      <c r="I95" s="463">
        <f>'0401'!I95+'0402'!I95+'0403'!I95+'405'!I95+'0406'!I95+'0409'!I95+'410-sahara'!I95+'414-Al ghurair'!I95+'415'!I95+'Al Foah_418'!I95+Rak_417!I95+D.C.!I95+'Wafi _419'!I95</f>
        <v>14280.916666666666</v>
      </c>
      <c r="J95" s="467">
        <f>I95/I12</f>
        <v>1.1475071991444493E-3</v>
      </c>
      <c r="K95" s="463">
        <f>'0401'!K95+'0402'!K95+'0403'!K95+'405'!K95+'0406'!K95+'0409'!K95+'410-sahara'!K95+'414-Al ghurair'!K95+'415'!K95+'Al Foah_418'!K95+Rak_417!K95+D.C.!K95+'Wafi _419'!K95</f>
        <v>14280.916666666666</v>
      </c>
      <c r="L95" s="467">
        <f>K95/K12</f>
        <v>1.2546521642036272E-3</v>
      </c>
      <c r="M95" s="463">
        <f>'0401'!M95+'0402'!M95+'0403'!M95+'405'!M95+'0406'!M95+'0409'!M95+'410-sahara'!M95+'414-Al ghurair'!M95+'415'!M95+'Al Foah_418'!M95+Rak_417!M95+D.C.!M95+'Wafi _419'!M95</f>
        <v>14280.916666666666</v>
      </c>
      <c r="N95" s="467">
        <f>M95/M12</f>
        <v>8.8481268766137414E-4</v>
      </c>
      <c r="O95" s="463">
        <f>'0401'!O95+'0402'!O95+'0403'!O95+'405'!O95+'0406'!O95+'0409'!O95+'410-sahara'!O95+'414-Al ghurair'!O95+'415'!O95+'Al Foah_418'!O95+Rak_417!O95+D.C.!O95+'Wafi _419'!O95</f>
        <v>14280.916666666666</v>
      </c>
      <c r="P95" s="467">
        <f>O95/O12</f>
        <v>1.3975642921002238E-3</v>
      </c>
      <c r="Q95" s="463">
        <f>'0401'!Q95+'0402'!Q95+'0403'!Q95+'405'!Q95+'0406'!Q95+'0409'!Q95+'410-sahara'!Q95+'414-Al ghurair'!Q95+'415'!Q95+'Al Foah_418'!Q95+Rak_417!Q95+D.C.!Q95+'Wafi _419'!Q95</f>
        <v>14280.916666666666</v>
      </c>
      <c r="R95" s="467">
        <f>Q95/Q12</f>
        <v>1.1254895732728642E-3</v>
      </c>
      <c r="S95" s="463">
        <f>'0401'!S95+'0402'!S95+'0403'!S95+'405'!S95+'0406'!S95+'0409'!S95+'410-sahara'!S95+'414-Al ghurair'!S95+'415'!S95+'Al Foah_418'!S95+Rak_417!S95+D.C.!S95+'Wafi _419'!S95</f>
        <v>14280.916666666666</v>
      </c>
      <c r="T95" s="467">
        <f>S95/S12</f>
        <v>1.1172450829716257E-3</v>
      </c>
      <c r="U95" s="463">
        <f>'0401'!U95+'0402'!U95+'0403'!U95+'405'!U95+'0406'!U95+'0409'!U95+'410-sahara'!U95+'414-Al ghurair'!U95+'415'!U95+'Al Foah_418'!U95+Rak_417!U95+D.C.!U95+'Wafi _419'!U95</f>
        <v>14280.916666666666</v>
      </c>
      <c r="V95" s="467">
        <f>U95/U12</f>
        <v>1.4085172744317479E-3</v>
      </c>
      <c r="W95" s="463">
        <f>'0401'!W95+'0402'!W95+'0403'!W95+'405'!W95+'0406'!W95+'0409'!W95+'410-sahara'!W95+'414-Al ghurair'!W95+'415'!W95+'Al Foah_418'!W95+Rak_417!W95+D.C.!W95+'Wafi _419'!W95</f>
        <v>14280.916666666666</v>
      </c>
      <c r="X95" s="467">
        <f>W95/W12</f>
        <v>1.3843717145821861E-3</v>
      </c>
      <c r="Y95" s="463">
        <f>'0401'!Y95+'0402'!Y95+'0403'!Y95+'405'!Y95+'0406'!Y95+'0409'!Y95+'410-sahara'!Y95+'414-Al ghurair'!Y95+'415'!Y95+'Al Foah_418'!Y95+Rak_417!Y95+D.C.!Y95+'Wafi _419'!Y95</f>
        <v>14280.916666666666</v>
      </c>
      <c r="Z95" s="467">
        <f>Y95/Y12</f>
        <v>9.1639980104575916E-4</v>
      </c>
      <c r="AA95" s="745">
        <f t="shared" si="64"/>
        <v>170539.16666666666</v>
      </c>
      <c r="AB95" s="746">
        <f>AA95/AA12</f>
        <v>1.1744494142179763E-3</v>
      </c>
      <c r="AC95" s="472">
        <f t="shared" si="65"/>
        <v>14211.597222222221</v>
      </c>
      <c r="AD95" s="747">
        <f>AC95/AC12</f>
        <v>1.1744494142179765E-3</v>
      </c>
      <c r="AE95" s="84">
        <f t="shared" si="60"/>
        <v>170539.16666666666</v>
      </c>
      <c r="AF95" s="33" t="e">
        <f>#REF!+'0401'!#REF!+'0402'!#REF!+'0403'!#REF!+#REF!+'405'!#REF!+'0406'!#REF!+D.C.!#REF!+#REF!+#REF!+'0409'!#REF!</f>
        <v>#REF!</v>
      </c>
      <c r="AG95" s="33" t="e">
        <f t="shared" si="61"/>
        <v>#REF!</v>
      </c>
      <c r="AH95" s="84">
        <f t="shared" si="62"/>
        <v>0</v>
      </c>
      <c r="AI95" s="33">
        <f>'0401'!AA95+'0402'!AA95+'0403'!AA95+'405'!AA95+'0406'!AA95+'0409'!AA95+'410-sahara'!AA95+'414-Al ghurair'!AA95+'415'!AA95+'Al Foah_418'!AA95+Rak_417!AA95+D.C.!AA95</f>
        <v>170539.16666666666</v>
      </c>
      <c r="AJ95" s="84">
        <f t="shared" si="63"/>
        <v>0</v>
      </c>
    </row>
    <row r="96" spans="1:36" customFormat="1">
      <c r="A96" s="2">
        <v>6303</v>
      </c>
      <c r="B96" s="2" t="s">
        <v>132</v>
      </c>
      <c r="C96" s="463">
        <f>'0401'!C96+'0402'!C96+'0403'!C96+'405'!C96+'0406'!C96+'0409'!C96+'410-sahara'!C96+'414-Al ghurair'!C96+'415'!C96+'Al Foah_418'!C96+Rak_417!C96+D.C.!C96+'Wafi _419'!C96</f>
        <v>0</v>
      </c>
      <c r="D96" s="467">
        <f>C96/C12</f>
        <v>0</v>
      </c>
      <c r="E96" s="463">
        <f>'0401'!E96+'0402'!E96+'0403'!E96+'405'!E96+'0406'!E96+'0409'!E96+'410-sahara'!E96+'414-Al ghurair'!E96+'415'!E96+'Al Foah_418'!E96+Rak_417!E96+D.C.!E96+'Wafi _419'!E96</f>
        <v>0</v>
      </c>
      <c r="F96" s="467">
        <f>E96/E12</f>
        <v>0</v>
      </c>
      <c r="G96" s="463">
        <f>'0401'!G96+'0402'!G96+'0403'!G96+'405'!G96+'0406'!G96+'0409'!G96+'410-sahara'!G96+'414-Al ghurair'!G96+'415'!G96+'Al Foah_418'!G96+Rak_417!G96+D.C.!G96+'Wafi _419'!G96</f>
        <v>0</v>
      </c>
      <c r="H96" s="467">
        <f>G96/G12</f>
        <v>0</v>
      </c>
      <c r="I96" s="463">
        <f>'0401'!I96+'0402'!I96+'0403'!I96+'405'!I96+'0406'!I96+'0409'!I96+'410-sahara'!I96+'414-Al ghurair'!I96+'415'!I96+'Al Foah_418'!I96+Rak_417!I96+D.C.!I96+'Wafi _419'!I96</f>
        <v>0</v>
      </c>
      <c r="J96" s="467">
        <f>I96/I12</f>
        <v>0</v>
      </c>
      <c r="K96" s="463">
        <f>'0401'!K96+'0402'!K96+'0403'!K96+'405'!K96+'0406'!K96+'0409'!K96+'410-sahara'!K96+'414-Al ghurair'!K96+'415'!K96+'Al Foah_418'!K96+Rak_417!K96+D.C.!K96+'Wafi _419'!K96</f>
        <v>0</v>
      </c>
      <c r="L96" s="467">
        <f>K96/K12</f>
        <v>0</v>
      </c>
      <c r="M96" s="463">
        <f>'0401'!M96+'0402'!M96+'0403'!M96+'405'!M96+'0406'!M96+'0409'!M96+'410-sahara'!M96+'414-Al ghurair'!M96+'415'!M96+'Al Foah_418'!M96+Rak_417!M96+D.C.!M96+'Wafi _419'!M96</f>
        <v>0</v>
      </c>
      <c r="N96" s="467">
        <f>M96/M12</f>
        <v>0</v>
      </c>
      <c r="O96" s="463">
        <f>'0401'!O96+'0402'!O96+'0403'!O96+'405'!O96+'0406'!O96+'0409'!O96+'410-sahara'!O96+'414-Al ghurair'!O96+'415'!O96+'Al Foah_418'!O96+Rak_417!O96+D.C.!O96+'Wafi _419'!O96</f>
        <v>0</v>
      </c>
      <c r="P96" s="467">
        <f>O96/O12</f>
        <v>0</v>
      </c>
      <c r="Q96" s="463">
        <f>'0401'!Q96+'0402'!Q96+'0403'!Q96+'405'!Q96+'0406'!Q96+'0409'!Q96+'410-sahara'!Q96+'414-Al ghurair'!Q96+'415'!Q96+'Al Foah_418'!Q96+Rak_417!Q96+D.C.!Q96+'Wafi _419'!Q96</f>
        <v>0</v>
      </c>
      <c r="R96" s="467">
        <f>Q96/Q12</f>
        <v>0</v>
      </c>
      <c r="S96" s="463">
        <f>'0401'!S96+'0402'!S96+'0403'!S96+'405'!S96+'0406'!S96+'0409'!S96+'410-sahara'!S96+'414-Al ghurair'!S96+'415'!S96+'Al Foah_418'!S96+Rak_417!S96+D.C.!S96+'Wafi _419'!S96</f>
        <v>0</v>
      </c>
      <c r="T96" s="467">
        <f>S96/S12</f>
        <v>0</v>
      </c>
      <c r="U96" s="463">
        <f>'0401'!U96+'0402'!U96+'0403'!U96+'405'!U96+'0406'!U96+'0409'!U96+'410-sahara'!U96+'414-Al ghurair'!U96+'415'!U96+'Al Foah_418'!U96+Rak_417!U96+D.C.!U96+'Wafi _419'!U96</f>
        <v>0</v>
      </c>
      <c r="V96" s="467">
        <f>U96/U12</f>
        <v>0</v>
      </c>
      <c r="W96" s="463">
        <f>'0401'!W96+'0402'!W96+'0403'!W96+'405'!W96+'0406'!W96+'0409'!W96+'410-sahara'!W96+'414-Al ghurair'!W96+'415'!W96+'Al Foah_418'!W96+Rak_417!W96+D.C.!W96+'Wafi _419'!W96</f>
        <v>0</v>
      </c>
      <c r="X96" s="467">
        <f>W96/W12</f>
        <v>0</v>
      </c>
      <c r="Y96" s="463">
        <f>'0401'!Y96+'0402'!Y96+'0403'!Y96+'405'!Y96+'0406'!Y96+'0409'!Y96+'410-sahara'!Y96+'414-Al ghurair'!Y96+'415'!Y96+'Al Foah_418'!Y96+Rak_417!Y96+D.C.!Y96+'Wafi _419'!Y96</f>
        <v>0</v>
      </c>
      <c r="Z96" s="467">
        <f>Y96/Y12</f>
        <v>0</v>
      </c>
      <c r="AA96" s="745">
        <f t="shared" si="64"/>
        <v>0</v>
      </c>
      <c r="AB96" s="746">
        <f>AA96/AA12</f>
        <v>0</v>
      </c>
      <c r="AC96" s="472">
        <f t="shared" si="65"/>
        <v>0</v>
      </c>
      <c r="AD96" s="747">
        <f>AC96/AC12</f>
        <v>0</v>
      </c>
      <c r="AE96" s="84">
        <f t="shared" si="60"/>
        <v>0</v>
      </c>
      <c r="AF96" s="33" t="e">
        <f>#REF!+'0401'!#REF!+'0402'!#REF!+'0403'!#REF!+#REF!+'405'!#REF!+'0406'!#REF!+D.C.!#REF!+#REF!+#REF!+'0409'!#REF!</f>
        <v>#REF!</v>
      </c>
      <c r="AG96" s="33" t="e">
        <f t="shared" si="61"/>
        <v>#REF!</v>
      </c>
      <c r="AH96" s="84">
        <f t="shared" si="62"/>
        <v>0</v>
      </c>
      <c r="AI96" s="33">
        <f>'0401'!AA96+'0402'!AA96+'0403'!AA96+'405'!AA96+'0406'!AA96+'0409'!AA96+'410-sahara'!AA96+'414-Al ghurair'!AA96+'415'!AA96+'Al Foah_418'!AA96+Rak_417!AA96+D.C.!AA96</f>
        <v>0</v>
      </c>
      <c r="AJ96" s="84">
        <f t="shared" si="63"/>
        <v>0</v>
      </c>
    </row>
    <row r="97" spans="1:36" customFormat="1">
      <c r="A97" s="2">
        <v>6304</v>
      </c>
      <c r="B97" s="2" t="s">
        <v>38</v>
      </c>
      <c r="C97" s="463">
        <f>'0401'!C97+'0402'!C97+'0403'!C97+'405'!C97+'0406'!C97+'0409'!C97+'410-sahara'!C97+'414-Al ghurair'!C97+'415'!C97+'Al Foah_418'!C97+Rak_417!C97+D.C.!C97+'Wafi _419'!C97</f>
        <v>0</v>
      </c>
      <c r="D97" s="467">
        <f>C97/C12</f>
        <v>0</v>
      </c>
      <c r="E97" s="463">
        <f>'0401'!E97+'0402'!E97+'0403'!E97+'405'!E97+'0406'!E97+'0409'!E97+'410-sahara'!E97+'414-Al ghurair'!E97+'415'!E97+'Al Foah_418'!E97+Rak_417!E97+D.C.!E97+'Wafi _419'!E97</f>
        <v>0</v>
      </c>
      <c r="F97" s="467">
        <f>E97/E12</f>
        <v>0</v>
      </c>
      <c r="G97" s="463">
        <f>'0401'!G97+'0402'!G97+'0403'!G97+'405'!G97+'0406'!G97+'0409'!G97+'410-sahara'!G97+'414-Al ghurair'!G97+'415'!G97+'Al Foah_418'!G97+Rak_417!G97+D.C.!G97+'Wafi _419'!G97</f>
        <v>0</v>
      </c>
      <c r="H97" s="467">
        <f>G97/G12</f>
        <v>0</v>
      </c>
      <c r="I97" s="463">
        <f>'0401'!I97+'0402'!I97+'0403'!I97+'405'!I97+'0406'!I97+'0409'!I97+'410-sahara'!I97+'414-Al ghurair'!I97+'415'!I97+'Al Foah_418'!I97+Rak_417!I97+D.C.!I97+'Wafi _419'!I97</f>
        <v>0</v>
      </c>
      <c r="J97" s="467">
        <f>I97/I12</f>
        <v>0</v>
      </c>
      <c r="K97" s="463">
        <f>'0401'!K97+'0402'!K97+'0403'!K97+'405'!K97+'0406'!K97+'0409'!K97+'410-sahara'!K97+'414-Al ghurair'!K97+'415'!K97+'Al Foah_418'!K97+Rak_417!K97+D.C.!K97+'Wafi _419'!K97</f>
        <v>0</v>
      </c>
      <c r="L97" s="467">
        <f>K97/K12</f>
        <v>0</v>
      </c>
      <c r="M97" s="463">
        <f>'0401'!M97+'0402'!M97+'0403'!M97+'405'!M97+'0406'!M97+'0409'!M97+'410-sahara'!M97+'414-Al ghurair'!M97+'415'!M97+'Al Foah_418'!M97+Rak_417!M97+D.C.!M97+'Wafi _419'!M97</f>
        <v>0</v>
      </c>
      <c r="N97" s="467">
        <f>M97/M12</f>
        <v>0</v>
      </c>
      <c r="O97" s="463">
        <f>'0401'!O97+'0402'!O97+'0403'!O97+'405'!O97+'0406'!O97+'0409'!O97+'410-sahara'!O97+'414-Al ghurair'!O97+'415'!O97+'Al Foah_418'!O97+Rak_417!O97+D.C.!O97+'Wafi _419'!O97</f>
        <v>0</v>
      </c>
      <c r="P97" s="467">
        <f>O97/O12</f>
        <v>0</v>
      </c>
      <c r="Q97" s="463">
        <f>'0401'!Q97+'0402'!Q97+'0403'!Q97+'405'!Q97+'0406'!Q97+'0409'!Q97+'410-sahara'!Q97+'414-Al ghurair'!Q97+'415'!Q97+'Al Foah_418'!Q97+Rak_417!Q97+D.C.!Q97+'Wafi _419'!Q97</f>
        <v>0</v>
      </c>
      <c r="R97" s="467">
        <f>Q97/Q12</f>
        <v>0</v>
      </c>
      <c r="S97" s="463">
        <f>'0401'!S97+'0402'!S97+'0403'!S97+'405'!S97+'0406'!S97+'0409'!S97+'410-sahara'!S97+'414-Al ghurair'!S97+'415'!S97+'Al Foah_418'!S97+Rak_417!S97+D.C.!S97+'Wafi _419'!S97</f>
        <v>0</v>
      </c>
      <c r="T97" s="467">
        <f>S97/S12</f>
        <v>0</v>
      </c>
      <c r="U97" s="463">
        <f>'0401'!U97+'0402'!U97+'0403'!U97+'405'!U97+'0406'!U97+'0409'!U97+'410-sahara'!U97+'414-Al ghurair'!U97+'415'!U97+'Al Foah_418'!U97+Rak_417!U97+D.C.!U97+'Wafi _419'!U97</f>
        <v>0</v>
      </c>
      <c r="V97" s="467">
        <f>U97/U12</f>
        <v>0</v>
      </c>
      <c r="W97" s="463">
        <f>'0401'!W97+'0402'!W97+'0403'!W97+'405'!W97+'0406'!W97+'0409'!W97+'410-sahara'!W97+'414-Al ghurair'!W97+'415'!W97+'Al Foah_418'!W97+Rak_417!W97+D.C.!W97+'Wafi _419'!W97</f>
        <v>0</v>
      </c>
      <c r="X97" s="467">
        <f>W97/W12</f>
        <v>0</v>
      </c>
      <c r="Y97" s="463">
        <f>'0401'!Y97+'0402'!Y97+'0403'!Y97+'405'!Y97+'0406'!Y97+'0409'!Y97+'410-sahara'!Y97+'414-Al ghurair'!Y97+'415'!Y97+'Al Foah_418'!Y97+Rak_417!Y97+D.C.!Y97+'Wafi _419'!Y97</f>
        <v>0</v>
      </c>
      <c r="Z97" s="467">
        <f>Y97/Y12</f>
        <v>0</v>
      </c>
      <c r="AA97" s="745">
        <f t="shared" si="64"/>
        <v>0</v>
      </c>
      <c r="AB97" s="746">
        <f>AA97/AA12</f>
        <v>0</v>
      </c>
      <c r="AC97" s="472">
        <f t="shared" si="65"/>
        <v>0</v>
      </c>
      <c r="AD97" s="747">
        <f>AC97/AC12</f>
        <v>0</v>
      </c>
      <c r="AE97" s="84">
        <f t="shared" si="60"/>
        <v>0</v>
      </c>
      <c r="AF97" s="33" t="e">
        <f>#REF!+'0401'!#REF!+'0402'!#REF!+'0403'!#REF!+#REF!+'405'!#REF!+'0406'!#REF!+D.C.!#REF!+#REF!+#REF!+'0409'!#REF!</f>
        <v>#REF!</v>
      </c>
      <c r="AG97" s="33" t="e">
        <f t="shared" si="61"/>
        <v>#REF!</v>
      </c>
      <c r="AH97" s="84">
        <f t="shared" si="62"/>
        <v>0</v>
      </c>
      <c r="AI97" s="33">
        <f>'0401'!AA97+'0402'!AA97+'0403'!AA97+'405'!AA97+'0406'!AA97+'0409'!AA97+'410-sahara'!AA97+'414-Al ghurair'!AA97+'415'!AA97+'Al Foah_418'!AA97+Rak_417!AA97+D.C.!AA97</f>
        <v>0</v>
      </c>
      <c r="AJ97" s="84">
        <f t="shared" si="63"/>
        <v>0</v>
      </c>
    </row>
    <row r="98" spans="1:36" customFormat="1">
      <c r="A98" s="2">
        <v>6305</v>
      </c>
      <c r="B98" s="2" t="s">
        <v>39</v>
      </c>
      <c r="C98" s="463">
        <f>'0401'!C98+'0402'!C98+'0403'!C98+'405'!C98+'0406'!C98+'0409'!C98+'410-sahara'!C98+'414-Al ghurair'!C98+'415'!C98+'Al Foah_418'!C98+Rak_417!C98+D.C.!C98+'Wafi _419'!C98</f>
        <v>0</v>
      </c>
      <c r="D98" s="467">
        <f>C98/C12</f>
        <v>0</v>
      </c>
      <c r="E98" s="463">
        <f>'0401'!E98+'0402'!E98+'0403'!E98+'405'!E98+'0406'!E98+'0409'!E98+'410-sahara'!E98+'414-Al ghurair'!E98+'415'!E98+'Al Foah_418'!E98+Rak_417!E98+D.C.!E98+'Wafi _419'!E98</f>
        <v>0</v>
      </c>
      <c r="F98" s="467">
        <f>E98/E12</f>
        <v>0</v>
      </c>
      <c r="G98" s="463">
        <f>'0401'!G98+'0402'!G98+'0403'!G98+'405'!G98+'0406'!G98+'0409'!G98+'410-sahara'!G98+'414-Al ghurair'!G98+'415'!G98+'Al Foah_418'!G98+Rak_417!G98+D.C.!G98+'Wafi _419'!G98</f>
        <v>0</v>
      </c>
      <c r="H98" s="467">
        <f>G98/G12</f>
        <v>0</v>
      </c>
      <c r="I98" s="463">
        <f>'0401'!I98+'0402'!I98+'0403'!I98+'405'!I98+'0406'!I98+'0409'!I98+'410-sahara'!I98+'414-Al ghurair'!I98+'415'!I98+'Al Foah_418'!I98+Rak_417!I98+D.C.!I98+'Wafi _419'!I98</f>
        <v>0</v>
      </c>
      <c r="J98" s="467">
        <f>I98/I12</f>
        <v>0</v>
      </c>
      <c r="K98" s="463">
        <f>'0401'!K98+'0402'!K98+'0403'!K98+'405'!K98+'0406'!K98+'0409'!K98+'410-sahara'!K98+'414-Al ghurair'!K98+'415'!K98+'Al Foah_418'!K98+Rak_417!K98+D.C.!K98+'Wafi _419'!K98</f>
        <v>0</v>
      </c>
      <c r="L98" s="467">
        <f>K98/K12</f>
        <v>0</v>
      </c>
      <c r="M98" s="463">
        <f>'0401'!M98+'0402'!M98+'0403'!M98+'405'!M98+'0406'!M98+'0409'!M98+'410-sahara'!M98+'414-Al ghurair'!M98+'415'!M98+'Al Foah_418'!M98+Rak_417!M98+D.C.!M98+'Wafi _419'!M98</f>
        <v>0</v>
      </c>
      <c r="N98" s="467">
        <f>M98/M12</f>
        <v>0</v>
      </c>
      <c r="O98" s="463">
        <f>'0401'!O98+'0402'!O98+'0403'!O98+'405'!O98+'0406'!O98+'0409'!O98+'410-sahara'!O98+'414-Al ghurair'!O98+'415'!O98+'Al Foah_418'!O98+Rak_417!O98+D.C.!O98+'Wafi _419'!O98</f>
        <v>0</v>
      </c>
      <c r="P98" s="467">
        <f>O98/O12</f>
        <v>0</v>
      </c>
      <c r="Q98" s="463">
        <f>'0401'!Q98+'0402'!Q98+'0403'!Q98+'405'!Q98+'0406'!Q98+'0409'!Q98+'410-sahara'!Q98+'414-Al ghurair'!Q98+'415'!Q98+'Al Foah_418'!Q98+Rak_417!Q98+D.C.!Q98+'Wafi _419'!Q98</f>
        <v>0</v>
      </c>
      <c r="R98" s="467">
        <f>Q98/Q12</f>
        <v>0</v>
      </c>
      <c r="S98" s="463">
        <f>'0401'!S98+'0402'!S98+'0403'!S98+'405'!S98+'0406'!S98+'0409'!S98+'410-sahara'!S98+'414-Al ghurair'!S98+'415'!S98+'Al Foah_418'!S98+Rak_417!S98+D.C.!S98+'Wafi _419'!S98</f>
        <v>0</v>
      </c>
      <c r="T98" s="467">
        <f>S98/S12</f>
        <v>0</v>
      </c>
      <c r="U98" s="463">
        <f>'0401'!U98+'0402'!U98+'0403'!U98+'405'!U98+'0406'!U98+'0409'!U98+'410-sahara'!U98+'414-Al ghurair'!U98+'415'!U98+'Al Foah_418'!U98+Rak_417!U98+D.C.!U98+'Wafi _419'!U98</f>
        <v>0</v>
      </c>
      <c r="V98" s="467">
        <f>U98/U12</f>
        <v>0</v>
      </c>
      <c r="W98" s="463">
        <f>'0401'!W98+'0402'!W98+'0403'!W98+'405'!W98+'0406'!W98+'0409'!W98+'410-sahara'!W98+'414-Al ghurair'!W98+'415'!W98+'Al Foah_418'!W98+Rak_417!W98+D.C.!W98+'Wafi _419'!W98</f>
        <v>0</v>
      </c>
      <c r="X98" s="467">
        <f>W98/W12</f>
        <v>0</v>
      </c>
      <c r="Y98" s="463">
        <f>'0401'!Y98+'0402'!Y98+'0403'!Y98+'405'!Y98+'0406'!Y98+'0409'!Y98+'410-sahara'!Y98+'414-Al ghurair'!Y98+'415'!Y98+'Al Foah_418'!Y98+Rak_417!Y98+D.C.!Y98+'Wafi _419'!Y98</f>
        <v>0</v>
      </c>
      <c r="Z98" s="467">
        <f>Y98/Y12</f>
        <v>0</v>
      </c>
      <c r="AA98" s="745">
        <f t="shared" si="64"/>
        <v>0</v>
      </c>
      <c r="AB98" s="746">
        <f>AA98/AA12</f>
        <v>0</v>
      </c>
      <c r="AC98" s="472">
        <f t="shared" si="65"/>
        <v>0</v>
      </c>
      <c r="AD98" s="747">
        <f>AC98/AC12</f>
        <v>0</v>
      </c>
      <c r="AE98" s="84">
        <f t="shared" si="60"/>
        <v>0</v>
      </c>
      <c r="AF98" s="33" t="e">
        <f>#REF!+'0401'!#REF!+'0402'!#REF!+'0403'!#REF!+#REF!+'405'!#REF!+'0406'!#REF!+D.C.!#REF!+#REF!+#REF!+'0409'!#REF!</f>
        <v>#REF!</v>
      </c>
      <c r="AG98" s="33" t="e">
        <f t="shared" si="61"/>
        <v>#REF!</v>
      </c>
      <c r="AH98" s="84">
        <f t="shared" si="62"/>
        <v>0</v>
      </c>
      <c r="AI98" s="33">
        <f>'0401'!AA98+'0402'!AA98+'0403'!AA98+'405'!AA98+'0406'!AA98+'0409'!AA98+'410-sahara'!AA98+'414-Al ghurair'!AA98+'415'!AA98+'Al Foah_418'!AA98+Rak_417!AA98+D.C.!AA98</f>
        <v>0</v>
      </c>
      <c r="AJ98" s="84">
        <f t="shared" si="63"/>
        <v>0</v>
      </c>
    </row>
    <row r="99" spans="1:36" customFormat="1">
      <c r="A99" s="2">
        <v>6306</v>
      </c>
      <c r="B99" s="2" t="s">
        <v>40</v>
      </c>
      <c r="C99" s="463">
        <f>'0401'!C99+'0402'!C99+'0403'!C99+'405'!C99+'0406'!C99+'0409'!C99+'410-sahara'!C99+'414-Al ghurair'!C99+'415'!C99+'Al Foah_418'!C99+Rak_417!C99+D.C.!C99+'Wafi _419'!C99</f>
        <v>0</v>
      </c>
      <c r="D99" s="467">
        <f t="shared" ref="D99:F114" si="66">C99/C$12</f>
        <v>0</v>
      </c>
      <c r="E99" s="463">
        <f>'0401'!E99+'0402'!E99+'0403'!E99+'405'!E99+'0406'!E99+'0409'!E99+'410-sahara'!E99+'414-Al ghurair'!E99+'415'!E99+'Al Foah_418'!E99+Rak_417!E99+D.C.!E99+'Wafi _419'!E99</f>
        <v>0</v>
      </c>
      <c r="F99" s="467">
        <f>E99/E12</f>
        <v>0</v>
      </c>
      <c r="G99" s="463">
        <f>'0401'!G99+'0402'!G99+'0403'!G99+'405'!G99+'0406'!G99+'0409'!G99+'410-sahara'!G99+'414-Al ghurair'!G99+'415'!G99+'Al Foah_418'!G99+Rak_417!G99+D.C.!G99+'Wafi _419'!G99</f>
        <v>0</v>
      </c>
      <c r="H99" s="467">
        <f>G99/G12</f>
        <v>0</v>
      </c>
      <c r="I99" s="463">
        <f>'0401'!I99+'0402'!I99+'0403'!I99+'405'!I99+'0406'!I99+'0409'!I99+'410-sahara'!I99+'414-Al ghurair'!I99+'415'!I99+'Al Foah_418'!I99+Rak_417!I99+D.C.!I99+'Wafi _419'!I99</f>
        <v>0</v>
      </c>
      <c r="J99" s="467">
        <f>I99/I12</f>
        <v>0</v>
      </c>
      <c r="K99" s="463">
        <f>'0401'!K99+'0402'!K99+'0403'!K99+'405'!K99+'0406'!K99+'0409'!K99+'410-sahara'!K99+'414-Al ghurair'!K99+'415'!K99+'Al Foah_418'!K99+Rak_417!K99+D.C.!K99+'Wafi _419'!K99</f>
        <v>0</v>
      </c>
      <c r="L99" s="467">
        <f>K99/K12</f>
        <v>0</v>
      </c>
      <c r="M99" s="463">
        <f>'0401'!M99+'0402'!M99+'0403'!M99+'405'!M99+'0406'!M99+'0409'!M99+'410-sahara'!M99+'414-Al ghurair'!M99+'415'!M99+'Al Foah_418'!M99+Rak_417!M99+D.C.!M99+'Wafi _419'!M99</f>
        <v>0</v>
      </c>
      <c r="N99" s="467">
        <f>M99/M12</f>
        <v>0</v>
      </c>
      <c r="O99" s="463">
        <f>'0401'!O99+'0402'!O99+'0403'!O99+'405'!O99+'0406'!O99+'0409'!O99+'410-sahara'!O99+'414-Al ghurair'!O99+'415'!O99+'Al Foah_418'!O99+Rak_417!O99+D.C.!O99+'Wafi _419'!O99</f>
        <v>0</v>
      </c>
      <c r="P99" s="467">
        <f>O99/O12</f>
        <v>0</v>
      </c>
      <c r="Q99" s="463">
        <f>'0401'!Q99+'0402'!Q99+'0403'!Q99+'405'!Q99+'0406'!Q99+'0409'!Q99+'410-sahara'!Q99+'414-Al ghurair'!Q99+'415'!Q99+'Al Foah_418'!Q99+Rak_417!Q99+D.C.!Q99+'Wafi _419'!Q99</f>
        <v>0</v>
      </c>
      <c r="R99" s="467">
        <f>Q99/Q12</f>
        <v>0</v>
      </c>
      <c r="S99" s="463">
        <f>'0401'!S99+'0402'!S99+'0403'!S99+'405'!S99+'0406'!S99+'0409'!S99+'410-sahara'!S99+'414-Al ghurair'!S99+'415'!S99+'Al Foah_418'!S99+Rak_417!S99+D.C.!S99+'Wafi _419'!S99</f>
        <v>0</v>
      </c>
      <c r="T99" s="467">
        <f>S99/S12</f>
        <v>0</v>
      </c>
      <c r="U99" s="463">
        <f>'0401'!U99+'0402'!U99+'0403'!U99+'405'!U99+'0406'!U99+'0409'!U99+'410-sahara'!U99+'414-Al ghurair'!U99+'415'!U99+'Al Foah_418'!U99+Rak_417!U99+D.C.!U99+'Wafi _419'!U99</f>
        <v>0</v>
      </c>
      <c r="V99" s="467">
        <f>U99/U12</f>
        <v>0</v>
      </c>
      <c r="W99" s="463">
        <f>'0401'!W99+'0402'!W99+'0403'!W99+'405'!W99+'0406'!W99+'0409'!W99+'410-sahara'!W99+'414-Al ghurair'!W99+'415'!W99+'Al Foah_418'!W99+Rak_417!W99+D.C.!W99+'Wafi _419'!W99</f>
        <v>0</v>
      </c>
      <c r="X99" s="467">
        <f>W99/W12</f>
        <v>0</v>
      </c>
      <c r="Y99" s="463">
        <f>'0401'!Y99+'0402'!Y99+'0403'!Y99+'405'!Y99+'0406'!Y99+'0409'!Y99+'410-sahara'!Y99+'414-Al ghurair'!Y99+'415'!Y99+'Al Foah_418'!Y99+Rak_417!Y99+D.C.!Y99+'Wafi _419'!Y99</f>
        <v>0</v>
      </c>
      <c r="Z99" s="467">
        <f>Y99/Y12</f>
        <v>0</v>
      </c>
      <c r="AA99" s="745">
        <f t="shared" si="64"/>
        <v>0</v>
      </c>
      <c r="AB99" s="746">
        <f>AA99/AA12</f>
        <v>0</v>
      </c>
      <c r="AC99" s="472">
        <f t="shared" si="65"/>
        <v>0</v>
      </c>
      <c r="AD99" s="747">
        <f>AC99/AC12</f>
        <v>0</v>
      </c>
      <c r="AE99" s="84">
        <f t="shared" si="60"/>
        <v>0</v>
      </c>
      <c r="AF99" s="33" t="e">
        <f>#REF!+'0401'!#REF!+'0402'!#REF!+'0403'!#REF!+#REF!+'405'!#REF!+'0406'!#REF!+D.C.!#REF!+#REF!+#REF!+'0409'!#REF!</f>
        <v>#REF!</v>
      </c>
      <c r="AG99" s="33" t="e">
        <f t="shared" si="61"/>
        <v>#REF!</v>
      </c>
      <c r="AH99" s="84">
        <f t="shared" si="62"/>
        <v>0</v>
      </c>
      <c r="AI99" s="33">
        <f>'0401'!AA99+'0402'!AA99+'0403'!AA99+'405'!AA99+'0406'!AA99+'0409'!AA99+'410-sahara'!AA99+'414-Al ghurair'!AA99+'415'!AA99+'Al Foah_418'!AA99+Rak_417!AA99+D.C.!AA99</f>
        <v>0</v>
      </c>
      <c r="AJ99" s="84">
        <f t="shared" si="63"/>
        <v>0</v>
      </c>
    </row>
    <row r="100" spans="1:36" s="1" customFormat="1">
      <c r="A100" s="2">
        <v>6307</v>
      </c>
      <c r="B100" s="2" t="s">
        <v>322</v>
      </c>
      <c r="C100" s="463">
        <f>'0401'!C100+'0402'!C100+'0403'!C100+'405'!C100+'0406'!C100+'0409'!C100+'410-sahara'!C100+'414-Al ghurair'!C100+'415'!C100+'Al Foah_418'!C100+Rak_417!C100+D.C.!C100+'Wafi _419'!C100</f>
        <v>0</v>
      </c>
      <c r="D100" s="467">
        <f t="shared" si="66"/>
        <v>0</v>
      </c>
      <c r="E100" s="463">
        <f>'0401'!E100+'0402'!E100+'0403'!E100+'405'!E100+'0406'!E100+'0409'!E100+'410-sahara'!E100+'414-Al ghurair'!E100+'415'!E100+'Al Foah_418'!E100+Rak_417!E100+D.C.!E100+'Wafi _419'!E100</f>
        <v>4700</v>
      </c>
      <c r="F100" s="467">
        <f t="shared" si="66"/>
        <v>5.5315039797966786E-4</v>
      </c>
      <c r="G100" s="463">
        <f>'0401'!G100+'0402'!G100+'0403'!G100+'405'!G100+'0406'!G100+'0409'!G100+'410-sahara'!G100+'414-Al ghurair'!G100+'415'!G100+'Al Foah_418'!G100+Rak_417!G100+D.C.!G100+'Wafi _419'!G100</f>
        <v>4700</v>
      </c>
      <c r="H100" s="467">
        <f t="shared" ref="H100" si="67">G100/G$12</f>
        <v>3.3346870037371845E-4</v>
      </c>
      <c r="I100" s="463">
        <f>'0401'!I100+'0402'!I100+'0403'!I100+'405'!I100+'0406'!I100+'0409'!I100+'410-sahara'!I100+'414-Al ghurair'!I100+'415'!I100+'Al Foah_418'!I100+Rak_417!I100+D.C.!I100+'Wafi _419'!I100</f>
        <v>12478</v>
      </c>
      <c r="J100" s="467">
        <f t="shared" ref="J100" si="68">I100/I$12</f>
        <v>1.0026383575464533E-3</v>
      </c>
      <c r="K100" s="463">
        <f>'0401'!K100+'0402'!K100+'0403'!K100+'405'!K100+'0406'!K100+'0409'!K100+'410-sahara'!K100+'414-Al ghurair'!K100+'415'!K100+'Al Foah_418'!K100+Rak_417!K100+D.C.!K100+'Wafi _419'!K100</f>
        <v>4700</v>
      </c>
      <c r="L100" s="467">
        <f t="shared" ref="L100" si="69">K100/K$12</f>
        <v>4.1291923406576713E-4</v>
      </c>
      <c r="M100" s="463">
        <f>'0401'!M100+'0402'!M100+'0403'!M100+'405'!M100+'0406'!M100+'0409'!M100+'410-sahara'!M100+'414-Al ghurair'!M100+'415'!M100+'Al Foah_418'!M100+Rak_417!M100+D.C.!M100+'Wafi _419'!M100</f>
        <v>0</v>
      </c>
      <c r="N100" s="467">
        <f t="shared" ref="N100" si="70">M100/M$12</f>
        <v>0</v>
      </c>
      <c r="O100" s="463">
        <f>'0401'!O100+'0402'!O100+'0403'!O100+'405'!O100+'0406'!O100+'0409'!O100+'410-sahara'!O100+'414-Al ghurair'!O100+'415'!O100+'Al Foah_418'!O100+Rak_417!O100+D.C.!O100+'Wafi _419'!O100</f>
        <v>4700</v>
      </c>
      <c r="P100" s="467">
        <f t="shared" ref="P100" si="71">O100/O$12</f>
        <v>4.5995311969033634E-4</v>
      </c>
      <c r="Q100" s="463">
        <f>'0401'!Q100+'0402'!Q100+'0403'!Q100+'405'!Q100+'0406'!Q100+'0409'!Q100+'410-sahara'!Q100+'414-Al ghurair'!Q100+'415'!Q100+'Al Foah_418'!Q100+Rak_417!Q100+D.C.!Q100+'Wafi _419'!Q100</f>
        <v>4700</v>
      </c>
      <c r="R100" s="467">
        <f t="shared" ref="R100" si="72">Q100/Q$12</f>
        <v>3.7041046578819951E-4</v>
      </c>
      <c r="S100" s="463">
        <f>'0401'!S100+'0402'!S100+'0403'!S100+'405'!S100+'0406'!S100+'0409'!S100+'410-sahara'!S100+'414-Al ghurair'!S100+'415'!S100+'Al Foah_418'!S100+Rak_417!S100+D.C.!S100+'Wafi _419'!S100</f>
        <v>4700</v>
      </c>
      <c r="T100" s="467">
        <f t="shared" ref="T100" si="73">S100/S$12</f>
        <v>3.6769711724620672E-4</v>
      </c>
      <c r="U100" s="463">
        <f>'0401'!U100+'0402'!U100+'0403'!U100+'405'!U100+'0406'!U100+'0409'!U100+'410-sahara'!U100+'414-Al ghurair'!U100+'415'!U100+'Al Foah_418'!U100+Rak_417!U100+D.C.!U100+'Wafi _419'!U100</f>
        <v>4700</v>
      </c>
      <c r="V100" s="467">
        <f t="shared" ref="V100" si="74">U100/U$12</f>
        <v>4.6355786146985543E-4</v>
      </c>
      <c r="W100" s="463">
        <f>'0401'!W100+'0402'!W100+'0403'!W100+'405'!W100+'0406'!W100+'0409'!W100+'410-sahara'!W100+'414-Al ghurair'!W100+'415'!W100+'Al Foah_418'!W100+Rak_417!W100+D.C.!W100+'Wafi _419'!W100</f>
        <v>4700</v>
      </c>
      <c r="X100" s="467">
        <f t="shared" ref="X100" si="75">W100/W$12</f>
        <v>4.5561130356031824E-4</v>
      </c>
      <c r="Y100" s="463">
        <f>'0401'!Y100+'0402'!Y100+'0403'!Y100+'405'!Y100+'0406'!Y100+'0409'!Y100+'410-sahara'!Y100+'414-Al ghurair'!Y100+'415'!Y100+'Al Foah_418'!Y100+Rak_417!Y100+D.C.!Y100+'Wafi _419'!Y100</f>
        <v>4700</v>
      </c>
      <c r="Z100" s="467">
        <f t="shared" ref="Z100" si="76">Y100/Y$12</f>
        <v>3.0159682080971003E-4</v>
      </c>
      <c r="AA100" s="745">
        <f t="shared" si="64"/>
        <v>54778</v>
      </c>
      <c r="AB100" s="746">
        <f t="shared" ref="AB100" si="77">AA100/AA$12</f>
        <v>3.7723879663243917E-4</v>
      </c>
      <c r="AC100" s="472">
        <f t="shared" si="65"/>
        <v>4564.833333333333</v>
      </c>
      <c r="AD100" s="747">
        <f t="shared" ref="AD100" si="78">AC100/AC$12</f>
        <v>3.7723879663243917E-4</v>
      </c>
      <c r="AE100" s="686"/>
      <c r="AF100" s="33"/>
      <c r="AG100" s="33"/>
      <c r="AH100" s="686"/>
      <c r="AI100" s="33"/>
      <c r="AJ100" s="686"/>
    </row>
    <row r="101" spans="1:36" s="1" customFormat="1">
      <c r="A101" s="2">
        <v>6308</v>
      </c>
      <c r="B101" s="2" t="s">
        <v>151</v>
      </c>
      <c r="C101" s="463">
        <f>'0401'!C101+'0402'!C101+'0403'!C101+'405'!C101+'0406'!C101+'0409'!C101+'410-sahara'!C101+'414-Al ghurair'!C101+'415'!C101+'Al Foah_418'!C101+Rak_417!C101+D.C.!C101+'Wafi _419'!C101</f>
        <v>0</v>
      </c>
      <c r="D101" s="467">
        <f t="shared" si="66"/>
        <v>0</v>
      </c>
      <c r="E101" s="463">
        <f>'0401'!E101+'0402'!E101+'0403'!E101+'405'!E101+'0406'!E101+'0409'!E101+'410-sahara'!E101+'414-Al ghurair'!E101+'415'!E101+'Al Foah_418'!E101+Rak_417!E101+D.C.!E101+'Wafi _419'!E101</f>
        <v>0</v>
      </c>
      <c r="F101" s="467">
        <f t="shared" si="66"/>
        <v>0</v>
      </c>
      <c r="G101" s="463">
        <f>'0401'!G101+'0402'!G101+'0403'!G101+'405'!G101+'0406'!G101+'0409'!G101+'410-sahara'!G101+'414-Al ghurair'!G101+'415'!G101+'Al Foah_418'!G101+Rak_417!G101+D.C.!G101+'Wafi _419'!G101</f>
        <v>0</v>
      </c>
      <c r="H101" s="467">
        <f t="shared" ref="H101" si="79">G101/G$12</f>
        <v>0</v>
      </c>
      <c r="I101" s="463">
        <f>'0401'!I101+'0402'!I101+'0403'!I101+'405'!I101+'0406'!I101+'0409'!I101+'410-sahara'!I101+'414-Al ghurair'!I101+'415'!I101+'Al Foah_418'!I101+Rak_417!I101+D.C.!I101+'Wafi _419'!I101</f>
        <v>0</v>
      </c>
      <c r="J101" s="467">
        <f t="shared" ref="J101" si="80">I101/I$12</f>
        <v>0</v>
      </c>
      <c r="K101" s="463">
        <f>'0401'!K101+'0402'!K101+'0403'!K101+'405'!K101+'0406'!K101+'0409'!K101+'410-sahara'!K101+'414-Al ghurair'!K101+'415'!K101+'Al Foah_418'!K101+Rak_417!K101+D.C.!K101+'Wafi _419'!K101</f>
        <v>0</v>
      </c>
      <c r="L101" s="467">
        <f t="shared" ref="L101" si="81">K101/K$12</f>
        <v>0</v>
      </c>
      <c r="M101" s="463">
        <f>'0401'!M101+'0402'!M101+'0403'!M101+'405'!M101+'0406'!M101+'0409'!M101+'410-sahara'!M101+'414-Al ghurair'!M101+'415'!M101+'Al Foah_418'!M101+Rak_417!M101+D.C.!M101+'Wafi _419'!M101</f>
        <v>0</v>
      </c>
      <c r="N101" s="467">
        <f t="shared" ref="N101" si="82">M101/M$12</f>
        <v>0</v>
      </c>
      <c r="O101" s="463">
        <f>'0401'!O101+'0402'!O101+'0403'!O101+'405'!O101+'0406'!O101+'0409'!O101+'410-sahara'!O101+'414-Al ghurair'!O101+'415'!O101+'Al Foah_418'!O101+Rak_417!O101+D.C.!O101+'Wafi _419'!O101</f>
        <v>0</v>
      </c>
      <c r="P101" s="467">
        <f t="shared" ref="P101" si="83">O101/O$12</f>
        <v>0</v>
      </c>
      <c r="Q101" s="463">
        <f>'0401'!Q101+'0402'!Q101+'0403'!Q101+'405'!Q101+'0406'!Q101+'0409'!Q101+'410-sahara'!Q101+'414-Al ghurair'!Q101+'415'!Q101+'Al Foah_418'!Q101+Rak_417!Q101+D.C.!Q101+'Wafi _419'!Q101</f>
        <v>0</v>
      </c>
      <c r="R101" s="467">
        <f t="shared" ref="R101" si="84">Q101/Q$12</f>
        <v>0</v>
      </c>
      <c r="S101" s="463">
        <f>'0401'!S101+'0402'!S101+'0403'!S101+'405'!S101+'0406'!S101+'0409'!S101+'410-sahara'!S101+'414-Al ghurair'!S101+'415'!S101+'Al Foah_418'!S101+Rak_417!S101+D.C.!S101+'Wafi _419'!S101</f>
        <v>0</v>
      </c>
      <c r="T101" s="467">
        <f t="shared" ref="T101" si="85">S101/S$12</f>
        <v>0</v>
      </c>
      <c r="U101" s="463">
        <f>'0401'!U101+'0402'!U101+'0403'!U101+'405'!U101+'0406'!U101+'0409'!U101+'410-sahara'!U101+'414-Al ghurair'!U101+'415'!U101+'Al Foah_418'!U101+Rak_417!U101+D.C.!U101+'Wafi _419'!U101</f>
        <v>0</v>
      </c>
      <c r="V101" s="467">
        <f t="shared" ref="V101" si="86">U101/U$12</f>
        <v>0</v>
      </c>
      <c r="W101" s="463">
        <f>'0401'!W101+'0402'!W101+'0403'!W101+'405'!W101+'0406'!W101+'0409'!W101+'410-sahara'!W101+'414-Al ghurair'!W101+'415'!W101+'Al Foah_418'!W101+Rak_417!W101+D.C.!W101+'Wafi _419'!W101</f>
        <v>0</v>
      </c>
      <c r="X101" s="467">
        <f t="shared" ref="X101" si="87">W101/W$12</f>
        <v>0</v>
      </c>
      <c r="Y101" s="463">
        <f>'0401'!Y101+'0402'!Y101+'0403'!Y101+'405'!Y101+'0406'!Y101+'0409'!Y101+'410-sahara'!Y101+'414-Al ghurair'!Y101+'415'!Y101+'Al Foah_418'!Y101+Rak_417!Y101+D.C.!Y101+'Wafi _419'!Y101</f>
        <v>0</v>
      </c>
      <c r="Z101" s="467">
        <f t="shared" ref="Z101" si="88">Y101/Y$12</f>
        <v>0</v>
      </c>
      <c r="AA101" s="745">
        <f t="shared" si="64"/>
        <v>0</v>
      </c>
      <c r="AB101" s="746">
        <f t="shared" ref="AB101" si="89">AA101/AA$12</f>
        <v>0</v>
      </c>
      <c r="AC101" s="472">
        <f t="shared" si="65"/>
        <v>0</v>
      </c>
      <c r="AD101" s="747">
        <f t="shared" ref="AD101" si="90">AC101/AC$12</f>
        <v>0</v>
      </c>
      <c r="AE101" s="84">
        <f t="shared" si="60"/>
        <v>0</v>
      </c>
      <c r="AF101" s="33" t="e">
        <f>#REF!+'0401'!#REF!+'0402'!#REF!+'0403'!#REF!+#REF!+'405'!#REF!+'0406'!#REF!+D.C.!#REF!+#REF!+#REF!+'0409'!#REF!</f>
        <v>#REF!</v>
      </c>
      <c r="AG101" s="33" t="e">
        <f t="shared" si="61"/>
        <v>#REF!</v>
      </c>
      <c r="AH101" s="84">
        <f t="shared" si="62"/>
        <v>0</v>
      </c>
      <c r="AI101" s="33">
        <f>'0401'!AA101+'0402'!AA101+'0403'!AA101+'405'!AA101+'0406'!AA101+'0409'!AA101+'410-sahara'!AA101+'414-Al ghurair'!AA101+'415'!AA101+'Al Foah_418'!AA101+Rak_417!AA101+D.C.!AA101</f>
        <v>0</v>
      </c>
      <c r="AJ101" s="84">
        <f t="shared" si="63"/>
        <v>0</v>
      </c>
    </row>
    <row r="102" spans="1:36" s="1" customFormat="1">
      <c r="A102" s="2">
        <v>6309</v>
      </c>
      <c r="B102" s="2" t="s">
        <v>152</v>
      </c>
      <c r="C102" s="463">
        <f>'0401'!C102+'0402'!C102+'0403'!C102+'405'!C102+'0406'!C102+'0409'!C102+'410-sahara'!C102+'414-Al ghurair'!C102+'415'!C102+'Al Foah_418'!C102+Rak_417!C102+D.C.!C102+'Wafi _419'!C102</f>
        <v>79098.119260830732</v>
      </c>
      <c r="D102" s="467">
        <f t="shared" si="66"/>
        <v>7.2425580789151466E-3</v>
      </c>
      <c r="E102" s="463">
        <f>'0401'!E102+'0402'!E102+'0403'!E102+'405'!E102+'0406'!E102+'0409'!E102+'410-sahara'!E102+'414-Al ghurair'!E102+'415'!E102+'Al Foah_418'!E102+Rak_417!E102+D.C.!E102+'Wafi _419'!E102</f>
        <v>80691.377696274823</v>
      </c>
      <c r="F102" s="467">
        <f t="shared" si="66"/>
        <v>9.4966952523876848E-3</v>
      </c>
      <c r="G102" s="463">
        <f>'0401'!G102+'0402'!G102+'0403'!G102+'405'!G102+'0406'!G102+'0409'!G102+'410-sahara'!G102+'414-Al ghurair'!G102+'415'!G102+'Al Foah_418'!G102+Rak_417!G102+D.C.!G102+'Wafi _419'!G102</f>
        <v>40902.13198233123</v>
      </c>
      <c r="H102" s="467">
        <f t="shared" ref="H102" si="91">G102/G$12</f>
        <v>2.9020384669494253E-3</v>
      </c>
      <c r="I102" s="463">
        <f>'0401'!I102+'0402'!I102+'0403'!I102+'405'!I102+'0406'!I102+'0409'!I102+'410-sahara'!I102+'414-Al ghurair'!I102+'415'!I102+'Al Foah_418'!I102+Rak_417!I102+D.C.!I102+'Wafi _419'!I102</f>
        <v>41444.585568528521</v>
      </c>
      <c r="J102" s="467">
        <f t="shared" ref="J102" si="92">I102/I$12</f>
        <v>3.3301756053552554E-3</v>
      </c>
      <c r="K102" s="463">
        <f>'0401'!K102+'0402'!K102+'0403'!K102+'405'!K102+'0406'!K102+'0409'!K102+'410-sahara'!K102+'414-Al ghurair'!K102+'415'!K102+'Al Foah_418'!K102+Rak_417!K102+D.C.!K102+'Wafi _419'!K102</f>
        <v>84054.890527415322</v>
      </c>
      <c r="L102" s="467">
        <f t="shared" ref="L102" si="93">K102/K$12</f>
        <v>7.3846555353323916E-3</v>
      </c>
      <c r="M102" s="463">
        <f>'0401'!M102+'0402'!M102+'0403'!M102+'405'!M102+'0406'!M102+'0409'!M102+'410-sahara'!M102+'414-Al ghurair'!M102+'415'!M102+'Al Foah_418'!M102+Rak_417!M102+D.C.!M102+'Wafi _419'!M102</f>
        <v>42537.63087750267</v>
      </c>
      <c r="N102" s="467">
        <f t="shared" ref="N102" si="94">M102/M$12</f>
        <v>2.6355335852719956E-3</v>
      </c>
      <c r="O102" s="463">
        <f>'0401'!O102+'0402'!O102+'0403'!O102+'405'!O102+'0406'!O102+'0409'!O102+'410-sahara'!O102+'414-Al ghurair'!O102+'415'!O102+'Al Foah_418'!O102+Rak_417!O102+D.C.!O102+'Wafi _419'!O102</f>
        <v>43212.027116720135</v>
      </c>
      <c r="P102" s="467">
        <f t="shared" ref="P102" si="95">O102/O$12</f>
        <v>4.2288312086125185E-3</v>
      </c>
      <c r="Q102" s="463">
        <f>'0401'!Q102+'0402'!Q102+'0403'!Q102+'405'!Q102+'0406'!Q102+'0409'!Q102+'410-sahara'!Q102+'414-Al ghurair'!Q102+'415'!Q102+'Al Foah_418'!Q102+Rak_417!Q102+D.C.!Q102+'Wafi _419'!Q102</f>
        <v>43854.396929021437</v>
      </c>
      <c r="R102" s="467">
        <f t="shared" ref="R102" si="96">Q102/Q$12</f>
        <v>3.4561973602849822E-3</v>
      </c>
      <c r="S102" s="463">
        <f>'0401'!S102+'0402'!S102+'0403'!S102+'405'!S102+'0406'!S102+'0409'!S102+'410-sahara'!S102+'414-Al ghurair'!S102+'415'!S102+'Al Foah_418'!S102+Rak_417!S102+D.C.!S102+'Wafi _419'!S102</f>
        <v>88971.246703062556</v>
      </c>
      <c r="T102" s="467">
        <f t="shared" ref="T102" si="97">S102/S$12</f>
        <v>6.9605257298972715E-3</v>
      </c>
      <c r="U102" s="463">
        <f>'0401'!U102+'0402'!U102+'0403'!U102+'405'!U102+'0406'!U102+'0409'!U102+'410-sahara'!U102+'414-Al ghurair'!U102+'415'!U102+'Al Foah_418'!U102+Rak_417!U102+D.C.!U102+'Wafi _419'!U102</f>
        <v>90256.017659883626</v>
      </c>
      <c r="V102" s="467">
        <f t="shared" ref="V102" si="98">U102/U$12</f>
        <v>8.9018907513193947E-3</v>
      </c>
      <c r="W102" s="463">
        <f>'0401'!W102+'0402'!W102+'0403'!W102+'405'!W102+'0406'!W102+'0409'!W102+'410-sahara'!W102+'414-Al ghurair'!W102+'415'!W102+'Al Foah_418'!W102+Rak_417!W102+D.C.!W102+'Wafi _419'!W102</f>
        <v>48630.622793155264</v>
      </c>
      <c r="X102" s="467">
        <f t="shared" ref="X102" si="99">W102/W$12</f>
        <v>4.7141832859020419E-3</v>
      </c>
      <c r="Y102" s="463">
        <f>'0401'!Y102+'0402'!Y102+'0403'!Y102+'405'!Y102+'0406'!Y102+'0409'!Y102+'410-sahara'!Y102+'414-Al ghurair'!Y102+'415'!Y102+'Al Foah_418'!Y102+Rak_417!Y102+D.C.!Y102+'Wafi _419'!Y102</f>
        <v>50000.177323583579</v>
      </c>
      <c r="Z102" s="467">
        <f t="shared" ref="Z102" si="100">Y102/Y$12</f>
        <v>3.2084881958967157E-3</v>
      </c>
      <c r="AA102" s="745">
        <f t="shared" si="64"/>
        <v>733653.2244383099</v>
      </c>
      <c r="AB102" s="746">
        <f t="shared" ref="AB102" si="101">AA102/AA$12</f>
        <v>5.0524381965865277E-3</v>
      </c>
      <c r="AC102" s="472">
        <f t="shared" si="65"/>
        <v>61137.768703192494</v>
      </c>
      <c r="AD102" s="747">
        <f t="shared" ref="AD102" si="102">AC102/AC$12</f>
        <v>5.0524381965865285E-3</v>
      </c>
      <c r="AE102" s="84">
        <f t="shared" si="60"/>
        <v>733653.2244383099</v>
      </c>
      <c r="AF102" s="33" t="e">
        <f>#REF!+'0401'!#REF!+'0402'!#REF!+'0403'!#REF!+#REF!+'405'!#REF!+'0406'!#REF!+D.C.!#REF!+#REF!+#REF!+'0409'!#REF!</f>
        <v>#REF!</v>
      </c>
      <c r="AG102" s="33" t="e">
        <f t="shared" si="61"/>
        <v>#REF!</v>
      </c>
      <c r="AH102" s="84">
        <f t="shared" si="62"/>
        <v>0</v>
      </c>
      <c r="AI102" s="33">
        <f>'0401'!AA102+'0402'!AA102+'0403'!AA102+'405'!AA102+'0406'!AA102+'0409'!AA102+'410-sahara'!AA102+'414-Al ghurair'!AA102+'415'!AA102+'Al Foah_418'!AA102+Rak_417!AA102+D.C.!AA102</f>
        <v>676536.03201631038</v>
      </c>
      <c r="AJ102" s="84">
        <f t="shared" si="63"/>
        <v>57117.192421999527</v>
      </c>
    </row>
    <row r="103" spans="1:36" s="1" customFormat="1">
      <c r="A103" s="2">
        <v>6310</v>
      </c>
      <c r="B103" s="2" t="s">
        <v>153</v>
      </c>
      <c r="C103" s="463">
        <f>'0401'!C103+'0402'!C103+'0403'!C103+'405'!C103+'0406'!C103+'0409'!C103+'410-sahara'!C103+'414-Al ghurair'!C103+'415'!C103+'Al Foah_418'!C103+Rak_417!C103+D.C.!C103+'Wafi _419'!C103</f>
        <v>10000</v>
      </c>
      <c r="D103" s="467">
        <f t="shared" si="66"/>
        <v>9.156422613579954E-4</v>
      </c>
      <c r="E103" s="463">
        <f>'0401'!E103+'0402'!E103+'0403'!E103+'405'!E103+'0406'!E103+'0409'!E103+'410-sahara'!E103+'414-Al ghurair'!E103+'415'!E103+'Al Foah_418'!E103+Rak_417!E103+D.C.!E103+'Wafi _419'!E103</f>
        <v>80000</v>
      </c>
      <c r="F103" s="467">
        <f t="shared" si="66"/>
        <v>9.4153259230581772E-3</v>
      </c>
      <c r="G103" s="463">
        <f>'0401'!G103+'0402'!G103+'0403'!G103+'405'!G103+'0406'!G103+'0409'!G103+'410-sahara'!G103+'414-Al ghurair'!G103+'415'!G103+'Al Foah_418'!G103+Rak_417!G103+D.C.!G103+'Wafi _419'!G103</f>
        <v>80000</v>
      </c>
      <c r="H103" s="467">
        <f t="shared" ref="H103" si="103">G103/G$12</f>
        <v>5.6760629850845694E-3</v>
      </c>
      <c r="I103" s="463">
        <f>'0401'!I103+'0402'!I103+'0403'!I103+'405'!I103+'0406'!I103+'0409'!I103+'410-sahara'!I103+'414-Al ghurair'!I103+'415'!I103+'Al Foah_418'!I103+Rak_417!I103+D.C.!I103+'Wafi _419'!I103</f>
        <v>40000</v>
      </c>
      <c r="J103" s="467">
        <f t="shared" ref="J103" si="104">I103/I$12</f>
        <v>3.2140995593731474E-3</v>
      </c>
      <c r="K103" s="463">
        <f>'0401'!K103+'0402'!K103+'0403'!K103+'405'!K103+'0406'!K103+'0409'!K103+'410-sahara'!K103+'414-Al ghurair'!K103+'415'!K103+'Al Foah_418'!K103+Rak_417!K103+D.C.!K103+'Wafi _419'!K103</f>
        <v>70000</v>
      </c>
      <c r="L103" s="467">
        <f t="shared" ref="L103" si="105">K103/K$12</f>
        <v>6.1498609328944041E-3</v>
      </c>
      <c r="M103" s="463">
        <f>'0401'!M103+'0402'!M103+'0403'!M103+'405'!M103+'0406'!M103+'0409'!M103+'410-sahara'!M103+'414-Al ghurair'!M103+'415'!M103+'Al Foah_418'!M103+Rak_417!M103+D.C.!M103+'Wafi _419'!M103</f>
        <v>0</v>
      </c>
      <c r="N103" s="467">
        <f t="shared" ref="N103" si="106">M103/M$12</f>
        <v>0</v>
      </c>
      <c r="O103" s="463">
        <f>'0401'!O103+'0402'!O103+'0403'!O103+'405'!O103+'0406'!O103+'0409'!O103+'410-sahara'!O103+'414-Al ghurair'!O103+'415'!O103+'Al Foah_418'!O103+Rak_417!O103+D.C.!O103+'Wafi _419'!O103</f>
        <v>30000</v>
      </c>
      <c r="P103" s="467">
        <f t="shared" ref="P103" si="107">O103/O$12</f>
        <v>2.9358709767468277E-3</v>
      </c>
      <c r="Q103" s="463">
        <f>'0401'!Q103+'0402'!Q103+'0403'!Q103+'405'!Q103+'0406'!Q103+'0409'!Q103+'410-sahara'!Q103+'414-Al ghurair'!Q103+'415'!Q103+'Al Foah_418'!Q103+Rak_417!Q103+D.C.!Q103+'Wafi _419'!Q103</f>
        <v>80000</v>
      </c>
      <c r="R103" s="467">
        <f t="shared" ref="R103" si="108">Q103/Q$12</f>
        <v>6.3048589921395667E-3</v>
      </c>
      <c r="S103" s="463">
        <f>'0401'!S103+'0402'!S103+'0403'!S103+'405'!S103+'0406'!S103+'0409'!S103+'410-sahara'!S103+'414-Al ghurair'!S103+'415'!S103+'Al Foah_418'!S103+Rak_417!S103+D.C.!S103+'Wafi _419'!S103</f>
        <v>80000</v>
      </c>
      <c r="T103" s="467">
        <f t="shared" ref="T103" si="109">S103/S$12</f>
        <v>6.2586743361056464E-3</v>
      </c>
      <c r="U103" s="463">
        <f>'0401'!U103+'0402'!U103+'0403'!U103+'405'!U103+'0406'!U103+'0409'!U103+'410-sahara'!U103+'414-Al ghurair'!U103+'415'!U103+'Al Foah_418'!U103+Rak_417!U103+D.C.!U103+'Wafi _419'!U103</f>
        <v>60000</v>
      </c>
      <c r="V103" s="467">
        <f t="shared" ref="V103" si="110">U103/U$12</f>
        <v>5.9177599336577283E-3</v>
      </c>
      <c r="W103" s="463">
        <f>'0401'!W103+'0402'!W103+'0403'!W103+'405'!W103+'0406'!W103+'0409'!W103+'410-sahara'!W103+'414-Al ghurair'!W103+'415'!W103+'Al Foah_418'!W103+Rak_417!W103+D.C.!W103+'Wafi _419'!W103</f>
        <v>20000</v>
      </c>
      <c r="X103" s="467">
        <f t="shared" ref="X103" si="111">W103/W$12</f>
        <v>1.9387715045119927E-3</v>
      </c>
      <c r="Y103" s="463">
        <f>'0401'!Y103+'0402'!Y103+'0403'!Y103+'405'!Y103+'0406'!Y103+'0409'!Y103+'410-sahara'!Y103+'414-Al ghurair'!Y103+'415'!Y103+'Al Foah_418'!Y103+Rak_417!Y103+D.C.!Y103+'Wafi _419'!Y103</f>
        <v>80000</v>
      </c>
      <c r="Z103" s="467">
        <f t="shared" ref="Z103" si="112">Y103/Y$12</f>
        <v>5.1335629073993201E-3</v>
      </c>
      <c r="AA103" s="745">
        <f t="shared" si="64"/>
        <v>630000</v>
      </c>
      <c r="AB103" s="746">
        <f t="shared" ref="AB103" si="113">AA103/AA$12</f>
        <v>4.3386111555448661E-3</v>
      </c>
      <c r="AC103" s="472">
        <f t="shared" si="65"/>
        <v>52500</v>
      </c>
      <c r="AD103" s="747">
        <f t="shared" ref="AD103" si="114">AC103/AC$12</f>
        <v>4.3386111555448661E-3</v>
      </c>
      <c r="AE103" s="84">
        <f t="shared" si="60"/>
        <v>630000</v>
      </c>
      <c r="AF103" s="33" t="e">
        <f>#REF!+'0401'!#REF!+'0402'!#REF!+'0403'!#REF!+#REF!+'405'!#REF!+'0406'!#REF!+D.C.!#REF!+#REF!+#REF!+'0409'!#REF!</f>
        <v>#REF!</v>
      </c>
      <c r="AG103" s="33" t="e">
        <f t="shared" si="61"/>
        <v>#REF!</v>
      </c>
      <c r="AH103" s="84">
        <f t="shared" si="62"/>
        <v>0</v>
      </c>
      <c r="AI103" s="33">
        <f>'0401'!AA103+'0402'!AA103+'0403'!AA103+'405'!AA103+'0406'!AA103+'0409'!AA103+'410-sahara'!AA103+'414-Al ghurair'!AA103+'415'!AA103+'Al Foah_418'!AA103+Rak_417!AA103+D.C.!AA103</f>
        <v>544000</v>
      </c>
      <c r="AJ103" s="84">
        <f t="shared" si="63"/>
        <v>86000</v>
      </c>
    </row>
    <row r="104" spans="1:36" s="1" customFormat="1">
      <c r="A104" s="2">
        <v>6311</v>
      </c>
      <c r="B104" s="2" t="s">
        <v>154</v>
      </c>
      <c r="C104" s="463">
        <f>'0401'!C104+'0402'!C104+'0403'!C104+'405'!C104+'0406'!C104+'0409'!C104+'410-sahara'!C104+'414-Al ghurair'!C104+'415'!C104+'Al Foah_418'!C104+Rak_417!C104+D.C.!C104+'Wafi _419'!C104</f>
        <v>116751.26903553298</v>
      </c>
      <c r="D104" s="467">
        <f t="shared" si="66"/>
        <v>1.0690239599611113E-2</v>
      </c>
      <c r="E104" s="463">
        <f>'0401'!E104+'0402'!E104+'0403'!E104+'405'!E104+'0406'!E104+'0409'!E104+'410-sahara'!E104+'414-Al ghurair'!E104+'415'!E104+'Al Foah_418'!E104+Rak_417!E104+D.C.!E104+'Wafi _419'!E104</f>
        <v>0</v>
      </c>
      <c r="F104" s="467">
        <f t="shared" si="66"/>
        <v>0</v>
      </c>
      <c r="G104" s="463">
        <f>'0401'!G104+'0402'!G104+'0403'!G104+'405'!G104+'0406'!G104+'0409'!G104+'410-sahara'!G104+'414-Al ghurair'!G104+'415'!G104+'Al Foah_418'!G104+Rak_417!G104+D.C.!G104+'Wafi _419'!G104</f>
        <v>0</v>
      </c>
      <c r="H104" s="467">
        <f t="shared" ref="H104" si="115">G104/G$12</f>
        <v>0</v>
      </c>
      <c r="I104" s="463">
        <f>'0401'!I104+'0402'!I104+'0403'!I104+'405'!I104+'0406'!I104+'0409'!I104+'410-sahara'!I104+'414-Al ghurair'!I104+'415'!I104+'Al Foah_418'!I104+Rak_417!I104+D.C.!I104+'Wafi _419'!I104</f>
        <v>0</v>
      </c>
      <c r="J104" s="467">
        <f t="shared" ref="J104" si="116">I104/I$12</f>
        <v>0</v>
      </c>
      <c r="K104" s="463">
        <f>'0401'!K104+'0402'!K104+'0403'!K104+'405'!K104+'0406'!K104+'0409'!K104+'410-sahara'!K104+'414-Al ghurair'!K104+'415'!K104+'Al Foah_418'!K104+Rak_417!K104+D.C.!K104+'Wafi _419'!K104</f>
        <v>0</v>
      </c>
      <c r="L104" s="467">
        <f t="shared" ref="L104" si="117">K104/K$12</f>
        <v>0</v>
      </c>
      <c r="M104" s="463">
        <f>'0401'!M104+'0402'!M104+'0403'!M104+'405'!M104+'0406'!M104+'0409'!M104+'410-sahara'!M104+'414-Al ghurair'!M104+'415'!M104+'Al Foah_418'!M104+Rak_417!M104+D.C.!M104+'Wafi _419'!M104</f>
        <v>0</v>
      </c>
      <c r="N104" s="467">
        <f t="shared" ref="N104" si="118">M104/M$12</f>
        <v>0</v>
      </c>
      <c r="O104" s="463">
        <f>'0401'!O104+'0402'!O104+'0403'!O104+'405'!O104+'0406'!O104+'0409'!O104+'410-sahara'!O104+'414-Al ghurair'!O104+'415'!O104+'Al Foah_418'!O104+Rak_417!O104+D.C.!O104+'Wafi _419'!O104</f>
        <v>0</v>
      </c>
      <c r="P104" s="467">
        <f t="shared" ref="P104" si="119">O104/O$12</f>
        <v>0</v>
      </c>
      <c r="Q104" s="463">
        <f>'0401'!Q104+'0402'!Q104+'0403'!Q104+'405'!Q104+'0406'!Q104+'0409'!Q104+'410-sahara'!Q104+'414-Al ghurair'!Q104+'415'!Q104+'Al Foah_418'!Q104+Rak_417!Q104+D.C.!Q104+'Wafi _419'!Q104</f>
        <v>0</v>
      </c>
      <c r="R104" s="467">
        <f t="shared" ref="R104" si="120">Q104/Q$12</f>
        <v>0</v>
      </c>
      <c r="S104" s="463">
        <f>'0401'!S104+'0402'!S104+'0403'!S104+'405'!S104+'0406'!S104+'0409'!S104+'410-sahara'!S104+'414-Al ghurair'!S104+'415'!S104+'Al Foah_418'!S104+Rak_417!S104+D.C.!S104+'Wafi _419'!S104</f>
        <v>0</v>
      </c>
      <c r="T104" s="467">
        <f t="shared" ref="T104" si="121">S104/S$12</f>
        <v>0</v>
      </c>
      <c r="U104" s="463">
        <f>'0401'!U104+'0402'!U104+'0403'!U104+'405'!U104+'0406'!U104+'0409'!U104+'410-sahara'!U104+'414-Al ghurair'!U104+'415'!U104+'Al Foah_418'!U104+Rak_417!U104+D.C.!U104+'Wafi _419'!U104</f>
        <v>0</v>
      </c>
      <c r="V104" s="467">
        <f t="shared" ref="V104" si="122">U104/U$12</f>
        <v>0</v>
      </c>
      <c r="W104" s="463">
        <f>'0401'!W104+'0402'!W104+'0403'!W104+'405'!W104+'0406'!W104+'0409'!W104+'410-sahara'!W104+'414-Al ghurair'!W104+'415'!W104+'Al Foah_418'!W104+Rak_417!W104+D.C.!W104+'Wafi _419'!W104</f>
        <v>0</v>
      </c>
      <c r="X104" s="467">
        <f t="shared" ref="X104" si="123">W104/W$12</f>
        <v>0</v>
      </c>
      <c r="Y104" s="463">
        <f>'0401'!Y104+'0402'!Y104+'0403'!Y104+'405'!Y104+'0406'!Y104+'0409'!Y104+'410-sahara'!Y104+'414-Al ghurair'!Y104+'415'!Y104+'Al Foah_418'!Y104+Rak_417!Y104+D.C.!Y104+'Wafi _419'!Y104</f>
        <v>0</v>
      </c>
      <c r="Z104" s="467">
        <f t="shared" ref="Z104" si="124">Y104/Y$12</f>
        <v>0</v>
      </c>
      <c r="AA104" s="745">
        <f t="shared" si="64"/>
        <v>116751.26903553298</v>
      </c>
      <c r="AB104" s="746">
        <f t="shared" ref="AB104" si="125">AA104/AA$12</f>
        <v>8.0402914009775127E-4</v>
      </c>
      <c r="AC104" s="472">
        <f t="shared" si="65"/>
        <v>9729.2724196277486</v>
      </c>
      <c r="AD104" s="747">
        <f t="shared" ref="AD104" si="126">AC104/AC$12</f>
        <v>8.0402914009775127E-4</v>
      </c>
      <c r="AE104" s="84">
        <f t="shared" si="60"/>
        <v>116751.26903553298</v>
      </c>
      <c r="AF104" s="33" t="e">
        <f>#REF!+'0401'!#REF!+'0402'!#REF!+'0403'!#REF!+#REF!+'405'!#REF!+'0406'!#REF!+D.C.!#REF!+#REF!+#REF!+'0409'!#REF!</f>
        <v>#REF!</v>
      </c>
      <c r="AG104" s="33" t="e">
        <f t="shared" si="61"/>
        <v>#REF!</v>
      </c>
      <c r="AH104" s="84">
        <f t="shared" si="62"/>
        <v>0</v>
      </c>
      <c r="AI104" s="33">
        <f>'0401'!AA104+'0402'!AA104+'0403'!AA104+'405'!AA104+'0406'!AA104+'0409'!AA104+'410-sahara'!AA104+'414-Al ghurair'!AA104+'415'!AA104+'Al Foah_418'!AA104+Rak_417!AA104+D.C.!AA104</f>
        <v>106466.36341780097</v>
      </c>
      <c r="AJ104" s="84">
        <f t="shared" si="63"/>
        <v>10284.905617732016</v>
      </c>
    </row>
    <row r="105" spans="1:36" s="1" customFormat="1">
      <c r="A105" s="2">
        <v>6312</v>
      </c>
      <c r="B105" s="2" t="s">
        <v>155</v>
      </c>
      <c r="C105" s="463">
        <f>'0401'!C105+'0402'!C105+'0403'!C105+'405'!C105+'0406'!C105+'0409'!C105+'410-sahara'!C105+'414-Al ghurair'!C105+'415'!C105+'Al Foah_418'!C105+Rak_417!C105+D.C.!C105+'Wafi _419'!C105</f>
        <v>0</v>
      </c>
      <c r="D105" s="467">
        <f t="shared" si="66"/>
        <v>0</v>
      </c>
      <c r="E105" s="463">
        <f>'0401'!E105+'0402'!E105+'0403'!E105+'405'!E105+'0406'!E105+'0409'!E105+'410-sahara'!E105+'414-Al ghurair'!E105+'415'!E105+'Al Foah_418'!E105+Rak_417!E105+D.C.!E105+'Wafi _419'!E105</f>
        <v>0</v>
      </c>
      <c r="F105" s="467">
        <f t="shared" si="66"/>
        <v>0</v>
      </c>
      <c r="G105" s="463">
        <f>'0401'!G105+'0402'!G105+'0403'!G105+'405'!G105+'0406'!G105+'0409'!G105+'410-sahara'!G105+'414-Al ghurair'!G105+'415'!G105+'Al Foah_418'!G105+Rak_417!G105+D.C.!G105+'Wafi _419'!G105</f>
        <v>0</v>
      </c>
      <c r="H105" s="467">
        <f t="shared" ref="H105" si="127">G105/G$12</f>
        <v>0</v>
      </c>
      <c r="I105" s="463">
        <f>'0401'!I105+'0402'!I105+'0403'!I105+'405'!I105+'0406'!I105+'0409'!I105+'410-sahara'!I105+'414-Al ghurair'!I105+'415'!I105+'Al Foah_418'!I105+Rak_417!I105+D.C.!I105+'Wafi _419'!I105</f>
        <v>0</v>
      </c>
      <c r="J105" s="467">
        <f t="shared" ref="J105" si="128">I105/I$12</f>
        <v>0</v>
      </c>
      <c r="K105" s="463">
        <f>'0401'!K105+'0402'!K105+'0403'!K105+'405'!K105+'0406'!K105+'0409'!K105+'410-sahara'!K105+'414-Al ghurair'!K105+'415'!K105+'Al Foah_418'!K105+Rak_417!K105+D.C.!K105+'Wafi _419'!K105</f>
        <v>0</v>
      </c>
      <c r="L105" s="467">
        <f t="shared" ref="L105" si="129">K105/K$12</f>
        <v>0</v>
      </c>
      <c r="M105" s="463">
        <f>'0401'!M105+'0402'!M105+'0403'!M105+'405'!M105+'0406'!M105+'0409'!M105+'410-sahara'!M105+'414-Al ghurair'!M105+'415'!M105+'Al Foah_418'!M105+Rak_417!M105+D.C.!M105+'Wafi _419'!M105</f>
        <v>0</v>
      </c>
      <c r="N105" s="467">
        <f t="shared" ref="N105" si="130">M105/M$12</f>
        <v>0</v>
      </c>
      <c r="O105" s="463">
        <f>'0401'!O105+'0402'!O105+'0403'!O105+'405'!O105+'0406'!O105+'0409'!O105+'410-sahara'!O105+'414-Al ghurair'!O105+'415'!O105+'Al Foah_418'!O105+Rak_417!O105+D.C.!O105+'Wafi _419'!O105</f>
        <v>0</v>
      </c>
      <c r="P105" s="467">
        <f t="shared" ref="P105" si="131">O105/O$12</f>
        <v>0</v>
      </c>
      <c r="Q105" s="463">
        <f>'0401'!Q105+'0402'!Q105+'0403'!Q105+'405'!Q105+'0406'!Q105+'0409'!Q105+'410-sahara'!Q105+'414-Al ghurair'!Q105+'415'!Q105+'Al Foah_418'!Q105+Rak_417!Q105+D.C.!Q105+'Wafi _419'!Q105</f>
        <v>0</v>
      </c>
      <c r="R105" s="467">
        <f t="shared" ref="R105" si="132">Q105/Q$12</f>
        <v>0</v>
      </c>
      <c r="S105" s="463">
        <f>'0401'!S105+'0402'!S105+'0403'!S105+'405'!S105+'0406'!S105+'0409'!S105+'410-sahara'!S105+'414-Al ghurair'!S105+'415'!S105+'Al Foah_418'!S105+Rak_417!S105+D.C.!S105+'Wafi _419'!S105</f>
        <v>0</v>
      </c>
      <c r="T105" s="467">
        <f t="shared" ref="T105" si="133">S105/S$12</f>
        <v>0</v>
      </c>
      <c r="U105" s="463">
        <f>'0401'!U105+'0402'!U105+'0403'!U105+'405'!U105+'0406'!U105+'0409'!U105+'410-sahara'!U105+'414-Al ghurair'!U105+'415'!U105+'Al Foah_418'!U105+Rak_417!U105+D.C.!U105+'Wafi _419'!U105</f>
        <v>0</v>
      </c>
      <c r="V105" s="467">
        <f t="shared" ref="V105" si="134">U105/U$12</f>
        <v>0</v>
      </c>
      <c r="W105" s="463">
        <f>'0401'!W105+'0402'!W105+'0403'!W105+'405'!W105+'0406'!W105+'0409'!W105+'410-sahara'!W105+'414-Al ghurair'!W105+'415'!W105+'Al Foah_418'!W105+Rak_417!W105+D.C.!W105+'Wafi _419'!W105</f>
        <v>0</v>
      </c>
      <c r="X105" s="467">
        <f t="shared" ref="X105" si="135">W105/W$12</f>
        <v>0</v>
      </c>
      <c r="Y105" s="463">
        <f>'0401'!Y105+'0402'!Y105+'0403'!Y105+'405'!Y105+'0406'!Y105+'0409'!Y105+'410-sahara'!Y105+'414-Al ghurair'!Y105+'415'!Y105+'Al Foah_418'!Y105+Rak_417!Y105+D.C.!Y105+'Wafi _419'!Y105</f>
        <v>0</v>
      </c>
      <c r="Z105" s="467">
        <f t="shared" ref="Z105" si="136">Y105/Y$12</f>
        <v>0</v>
      </c>
      <c r="AA105" s="745">
        <f t="shared" si="64"/>
        <v>0</v>
      </c>
      <c r="AB105" s="746">
        <f t="shared" ref="AB105" si="137">AA105/AA$12</f>
        <v>0</v>
      </c>
      <c r="AC105" s="472">
        <f t="shared" si="65"/>
        <v>0</v>
      </c>
      <c r="AD105" s="747">
        <f t="shared" ref="AD105" si="138">AC105/AC$12</f>
        <v>0</v>
      </c>
      <c r="AE105" s="84">
        <f t="shared" si="60"/>
        <v>0</v>
      </c>
      <c r="AF105" s="33" t="e">
        <f>#REF!+'0401'!#REF!+'0402'!#REF!+'0403'!#REF!+#REF!+'405'!#REF!+'0406'!#REF!+D.C.!#REF!+#REF!+#REF!+'0409'!#REF!</f>
        <v>#REF!</v>
      </c>
      <c r="AG105" s="33" t="e">
        <f t="shared" si="61"/>
        <v>#REF!</v>
      </c>
      <c r="AH105" s="84">
        <f t="shared" si="62"/>
        <v>0</v>
      </c>
      <c r="AI105" s="33">
        <f>'0401'!AA105+'0402'!AA105+'0403'!AA105+'405'!AA105+'0406'!AA105+'0409'!AA105+'410-sahara'!AA105+'414-Al ghurair'!AA105+'415'!AA105+'Al Foah_418'!AA105+Rak_417!AA105+D.C.!AA105</f>
        <v>0</v>
      </c>
      <c r="AJ105" s="84">
        <f t="shared" si="63"/>
        <v>0</v>
      </c>
    </row>
    <row r="106" spans="1:36" s="1" customFormat="1">
      <c r="A106" s="2">
        <v>6313</v>
      </c>
      <c r="B106" s="2" t="s">
        <v>156</v>
      </c>
      <c r="C106" s="463">
        <f>'0401'!C106+'0402'!C106+'0403'!C106+'405'!C106+'0406'!C106+'0409'!C106+'410-sahara'!C106+'414-Al ghurair'!C106+'415'!C106+'Al Foah_418'!C106+Rak_417!C106+D.C.!C106+'Wafi _419'!C106</f>
        <v>0</v>
      </c>
      <c r="D106" s="467">
        <f t="shared" si="66"/>
        <v>0</v>
      </c>
      <c r="E106" s="463">
        <f>'0401'!E106+'0402'!E106+'0403'!E106+'405'!E106+'0406'!E106+'0409'!E106+'410-sahara'!E106+'414-Al ghurair'!E106+'415'!E106+'Al Foah_418'!E106+Rak_417!E106+D.C.!E106+'Wafi _419'!E106</f>
        <v>0</v>
      </c>
      <c r="F106" s="467">
        <f t="shared" si="66"/>
        <v>0</v>
      </c>
      <c r="G106" s="463">
        <f>'0401'!G106+'0402'!G106+'0403'!G106+'405'!G106+'0406'!G106+'0409'!G106+'410-sahara'!G106+'414-Al ghurair'!G106+'415'!G106+'Al Foah_418'!G106+Rak_417!G106+D.C.!G106+'Wafi _419'!G106</f>
        <v>27688.047992616546</v>
      </c>
      <c r="H106" s="467">
        <f t="shared" ref="H106" si="139">G106/G$12</f>
        <v>1.9644888042516986E-3</v>
      </c>
      <c r="I106" s="463">
        <f>'0401'!I106+'0402'!I106+'0403'!I106+'405'!I106+'0406'!I106+'0409'!I106+'410-sahara'!I106+'414-Al ghurair'!I106+'415'!I106+'Al Foah_418'!I106+Rak_417!I106+D.C.!I106+'Wafi _419'!I106</f>
        <v>0</v>
      </c>
      <c r="J106" s="467">
        <f t="shared" ref="J106" si="140">I106/I$12</f>
        <v>0</v>
      </c>
      <c r="K106" s="463">
        <f>'0401'!K106+'0402'!K106+'0403'!K106+'405'!K106+'0406'!K106+'0409'!K106+'410-sahara'!K106+'414-Al ghurair'!K106+'415'!K106+'Al Foah_418'!K106+Rak_417!K106+D.C.!K106+'Wafi _419'!K106</f>
        <v>27688.047992616546</v>
      </c>
      <c r="L106" s="467">
        <f t="shared" ref="L106" si="141">K106/K$12</f>
        <v>2.432537780827112E-3</v>
      </c>
      <c r="M106" s="463">
        <f>'0401'!M106+'0402'!M106+'0403'!M106+'405'!M106+'0406'!M106+'0409'!M106+'410-sahara'!M106+'414-Al ghurair'!M106+'415'!M106+'Al Foah_418'!M106+Rak_417!M106+D.C.!M106+'Wafi _419'!M106</f>
        <v>0</v>
      </c>
      <c r="N106" s="467">
        <f t="shared" ref="N106" si="142">M106/M$12</f>
        <v>0</v>
      </c>
      <c r="O106" s="463">
        <f>'0401'!O106+'0402'!O106+'0403'!O106+'405'!O106+'0406'!O106+'0409'!O106+'410-sahara'!O106+'414-Al ghurair'!O106+'415'!O106+'Al Foah_418'!O106+Rak_417!O106+D.C.!O106+'Wafi _419'!O106</f>
        <v>0</v>
      </c>
      <c r="P106" s="467">
        <f t="shared" ref="P106" si="143">O106/O$12</f>
        <v>0</v>
      </c>
      <c r="Q106" s="463">
        <f>'0401'!Q106+'0402'!Q106+'0403'!Q106+'405'!Q106+'0406'!Q106+'0409'!Q106+'410-sahara'!Q106+'414-Al ghurair'!Q106+'415'!Q106+'Al Foah_418'!Q106+Rak_417!Q106+D.C.!Q106+'Wafi _419'!Q106</f>
        <v>27688.047992616546</v>
      </c>
      <c r="R106" s="467">
        <f t="shared" ref="R106" si="144">Q106/Q$12</f>
        <v>2.1821154795130036E-3</v>
      </c>
      <c r="S106" s="463">
        <f>'0401'!S106+'0402'!S106+'0403'!S106+'405'!S106+'0406'!S106+'0409'!S106+'410-sahara'!S106+'414-Al ghurair'!S106+'415'!S106+'Al Foah_418'!S106+Rak_417!S106+D.C.!S106+'Wafi _419'!S106</f>
        <v>0</v>
      </c>
      <c r="T106" s="467">
        <f t="shared" ref="T106" si="145">S106/S$12</f>
        <v>0</v>
      </c>
      <c r="U106" s="463">
        <f>'0401'!U106+'0402'!U106+'0403'!U106+'405'!U106+'0406'!U106+'0409'!U106+'410-sahara'!U106+'414-Al ghurair'!U106+'415'!U106+'Al Foah_418'!U106+Rak_417!U106+D.C.!U106+'Wafi _419'!U106</f>
        <v>0</v>
      </c>
      <c r="V106" s="467">
        <f t="shared" ref="V106" si="146">U106/U$12</f>
        <v>0</v>
      </c>
      <c r="W106" s="463">
        <f>'0401'!W106+'0402'!W106+'0403'!W106+'405'!W106+'0406'!W106+'0409'!W106+'410-sahara'!W106+'414-Al ghurair'!W106+'415'!W106+'Al Foah_418'!W106+Rak_417!W106+D.C.!W106+'Wafi _419'!W106</f>
        <v>0</v>
      </c>
      <c r="X106" s="467">
        <f t="shared" ref="X106" si="147">W106/W$12</f>
        <v>0</v>
      </c>
      <c r="Y106" s="463">
        <f>'0401'!Y106+'0402'!Y106+'0403'!Y106+'405'!Y106+'0406'!Y106+'0409'!Y106+'410-sahara'!Y106+'414-Al ghurair'!Y106+'415'!Y106+'Al Foah_418'!Y106+Rak_417!Y106+D.C.!Y106+'Wafi _419'!Y106</f>
        <v>27688.047992616546</v>
      </c>
      <c r="Z106" s="467">
        <f t="shared" ref="Z106" si="148">Y106/Y$12</f>
        <v>1.7767292019148563E-3</v>
      </c>
      <c r="AA106" s="745">
        <f t="shared" si="64"/>
        <v>110752.19197046619</v>
      </c>
      <c r="AB106" s="746">
        <f t="shared" ref="AB106" si="149">AA106/AA$12</f>
        <v>7.6271538981604941E-4</v>
      </c>
      <c r="AC106" s="472">
        <f t="shared" si="65"/>
        <v>9229.3493308721827</v>
      </c>
      <c r="AD106" s="747">
        <f t="shared" ref="AD106" si="150">AC106/AC$12</f>
        <v>7.6271538981604952E-4</v>
      </c>
      <c r="AE106" s="84"/>
      <c r="AF106" s="33"/>
      <c r="AG106" s="33"/>
      <c r="AH106" s="84"/>
      <c r="AI106" s="33"/>
      <c r="AJ106" s="84"/>
    </row>
    <row r="107" spans="1:36" s="1" customFormat="1">
      <c r="A107" s="2">
        <v>6314</v>
      </c>
      <c r="B107" s="2" t="s">
        <v>268</v>
      </c>
      <c r="C107" s="463">
        <f>'0401'!C107+'0402'!C107+'0403'!C107+'405'!C107+'0406'!C107+'0409'!C107+'410-sahara'!C107+'414-Al ghurair'!C107+'415'!C107+'Al Foah_418'!C107+Rak_417!C107+D.C.!C107+'Wafi _419'!C107</f>
        <v>150000</v>
      </c>
      <c r="D107" s="467">
        <f t="shared" si="66"/>
        <v>1.3734633920369931E-2</v>
      </c>
      <c r="E107" s="463">
        <f>'0401'!E107+'0402'!E107+'0403'!E107+'405'!E107+'0406'!E107+'0409'!E107+'410-sahara'!E107+'414-Al ghurair'!E107+'415'!E107+'Al Foah_418'!E107+Rak_417!E107+D.C.!E107+'Wafi _419'!E107</f>
        <v>210000</v>
      </c>
      <c r="F107" s="467">
        <f t="shared" si="66"/>
        <v>2.4715230548027715E-2</v>
      </c>
      <c r="G107" s="463">
        <f>'0401'!G107+'0402'!G107+'0403'!G107+'405'!G107+'0406'!G107+'0409'!G107+'410-sahara'!G107+'414-Al ghurair'!G107+'415'!G107+'Al Foah_418'!G107+Rak_417!G107+D.C.!G107+'Wafi _419'!G107</f>
        <v>162000</v>
      </c>
      <c r="H107" s="467">
        <f t="shared" ref="H107" si="151">G107/G$12</f>
        <v>1.1494027544796254E-2</v>
      </c>
      <c r="I107" s="463">
        <f>'0401'!I107+'0402'!I107+'0403'!I107+'405'!I107+'0406'!I107+'0409'!I107+'410-sahara'!I107+'414-Al ghurair'!I107+'415'!I107+'Al Foah_418'!I107+Rak_417!I107+D.C.!I107+'Wafi _419'!I107</f>
        <v>162000</v>
      </c>
      <c r="J107" s="467">
        <f t="shared" ref="J107" si="152">I107/I$12</f>
        <v>1.3017103215461246E-2</v>
      </c>
      <c r="K107" s="463">
        <f>'0401'!K107+'0402'!K107+'0403'!K107+'405'!K107+'0406'!K107+'0409'!K107+'410-sahara'!K107+'414-Al ghurair'!K107+'415'!K107+'Al Foah_418'!K107+Rak_417!K107+D.C.!K107+'Wafi _419'!K107</f>
        <v>210000</v>
      </c>
      <c r="L107" s="467">
        <f t="shared" ref="L107" si="153">K107/K$12</f>
        <v>1.8449582798683212E-2</v>
      </c>
      <c r="M107" s="463">
        <f>'0401'!M107+'0402'!M107+'0403'!M107+'405'!M107+'0406'!M107+'0409'!M107+'410-sahara'!M107+'414-Al ghurair'!M107+'415'!M107+'Al Foah_418'!M107+Rak_417!M107+D.C.!M107+'Wafi _419'!M107</f>
        <v>162000</v>
      </c>
      <c r="N107" s="467">
        <f t="shared" ref="N107" si="154">M107/M$12</f>
        <v>1.0037146686508869E-2</v>
      </c>
      <c r="O107" s="463">
        <f>'0401'!O107+'0402'!O107+'0403'!O107+'405'!O107+'0406'!O107+'0409'!O107+'410-sahara'!O107+'414-Al ghurair'!O107+'415'!O107+'Al Foah_418'!O107+Rak_417!O107+D.C.!O107+'Wafi _419'!O107</f>
        <v>162000</v>
      </c>
      <c r="P107" s="467">
        <f t="shared" ref="P107" si="155">O107/O$12</f>
        <v>1.5853703274432869E-2</v>
      </c>
      <c r="Q107" s="463">
        <f>'0401'!Q107+'0402'!Q107+'0403'!Q107+'405'!Q107+'0406'!Q107+'0409'!Q107+'410-sahara'!Q107+'414-Al ghurair'!Q107+'415'!Q107+'Al Foah_418'!Q107+Rak_417!Q107+D.C.!Q107+'Wafi _419'!Q107</f>
        <v>210000</v>
      </c>
      <c r="R107" s="467">
        <f t="shared" ref="R107" si="156">Q107/Q$12</f>
        <v>1.6550254854366363E-2</v>
      </c>
      <c r="S107" s="463">
        <f>'0401'!S107+'0402'!S107+'0403'!S107+'405'!S107+'0406'!S107+'0409'!S107+'410-sahara'!S107+'414-Al ghurair'!S107+'415'!S107+'Al Foah_418'!S107+Rak_417!S107+D.C.!S107+'Wafi _419'!S107</f>
        <v>162000</v>
      </c>
      <c r="T107" s="467">
        <f t="shared" ref="T107" si="157">S107/S$12</f>
        <v>1.2673815530613934E-2</v>
      </c>
      <c r="U107" s="463">
        <f>'0401'!U107+'0402'!U107+'0403'!U107+'405'!U107+'0406'!U107+'0409'!U107+'410-sahara'!U107+'414-Al ghurair'!U107+'415'!U107+'Al Foah_418'!U107+Rak_417!U107+D.C.!U107+'Wafi _419'!U107</f>
        <v>162000</v>
      </c>
      <c r="V107" s="467">
        <f t="shared" ref="V107" si="158">U107/U$12</f>
        <v>1.5977951820875868E-2</v>
      </c>
      <c r="W107" s="463">
        <f>'0401'!W107+'0402'!W107+'0403'!W107+'405'!W107+'0406'!W107+'0409'!W107+'410-sahara'!W107+'414-Al ghurair'!W107+'415'!W107+'Al Foah_418'!W107+Rak_417!W107+D.C.!W107+'Wafi _419'!W107</f>
        <v>210000</v>
      </c>
      <c r="X107" s="467">
        <f t="shared" ref="X107" si="159">W107/W$12</f>
        <v>2.0357100797375922E-2</v>
      </c>
      <c r="Y107" s="463">
        <f>'0401'!Y107+'0402'!Y107+'0403'!Y107+'405'!Y107+'0406'!Y107+'0409'!Y107+'410-sahara'!Y107+'414-Al ghurair'!Y107+'415'!Y107+'Al Foah_418'!Y107+Rak_417!Y107+D.C.!Y107+'Wafi _419'!Y107</f>
        <v>162000</v>
      </c>
      <c r="Z107" s="467">
        <f t="shared" ref="Z107" si="160">Y107/Y$12</f>
        <v>1.0395464887483623E-2</v>
      </c>
      <c r="AA107" s="745">
        <f t="shared" si="64"/>
        <v>2124000</v>
      </c>
      <c r="AB107" s="746">
        <f t="shared" ref="AB107" si="161">AA107/AA$12</f>
        <v>1.4627317610122691E-2</v>
      </c>
      <c r="AC107" s="472">
        <f t="shared" si="65"/>
        <v>177000</v>
      </c>
      <c r="AD107" s="747">
        <f t="shared" ref="AD107" si="162">AC107/AC$12</f>
        <v>1.4627317610122691E-2</v>
      </c>
      <c r="AE107" s="84">
        <f t="shared" si="60"/>
        <v>2124000</v>
      </c>
      <c r="AF107" s="33" t="e">
        <f>#REF!+'0401'!#REF!+'0402'!#REF!+'0403'!#REF!+#REF!+'405'!#REF!+'0406'!#REF!+D.C.!#REF!+#REF!+#REF!+'0409'!#REF!</f>
        <v>#REF!</v>
      </c>
      <c r="AG107" s="33" t="e">
        <f t="shared" si="61"/>
        <v>#REF!</v>
      </c>
      <c r="AH107" s="84">
        <f t="shared" si="62"/>
        <v>0</v>
      </c>
      <c r="AI107" s="33">
        <f>'0401'!AA107+'0402'!AA107+'0403'!AA107+'405'!AA107+'0406'!AA107+'0409'!AA107+'410-sahara'!AA107+'414-Al ghurair'!AA107+'415'!AA107+'Al Foah_418'!AA107+Rak_417!AA107+D.C.!AA107</f>
        <v>1947000</v>
      </c>
      <c r="AJ107" s="84">
        <f t="shared" si="63"/>
        <v>177000</v>
      </c>
    </row>
    <row r="108" spans="1:36" s="1" customFormat="1">
      <c r="A108" s="2">
        <v>6315</v>
      </c>
      <c r="B108" s="2" t="s">
        <v>323</v>
      </c>
      <c r="C108" s="463">
        <f>'0401'!C108+'0402'!C108+'0403'!C108+'405'!C108+'0406'!C108+'0409'!C108+'410-sahara'!C108+'414-Al ghurair'!C108+'415'!C108+'Al Foah_418'!C108+Rak_417!C108+D.C.!C108+'Wafi _419'!C108</f>
        <v>0</v>
      </c>
      <c r="D108" s="467">
        <f t="shared" si="66"/>
        <v>0</v>
      </c>
      <c r="E108" s="463">
        <f>'0401'!E108+'0402'!E108+'0403'!E108+'405'!E108+'0406'!E108+'0409'!E108+'410-sahara'!E108+'414-Al ghurair'!E108+'415'!E108+'Al Foah_418'!E108+Rak_417!E108+D.C.!E108+'Wafi _419'!E108</f>
        <v>39674</v>
      </c>
      <c r="F108" s="467">
        <f t="shared" si="66"/>
        <v>4.6692955083926261E-3</v>
      </c>
      <c r="G108" s="463">
        <f>'0401'!G108+'0402'!G108+'0403'!G108+'405'!G108+'0406'!G108+'0409'!G108+'410-sahara'!G108+'414-Al ghurair'!G108+'415'!G108+'Al Foah_418'!G108+Rak_417!G108+D.C.!G108+'Wafi _419'!G108</f>
        <v>54174</v>
      </c>
      <c r="H108" s="467">
        <f t="shared" ref="H108" si="163">G108/G$12</f>
        <v>3.8436879519246434E-3</v>
      </c>
      <c r="I108" s="463">
        <f>'0401'!I108+'0402'!I108+'0403'!I108+'405'!I108+'0406'!I108+'0409'!I108+'410-sahara'!I108+'414-Al ghurair'!I108+'415'!I108+'Al Foah_418'!I108+Rak_417!I108+D.C.!I108+'Wafi _419'!I108</f>
        <v>39674</v>
      </c>
      <c r="J108" s="467">
        <f t="shared" ref="J108" si="164">I108/I$12</f>
        <v>3.1879046479642561E-3</v>
      </c>
      <c r="K108" s="463">
        <f>'0401'!K108+'0402'!K108+'0403'!K108+'405'!K108+'0406'!K108+'0409'!K108+'410-sahara'!K108+'414-Al ghurair'!K108+'415'!K108+'Al Foah_418'!K108+Rak_417!K108+D.C.!K108+'Wafi _419'!K108</f>
        <v>14500</v>
      </c>
      <c r="L108" s="467">
        <f t="shared" ref="L108" si="165">K108/K$12</f>
        <v>1.2738997646709836E-3</v>
      </c>
      <c r="M108" s="463">
        <f>'0401'!M108+'0402'!M108+'0403'!M108+'405'!M108+'0406'!M108+'0409'!M108+'410-sahara'!M108+'414-Al ghurair'!M108+'415'!M108+'Al Foah_418'!M108+Rak_417!M108+D.C.!M108+'Wafi _419'!M108</f>
        <v>0</v>
      </c>
      <c r="N108" s="467">
        <f t="shared" ref="N108" si="166">M108/M$12</f>
        <v>0</v>
      </c>
      <c r="O108" s="463">
        <f>'0401'!O108+'0402'!O108+'0403'!O108+'405'!O108+'0406'!O108+'0409'!O108+'410-sahara'!O108+'414-Al ghurair'!O108+'415'!O108+'Al Foah_418'!O108+Rak_417!O108+D.C.!O108+'Wafi _419'!O108</f>
        <v>10125</v>
      </c>
      <c r="P108" s="467">
        <f t="shared" ref="P108" si="167">O108/O$12</f>
        <v>9.9085645465205431E-4</v>
      </c>
      <c r="Q108" s="463">
        <f>'0401'!Q108+'0402'!Q108+'0403'!Q108+'405'!Q108+'0406'!Q108+'0409'!Q108+'410-sahara'!Q108+'414-Al ghurair'!Q108+'415'!Q108+'Al Foah_418'!Q108+Rak_417!Q108+D.C.!Q108+'Wafi _419'!Q108</f>
        <v>14500</v>
      </c>
      <c r="R108" s="467">
        <f t="shared" ref="R108" si="168">Q108/Q$12</f>
        <v>1.1427556923252963E-3</v>
      </c>
      <c r="S108" s="463">
        <f>'0401'!S108+'0402'!S108+'0403'!S108+'405'!S108+'0406'!S108+'0409'!S108+'410-sahara'!S108+'414-Al ghurair'!S108+'415'!S108+'Al Foah_418'!S108+Rak_417!S108+D.C.!S108+'Wafi _419'!S108</f>
        <v>0</v>
      </c>
      <c r="T108" s="467">
        <f t="shared" ref="T108" si="169">S108/S$12</f>
        <v>0</v>
      </c>
      <c r="U108" s="463">
        <f>'0401'!U108+'0402'!U108+'0403'!U108+'405'!U108+'0406'!U108+'0409'!U108+'410-sahara'!U108+'414-Al ghurair'!U108+'415'!U108+'Al Foah_418'!U108+Rak_417!U108+D.C.!U108+'Wafi _419'!U108</f>
        <v>10125</v>
      </c>
      <c r="V108" s="467">
        <f t="shared" ref="V108" si="170">U108/U$12</f>
        <v>9.9862198880474175E-4</v>
      </c>
      <c r="W108" s="463">
        <f>'0401'!W108+'0402'!W108+'0403'!W108+'405'!W108+'0406'!W108+'0409'!W108+'410-sahara'!W108+'414-Al ghurair'!W108+'415'!W108+'Al Foah_418'!W108+Rak_417!W108+D.C.!W108+'Wafi _419'!W108</f>
        <v>0</v>
      </c>
      <c r="X108" s="467">
        <f t="shared" ref="X108" si="171">W108/W$12</f>
        <v>0</v>
      </c>
      <c r="Y108" s="463">
        <f>'0401'!Y108+'0402'!Y108+'0403'!Y108+'405'!Y108+'0406'!Y108+'0409'!Y108+'410-sahara'!Y108+'414-Al ghurair'!Y108+'415'!Y108+'Al Foah_418'!Y108+Rak_417!Y108+D.C.!Y108+'Wafi _419'!Y108</f>
        <v>14500</v>
      </c>
      <c r="Z108" s="467">
        <f t="shared" ref="Z108" si="172">Y108/Y$12</f>
        <v>9.3045827696612668E-4</v>
      </c>
      <c r="AA108" s="745">
        <f t="shared" si="64"/>
        <v>197272</v>
      </c>
      <c r="AB108" s="746">
        <f t="shared" ref="AB108" si="173">AA108/AA$12</f>
        <v>1.3585499998042014E-3</v>
      </c>
      <c r="AC108" s="472">
        <f t="shared" si="65"/>
        <v>16439.333333333332</v>
      </c>
      <c r="AD108" s="747">
        <f t="shared" ref="AD108" si="174">AC108/AC$12</f>
        <v>1.3585499998042011E-3</v>
      </c>
      <c r="AE108" s="686"/>
      <c r="AF108" s="33"/>
      <c r="AG108" s="33"/>
      <c r="AH108" s="686"/>
      <c r="AI108" s="33"/>
      <c r="AJ108" s="686"/>
    </row>
    <row r="109" spans="1:36" s="1" customFormat="1">
      <c r="A109" s="2">
        <v>6316</v>
      </c>
      <c r="B109" s="2" t="s">
        <v>324</v>
      </c>
      <c r="C109" s="463">
        <f>'0401'!C109+'0402'!C109+'0403'!C109+'405'!C109+'0406'!C109+'0409'!C109+'410-sahara'!C109+'414-Al ghurair'!C109+'415'!C109+'Al Foah_418'!C109+Rak_417!C109+D.C.!C109+'Wafi _419'!C109</f>
        <v>0</v>
      </c>
      <c r="D109" s="467">
        <f t="shared" si="66"/>
        <v>0</v>
      </c>
      <c r="E109" s="463">
        <f>'0401'!E109+'0402'!E109+'0403'!E109+'405'!E109+'0406'!E109+'0409'!E109+'410-sahara'!E109+'414-Al ghurair'!E109+'415'!E109+'Al Foah_418'!E109+Rak_417!E109+D.C.!E109+'Wafi _419'!E109</f>
        <v>85549.999999999985</v>
      </c>
      <c r="F109" s="467">
        <f t="shared" si="66"/>
        <v>1.0068514158970336E-2</v>
      </c>
      <c r="G109" s="463">
        <f>'0401'!G109+'0402'!G109+'0403'!G109+'405'!G109+'0406'!G109+'0409'!G109+'410-sahara'!G109+'414-Al ghurair'!G109+'415'!G109+'Al Foah_418'!G109+Rak_417!G109+D.C.!G109+'Wafi _419'!G109</f>
        <v>0</v>
      </c>
      <c r="H109" s="467">
        <f t="shared" ref="H109" si="175">G109/G$12</f>
        <v>0</v>
      </c>
      <c r="I109" s="463">
        <f>'0401'!I109+'0402'!I109+'0403'!I109+'405'!I109+'0406'!I109+'0409'!I109+'410-sahara'!I109+'414-Al ghurair'!I109+'415'!I109+'Al Foah_418'!I109+Rak_417!I109+D.C.!I109+'Wafi _419'!I109</f>
        <v>0</v>
      </c>
      <c r="J109" s="467">
        <f t="shared" ref="J109" si="176">I109/I$12</f>
        <v>0</v>
      </c>
      <c r="K109" s="463">
        <f>'0401'!K109+'0402'!K109+'0403'!K109+'405'!K109+'0406'!K109+'0409'!K109+'410-sahara'!K109+'414-Al ghurair'!K109+'415'!K109+'Al Foah_418'!K109+Rak_417!K109+D.C.!K109+'Wafi _419'!K109</f>
        <v>75000</v>
      </c>
      <c r="L109" s="467">
        <f t="shared" ref="L109" si="177">K109/K$12</f>
        <v>6.5891367138154328E-3</v>
      </c>
      <c r="M109" s="463">
        <f>'0401'!M109+'0402'!M109+'0403'!M109+'405'!M109+'0406'!M109+'0409'!M109+'410-sahara'!M109+'414-Al ghurair'!M109+'415'!M109+'Al Foah_418'!M109+Rak_417!M109+D.C.!M109+'Wafi _419'!M109</f>
        <v>28500</v>
      </c>
      <c r="N109" s="467">
        <f t="shared" ref="N109" si="178">M109/M$12</f>
        <v>1.7657943244784122E-3</v>
      </c>
      <c r="O109" s="463">
        <f>'0401'!O109+'0402'!O109+'0403'!O109+'405'!O109+'0406'!O109+'0409'!O109+'410-sahara'!O109+'414-Al ghurair'!O109+'415'!O109+'Al Foah_418'!O109+Rak_417!O109+D.C.!O109+'Wafi _419'!O109</f>
        <v>0</v>
      </c>
      <c r="P109" s="467">
        <f t="shared" ref="P109" si="179">O109/O$12</f>
        <v>0</v>
      </c>
      <c r="Q109" s="463">
        <f>'0401'!Q109+'0402'!Q109+'0403'!Q109+'405'!Q109+'0406'!Q109+'0409'!Q109+'410-sahara'!Q109+'414-Al ghurair'!Q109+'415'!Q109+'Al Foah_418'!Q109+Rak_417!Q109+D.C.!Q109+'Wafi _419'!Q109</f>
        <v>99849.999999999985</v>
      </c>
      <c r="R109" s="467">
        <f t="shared" ref="R109" si="180">Q109/Q$12</f>
        <v>7.8692521295641946E-3</v>
      </c>
      <c r="S109" s="463">
        <f>'0401'!S109+'0402'!S109+'0403'!S109+'405'!S109+'0406'!S109+'0409'!S109+'410-sahara'!S109+'414-Al ghurair'!S109+'415'!S109+'Al Foah_418'!S109+Rak_417!S109+D.C.!S109+'Wafi _419'!S109</f>
        <v>28500</v>
      </c>
      <c r="T109" s="467">
        <f t="shared" ref="T109" si="181">S109/S$12</f>
        <v>2.2296527322376368E-3</v>
      </c>
      <c r="U109" s="463">
        <f>'0401'!U109+'0402'!U109+'0403'!U109+'405'!U109+'0406'!U109+'0409'!U109+'410-sahara'!U109+'414-Al ghurair'!U109+'415'!U109+'Al Foah_418'!U109+Rak_417!U109+D.C.!U109+'Wafi _419'!U109</f>
        <v>45700</v>
      </c>
      <c r="V109" s="467">
        <f t="shared" ref="V109" si="182">U109/U$12</f>
        <v>4.5073604828026366E-3</v>
      </c>
      <c r="W109" s="463">
        <f>'0401'!W109+'0402'!W109+'0403'!W109+'405'!W109+'0406'!W109+'0409'!W109+'410-sahara'!W109+'414-Al ghurair'!W109+'415'!W109+'Al Foah_418'!W109+Rak_417!W109+D.C.!W109+'Wafi _419'!W109</f>
        <v>0</v>
      </c>
      <c r="X109" s="467">
        <f t="shared" ref="X109" si="183">W109/W$12</f>
        <v>0</v>
      </c>
      <c r="Y109" s="463">
        <f>'0401'!Y109+'0402'!Y109+'0403'!Y109+'405'!Y109+'0406'!Y109+'0409'!Y109+'410-sahara'!Y109+'414-Al ghurair'!Y109+'415'!Y109+'Al Foah_418'!Y109+Rak_417!Y109+D.C.!Y109+'Wafi _419'!Y109</f>
        <v>0</v>
      </c>
      <c r="Z109" s="467">
        <f t="shared" ref="Z109" si="184">Y109/Y$12</f>
        <v>0</v>
      </c>
      <c r="AA109" s="745">
        <f t="shared" si="64"/>
        <v>363100</v>
      </c>
      <c r="AB109" s="746">
        <f t="shared" ref="AB109" si="185">AA109/AA$12</f>
        <v>2.5005550961560963E-3</v>
      </c>
      <c r="AC109" s="472">
        <f t="shared" si="65"/>
        <v>30258.333333333332</v>
      </c>
      <c r="AD109" s="747">
        <f t="shared" ref="AD109" si="186">AC109/AC$12</f>
        <v>2.5005550961560968E-3</v>
      </c>
      <c r="AE109" s="686"/>
      <c r="AF109" s="33"/>
      <c r="AG109" s="33"/>
      <c r="AH109" s="686"/>
      <c r="AI109" s="33"/>
      <c r="AJ109" s="686"/>
    </row>
    <row r="110" spans="1:36" s="1" customFormat="1">
      <c r="A110" s="2">
        <v>6317</v>
      </c>
      <c r="B110" s="2" t="s">
        <v>325</v>
      </c>
      <c r="C110" s="463">
        <f>'0401'!C110+'0402'!C110+'0403'!C110+'405'!C110+'0406'!C110+'0409'!C110+'410-sahara'!C110+'414-Al ghurair'!C110+'415'!C110+'Al Foah_418'!C110+Rak_417!C110+D.C.!C110+'Wafi _419'!C110</f>
        <v>0</v>
      </c>
      <c r="D110" s="467">
        <f t="shared" si="66"/>
        <v>0</v>
      </c>
      <c r="E110" s="463">
        <f>'0401'!E110+'0402'!E110+'0403'!E110+'405'!E110+'0406'!E110+'0409'!E110+'410-sahara'!E110+'414-Al ghurair'!E110+'415'!E110+'Al Foah_418'!E110+Rak_417!E110+D.C.!E110+'Wafi _419'!E110</f>
        <v>28825</v>
      </c>
      <c r="F110" s="467">
        <f t="shared" si="66"/>
        <v>3.3924596216518997E-3</v>
      </c>
      <c r="G110" s="463">
        <f>'0401'!G110+'0402'!G110+'0403'!G110+'405'!G110+'0406'!G110+'0409'!G110+'410-sahara'!G110+'414-Al ghurair'!G110+'415'!G110+'Al Foah_418'!G110+Rak_417!G110+D.C.!G110+'Wafi _419'!G110</f>
        <v>0</v>
      </c>
      <c r="H110" s="467">
        <f t="shared" ref="H110" si="187">G110/G$12</f>
        <v>0</v>
      </c>
      <c r="I110" s="463">
        <f>'0401'!I110+'0402'!I110+'0403'!I110+'405'!I110+'0406'!I110+'0409'!I110+'410-sahara'!I110+'414-Al ghurair'!I110+'415'!I110+'Al Foah_418'!I110+Rak_417!I110+D.C.!I110+'Wafi _419'!I110</f>
        <v>185745</v>
      </c>
      <c r="J110" s="467">
        <f t="shared" ref="J110" si="188">I110/I$12</f>
        <v>1.4925073066394132E-2</v>
      </c>
      <c r="K110" s="463">
        <f>'0401'!K110+'0402'!K110+'0403'!K110+'405'!K110+'0406'!K110+'0409'!K110+'410-sahara'!K110+'414-Al ghurair'!K110+'415'!K110+'Al Foah_418'!K110+Rak_417!K110+D.C.!K110+'Wafi _419'!K110</f>
        <v>32825</v>
      </c>
      <c r="L110" s="467">
        <f t="shared" ref="L110" si="189">K110/K$12</f>
        <v>2.8838455017465544E-3</v>
      </c>
      <c r="M110" s="463">
        <f>'0401'!M110+'0402'!M110+'0403'!M110+'405'!M110+'0406'!M110+'0409'!M110+'410-sahara'!M110+'414-Al ghurair'!M110+'415'!M110+'Al Foah_418'!M110+Rak_417!M110+D.C.!M110+'Wafi _419'!M110</f>
        <v>0</v>
      </c>
      <c r="N110" s="467">
        <f t="shared" ref="N110" si="190">M110/M$12</f>
        <v>0</v>
      </c>
      <c r="O110" s="463">
        <f>'0401'!O110+'0402'!O110+'0403'!O110+'405'!O110+'0406'!O110+'0409'!O110+'410-sahara'!O110+'414-Al ghurair'!O110+'415'!O110+'Al Foah_418'!O110+Rak_417!O110+D.C.!O110+'Wafi _419'!O110</f>
        <v>0</v>
      </c>
      <c r="P110" s="467">
        <f t="shared" ref="P110" si="191">O110/O$12</f>
        <v>0</v>
      </c>
      <c r="Q110" s="463">
        <f>'0401'!Q110+'0402'!Q110+'0403'!Q110+'405'!Q110+'0406'!Q110+'0409'!Q110+'410-sahara'!Q110+'414-Al ghurair'!Q110+'415'!Q110+'Al Foah_418'!Q110+Rak_417!Q110+D.C.!Q110+'Wafi _419'!Q110</f>
        <v>118005</v>
      </c>
      <c r="R110" s="467">
        <f t="shared" ref="R110" si="192">Q110/Q$12</f>
        <v>9.3000610670928695E-3</v>
      </c>
      <c r="S110" s="463">
        <f>'0401'!S110+'0402'!S110+'0403'!S110+'405'!S110+'0406'!S110+'0409'!S110+'410-sahara'!S110+'414-Al ghurair'!S110+'415'!S110+'Al Foah_418'!S110+Rak_417!S110+D.C.!S110+'Wafi _419'!S110</f>
        <v>0</v>
      </c>
      <c r="T110" s="467">
        <f t="shared" ref="T110" si="193">S110/S$12</f>
        <v>0</v>
      </c>
      <c r="U110" s="463">
        <f>'0401'!U110+'0402'!U110+'0403'!U110+'405'!U110+'0406'!U110+'0409'!U110+'410-sahara'!U110+'414-Al ghurair'!U110+'415'!U110+'Al Foah_418'!U110+Rak_417!U110+D.C.!U110+'Wafi _419'!U110</f>
        <v>28825</v>
      </c>
      <c r="V110" s="467">
        <f t="shared" ref="V110" si="194">U110/U$12</f>
        <v>2.8429905014614003E-3</v>
      </c>
      <c r="W110" s="463">
        <f>'0401'!W110+'0402'!W110+'0403'!W110+'405'!W110+'0406'!W110+'0409'!W110+'410-sahara'!W110+'414-Al ghurair'!W110+'415'!W110+'Al Foah_418'!W110+Rak_417!W110+D.C.!W110+'Wafi _419'!W110</f>
        <v>0</v>
      </c>
      <c r="X110" s="467">
        <f t="shared" ref="X110" si="195">W110/W$12</f>
        <v>0</v>
      </c>
      <c r="Y110" s="463">
        <f>'0401'!Y110+'0402'!Y110+'0403'!Y110+'405'!Y110+'0406'!Y110+'0409'!Y110+'410-sahara'!Y110+'414-Al ghurair'!Y110+'415'!Y110+'Al Foah_418'!Y110+Rak_417!Y110+D.C.!Y110+'Wafi _419'!Y110</f>
        <v>0</v>
      </c>
      <c r="Z110" s="467">
        <f t="shared" ref="Z110" si="196">Y110/Y$12</f>
        <v>0</v>
      </c>
      <c r="AA110" s="745">
        <f t="shared" si="64"/>
        <v>394225</v>
      </c>
      <c r="AB110" s="746">
        <f t="shared" ref="AB110" si="197">AA110/AA$12</f>
        <v>2.7149031472931346E-3</v>
      </c>
      <c r="AC110" s="472">
        <f t="shared" si="65"/>
        <v>32852.083333333336</v>
      </c>
      <c r="AD110" s="747">
        <f t="shared" ref="AD110" si="198">AC110/AC$12</f>
        <v>2.714903147293135E-3</v>
      </c>
      <c r="AE110" s="686"/>
      <c r="AF110" s="33"/>
      <c r="AG110" s="33"/>
      <c r="AH110" s="686"/>
      <c r="AI110" s="33"/>
      <c r="AJ110" s="686"/>
    </row>
    <row r="111" spans="1:36" s="1" customFormat="1">
      <c r="A111" s="2">
        <v>6318</v>
      </c>
      <c r="B111" s="2" t="s">
        <v>326</v>
      </c>
      <c r="C111" s="463">
        <f>'0401'!C111+'0402'!C111+'0403'!C111+'405'!C111+'0406'!C111+'0409'!C111+'410-sahara'!C111+'414-Al ghurair'!C111+'415'!C111+'Al Foah_418'!C111+Rak_417!C111+D.C.!C111+'Wafi _419'!C111</f>
        <v>6660</v>
      </c>
      <c r="D111" s="467">
        <f t="shared" si="66"/>
        <v>6.0981774606442499E-4</v>
      </c>
      <c r="E111" s="463">
        <f>'0401'!E111+'0402'!E111+'0403'!E111+'405'!E111+'0406'!E111+'0409'!E111+'410-sahara'!E111+'414-Al ghurair'!E111+'415'!E111+'Al Foah_418'!E111+Rak_417!E111+D.C.!E111+'Wafi _419'!E111</f>
        <v>6660</v>
      </c>
      <c r="F111" s="467">
        <f t="shared" si="66"/>
        <v>7.8382588309459326E-4</v>
      </c>
      <c r="G111" s="463">
        <f>'0401'!G111+'0402'!G111+'0403'!G111+'405'!G111+'0406'!G111+'0409'!G111+'410-sahara'!G111+'414-Al ghurair'!G111+'415'!G111+'Al Foah_418'!G111+Rak_417!G111+D.C.!G111+'Wafi _419'!G111</f>
        <v>6660</v>
      </c>
      <c r="H111" s="467">
        <f t="shared" ref="H111" si="199">G111/G$12</f>
        <v>4.7253224350829042E-4</v>
      </c>
      <c r="I111" s="463">
        <f>'0401'!I111+'0402'!I111+'0403'!I111+'405'!I111+'0406'!I111+'0409'!I111+'410-sahara'!I111+'414-Al ghurair'!I111+'415'!I111+'Al Foah_418'!I111+Rak_417!I111+D.C.!I111+'Wafi _419'!I111</f>
        <v>6660</v>
      </c>
      <c r="J111" s="467">
        <f t="shared" ref="J111" si="200">I111/I$12</f>
        <v>5.3514757663562903E-4</v>
      </c>
      <c r="K111" s="463">
        <f>'0401'!K111+'0402'!K111+'0403'!K111+'405'!K111+'0406'!K111+'0409'!K111+'410-sahara'!K111+'414-Al ghurair'!K111+'415'!K111+'Al Foah_418'!K111+Rak_417!K111+D.C.!K111+'Wafi _419'!K111</f>
        <v>6660</v>
      </c>
      <c r="L111" s="467">
        <f t="shared" ref="L111" si="201">K111/K$12</f>
        <v>5.8511534018681045E-4</v>
      </c>
      <c r="M111" s="463">
        <f>'0401'!M111+'0402'!M111+'0403'!M111+'405'!M111+'0406'!M111+'0409'!M111+'410-sahara'!M111+'414-Al ghurair'!M111+'415'!M111+'Al Foah_418'!M111+Rak_417!M111+D.C.!M111+'Wafi _419'!M111</f>
        <v>6660</v>
      </c>
      <c r="N111" s="467">
        <f t="shared" ref="N111" si="202">M111/M$12</f>
        <v>4.1263825266758683E-4</v>
      </c>
      <c r="O111" s="463">
        <f>'0401'!O111+'0402'!O111+'0403'!O111+'405'!O111+'0406'!O111+'0409'!O111+'410-sahara'!O111+'414-Al ghurair'!O111+'415'!O111+'Al Foah_418'!O111+Rak_417!O111+D.C.!O111+'Wafi _419'!O111</f>
        <v>6660</v>
      </c>
      <c r="P111" s="467">
        <f t="shared" ref="P111" si="203">O111/O$12</f>
        <v>6.5176335683779572E-4</v>
      </c>
      <c r="Q111" s="463">
        <f>'0401'!Q111+'0402'!Q111+'0403'!Q111+'405'!Q111+'0406'!Q111+'0409'!Q111+'410-sahara'!Q111+'414-Al ghurair'!Q111+'415'!Q111+'Al Foah_418'!Q111+Rak_417!Q111+D.C.!Q111+'Wafi _419'!Q111</f>
        <v>6660</v>
      </c>
      <c r="R111" s="467">
        <f t="shared" ref="R111" si="204">Q111/Q$12</f>
        <v>5.2487951109561886E-4</v>
      </c>
      <c r="S111" s="463">
        <f>'0401'!S111+'0402'!S111+'0403'!S111+'405'!S111+'0406'!S111+'0409'!S111+'410-sahara'!S111+'414-Al ghurair'!S111+'415'!S111+'Al Foah_418'!S111+Rak_417!S111+D.C.!S111+'Wafi _419'!S111</f>
        <v>6660</v>
      </c>
      <c r="T111" s="467">
        <f t="shared" ref="T111" si="205">S111/S$12</f>
        <v>5.2103463848079512E-4</v>
      </c>
      <c r="U111" s="463">
        <f>'0401'!U111+'0402'!U111+'0403'!U111+'405'!U111+'0406'!U111+'0409'!U111+'410-sahara'!U111+'414-Al ghurair'!U111+'415'!U111+'Al Foah_418'!U111+Rak_417!U111+D.C.!U111+'Wafi _419'!U111</f>
        <v>6660</v>
      </c>
      <c r="V111" s="467">
        <f t="shared" ref="V111" si="206">U111/U$12</f>
        <v>6.5687135263600791E-4</v>
      </c>
      <c r="W111" s="463">
        <f>'0401'!W111+'0402'!W111+'0403'!W111+'405'!W111+'0406'!W111+'0409'!W111+'410-sahara'!W111+'414-Al ghurair'!W111+'415'!W111+'Al Foah_418'!W111+Rak_417!W111+D.C.!W111+'Wafi _419'!W111</f>
        <v>6660</v>
      </c>
      <c r="X111" s="467">
        <f t="shared" ref="X111" si="207">W111/W$12</f>
        <v>6.4561091100249351E-4</v>
      </c>
      <c r="Y111" s="463">
        <f>'0401'!Y111+'0402'!Y111+'0403'!Y111+'405'!Y111+'0406'!Y111+'0409'!Y111+'410-sahara'!Y111+'414-Al ghurair'!Y111+'415'!Y111+'Al Foah_418'!Y111+Rak_417!Y111+D.C.!Y111+'Wafi _419'!Y111</f>
        <v>6660</v>
      </c>
      <c r="Z111" s="467">
        <f t="shared" ref="Z111" si="208">Y111/Y$12</f>
        <v>4.2736911204099338E-4</v>
      </c>
      <c r="AA111" s="745">
        <f t="shared" si="64"/>
        <v>79920</v>
      </c>
      <c r="AB111" s="746">
        <f t="shared" ref="AB111" si="209">AA111/AA$12</f>
        <v>5.5038381516054875E-4</v>
      </c>
      <c r="AC111" s="472">
        <f t="shared" si="65"/>
        <v>6660</v>
      </c>
      <c r="AD111" s="747">
        <f t="shared" ref="AD111" si="210">AC111/AC$12</f>
        <v>5.5038381516054875E-4</v>
      </c>
      <c r="AE111" s="686"/>
      <c r="AF111" s="33"/>
      <c r="AG111" s="33"/>
      <c r="AH111" s="686"/>
      <c r="AI111" s="33"/>
      <c r="AJ111" s="686"/>
    </row>
    <row r="112" spans="1:36" s="1" customFormat="1">
      <c r="A112" s="2">
        <v>6319</v>
      </c>
      <c r="B112" s="2" t="s">
        <v>327</v>
      </c>
      <c r="C112" s="463">
        <f>'0401'!C112+'0402'!C112+'0403'!C112+'405'!C112+'0406'!C112+'0409'!C112+'410-sahara'!C112+'414-Al ghurair'!C112+'415'!C112+'Al Foah_418'!C112+Rak_417!C112+D.C.!C112+'Wafi _419'!C112</f>
        <v>0</v>
      </c>
      <c r="D112" s="467">
        <f t="shared" si="66"/>
        <v>0</v>
      </c>
      <c r="E112" s="463">
        <f>'0401'!E112+'0402'!E112+'0403'!E112+'405'!E112+'0406'!E112+'0409'!E112+'410-sahara'!E112+'414-Al ghurair'!E112+'415'!E112+'Al Foah_418'!E112+Rak_417!E112+D.C.!E112+'Wafi _419'!E112</f>
        <v>44166.666666666715</v>
      </c>
      <c r="F112" s="467">
        <f t="shared" si="66"/>
        <v>5.1980445200217077E-3</v>
      </c>
      <c r="G112" s="463">
        <f>'0401'!G112+'0402'!G112+'0403'!G112+'405'!G112+'0406'!G112+'0409'!G112+'410-sahara'!G112+'414-Al ghurair'!G112+'415'!G112+'Al Foah_418'!G112+Rak_417!G112+D.C.!G112+'Wafi _419'!G112</f>
        <v>44166.666666666715</v>
      </c>
      <c r="H112" s="467">
        <f t="shared" ref="H112" si="211">G112/G$12</f>
        <v>3.1336597730154429E-3</v>
      </c>
      <c r="I112" s="463">
        <f>'0401'!I112+'0402'!I112+'0403'!I112+'405'!I112+'0406'!I112+'0409'!I112+'410-sahara'!I112+'414-Al ghurair'!I112+'415'!I112+'Al Foah_418'!I112+Rak_417!I112+D.C.!I112+'Wafi _419'!I112</f>
        <v>44166.666666666715</v>
      </c>
      <c r="J112" s="467">
        <f t="shared" ref="J112" si="212">I112/I$12</f>
        <v>3.5489015968078541E-3</v>
      </c>
      <c r="K112" s="463">
        <f>'0401'!K112+'0402'!K112+'0403'!K112+'405'!K112+'0406'!K112+'0409'!K112+'410-sahara'!K112+'414-Al ghurair'!K112+'415'!K112+'Al Foah_418'!K112+Rak_417!K112+D.C.!K112+'Wafi _419'!K112</f>
        <v>44166.666666666715</v>
      </c>
      <c r="L112" s="467">
        <f t="shared" ref="L112" si="213">K112/K$12</f>
        <v>3.8802693981357592E-3</v>
      </c>
      <c r="M112" s="463">
        <f>'0401'!M112+'0402'!M112+'0403'!M112+'405'!M112+'0406'!M112+'0409'!M112+'410-sahara'!M112+'414-Al ghurair'!M112+'415'!M112+'Al Foah_418'!M112+Rak_417!M112+D.C.!M112+'Wafi _419'!M112</f>
        <v>0</v>
      </c>
      <c r="N112" s="467">
        <f t="shared" ref="N112" si="214">M112/M$12</f>
        <v>0</v>
      </c>
      <c r="O112" s="463">
        <f>'0401'!O112+'0402'!O112+'0403'!O112+'405'!O112+'0406'!O112+'0409'!O112+'410-sahara'!O112+'414-Al ghurair'!O112+'415'!O112+'Al Foah_418'!O112+Rak_417!O112+D.C.!O112+'Wafi _419'!O112</f>
        <v>44166.666666666715</v>
      </c>
      <c r="P112" s="467">
        <f t="shared" ref="P112" si="215">O112/O$12</f>
        <v>4.3222544935439455E-3</v>
      </c>
      <c r="Q112" s="463">
        <f>'0401'!Q112+'0402'!Q112+'0403'!Q112+'405'!Q112+'0406'!Q112+'0409'!Q112+'410-sahara'!Q112+'414-Al ghurair'!Q112+'415'!Q112+'Al Foah_418'!Q112+Rak_417!Q112+D.C.!Q112+'Wafi _419'!Q112</f>
        <v>44166.666666666715</v>
      </c>
      <c r="R112" s="467">
        <f t="shared" ref="R112" si="216">Q112/Q$12</f>
        <v>3.4808075685770559E-3</v>
      </c>
      <c r="S112" s="463">
        <f>'0401'!S112+'0402'!S112+'0403'!S112+'405'!S112+'0406'!S112+'0409'!S112+'410-sahara'!S112+'414-Al ghurair'!S112+'415'!S112+'Al Foah_418'!S112+Rak_417!S112+D.C.!S112+'Wafi _419'!S112</f>
        <v>44166.666666666715</v>
      </c>
      <c r="T112" s="467">
        <f t="shared" ref="T112" si="217">S112/S$12</f>
        <v>3.4553097897249961E-3</v>
      </c>
      <c r="U112" s="463">
        <f>'0401'!U112+'0402'!U112+'0403'!U112+'405'!U112+'0406'!U112+'0409'!U112+'410-sahara'!U112+'414-Al ghurair'!U112+'415'!U112+'Al Foah_418'!U112+Rak_417!U112+D.C.!U112+'Wafi _419'!U112</f>
        <v>44166.666666666715</v>
      </c>
      <c r="V112" s="467">
        <f t="shared" ref="V112" si="218">U112/U$12</f>
        <v>4.3561288400536108E-3</v>
      </c>
      <c r="W112" s="463">
        <f>'0401'!W112+'0402'!W112+'0403'!W112+'405'!W112+'0406'!W112+'0409'!W112+'410-sahara'!W112+'414-Al ghurair'!W112+'415'!W112+'Al Foah_418'!W112+Rak_417!W112+D.C.!W112+'Wafi _419'!W112</f>
        <v>44166.666666666715</v>
      </c>
      <c r="X112" s="467">
        <f t="shared" ref="X112" si="219">W112/W$12</f>
        <v>4.2814537391306553E-3</v>
      </c>
      <c r="Y112" s="463">
        <f>'0401'!Y112+'0402'!Y112+'0403'!Y112+'405'!Y112+'0406'!Y112+'0409'!Y112+'410-sahara'!Y112+'414-Al ghurair'!Y112+'415'!Y112+'Al Foah_418'!Y112+Rak_417!Y112+D.C.!Y112+'Wafi _419'!Y112</f>
        <v>44166.666666666715</v>
      </c>
      <c r="Z112" s="467">
        <f t="shared" ref="Z112" si="220">Y112/Y$12</f>
        <v>2.8341545217933778E-3</v>
      </c>
      <c r="AA112" s="745">
        <f t="shared" si="64"/>
        <v>441666.66666666721</v>
      </c>
      <c r="AB112" s="746">
        <f t="shared" ref="AB112" si="221">AA112/AA$12</f>
        <v>3.0416189317973305E-3</v>
      </c>
      <c r="AC112" s="472">
        <f t="shared" si="65"/>
        <v>36805.555555555598</v>
      </c>
      <c r="AD112" s="747">
        <f t="shared" ref="AD112" si="222">AC112/AC$12</f>
        <v>3.0416189317973305E-3</v>
      </c>
      <c r="AE112" s="686"/>
      <c r="AF112" s="33"/>
      <c r="AG112" s="33"/>
      <c r="AH112" s="686"/>
      <c r="AI112" s="33"/>
      <c r="AJ112" s="686"/>
    </row>
    <row r="113" spans="1:36" s="1" customFormat="1">
      <c r="A113" s="2">
        <v>6320</v>
      </c>
      <c r="B113" s="2" t="s">
        <v>328</v>
      </c>
      <c r="C113" s="463">
        <f>'0401'!C113+'0402'!C113+'0403'!C113+'405'!C113+'0406'!C113+'0409'!C113+'410-sahara'!C113+'414-Al ghurair'!C113+'415'!C113+'Al Foah_418'!C113+Rak_417!C113+D.C.!C113+'Wafi _419'!C113</f>
        <v>0</v>
      </c>
      <c r="D113" s="467">
        <f t="shared" si="66"/>
        <v>0</v>
      </c>
      <c r="E113" s="463">
        <f>'0401'!E113+'0402'!E113+'0403'!E113+'405'!E113+'0406'!E113+'0409'!E113+'410-sahara'!E113+'414-Al ghurair'!E113+'415'!E113+'Al Foah_418'!E113+Rak_417!E113+D.C.!E113+'Wafi _419'!E113</f>
        <v>0</v>
      </c>
      <c r="F113" s="467">
        <f t="shared" si="66"/>
        <v>0</v>
      </c>
      <c r="G113" s="463">
        <f>'0401'!G113+'0402'!G113+'0403'!G113+'405'!G113+'0406'!G113+'0409'!G113+'410-sahara'!G113+'414-Al ghurair'!G113+'415'!G113+'Al Foah_418'!G113+Rak_417!G113+D.C.!G113+'Wafi _419'!G113</f>
        <v>0</v>
      </c>
      <c r="H113" s="467">
        <f t="shared" ref="H113" si="223">G113/G$12</f>
        <v>0</v>
      </c>
      <c r="I113" s="463">
        <f>'0401'!I113+'0402'!I113+'0403'!I113+'405'!I113+'0406'!I113+'0409'!I113+'410-sahara'!I113+'414-Al ghurair'!I113+'415'!I113+'Al Foah_418'!I113+Rak_417!I113+D.C.!I113+'Wafi _419'!I113</f>
        <v>0</v>
      </c>
      <c r="J113" s="467">
        <f t="shared" ref="J113" si="224">I113/I$12</f>
        <v>0</v>
      </c>
      <c r="K113" s="463">
        <f>'0401'!K113+'0402'!K113+'0403'!K113+'405'!K113+'0406'!K113+'0409'!K113+'410-sahara'!K113+'414-Al ghurair'!K113+'415'!K113+'Al Foah_418'!K113+Rak_417!K113+D.C.!K113+'Wafi _419'!K113</f>
        <v>0</v>
      </c>
      <c r="L113" s="467">
        <f t="shared" ref="L113" si="225">K113/K$12</f>
        <v>0</v>
      </c>
      <c r="M113" s="463">
        <f>'0401'!M113+'0402'!M113+'0403'!M113+'405'!M113+'0406'!M113+'0409'!M113+'410-sahara'!M113+'414-Al ghurair'!M113+'415'!M113+'Al Foah_418'!M113+Rak_417!M113+D.C.!M113+'Wafi _419'!M113</f>
        <v>0</v>
      </c>
      <c r="N113" s="467">
        <f t="shared" ref="N113" si="226">M113/M$12</f>
        <v>0</v>
      </c>
      <c r="O113" s="463">
        <f>'0401'!O113+'0402'!O113+'0403'!O113+'405'!O113+'0406'!O113+'0409'!O113+'410-sahara'!O113+'414-Al ghurair'!O113+'415'!O113+'Al Foah_418'!O113+Rak_417!O113+D.C.!O113+'Wafi _419'!O113</f>
        <v>0</v>
      </c>
      <c r="P113" s="467">
        <f t="shared" ref="P113" si="227">O113/O$12</f>
        <v>0</v>
      </c>
      <c r="Q113" s="463">
        <f>'0401'!Q113+'0402'!Q113+'0403'!Q113+'405'!Q113+'0406'!Q113+'0409'!Q113+'410-sahara'!Q113+'414-Al ghurair'!Q113+'415'!Q113+'Al Foah_418'!Q113+Rak_417!Q113+D.C.!Q113+'Wafi _419'!Q113</f>
        <v>0</v>
      </c>
      <c r="R113" s="467">
        <f t="shared" ref="R113" si="228">Q113/Q$12</f>
        <v>0</v>
      </c>
      <c r="S113" s="463">
        <f>'0401'!S113+'0402'!S113+'0403'!S113+'405'!S113+'0406'!S113+'0409'!S113+'410-sahara'!S113+'414-Al ghurair'!S113+'415'!S113+'Al Foah_418'!S113+Rak_417!S113+D.C.!S113+'Wafi _419'!S113</f>
        <v>0</v>
      </c>
      <c r="T113" s="467">
        <f t="shared" ref="T113" si="229">S113/S$12</f>
        <v>0</v>
      </c>
      <c r="U113" s="463">
        <f>'0401'!U113+'0402'!U113+'0403'!U113+'405'!U113+'0406'!U113+'0409'!U113+'410-sahara'!U113+'414-Al ghurair'!U113+'415'!U113+'Al Foah_418'!U113+Rak_417!U113+D.C.!U113+'Wafi _419'!U113</f>
        <v>0</v>
      </c>
      <c r="V113" s="467">
        <f t="shared" ref="V113" si="230">U113/U$12</f>
        <v>0</v>
      </c>
      <c r="W113" s="463">
        <f>'0401'!W113+'0402'!W113+'0403'!W113+'405'!W113+'0406'!W113+'0409'!W113+'410-sahara'!W113+'414-Al ghurair'!W113+'415'!W113+'Al Foah_418'!W113+Rak_417!W113+D.C.!W113+'Wafi _419'!W113</f>
        <v>0</v>
      </c>
      <c r="X113" s="467">
        <f t="shared" ref="X113" si="231">W113/W$12</f>
        <v>0</v>
      </c>
      <c r="Y113" s="463">
        <f>'0401'!Y113+'0402'!Y113+'0403'!Y113+'405'!Y113+'0406'!Y113+'0409'!Y113+'410-sahara'!Y113+'414-Al ghurair'!Y113+'415'!Y113+'Al Foah_418'!Y113+Rak_417!Y113+D.C.!Y113+'Wafi _419'!Y113</f>
        <v>0</v>
      </c>
      <c r="Z113" s="467">
        <f t="shared" ref="Z113" si="232">Y113/Y$12</f>
        <v>0</v>
      </c>
      <c r="AA113" s="745">
        <f t="shared" si="64"/>
        <v>0</v>
      </c>
      <c r="AB113" s="746">
        <f t="shared" ref="AB113" si="233">AA113/AA$12</f>
        <v>0</v>
      </c>
      <c r="AC113" s="472">
        <f t="shared" si="65"/>
        <v>0</v>
      </c>
      <c r="AD113" s="747">
        <f t="shared" ref="AD113" si="234">AC113/AC$12</f>
        <v>0</v>
      </c>
      <c r="AE113" s="686"/>
      <c r="AF113" s="33"/>
      <c r="AG113" s="33"/>
      <c r="AH113" s="686"/>
      <c r="AI113" s="33"/>
      <c r="AJ113" s="686"/>
    </row>
    <row r="114" spans="1:36" s="1" customFormat="1">
      <c r="A114" s="2">
        <v>6321</v>
      </c>
      <c r="B114" s="2" t="s">
        <v>329</v>
      </c>
      <c r="C114" s="463">
        <f>'0401'!C114+'0402'!C114+'0403'!C114+'405'!C114+'0406'!C114+'0409'!C114+'410-sahara'!C114+'414-Al ghurair'!C114+'415'!C114+'Al Foah_418'!C114+Rak_417!C114+D.C.!C114+'Wafi _419'!C114</f>
        <v>0</v>
      </c>
      <c r="D114" s="467">
        <f t="shared" si="66"/>
        <v>0</v>
      </c>
      <c r="E114" s="463">
        <f>'0401'!E114+'0402'!E114+'0403'!E114+'405'!E114+'0406'!E114+'0409'!E114+'410-sahara'!E114+'414-Al ghurair'!E114+'415'!E114+'Al Foah_418'!E114+Rak_417!E114+D.C.!E114+'Wafi _419'!E114</f>
        <v>0</v>
      </c>
      <c r="F114" s="467">
        <f t="shared" si="66"/>
        <v>0</v>
      </c>
      <c r="G114" s="463">
        <f>'0401'!G114+'0402'!G114+'0403'!G114+'405'!G114+'0406'!G114+'0409'!G114+'410-sahara'!G114+'414-Al ghurair'!G114+'415'!G114+'Al Foah_418'!G114+Rak_417!G114+D.C.!G114+'Wafi _419'!G114</f>
        <v>0</v>
      </c>
      <c r="H114" s="467">
        <f t="shared" ref="H114" si="235">G114/G$12</f>
        <v>0</v>
      </c>
      <c r="I114" s="463">
        <f>'0401'!I114+'0402'!I114+'0403'!I114+'405'!I114+'0406'!I114+'0409'!I114+'410-sahara'!I114+'414-Al ghurair'!I114+'415'!I114+'Al Foah_418'!I114+Rak_417!I114+D.C.!I114+'Wafi _419'!I114</f>
        <v>0</v>
      </c>
      <c r="J114" s="467">
        <f t="shared" ref="J114" si="236">I114/I$12</f>
        <v>0</v>
      </c>
      <c r="K114" s="463">
        <f>'0401'!K114+'0402'!K114+'0403'!K114+'405'!K114+'0406'!K114+'0409'!K114+'410-sahara'!K114+'414-Al ghurair'!K114+'415'!K114+'Al Foah_418'!K114+Rak_417!K114+D.C.!K114+'Wafi _419'!K114</f>
        <v>0</v>
      </c>
      <c r="L114" s="467">
        <f t="shared" ref="L114" si="237">K114/K$12</f>
        <v>0</v>
      </c>
      <c r="M114" s="463">
        <f>'0401'!M114+'0402'!M114+'0403'!M114+'405'!M114+'0406'!M114+'0409'!M114+'410-sahara'!M114+'414-Al ghurair'!M114+'415'!M114+'Al Foah_418'!M114+Rak_417!M114+D.C.!M114+'Wafi _419'!M114</f>
        <v>0</v>
      </c>
      <c r="N114" s="467">
        <f t="shared" ref="N114" si="238">M114/M$12</f>
        <v>0</v>
      </c>
      <c r="O114" s="463">
        <f>'0401'!O114+'0402'!O114+'0403'!O114+'405'!O114+'0406'!O114+'0409'!O114+'410-sahara'!O114+'414-Al ghurair'!O114+'415'!O114+'Al Foah_418'!O114+Rak_417!O114+D.C.!O114+'Wafi _419'!O114</f>
        <v>0</v>
      </c>
      <c r="P114" s="467">
        <f t="shared" ref="P114" si="239">O114/O$12</f>
        <v>0</v>
      </c>
      <c r="Q114" s="463">
        <f>'0401'!Q114+'0402'!Q114+'0403'!Q114+'405'!Q114+'0406'!Q114+'0409'!Q114+'410-sahara'!Q114+'414-Al ghurair'!Q114+'415'!Q114+'Al Foah_418'!Q114+Rak_417!Q114+D.C.!Q114+'Wafi _419'!Q114</f>
        <v>0</v>
      </c>
      <c r="R114" s="467">
        <f t="shared" ref="R114" si="240">Q114/Q$12</f>
        <v>0</v>
      </c>
      <c r="S114" s="463">
        <f>'0401'!S114+'0402'!S114+'0403'!S114+'405'!S114+'0406'!S114+'0409'!S114+'410-sahara'!S114+'414-Al ghurair'!S114+'415'!S114+'Al Foah_418'!S114+Rak_417!S114+D.C.!S114+'Wafi _419'!S114</f>
        <v>0</v>
      </c>
      <c r="T114" s="467">
        <f t="shared" ref="T114" si="241">S114/S$12</f>
        <v>0</v>
      </c>
      <c r="U114" s="463">
        <f>'0401'!U114+'0402'!U114+'0403'!U114+'405'!U114+'0406'!U114+'0409'!U114+'410-sahara'!U114+'414-Al ghurair'!U114+'415'!U114+'Al Foah_418'!U114+Rak_417!U114+D.C.!U114+'Wafi _419'!U114</f>
        <v>0</v>
      </c>
      <c r="V114" s="467">
        <f t="shared" ref="V114" si="242">U114/U$12</f>
        <v>0</v>
      </c>
      <c r="W114" s="463">
        <f>'0401'!W114+'0402'!W114+'0403'!W114+'405'!W114+'0406'!W114+'0409'!W114+'410-sahara'!W114+'414-Al ghurair'!W114+'415'!W114+'Al Foah_418'!W114+Rak_417!W114+D.C.!W114+'Wafi _419'!W114</f>
        <v>99999.999999999985</v>
      </c>
      <c r="X114" s="467">
        <f t="shared" ref="X114" si="243">W114/W$12</f>
        <v>9.6938575225599607E-3</v>
      </c>
      <c r="Y114" s="463">
        <f>'0401'!Y114+'0402'!Y114+'0403'!Y114+'405'!Y114+'0406'!Y114+'0409'!Y114+'410-sahara'!Y114+'414-Al ghurair'!Y114+'415'!Y114+'Al Foah_418'!Y114+Rak_417!Y114+D.C.!Y114+'Wafi _419'!Y114</f>
        <v>0</v>
      </c>
      <c r="Z114" s="467">
        <f t="shared" ref="Z114" si="244">Y114/Y$12</f>
        <v>0</v>
      </c>
      <c r="AA114" s="745">
        <f t="shared" si="64"/>
        <v>99999.999999999985</v>
      </c>
      <c r="AB114" s="746">
        <f t="shared" ref="AB114" si="245">AA114/AA$12</f>
        <v>6.8866843738807381E-4</v>
      </c>
      <c r="AC114" s="472">
        <f t="shared" si="65"/>
        <v>8333.3333333333321</v>
      </c>
      <c r="AD114" s="747">
        <f t="shared" ref="AD114" si="246">AC114/AC$12</f>
        <v>6.8866843738807392E-4</v>
      </c>
      <c r="AE114" s="686"/>
      <c r="AF114" s="33"/>
      <c r="AG114" s="33"/>
      <c r="AH114" s="686"/>
      <c r="AI114" s="33"/>
      <c r="AJ114" s="686"/>
    </row>
    <row r="115" spans="1:36" customFormat="1" ht="15.75" thickBot="1">
      <c r="A115" s="337">
        <v>6399</v>
      </c>
      <c r="B115" s="337" t="s">
        <v>101</v>
      </c>
      <c r="C115" s="748">
        <f>'0401'!C115+'0402'!C115+'0403'!C115+'405'!C115+'0406'!C115+'0409'!C115+'410-sahara'!C115+'414-Al ghurair'!C115+'415'!C115+'Al Foah_418'!C115+Rak_417!C115+D.C.!C115+'Wafi _419'!C115</f>
        <v>376374.38829636364</v>
      </c>
      <c r="D115" s="749">
        <f>C115/C12</f>
        <v>3.4462429601691463E-2</v>
      </c>
      <c r="E115" s="748">
        <f>'0401'!E115+'0402'!E115+'0403'!E115+'405'!E115+'0406'!E115+'0409'!E115+'410-sahara'!E115+'414-Al ghurair'!E115+'415'!E115+'Al Foah_418'!E115+Rak_417!E115+D.C.!E115+'Wafi _419'!E115</f>
        <v>594132.04436294164</v>
      </c>
      <c r="F115" s="749">
        <f>E115/E12</f>
        <v>6.9924335487624445E-2</v>
      </c>
      <c r="G115" s="748">
        <f>'0401'!G115+'0402'!G115+'0403'!G115+'405'!G115+'0406'!G115+'0409'!G115+'410-sahara'!G115+'414-Al ghurair'!G115+'415'!G115+'Al Foah_418'!G115+Rak_417!G115+D.C.!G115+'Wafi _419'!G115</f>
        <v>434571.7633082812</v>
      </c>
      <c r="H115" s="749">
        <f>G115/G12</f>
        <v>3.0833208750963344E-2</v>
      </c>
      <c r="I115" s="748">
        <f>'0401'!I115+'0402'!I115+'0403'!I115+'405'!I115+'0406'!I115+'0409'!I115+'410-sahara'!I115+'414-Al ghurair'!I115+'415'!I115+'Al Foah_418'!I115+Rak_417!I115+D.C.!I115+'Wafi _419'!I115</f>
        <v>546449.16890186188</v>
      </c>
      <c r="J115" s="749">
        <f>I115/I12</f>
        <v>4.3908550824682424E-2</v>
      </c>
      <c r="K115" s="748">
        <f>'0401'!K115+'0402'!K115+'0403'!K115+'405'!K115+'0406'!K115+'0409'!K115+'410-sahara'!K115+'414-Al ghurair'!K115+'415'!K115+'Al Foah_418'!K115+Rak_417!K115+D.C.!K115+'Wafi _419'!K115</f>
        <v>583875.52185336535</v>
      </c>
      <c r="L115" s="749">
        <f>K115/K12</f>
        <v>5.1296475164562066E-2</v>
      </c>
      <c r="M115" s="748">
        <f>'0401'!M115+'0402'!M115+'0403'!M115+'405'!M115+'0406'!M115+'0409'!M115+'410-sahara'!M115+'414-Al ghurair'!M115+'415'!M115+'Al Foah_418'!M115+Rak_417!M115+D.C.!M115+'Wafi _419'!M115</f>
        <v>253978.54754416939</v>
      </c>
      <c r="N115" s="749">
        <f>M115/M12</f>
        <v>1.573592553658824E-2</v>
      </c>
      <c r="O115" s="748">
        <f>'0401'!O115+'0402'!O115+'0403'!O115+'405'!O115+'0406'!O115+'0409'!O115+'410-sahara'!O115+'414-Al ghurair'!O115+'415'!O115+'Al Foah_418'!O115+Rak_417!O115+D.C.!O115+'Wafi _419'!O115</f>
        <v>315144.61045005353</v>
      </c>
      <c r="P115" s="749">
        <f>O115/O12</f>
        <v>3.0840797176616572E-2</v>
      </c>
      <c r="Q115" s="748">
        <f>'0401'!Q115+'0402'!Q115+'0403'!Q115+'405'!Q115+'0406'!Q115+'0409'!Q115+'410-sahara'!Q115+'414-Al ghurair'!Q115+'415'!Q115+'Al Foah_418'!Q115+Rak_417!Q115+D.C.!Q115+'Wafi _419'!Q115</f>
        <v>663705.02825497137</v>
      </c>
      <c r="R115" s="749">
        <f>Q115/Q12</f>
        <v>5.2307082694020013E-2</v>
      </c>
      <c r="S115" s="748">
        <f>'0401'!S115+'0402'!S115+'0403'!S115+'405'!S115+'0406'!S115+'0409'!S115+'410-sahara'!S115+'414-Al ghurair'!S115+'415'!S115+'Al Foah_418'!S115+Rak_417!S115+D.C.!S115+'Wafi _419'!S115</f>
        <v>429278.83003639593</v>
      </c>
      <c r="T115" s="749">
        <f>S115/S12</f>
        <v>3.358395495727811E-2</v>
      </c>
      <c r="U115" s="748">
        <f>'0401'!U115+'0402'!U115+'0403'!U115+'405'!U115+'0406'!U115+'0409'!U115+'410-sahara'!U115+'414-Al ghurair'!U115+'415'!U115+'Al Foah_418'!U115+Rak_417!U115+D.C.!U115+'Wafi _419'!U115</f>
        <v>466713.60099321697</v>
      </c>
      <c r="V115" s="749">
        <f>U115/U12</f>
        <v>4.6031650807512987E-2</v>
      </c>
      <c r="W115" s="748">
        <f>'0401'!W115+'0402'!W115+'0403'!W115+'405'!W115+'0406'!W115+'0409'!W115+'410-sahara'!W115+'414-Al ghurair'!W115+'415'!W115+'Al Foah_418'!W115+Rak_417!W115+D.C.!W115+'Wafi _419'!W115</f>
        <v>448438.20612648857</v>
      </c>
      <c r="X115" s="749">
        <f>W115/W12</f>
        <v>4.3470960778625563E-2</v>
      </c>
      <c r="Y115" s="748">
        <f>'0401'!Y115+'0402'!Y115+'0403'!Y115+'405'!Y115+'0406'!Y115+'0409'!Y115+'410-sahara'!Y115+'414-Al ghurair'!Y115+'415'!Y115+'Al Foah_418'!Y115+Rak_417!Y115+D.C.!Y115+'Wafi _419'!Y115</f>
        <v>403995.80864953343</v>
      </c>
      <c r="Z115" s="749">
        <f>Y115/Y12</f>
        <v>2.5924223725350477E-2</v>
      </c>
      <c r="AA115" s="748">
        <f t="shared" si="64"/>
        <v>5516657.5187776433</v>
      </c>
      <c r="AB115" s="749">
        <f>AA115/AA12</f>
        <v>3.7991479130617692E-2</v>
      </c>
      <c r="AC115" s="748">
        <f t="shared" si="65"/>
        <v>459721.45989813696</v>
      </c>
      <c r="AD115" s="750">
        <f>AC115/AC12</f>
        <v>3.7991479130617692E-2</v>
      </c>
      <c r="AE115" s="84">
        <f t="shared" si="60"/>
        <v>5516657.5187776433</v>
      </c>
      <c r="AF115" s="33" t="e">
        <f>#REF!+'0401'!#REF!+'0402'!#REF!+'0403'!#REF!+#REF!+'405'!#REF!+'0406'!#REF!+D.C.!#REF!+#REF!+#REF!+'0409'!#REF!</f>
        <v>#REF!</v>
      </c>
      <c r="AG115" s="33" t="e">
        <f t="shared" si="61"/>
        <v>#REF!</v>
      </c>
      <c r="AH115" s="84">
        <f t="shared" si="62"/>
        <v>0</v>
      </c>
      <c r="AI115" s="33">
        <f>'0401'!AA115+'0402'!AA115+'0403'!AA115+'405'!AA115+'0406'!AA115+'0409'!AA115+'410-sahara'!AA115+'414-Al ghurair'!AA115+'415'!AA115+'Al Foah_418'!AA115+Rak_417!AA115+D.C.!AA115</f>
        <v>5002585.7380737057</v>
      </c>
      <c r="AJ115" s="84">
        <f t="shared" si="63"/>
        <v>514071.78070393763</v>
      </c>
    </row>
    <row r="116" spans="1:36" customFormat="1" ht="15.75" thickTop="1">
      <c r="A116" s="21">
        <v>6401</v>
      </c>
      <c r="B116" s="21" t="s">
        <v>89</v>
      </c>
      <c r="C116" s="295">
        <f>'0401'!C116+'0402'!C116+'0403'!C116+'405'!C116+'0406'!C116+'0409'!C116+'410-sahara'!C116+'414-Al ghurair'!C116+'415'!C116+'Al Foah_418'!C116+Rak_417!C116+D.C.!C116+'Wafi _419'!C116</f>
        <v>0</v>
      </c>
      <c r="D116" s="68">
        <f>C116/C12</f>
        <v>0</v>
      </c>
      <c r="E116" s="295">
        <f>'0401'!E116+'0402'!E116+'0403'!E116+'405'!E116+'0406'!E116+'0409'!E116+'410-sahara'!E116+'414-Al ghurair'!E116+'415'!E116+'Al Foah_418'!E116+Rak_417!E116+D.C.!E116+'Wafi _419'!E116</f>
        <v>0</v>
      </c>
      <c r="F116" s="68">
        <f>E116/E12</f>
        <v>0</v>
      </c>
      <c r="G116" s="295">
        <f>'0401'!G116+'0402'!G116+'0403'!G116+'405'!G116+'0406'!G116+'0409'!G116+'410-sahara'!G116+'414-Al ghurair'!G116+'415'!G116+'Al Foah_418'!G116+Rak_417!G116+D.C.!G116+'Wafi _419'!G116</f>
        <v>0</v>
      </c>
      <c r="H116" s="68">
        <f>G116/G12</f>
        <v>0</v>
      </c>
      <c r="I116" s="295">
        <f>'0401'!I116+'0402'!I116+'0403'!I116+'405'!I116+'0406'!I116+'0409'!I116+'410-sahara'!I116+'414-Al ghurair'!I116+'415'!I116+'Al Foah_418'!I116+Rak_417!I116+D.C.!I116+'Wafi _419'!I116</f>
        <v>0</v>
      </c>
      <c r="J116" s="68">
        <f>I116/I12</f>
        <v>0</v>
      </c>
      <c r="K116" s="295">
        <f>'0401'!K116+'0402'!K116+'0403'!K116+'405'!K116+'0406'!K116+'0409'!K116+'410-sahara'!K116+'414-Al ghurair'!K116+'415'!K116+'Al Foah_418'!K116+Rak_417!K116+D.C.!K116+'Wafi _419'!K116</f>
        <v>0</v>
      </c>
      <c r="L116" s="68">
        <f>K116/K12</f>
        <v>0</v>
      </c>
      <c r="M116" s="295">
        <f>'0401'!M116+'0402'!M116+'0403'!M116+'405'!M116+'0406'!M116+'0409'!M116+'410-sahara'!M116+'414-Al ghurair'!M116+'415'!M116+'Al Foah_418'!M116+Rak_417!M116+D.C.!M116+'Wafi _419'!M116</f>
        <v>0</v>
      </c>
      <c r="N116" s="68">
        <f>M116/M12</f>
        <v>0</v>
      </c>
      <c r="O116" s="295">
        <f>'0401'!O116+'0402'!O116+'0403'!O116+'405'!O116+'0406'!O116+'0409'!O116+'410-sahara'!O116+'414-Al ghurair'!O116+'415'!O116+'Al Foah_418'!O116+Rak_417!O116+D.C.!O116+'Wafi _419'!O116</f>
        <v>0</v>
      </c>
      <c r="P116" s="68">
        <f>O116/O12</f>
        <v>0</v>
      </c>
      <c r="Q116" s="295">
        <f>'0401'!Q116+'0402'!Q116+'0403'!Q116+'405'!Q116+'0406'!Q116+'0409'!Q116+'410-sahara'!Q116+'414-Al ghurair'!Q116+'415'!Q116+'Al Foah_418'!Q116+Rak_417!Q116+D.C.!Q116+'Wafi _419'!Q116</f>
        <v>0</v>
      </c>
      <c r="R116" s="68">
        <f>Q116/Q12</f>
        <v>0</v>
      </c>
      <c r="S116" s="295">
        <f>'0401'!S116+'0402'!S116+'0403'!S116+'405'!S116+'0406'!S116+'0409'!S116+'410-sahara'!S116+'414-Al ghurair'!S116+'415'!S116+'Al Foah_418'!S116+Rak_417!S116+D.C.!S116+'Wafi _419'!S116</f>
        <v>0</v>
      </c>
      <c r="T116" s="68">
        <f>S116/S12</f>
        <v>0</v>
      </c>
      <c r="U116" s="295">
        <f>'0401'!U116+'0402'!U116+'0403'!U116+'405'!U116+'0406'!U116+'0409'!U116+'410-sahara'!U116+'414-Al ghurair'!U116+'415'!U116+'Al Foah_418'!U116+Rak_417!U116+D.C.!U116+'Wafi _419'!U116</f>
        <v>0</v>
      </c>
      <c r="V116" s="68">
        <f>U116/U12</f>
        <v>0</v>
      </c>
      <c r="W116" s="295">
        <f>'0401'!W116+'0402'!W116+'0403'!W116+'405'!W116+'0406'!W116+'0409'!W116+'410-sahara'!W116+'414-Al ghurair'!W116+'415'!W116+'Al Foah_418'!W116+Rak_417!W116+D.C.!W116+'Wafi _419'!W116</f>
        <v>0</v>
      </c>
      <c r="X116" s="68">
        <f>W116/W12</f>
        <v>0</v>
      </c>
      <c r="Y116" s="295">
        <f>'0401'!Y116+'0402'!Y116+'0403'!Y116+'405'!Y116+'0406'!Y116+'0409'!Y116+'410-sahara'!Y116+'414-Al ghurair'!Y116+'415'!Y116+'Al Foah_418'!Y116+Rak_417!Y116+D.C.!Y116+'Wafi _419'!Y116</f>
        <v>0</v>
      </c>
      <c r="Z116" s="68">
        <f>Y116/Y12</f>
        <v>0</v>
      </c>
      <c r="AA116" s="382">
        <f t="shared" si="64"/>
        <v>0</v>
      </c>
      <c r="AB116" s="147">
        <f>AA116/AA12</f>
        <v>0</v>
      </c>
      <c r="AC116" s="128">
        <f t="shared" si="65"/>
        <v>0</v>
      </c>
      <c r="AD116" s="131">
        <f>AC116/AC12</f>
        <v>0</v>
      </c>
      <c r="AE116" s="84">
        <f t="shared" si="60"/>
        <v>0</v>
      </c>
      <c r="AF116" s="33" t="e">
        <f>#REF!+'0401'!#REF!+'0402'!#REF!+'0403'!#REF!+#REF!+'405'!#REF!+'0406'!#REF!+D.C.!#REF!+#REF!+#REF!+'0409'!#REF!</f>
        <v>#REF!</v>
      </c>
      <c r="AG116" s="33" t="e">
        <f t="shared" si="61"/>
        <v>#REF!</v>
      </c>
      <c r="AH116" s="84">
        <f t="shared" si="62"/>
        <v>0</v>
      </c>
      <c r="AI116" s="33">
        <f>'0401'!AA116+'0402'!AA116+'0403'!AA116+'405'!AA116+'0406'!AA116+'0409'!AA116+'410-sahara'!AA116+'414-Al ghurair'!AA116+'415'!AA116+'Al Foah_418'!AA116+Rak_417!AA116+D.C.!AA116</f>
        <v>0</v>
      </c>
      <c r="AJ116" s="84">
        <f t="shared" si="63"/>
        <v>0</v>
      </c>
    </row>
    <row r="117" spans="1:36" customFormat="1">
      <c r="A117" s="2">
        <v>6402</v>
      </c>
      <c r="B117" s="2" t="s">
        <v>75</v>
      </c>
      <c r="C117" s="295">
        <f>'0401'!C117+'0402'!C117+'0403'!C117+'405'!C117+'0406'!C117+'0409'!C117+'410-sahara'!C117+'414-Al ghurair'!C117+'415'!C117+'Al Foah_418'!C117+Rak_417!C117+D.C.!C117+'Wafi _419'!C117</f>
        <v>6500</v>
      </c>
      <c r="D117" s="68">
        <f>C117/C12</f>
        <v>5.9516746988269706E-4</v>
      </c>
      <c r="E117" s="295">
        <f>'0401'!E117+'0402'!E117+'0403'!E117+'405'!E117+'0406'!E117+'0409'!E117+'410-sahara'!E117+'414-Al ghurair'!E117+'415'!E117+'Al Foah_418'!E117+Rak_417!E117+D.C.!E117+'Wafi _419'!E117</f>
        <v>6500</v>
      </c>
      <c r="F117" s="68">
        <f>E117/E12</f>
        <v>7.6499523124847694E-4</v>
      </c>
      <c r="G117" s="295">
        <f>'0401'!G117+'0402'!G117+'0403'!G117+'405'!G117+'0406'!G117+'0409'!G117+'410-sahara'!G117+'414-Al ghurair'!G117+'415'!G117+'Al Foah_418'!G117+Rak_417!G117+D.C.!G117+'Wafi _419'!G117</f>
        <v>6500</v>
      </c>
      <c r="H117" s="68">
        <f>G117/G12</f>
        <v>4.6118011753812127E-4</v>
      </c>
      <c r="I117" s="295">
        <f>'0401'!I117+'0402'!I117+'0403'!I117+'405'!I117+'0406'!I117+'0409'!I117+'410-sahara'!I117+'414-Al ghurair'!I117+'415'!I117+'Al Foah_418'!I117+Rak_417!I117+D.C.!I117+'Wafi _419'!I117</f>
        <v>6500</v>
      </c>
      <c r="J117" s="68">
        <f>I117/I12</f>
        <v>5.2229117839813646E-4</v>
      </c>
      <c r="K117" s="295">
        <f>'0401'!K117+'0402'!K117+'0403'!K117+'405'!K117+'0406'!K117+'0409'!K117+'410-sahara'!K117+'414-Al ghurair'!K117+'415'!K117+'Al Foah_418'!K117+Rak_417!K117+D.C.!K117+'Wafi _419'!K117</f>
        <v>6500</v>
      </c>
      <c r="L117" s="68">
        <f>K117/K12</f>
        <v>5.7105851519733753E-4</v>
      </c>
      <c r="M117" s="295">
        <f>'0401'!M117+'0402'!M117+'0403'!M117+'405'!M117+'0406'!M117+'0409'!M117+'410-sahara'!M117+'414-Al ghurair'!M117+'415'!M117+'Al Foah_418'!M117+Rak_417!M117+D.C.!M117+'Wafi _419'!M117</f>
        <v>6500</v>
      </c>
      <c r="N117" s="68">
        <f>M117/M12</f>
        <v>4.0272502137226945E-4</v>
      </c>
      <c r="O117" s="295">
        <f>'0401'!O117+'0402'!O117+'0403'!O117+'405'!O117+'0406'!O117+'0409'!O117+'410-sahara'!O117+'414-Al ghurair'!O117+'415'!O117+'Al Foah_418'!O117+Rak_417!O117+D.C.!O117+'Wafi _419'!O117</f>
        <v>6500</v>
      </c>
      <c r="P117" s="68">
        <f>O117/O12</f>
        <v>6.3610537829514606E-4</v>
      </c>
      <c r="Q117" s="295">
        <f>'0401'!Q117+'0402'!Q117+'0403'!Q117+'405'!Q117+'0406'!Q117+'0409'!Q117+'410-sahara'!Q117+'414-Al ghurair'!Q117+'415'!Q117+'Al Foah_418'!Q117+Rak_417!Q117+D.C.!Q117+'Wafi _419'!Q117</f>
        <v>6500</v>
      </c>
      <c r="R117" s="68">
        <f>Q117/Q12</f>
        <v>5.1226979311133972E-4</v>
      </c>
      <c r="S117" s="295">
        <f>'0401'!S117+'0402'!S117+'0403'!S117+'405'!S117+'0406'!S117+'0409'!S117+'410-sahara'!S117+'414-Al ghurair'!S117+'415'!S117+'Al Foah_418'!S117+Rak_417!S117+D.C.!S117+'Wafi _419'!S117</f>
        <v>6500</v>
      </c>
      <c r="T117" s="68">
        <f>S117/S12</f>
        <v>5.0851728980858381E-4</v>
      </c>
      <c r="U117" s="295">
        <f>'0401'!U117+'0402'!U117+'0403'!U117+'405'!U117+'0406'!U117+'0409'!U117+'410-sahara'!U117+'414-Al ghurair'!U117+'415'!U117+'Al Foah_418'!U117+Rak_417!U117+D.C.!U117+'Wafi _419'!U117</f>
        <v>6500</v>
      </c>
      <c r="V117" s="68">
        <f>U117/U12</f>
        <v>6.4109065947958723E-4</v>
      </c>
      <c r="W117" s="295">
        <f>'0401'!W117+'0402'!W117+'0403'!W117+'405'!W117+'0406'!W117+'0409'!W117+'410-sahara'!W117+'414-Al ghurair'!W117+'415'!W117+'Al Foah_418'!W117+Rak_417!W117+D.C.!W117+'Wafi _419'!W117</f>
        <v>6500</v>
      </c>
      <c r="X117" s="68">
        <f>W117/W12</f>
        <v>6.301007389663976E-4</v>
      </c>
      <c r="Y117" s="295">
        <f>'0401'!Y117+'0402'!Y117+'0403'!Y117+'405'!Y117+'0406'!Y117+'0409'!Y117+'410-sahara'!Y117+'414-Al ghurair'!Y117+'415'!Y117+'Al Foah_418'!Y117+Rak_417!Y117+D.C.!Y117+'Wafi _419'!Y117</f>
        <v>6500</v>
      </c>
      <c r="Z117" s="68">
        <f>Y117/Y12</f>
        <v>4.1710198622619475E-4</v>
      </c>
      <c r="AA117" s="382">
        <f t="shared" si="64"/>
        <v>78000</v>
      </c>
      <c r="AB117" s="147">
        <f>AA117/AA12</f>
        <v>5.3716138116269773E-4</v>
      </c>
      <c r="AC117" s="128">
        <f t="shared" si="65"/>
        <v>6500</v>
      </c>
      <c r="AD117" s="131">
        <f>AC117/AC12</f>
        <v>5.3716138116269773E-4</v>
      </c>
      <c r="AE117" s="84">
        <f t="shared" si="60"/>
        <v>78000</v>
      </c>
      <c r="AF117" s="33" t="e">
        <f>#REF!+'0401'!#REF!+'0402'!#REF!+'0403'!#REF!+#REF!+'405'!#REF!+'0406'!#REF!+D.C.!#REF!+#REF!+#REF!+'0409'!#REF!</f>
        <v>#REF!</v>
      </c>
      <c r="AG117" s="33" t="e">
        <f t="shared" ref="AG117:AG152" si="247">AA117-AF117</f>
        <v>#REF!</v>
      </c>
      <c r="AH117" s="84">
        <f t="shared" si="62"/>
        <v>0</v>
      </c>
      <c r="AI117" s="33">
        <f>'0401'!AA117+'0402'!AA117+'0403'!AA117+'405'!AA117+'0406'!AA117+'0409'!AA117+'410-sahara'!AA117+'414-Al ghurair'!AA117+'415'!AA117+'Al Foah_418'!AA117+Rak_417!AA117+D.C.!AA117</f>
        <v>72000</v>
      </c>
      <c r="AJ117" s="84">
        <f t="shared" si="63"/>
        <v>6000</v>
      </c>
    </row>
    <row r="118" spans="1:36" s="1" customFormat="1">
      <c r="A118" s="2">
        <v>6403</v>
      </c>
      <c r="B118" s="2" t="s">
        <v>337</v>
      </c>
      <c r="C118" s="295">
        <f>'0401'!C118+'0402'!C118+'0403'!C118+'405'!C118+'0406'!C118+'0409'!C118+'410-sahara'!C118+'414-Al ghurair'!C118+'415'!C118+'Al Foah_418'!C118+Rak_417!C118+D.C.!C118+'Wafi _419'!C118</f>
        <v>0</v>
      </c>
      <c r="D118" s="702">
        <f>C118/C12</f>
        <v>0</v>
      </c>
      <c r="E118" s="295">
        <f>'0401'!E118+'0402'!E118+'0403'!E118+'405'!E118+'0406'!E118+'0409'!E118+'410-sahara'!E118+'414-Al ghurair'!E118+'415'!E118+'Al Foah_418'!E118+Rak_417!E118+D.C.!E118+'Wafi _419'!E118</f>
        <v>0</v>
      </c>
      <c r="F118" s="702">
        <f>E118/E12</f>
        <v>0</v>
      </c>
      <c r="G118" s="295">
        <f>'0401'!G118+'0402'!G118+'0403'!G118+'405'!G118+'0406'!G118+'0409'!G118+'410-sahara'!G118+'414-Al ghurair'!G118+'415'!G118+'Al Foah_418'!G118+Rak_417!G118+D.C.!G118+'Wafi _419'!G118</f>
        <v>0</v>
      </c>
      <c r="H118" s="702">
        <f>G118/G12</f>
        <v>0</v>
      </c>
      <c r="I118" s="295">
        <f>'0401'!I118+'0402'!I118+'0403'!I118+'405'!I118+'0406'!I118+'0409'!I118+'410-sahara'!I118+'414-Al ghurair'!I118+'415'!I118+'Al Foah_418'!I118+Rak_417!I118+D.C.!I118+'Wafi _419'!I118</f>
        <v>0</v>
      </c>
      <c r="J118" s="702">
        <f>I118/I12</f>
        <v>0</v>
      </c>
      <c r="K118" s="295">
        <f>'0401'!K118+'0402'!K118+'0403'!K118+'405'!K118+'0406'!K118+'0409'!K118+'410-sahara'!K118+'414-Al ghurair'!K118+'415'!K118+'Al Foah_418'!K118+Rak_417!K118+D.C.!K118+'Wafi _419'!K118</f>
        <v>0</v>
      </c>
      <c r="L118" s="702">
        <f>K118/K12</f>
        <v>0</v>
      </c>
      <c r="M118" s="295">
        <f>'0401'!M118+'0402'!M118+'0403'!M118+'405'!M118+'0406'!M118+'0409'!M118+'410-sahara'!M118+'414-Al ghurair'!M118+'415'!M118+'Al Foah_418'!M118+Rak_417!M118+D.C.!M118+'Wafi _419'!M118</f>
        <v>0</v>
      </c>
      <c r="N118" s="702">
        <f>M118/M12</f>
        <v>0</v>
      </c>
      <c r="O118" s="295">
        <f>'0401'!O118+'0402'!O118+'0403'!O118+'405'!O118+'0406'!O118+'0409'!O118+'410-sahara'!O118+'414-Al ghurair'!O118+'415'!O118+'Al Foah_418'!O118+Rak_417!O118+D.C.!O118+'Wafi _419'!O118</f>
        <v>0</v>
      </c>
      <c r="P118" s="702">
        <f>O118/O12</f>
        <v>0</v>
      </c>
      <c r="Q118" s="295">
        <f>'0401'!Q118+'0402'!Q118+'0403'!Q118+'405'!Q118+'0406'!Q118+'0409'!Q118+'410-sahara'!Q118+'414-Al ghurair'!Q118+'415'!Q118+'Al Foah_418'!Q118+Rak_417!Q118+D.C.!Q118+'Wafi _419'!Q118</f>
        <v>0</v>
      </c>
      <c r="R118" s="702">
        <f>Q118/Q12</f>
        <v>0</v>
      </c>
      <c r="S118" s="295">
        <f>'0401'!S118+'0402'!S118+'0403'!S118+'405'!S118+'0406'!S118+'0409'!S118+'410-sahara'!S118+'414-Al ghurair'!S118+'415'!S118+'Al Foah_418'!S118+Rak_417!S118+D.C.!S118+'Wafi _419'!S118</f>
        <v>0</v>
      </c>
      <c r="T118" s="702">
        <f>S118/S12</f>
        <v>0</v>
      </c>
      <c r="U118" s="295">
        <f>'0401'!U118+'0402'!U118+'0403'!U118+'405'!U118+'0406'!U118+'0409'!U118+'410-sahara'!U118+'414-Al ghurair'!U118+'415'!U118+'Al Foah_418'!U118+Rak_417!U118+D.C.!U118+'Wafi _419'!U118</f>
        <v>0</v>
      </c>
      <c r="V118" s="702">
        <f>U118/U12</f>
        <v>0</v>
      </c>
      <c r="W118" s="295">
        <f>'0401'!W118+'0402'!W118+'0403'!W118+'405'!W118+'0406'!W118+'0409'!W118+'410-sahara'!W118+'414-Al ghurair'!W118+'415'!W118+'Al Foah_418'!W118+Rak_417!W118+D.C.!W118+'Wafi _419'!W118</f>
        <v>0</v>
      </c>
      <c r="X118" s="702">
        <f>W118/W12</f>
        <v>0</v>
      </c>
      <c r="Y118" s="295">
        <f>'0401'!Y118+'0402'!Y118+'0403'!Y118+'405'!Y118+'0406'!Y118+'0409'!Y118+'410-sahara'!Y118+'414-Al ghurair'!Y118+'415'!Y118+'Al Foah_418'!Y118+Rak_417!Y118+D.C.!Y118+'Wafi _419'!Y118</f>
        <v>0</v>
      </c>
      <c r="Z118" s="702">
        <f>Y118/Y12</f>
        <v>0</v>
      </c>
      <c r="AA118" s="382">
        <f t="shared" si="64"/>
        <v>0</v>
      </c>
      <c r="AB118" s="147">
        <f>AA118/AA12</f>
        <v>0</v>
      </c>
      <c r="AC118" s="128">
        <f t="shared" si="65"/>
        <v>0</v>
      </c>
      <c r="AD118" s="131">
        <f>AC118/AC12</f>
        <v>0</v>
      </c>
      <c r="AE118" s="686"/>
      <c r="AF118" s="33"/>
      <c r="AG118" s="33"/>
      <c r="AH118" s="686"/>
      <c r="AI118" s="33"/>
      <c r="AJ118" s="686"/>
    </row>
    <row r="119" spans="1:36" customFormat="1">
      <c r="A119" s="737">
        <v>6404</v>
      </c>
      <c r="B119" s="737" t="s">
        <v>92</v>
      </c>
      <c r="C119" s="295">
        <f>'0401'!C119+'0402'!C119+'0403'!C119+'405'!C119+'0406'!C119+'0409'!C119+'410-sahara'!C119+'414-Al ghurair'!C119+'415'!C119+'Al Foah_418'!C119+Rak_417!C119+D.C.!C119+'Wafi _419'!C119</f>
        <v>24000</v>
      </c>
      <c r="D119" s="68">
        <f>C119/C12</f>
        <v>2.1975414272591889E-3</v>
      </c>
      <c r="E119" s="295">
        <f>'0401'!E119+'0402'!E119+'0403'!E119+'405'!E119+'0406'!E119+'0409'!E119+'410-sahara'!E119+'414-Al ghurair'!E119+'415'!E119+'Al Foah_418'!E119+Rak_417!E119+D.C.!E119+'Wafi _419'!E119</f>
        <v>24000</v>
      </c>
      <c r="F119" s="68">
        <f>E119/E12</f>
        <v>2.824597776917453E-3</v>
      </c>
      <c r="G119" s="295">
        <f>'0401'!G119+'0402'!G119+'0403'!G119+'405'!G119+'0406'!G119+'0409'!G119+'410-sahara'!G119+'414-Al ghurair'!G119+'415'!G119+'Al Foah_418'!G119+Rak_417!G119+D.C.!G119+'Wafi _419'!G119</f>
        <v>24000</v>
      </c>
      <c r="H119" s="68">
        <f>G119/G12</f>
        <v>1.7028188955253709E-3</v>
      </c>
      <c r="I119" s="295">
        <f>'0401'!I119+'0402'!I119+'0403'!I119+'405'!I119+'0406'!I119+'0409'!I119+'410-sahara'!I119+'414-Al ghurair'!I119+'415'!I119+'Al Foah_418'!I119+Rak_417!I119+D.C.!I119+'Wafi _419'!I119</f>
        <v>24000</v>
      </c>
      <c r="J119" s="68">
        <f>I119/I12</f>
        <v>1.9284597356238884E-3</v>
      </c>
      <c r="K119" s="295">
        <f>'0401'!K119+'0402'!K119+'0403'!K119+'405'!K119+'0406'!K119+'0409'!K119+'410-sahara'!K119+'414-Al ghurair'!K119+'415'!K119+'Al Foah_418'!K119+Rak_417!K119+D.C.!K119+'Wafi _419'!K119</f>
        <v>24000</v>
      </c>
      <c r="L119" s="68">
        <f>K119/K12</f>
        <v>2.1085237484209387E-3</v>
      </c>
      <c r="M119" s="295">
        <f>'0401'!M119+'0402'!M119+'0403'!M119+'405'!M119+'0406'!M119+'0409'!M119+'410-sahara'!M119+'414-Al ghurair'!M119+'415'!M119+'Al Foah_418'!M119+Rak_417!M119+D.C.!M119+'Wafi _419'!M119</f>
        <v>24000</v>
      </c>
      <c r="N119" s="68">
        <f>M119/M12</f>
        <v>1.4869846942976103E-3</v>
      </c>
      <c r="O119" s="295">
        <f>'0401'!O119+'0402'!O119+'0403'!O119+'405'!O119+'0406'!O119+'0409'!O119+'410-sahara'!O119+'414-Al ghurair'!O119+'415'!O119+'Al Foah_418'!O119+Rak_417!O119+D.C.!O119+'Wafi _419'!O119</f>
        <v>24000</v>
      </c>
      <c r="P119" s="68">
        <f>O119/O12</f>
        <v>2.3486967813974623E-3</v>
      </c>
      <c r="Q119" s="295">
        <f>'0401'!Q119+'0402'!Q119+'0403'!Q119+'405'!Q119+'0406'!Q119+'0409'!Q119+'410-sahara'!Q119+'414-Al ghurair'!Q119+'415'!Q119+'Al Foah_418'!Q119+Rak_417!Q119+D.C.!Q119+'Wafi _419'!Q119</f>
        <v>24000</v>
      </c>
      <c r="R119" s="68">
        <f>Q119/Q12</f>
        <v>1.8914576976418699E-3</v>
      </c>
      <c r="S119" s="295">
        <f>'0401'!S119+'0402'!S119+'0403'!S119+'405'!S119+'0406'!S119+'0409'!S119+'410-sahara'!S119+'414-Al ghurair'!S119+'415'!S119+'Al Foah_418'!S119+Rak_417!S119+D.C.!S119+'Wafi _419'!S119</f>
        <v>24000</v>
      </c>
      <c r="T119" s="68">
        <f>S119/S12</f>
        <v>1.8776023008316941E-3</v>
      </c>
      <c r="U119" s="295">
        <f>'0401'!U119+'0402'!U119+'0403'!U119+'405'!U119+'0406'!U119+'0409'!U119+'410-sahara'!U119+'414-Al ghurair'!U119+'415'!U119+'Al Foah_418'!U119+Rak_417!U119+D.C.!U119+'Wafi _419'!U119</f>
        <v>24000</v>
      </c>
      <c r="V119" s="68">
        <f>U119/U12</f>
        <v>2.3671039734630916E-3</v>
      </c>
      <c r="W119" s="295">
        <f>'0401'!W119+'0402'!W119+'0403'!W119+'405'!W119+'0406'!W119+'0409'!W119+'410-sahara'!W119+'414-Al ghurair'!W119+'415'!W119+'Al Foah_418'!W119+Rak_417!W119+D.C.!W119+'Wafi _419'!W119</f>
        <v>24000</v>
      </c>
      <c r="X119" s="68">
        <f>W119/W12</f>
        <v>2.3265258054143913E-3</v>
      </c>
      <c r="Y119" s="295">
        <f>'0401'!Y119+'0402'!Y119+'0403'!Y119+'405'!Y119+'0406'!Y119+'0409'!Y119+'410-sahara'!Y119+'414-Al ghurair'!Y119+'415'!Y119+'Al Foah_418'!Y119+Rak_417!Y119+D.C.!Y119+'Wafi _419'!Y119</f>
        <v>24000</v>
      </c>
      <c r="Z119" s="68">
        <f>Y119/Y12</f>
        <v>1.5400688722197961E-3</v>
      </c>
      <c r="AA119" s="382">
        <f t="shared" si="64"/>
        <v>288000</v>
      </c>
      <c r="AB119" s="147">
        <f>AA119/AA12</f>
        <v>1.9833650996776528E-3</v>
      </c>
      <c r="AC119" s="128">
        <f t="shared" si="65"/>
        <v>24000</v>
      </c>
      <c r="AD119" s="131">
        <f>AC119/AC12</f>
        <v>1.9833650996776532E-3</v>
      </c>
      <c r="AE119" s="84">
        <f t="shared" si="60"/>
        <v>288000</v>
      </c>
      <c r="AF119" s="33" t="e">
        <f>#REF!+'0401'!#REF!+'0402'!#REF!+'0403'!#REF!+#REF!+'405'!#REF!+'0406'!#REF!+D.C.!#REF!+#REF!+#REF!+'0409'!#REF!</f>
        <v>#REF!</v>
      </c>
      <c r="AG119" s="33" t="e">
        <f t="shared" si="247"/>
        <v>#REF!</v>
      </c>
      <c r="AH119" s="84">
        <f t="shared" si="62"/>
        <v>0</v>
      </c>
      <c r="AI119" s="33">
        <f>'0401'!AA119+'0402'!AA119+'0403'!AA119+'405'!AA119+'0406'!AA119+'0409'!AA119+'410-sahara'!AA119+'414-Al ghurair'!AA119+'415'!AA119+'Al Foah_418'!AA119+Rak_417!AA119+D.C.!AA119</f>
        <v>264000</v>
      </c>
      <c r="AJ119" s="84">
        <f t="shared" si="63"/>
        <v>24000</v>
      </c>
    </row>
    <row r="120" spans="1:36" customFormat="1">
      <c r="A120" s="2">
        <v>6406</v>
      </c>
      <c r="B120" s="2" t="s">
        <v>72</v>
      </c>
      <c r="C120" s="295">
        <f>'0401'!C120+'0402'!C120+'0403'!C120+'405'!C120+'0406'!C120+'0409'!C120+'410-sahara'!C120+'414-Al ghurair'!C120+'415'!C120+'Al Foah_418'!C120+Rak_417!C120+D.C.!C120+'Wafi _419'!C120</f>
        <v>9000</v>
      </c>
      <c r="D120" s="68">
        <f>C120/C12</f>
        <v>8.2407803522219593E-4</v>
      </c>
      <c r="E120" s="295">
        <f>'0401'!E120+'0402'!E120+'0403'!E120+'405'!E120+'0406'!E120+'0409'!E120+'410-sahara'!E120+'414-Al ghurair'!E120+'415'!E120+'Al Foah_418'!E120+Rak_417!E120+D.C.!E120+'Wafi _419'!E120</f>
        <v>9000</v>
      </c>
      <c r="F120" s="68">
        <f>E120/E12</f>
        <v>1.059224166344045E-3</v>
      </c>
      <c r="G120" s="295">
        <f>'0401'!G120+'0402'!G120+'0403'!G120+'405'!G120+'0406'!G120+'0409'!G120+'410-sahara'!G120+'414-Al ghurair'!G120+'415'!G120+'Al Foah_418'!G120+Rak_417!G120+D.C.!G120+'Wafi _419'!G120</f>
        <v>9000</v>
      </c>
      <c r="H120" s="68">
        <f>G120/G12</f>
        <v>6.3855708582201409E-4</v>
      </c>
      <c r="I120" s="295">
        <f>'0401'!I120+'0402'!I120+'0403'!I120+'405'!I120+'0406'!I120+'0409'!I120+'410-sahara'!I120+'414-Al ghurair'!I120+'415'!I120+'Al Foah_418'!I120+Rak_417!I120+D.C.!I120+'Wafi _419'!I120</f>
        <v>9000</v>
      </c>
      <c r="J120" s="68">
        <f>I120/I12</f>
        <v>7.2317240085895812E-4</v>
      </c>
      <c r="K120" s="295">
        <f>'0401'!K120+'0402'!K120+'0403'!K120+'405'!K120+'0406'!K120+'0409'!K120+'410-sahara'!K120+'414-Al ghurair'!K120+'415'!K120+'Al Foah_418'!K120+Rak_417!K120+D.C.!K120+'Wafi _419'!K120</f>
        <v>9000</v>
      </c>
      <c r="L120" s="68">
        <f>K120/K12</f>
        <v>7.9069640565785195E-4</v>
      </c>
      <c r="M120" s="295">
        <f>'0401'!M120+'0402'!M120+'0403'!M120+'405'!M120+'0406'!M120+'0409'!M120+'410-sahara'!M120+'414-Al ghurair'!M120+'415'!M120+'Al Foah_418'!M120+Rak_417!M120+D.C.!M120+'Wafi _419'!M120</f>
        <v>9000</v>
      </c>
      <c r="N120" s="68">
        <f>M120/M12</f>
        <v>5.5761926036160389E-4</v>
      </c>
      <c r="O120" s="295">
        <f>'0401'!O120+'0402'!O120+'0403'!O120+'405'!O120+'0406'!O120+'0409'!O120+'410-sahara'!O120+'414-Al ghurair'!O120+'415'!O120+'Al Foah_418'!O120+Rak_417!O120+D.C.!O120+'Wafi _419'!O120</f>
        <v>9000</v>
      </c>
      <c r="P120" s="68">
        <f>O120/O12</f>
        <v>8.8076129302404836E-4</v>
      </c>
      <c r="Q120" s="295">
        <f>'0401'!Q120+'0402'!Q120+'0403'!Q120+'405'!Q120+'0406'!Q120+'0409'!Q120+'410-sahara'!Q120+'414-Al ghurair'!Q120+'415'!Q120+'Al Foah_418'!Q120+Rak_417!Q120+D.C.!Q120+'Wafi _419'!Q120</f>
        <v>9000</v>
      </c>
      <c r="R120" s="68">
        <f>Q120/Q12</f>
        <v>7.0929663661570123E-4</v>
      </c>
      <c r="S120" s="295">
        <f>'0401'!S120+'0402'!S120+'0403'!S120+'405'!S120+'0406'!S120+'0409'!S120+'410-sahara'!S120+'414-Al ghurair'!S120+'415'!S120+'Al Foah_418'!S120+Rak_417!S120+D.C.!S120+'Wafi _419'!S120</f>
        <v>9000</v>
      </c>
      <c r="T120" s="68">
        <f>S120/S12</f>
        <v>7.0410086281188524E-4</v>
      </c>
      <c r="U120" s="295">
        <f>'0401'!U120+'0402'!U120+'0403'!U120+'405'!U120+'0406'!U120+'0409'!U120+'410-sahara'!U120+'414-Al ghurair'!U120+'415'!U120+'Al Foah_418'!U120+Rak_417!U120+D.C.!U120+'Wafi _419'!U120</f>
        <v>9000</v>
      </c>
      <c r="V120" s="68">
        <f>U120/U12</f>
        <v>8.8766399004865928E-4</v>
      </c>
      <c r="W120" s="295">
        <f>'0401'!W120+'0402'!W120+'0403'!W120+'405'!W120+'0406'!W120+'0409'!W120+'410-sahara'!W120+'414-Al ghurair'!W120+'415'!W120+'Al Foah_418'!W120+Rak_417!W120+D.C.!W120+'Wafi _419'!W120</f>
        <v>9000</v>
      </c>
      <c r="X120" s="68">
        <f>W120/W12</f>
        <v>8.7244717703039668E-4</v>
      </c>
      <c r="Y120" s="295">
        <f>'0401'!Y120+'0402'!Y120+'0403'!Y120+'405'!Y120+'0406'!Y120+'0409'!Y120+'410-sahara'!Y120+'414-Al ghurair'!Y120+'415'!Y120+'Al Foah_418'!Y120+Rak_417!Y120+D.C.!Y120+'Wafi _419'!Y120</f>
        <v>9000</v>
      </c>
      <c r="Z120" s="68">
        <f>Y120/Y12</f>
        <v>5.7752582708242345E-4</v>
      </c>
      <c r="AA120" s="382">
        <f t="shared" si="64"/>
        <v>108000</v>
      </c>
      <c r="AB120" s="147">
        <f>AA120/AA12</f>
        <v>7.4376191237911986E-4</v>
      </c>
      <c r="AC120" s="128">
        <f t="shared" si="65"/>
        <v>9000</v>
      </c>
      <c r="AD120" s="131">
        <f>AC120/AC12</f>
        <v>7.4376191237911996E-4</v>
      </c>
      <c r="AE120" s="84">
        <f t="shared" si="60"/>
        <v>108000</v>
      </c>
      <c r="AF120" s="33" t="e">
        <f>#REF!+'0401'!#REF!+'0402'!#REF!+'0403'!#REF!+#REF!+'405'!#REF!+'0406'!#REF!+D.C.!#REF!+#REF!+#REF!+'0409'!#REF!</f>
        <v>#REF!</v>
      </c>
      <c r="AG120" s="33" t="e">
        <f t="shared" si="247"/>
        <v>#REF!</v>
      </c>
      <c r="AH120" s="84">
        <f t="shared" si="62"/>
        <v>0</v>
      </c>
      <c r="AI120" s="33">
        <f>'0401'!AA120+'0402'!AA120+'0403'!AA120+'405'!AA120+'0406'!AA120+'0409'!AA120+'410-sahara'!AA120+'414-Al ghurair'!AA120+'415'!AA120+'Al Foah_418'!AA120+Rak_417!AA120+D.C.!AA120</f>
        <v>99000</v>
      </c>
      <c r="AJ120" s="84">
        <f t="shared" si="63"/>
        <v>9000</v>
      </c>
    </row>
    <row r="121" spans="1:36" customFormat="1">
      <c r="A121" s="2">
        <v>6407</v>
      </c>
      <c r="B121" s="2" t="s">
        <v>73</v>
      </c>
      <c r="C121" s="295">
        <f>'0401'!C121+'0402'!C121+'0403'!C121+'405'!C121+'0406'!C121+'0409'!C121+'410-sahara'!C121+'414-Al ghurair'!C121+'415'!C121+'Al Foah_418'!C121+Rak_417!C121+D.C.!C121+'Wafi _419'!C121</f>
        <v>0</v>
      </c>
      <c r="D121" s="68">
        <f>C121/C12</f>
        <v>0</v>
      </c>
      <c r="E121" s="295">
        <f>'0401'!E121+'0402'!E121+'0403'!E121+'405'!E121+'0406'!E121+'0409'!E121+'410-sahara'!E121+'414-Al ghurair'!E121+'415'!E121+'Al Foah_418'!E121+Rak_417!E121+D.C.!E121+'Wafi _419'!E121</f>
        <v>0</v>
      </c>
      <c r="F121" s="68">
        <f>E121/E12</f>
        <v>0</v>
      </c>
      <c r="G121" s="295">
        <f>'0401'!G121+'0402'!G121+'0403'!G121+'405'!G121+'0406'!G121+'0409'!G121+'410-sahara'!G121+'414-Al ghurair'!G121+'415'!G121+'Al Foah_418'!G121+Rak_417!G121+D.C.!G121+'Wafi _419'!G121</f>
        <v>0</v>
      </c>
      <c r="H121" s="68">
        <f>G121/G12</f>
        <v>0</v>
      </c>
      <c r="I121" s="295">
        <f>'0401'!I121+'0402'!I121+'0403'!I121+'405'!I121+'0406'!I121+'0409'!I121+'410-sahara'!I121+'414-Al ghurair'!I121+'415'!I121+'Al Foah_418'!I121+Rak_417!I121+D.C.!I121+'Wafi _419'!I121</f>
        <v>0</v>
      </c>
      <c r="J121" s="68">
        <f>I121/I12</f>
        <v>0</v>
      </c>
      <c r="K121" s="295">
        <f>'0401'!K121+'0402'!K121+'0403'!K121+'405'!K121+'0406'!K121+'0409'!K121+'410-sahara'!K121+'414-Al ghurair'!K121+'415'!K121+'Al Foah_418'!K121+Rak_417!K121+D.C.!K121+'Wafi _419'!K121</f>
        <v>0</v>
      </c>
      <c r="L121" s="68">
        <f>K121/K12</f>
        <v>0</v>
      </c>
      <c r="M121" s="295">
        <f>'0401'!M121+'0402'!M121+'0403'!M121+'405'!M121+'0406'!M121+'0409'!M121+'410-sahara'!M121+'414-Al ghurair'!M121+'415'!M121+'Al Foah_418'!M121+Rak_417!M121+D.C.!M121+'Wafi _419'!M121</f>
        <v>0</v>
      </c>
      <c r="N121" s="68">
        <f>M121/M12</f>
        <v>0</v>
      </c>
      <c r="O121" s="295">
        <f>'0401'!O121+'0402'!O121+'0403'!O121+'405'!O121+'0406'!O121+'0409'!O121+'410-sahara'!O121+'414-Al ghurair'!O121+'415'!O121+'Al Foah_418'!O121+Rak_417!O121+D.C.!O121+'Wafi _419'!O121</f>
        <v>0</v>
      </c>
      <c r="P121" s="68">
        <f>O121/O12</f>
        <v>0</v>
      </c>
      <c r="Q121" s="295">
        <f>'0401'!Q121+'0402'!Q121+'0403'!Q121+'405'!Q121+'0406'!Q121+'0409'!Q121+'410-sahara'!Q121+'414-Al ghurair'!Q121+'415'!Q121+'Al Foah_418'!Q121+Rak_417!Q121+D.C.!Q121+'Wafi _419'!Q121</f>
        <v>0</v>
      </c>
      <c r="R121" s="68">
        <f>Q121/Q12</f>
        <v>0</v>
      </c>
      <c r="S121" s="295">
        <f>'0401'!S121+'0402'!S121+'0403'!S121+'405'!S121+'0406'!S121+'0409'!S121+'410-sahara'!S121+'414-Al ghurair'!S121+'415'!S121+'Al Foah_418'!S121+Rak_417!S121+D.C.!S121+'Wafi _419'!S121</f>
        <v>0</v>
      </c>
      <c r="T121" s="68">
        <f>S121/S12</f>
        <v>0</v>
      </c>
      <c r="U121" s="295">
        <f>'0401'!U121+'0402'!U121+'0403'!U121+'405'!U121+'0406'!U121+'0409'!U121+'410-sahara'!U121+'414-Al ghurair'!U121+'415'!U121+'Al Foah_418'!U121+Rak_417!U121+D.C.!U121+'Wafi _419'!U121</f>
        <v>0</v>
      </c>
      <c r="V121" s="68">
        <f>U121/U12</f>
        <v>0</v>
      </c>
      <c r="W121" s="295">
        <f>'0401'!W121+'0402'!W121+'0403'!W121+'405'!W121+'0406'!W121+'0409'!W121+'410-sahara'!W121+'414-Al ghurair'!W121+'415'!W121+'Al Foah_418'!W121+Rak_417!W121+D.C.!W121+'Wafi _419'!W121</f>
        <v>0</v>
      </c>
      <c r="X121" s="68">
        <f>W121/W12</f>
        <v>0</v>
      </c>
      <c r="Y121" s="295">
        <f>'0401'!Y121+'0402'!Y121+'0403'!Y121+'405'!Y121+'0406'!Y121+'0409'!Y121+'410-sahara'!Y121+'414-Al ghurair'!Y121+'415'!Y121+'Al Foah_418'!Y121+Rak_417!Y121+D.C.!Y121+'Wafi _419'!Y121</f>
        <v>0</v>
      </c>
      <c r="Z121" s="68">
        <f>Y121/Y12</f>
        <v>0</v>
      </c>
      <c r="AA121" s="382">
        <f t="shared" si="64"/>
        <v>0</v>
      </c>
      <c r="AB121" s="147">
        <f>AA121/AA12</f>
        <v>0</v>
      </c>
      <c r="AC121" s="128">
        <f t="shared" si="65"/>
        <v>0</v>
      </c>
      <c r="AD121" s="131">
        <f>AC121/AC12</f>
        <v>0</v>
      </c>
      <c r="AE121" s="84">
        <f t="shared" si="60"/>
        <v>0</v>
      </c>
      <c r="AF121" s="33" t="e">
        <f>#REF!+'0401'!#REF!+'0402'!#REF!+'0403'!#REF!+#REF!+'405'!#REF!+'0406'!#REF!+D.C.!#REF!+#REF!+#REF!+'0409'!#REF!</f>
        <v>#REF!</v>
      </c>
      <c r="AG121" s="33" t="e">
        <f t="shared" si="247"/>
        <v>#REF!</v>
      </c>
      <c r="AH121" s="84">
        <f t="shared" si="62"/>
        <v>0</v>
      </c>
      <c r="AI121" s="33">
        <f>'0401'!AA121+'0402'!AA121+'0403'!AA121+'405'!AA121+'0406'!AA121+'0409'!AA121+'410-sahara'!AA121+'414-Al ghurair'!AA121+'415'!AA121+'Al Foah_418'!AA121+Rak_417!AA121+D.C.!AA121</f>
        <v>0</v>
      </c>
      <c r="AJ121" s="84">
        <f t="shared" si="63"/>
        <v>0</v>
      </c>
    </row>
    <row r="122" spans="1:36" customFormat="1">
      <c r="A122" s="2">
        <v>6408</v>
      </c>
      <c r="B122" s="2" t="s">
        <v>42</v>
      </c>
      <c r="C122" s="295">
        <f>'0401'!C122+'0402'!C122+'0403'!C122+'405'!C122+'0406'!C122+'0409'!C122+'410-sahara'!C122+'414-Al ghurair'!C122+'415'!C122+'Al Foah_418'!C122+Rak_417!C122+D.C.!C122+'Wafi _419'!C122</f>
        <v>0</v>
      </c>
      <c r="D122" s="68">
        <f>C122/C12</f>
        <v>0</v>
      </c>
      <c r="E122" s="295">
        <f>'0401'!E122+'0402'!E122+'0403'!E122+'405'!E122+'0406'!E122+'0409'!E122+'410-sahara'!E122+'414-Al ghurair'!E122+'415'!E122+'Al Foah_418'!E122+Rak_417!E122+D.C.!E122+'Wafi _419'!E122</f>
        <v>0</v>
      </c>
      <c r="F122" s="68">
        <f>E122/E12</f>
        <v>0</v>
      </c>
      <c r="G122" s="295">
        <f>'0401'!G122+'0402'!G122+'0403'!G122+'405'!G122+'0406'!G122+'0409'!G122+'410-sahara'!G122+'414-Al ghurair'!G122+'415'!G122+'Al Foah_418'!G122+Rak_417!G122+D.C.!G122+'Wafi _419'!G122</f>
        <v>0</v>
      </c>
      <c r="H122" s="68">
        <f>G122/G12</f>
        <v>0</v>
      </c>
      <c r="I122" s="295">
        <f>'0401'!I122+'0402'!I122+'0403'!I122+'405'!I122+'0406'!I122+'0409'!I122+'410-sahara'!I122+'414-Al ghurair'!I122+'415'!I122+'Al Foah_418'!I122+Rak_417!I122+D.C.!I122+'Wafi _419'!I122</f>
        <v>0</v>
      </c>
      <c r="J122" s="68">
        <f>I122/I12</f>
        <v>0</v>
      </c>
      <c r="K122" s="295">
        <f>'0401'!K122+'0402'!K122+'0403'!K122+'405'!K122+'0406'!K122+'0409'!K122+'410-sahara'!K122+'414-Al ghurair'!K122+'415'!K122+'Al Foah_418'!K122+Rak_417!K122+D.C.!K122+'Wafi _419'!K122</f>
        <v>0</v>
      </c>
      <c r="L122" s="68">
        <f>K122/K12</f>
        <v>0</v>
      </c>
      <c r="M122" s="295">
        <f>'0401'!M122+'0402'!M122+'0403'!M122+'405'!M122+'0406'!M122+'0409'!M122+'410-sahara'!M122+'414-Al ghurair'!M122+'415'!M122+'Al Foah_418'!M122+Rak_417!M122+D.C.!M122+'Wafi _419'!M122</f>
        <v>0</v>
      </c>
      <c r="N122" s="68">
        <f>M122/M12</f>
        <v>0</v>
      </c>
      <c r="O122" s="295">
        <f>'0401'!O122+'0402'!O122+'0403'!O122+'405'!O122+'0406'!O122+'0409'!O122+'410-sahara'!O122+'414-Al ghurair'!O122+'415'!O122+'Al Foah_418'!O122+Rak_417!O122+D.C.!O122+'Wafi _419'!O122</f>
        <v>0</v>
      </c>
      <c r="P122" s="68">
        <f>O122/O12</f>
        <v>0</v>
      </c>
      <c r="Q122" s="295">
        <f>'0401'!Q122+'0402'!Q122+'0403'!Q122+'405'!Q122+'0406'!Q122+'0409'!Q122+'410-sahara'!Q122+'414-Al ghurair'!Q122+'415'!Q122+'Al Foah_418'!Q122+Rak_417!Q122+D.C.!Q122+'Wafi _419'!Q122</f>
        <v>0</v>
      </c>
      <c r="R122" s="68">
        <f>Q122/Q12</f>
        <v>0</v>
      </c>
      <c r="S122" s="295">
        <f>'0401'!S122+'0402'!S122+'0403'!S122+'405'!S122+'0406'!S122+'0409'!S122+'410-sahara'!S122+'414-Al ghurair'!S122+'415'!S122+'Al Foah_418'!S122+Rak_417!S122+D.C.!S122+'Wafi _419'!S122</f>
        <v>0</v>
      </c>
      <c r="T122" s="68">
        <f>S122/S12</f>
        <v>0</v>
      </c>
      <c r="U122" s="295">
        <f>'0401'!U122+'0402'!U122+'0403'!U122+'405'!U122+'0406'!U122+'0409'!U122+'410-sahara'!U122+'414-Al ghurair'!U122+'415'!U122+'Al Foah_418'!U122+Rak_417!U122+D.C.!U122+'Wafi _419'!U122</f>
        <v>0</v>
      </c>
      <c r="V122" s="68">
        <f>U122/U12</f>
        <v>0</v>
      </c>
      <c r="W122" s="295">
        <f>'0401'!W122+'0402'!W122+'0403'!W122+'405'!W122+'0406'!W122+'0409'!W122+'410-sahara'!W122+'414-Al ghurair'!W122+'415'!W122+'Al Foah_418'!W122+Rak_417!W122+D.C.!W122+'Wafi _419'!W122</f>
        <v>0</v>
      </c>
      <c r="X122" s="68">
        <f>W122/W12</f>
        <v>0</v>
      </c>
      <c r="Y122" s="295">
        <f>'0401'!Y122+'0402'!Y122+'0403'!Y122+'405'!Y122+'0406'!Y122+'0409'!Y122+'410-sahara'!Y122+'414-Al ghurair'!Y122+'415'!Y122+'Al Foah_418'!Y122+Rak_417!Y122+D.C.!Y122+'Wafi _419'!Y122</f>
        <v>0</v>
      </c>
      <c r="Z122" s="68">
        <f>Y122/Y12</f>
        <v>0</v>
      </c>
      <c r="AA122" s="382">
        <f t="shared" si="64"/>
        <v>0</v>
      </c>
      <c r="AB122" s="147">
        <f>AA122/AA12</f>
        <v>0</v>
      </c>
      <c r="AC122" s="128">
        <f t="shared" si="65"/>
        <v>0</v>
      </c>
      <c r="AD122" s="131">
        <f>AC122/AC12</f>
        <v>0</v>
      </c>
      <c r="AE122" s="84">
        <f t="shared" si="60"/>
        <v>0</v>
      </c>
      <c r="AF122" s="33" t="e">
        <f>#REF!+'0401'!#REF!+'0402'!#REF!+'0403'!#REF!+#REF!+'405'!#REF!+'0406'!#REF!+D.C.!#REF!+#REF!+#REF!+'0409'!#REF!</f>
        <v>#REF!</v>
      </c>
      <c r="AG122" s="33" t="e">
        <f t="shared" si="247"/>
        <v>#REF!</v>
      </c>
      <c r="AH122" s="84">
        <f t="shared" si="62"/>
        <v>0</v>
      </c>
      <c r="AI122" s="33">
        <f>'0401'!AA122+'0402'!AA122+'0403'!AA122+'405'!AA122+'0406'!AA122+'0409'!AA122+'410-sahara'!AA122+'414-Al ghurair'!AA122+'415'!AA122+'Al Foah_418'!AA122+Rak_417!AA122+D.C.!AA122</f>
        <v>0</v>
      </c>
      <c r="AJ122" s="84">
        <f t="shared" si="63"/>
        <v>0</v>
      </c>
    </row>
    <row r="123" spans="1:36" s="1" customFormat="1">
      <c r="A123" s="188">
        <v>6410</v>
      </c>
      <c r="B123" s="2" t="s">
        <v>105</v>
      </c>
      <c r="C123" s="295">
        <f>'0401'!C123+'0402'!C123+'0403'!C123+'405'!C123+'0406'!C123+'0409'!C123+'410-sahara'!C123+'414-Al ghurair'!C123+'415'!C123+'Al Foah_418'!C123+Rak_417!C123+D.C.!C123+'Wafi _419'!C123</f>
        <v>0</v>
      </c>
      <c r="D123" s="68"/>
      <c r="E123" s="295">
        <f>'0401'!E123+'0402'!E123+'0403'!E123+'405'!E123+'0406'!E123+'0409'!E123+'410-sahara'!E123+'414-Al ghurair'!E123+'415'!E123+'Al Foah_418'!E123+Rak_417!E123+D.C.!E123+'Wafi _419'!E123</f>
        <v>0</v>
      </c>
      <c r="F123" s="68"/>
      <c r="G123" s="295">
        <f>'0401'!G123+'0402'!G123+'0403'!G123+'405'!G123+'0406'!G123+'0409'!G123+'410-sahara'!G123+'414-Al ghurair'!G123+'415'!G123+'Al Foah_418'!G123+Rak_417!G123+D.C.!G123+'Wafi _419'!G123</f>
        <v>0</v>
      </c>
      <c r="H123" s="68"/>
      <c r="I123" s="295">
        <f>'0401'!I123+'0402'!I123+'0403'!I123+'405'!I123+'0406'!I123+'0409'!I123+'410-sahara'!I123+'414-Al ghurair'!I123+'415'!I123+'Al Foah_418'!I123+Rak_417!I123+D.C.!I123+'Wafi _419'!I123</f>
        <v>0</v>
      </c>
      <c r="J123" s="68"/>
      <c r="K123" s="295">
        <f>'0401'!K123+'0402'!K123+'0403'!K123+'405'!K123+'0406'!K123+'0409'!K123+'410-sahara'!K123+'414-Al ghurair'!K123+'415'!K123+'Al Foah_418'!K123+Rak_417!K123+D.C.!K123+'Wafi _419'!K123</f>
        <v>0</v>
      </c>
      <c r="L123" s="68"/>
      <c r="M123" s="295">
        <f>'0401'!M123+'0402'!M123+'0403'!M123+'405'!M123+'0406'!M123+'0409'!M123+'410-sahara'!M123+'414-Al ghurair'!M123+'415'!M123+'Al Foah_418'!M123+Rak_417!M123+D.C.!M123+'Wafi _419'!M123</f>
        <v>0</v>
      </c>
      <c r="N123" s="68"/>
      <c r="O123" s="295">
        <f>'0401'!O123+'0402'!O123+'0403'!O123+'405'!O123+'0406'!O123+'0409'!O123+'410-sahara'!O123+'414-Al ghurair'!O123+'415'!O123+'Al Foah_418'!O123+Rak_417!O123+D.C.!O123+'Wafi _419'!O123</f>
        <v>0</v>
      </c>
      <c r="P123" s="68"/>
      <c r="Q123" s="295">
        <f>'0401'!Q123+'0402'!Q123+'0403'!Q123+'405'!Q123+'0406'!Q123+'0409'!Q123+'410-sahara'!Q123+'414-Al ghurair'!Q123+'415'!Q123+'Al Foah_418'!Q123+Rak_417!Q123+D.C.!Q123+'Wafi _419'!Q123</f>
        <v>0</v>
      </c>
      <c r="R123" s="68"/>
      <c r="S123" s="295">
        <f>'0401'!S123+'0402'!S123+'0403'!S123+'405'!S123+'0406'!S123+'0409'!S123+'410-sahara'!S123+'414-Al ghurair'!S123+'415'!S123+'Al Foah_418'!S123+Rak_417!S123+D.C.!S123+'Wafi _419'!S123</f>
        <v>0</v>
      </c>
      <c r="T123" s="68"/>
      <c r="U123" s="295">
        <f>'0401'!U123+'0402'!U123+'0403'!U123+'405'!U123+'0406'!U123+'0409'!U123+'410-sahara'!U123+'414-Al ghurair'!U123+'415'!U123+'Al Foah_418'!U123+Rak_417!U123+D.C.!U123+'Wafi _419'!U123</f>
        <v>0</v>
      </c>
      <c r="V123" s="68"/>
      <c r="W123" s="295">
        <f>'0401'!W123+'0402'!W123+'0403'!W123+'405'!W123+'0406'!W123+'0409'!W123+'410-sahara'!W123+'414-Al ghurair'!W123+'415'!W123+'Al Foah_418'!W123+Rak_417!W123+D.C.!W123+'Wafi _419'!W123</f>
        <v>0</v>
      </c>
      <c r="X123" s="68"/>
      <c r="Y123" s="295">
        <f>'0401'!Y123+'0402'!Y123+'0403'!Y123+'405'!Y123+'0406'!Y123+'0409'!Y123+'410-sahara'!Y123+'414-Al ghurair'!Y123+'415'!Y123+'Al Foah_418'!Y123+Rak_417!Y123+D.C.!Y123+'Wafi _419'!Y123</f>
        <v>0</v>
      </c>
      <c r="Z123" s="68"/>
      <c r="AA123" s="382">
        <f t="shared" si="64"/>
        <v>0</v>
      </c>
      <c r="AB123" s="147"/>
      <c r="AC123" s="128">
        <f t="shared" si="65"/>
        <v>0</v>
      </c>
      <c r="AD123" s="131"/>
      <c r="AE123" s="84">
        <f t="shared" si="60"/>
        <v>0</v>
      </c>
      <c r="AF123" s="33" t="e">
        <f>#REF!+'0401'!#REF!+'0402'!#REF!+'0403'!#REF!+#REF!+'405'!#REF!+'0406'!#REF!+D.C.!#REF!+#REF!+#REF!+'0409'!#REF!</f>
        <v>#REF!</v>
      </c>
      <c r="AG123" s="33" t="e">
        <f t="shared" si="247"/>
        <v>#REF!</v>
      </c>
      <c r="AH123" s="84">
        <f t="shared" si="62"/>
        <v>0</v>
      </c>
      <c r="AI123" s="33">
        <f>'0401'!AA123+'0402'!AA123+'0403'!AA123+'405'!AA123+'0406'!AA123+'0409'!AA123+'410-sahara'!AA123+'414-Al ghurair'!AA123+'415'!AA123+'Al Foah_418'!AA123+Rak_417!AA123+D.C.!AA123</f>
        <v>0</v>
      </c>
      <c r="AJ123" s="84">
        <f t="shared" si="63"/>
        <v>0</v>
      </c>
    </row>
    <row r="124" spans="1:36" s="1" customFormat="1">
      <c r="A124" s="188">
        <v>6411</v>
      </c>
      <c r="B124" s="2" t="s">
        <v>150</v>
      </c>
      <c r="C124" s="295">
        <f>'0401'!C124+'0402'!C124+'0403'!C124+'405'!C124+'0406'!C124+'0409'!C124+'410-sahara'!C124+'414-Al ghurair'!C124+'415'!C124+'Al Foah_418'!C124+Rak_417!C124+D.C.!C124+'Wafi _419'!C124</f>
        <v>0</v>
      </c>
      <c r="D124" s="68"/>
      <c r="E124" s="295">
        <f>'0401'!E124+'0402'!E124+'0403'!E124+'405'!E124+'0406'!E124+'0409'!E124+'410-sahara'!E124+'414-Al ghurair'!E124+'415'!E124+'Al Foah_418'!E124+Rak_417!E124+D.C.!E124+'Wafi _419'!E124</f>
        <v>0</v>
      </c>
      <c r="F124" s="68"/>
      <c r="G124" s="295">
        <f>'0401'!G124+'0402'!G124+'0403'!G124+'405'!G124+'0406'!G124+'0409'!G124+'410-sahara'!G124+'414-Al ghurair'!G124+'415'!G124+'Al Foah_418'!G124+Rak_417!G124+D.C.!G124+'Wafi _419'!G124</f>
        <v>0</v>
      </c>
      <c r="H124" s="68"/>
      <c r="I124" s="295">
        <f>'0401'!I124+'0402'!I124+'0403'!I124+'405'!I124+'0406'!I124+'0409'!I124+'410-sahara'!I124+'414-Al ghurair'!I124+'415'!I124+'Al Foah_418'!I124+Rak_417!I124+D.C.!I124+'Wafi _419'!I124</f>
        <v>0</v>
      </c>
      <c r="J124" s="68"/>
      <c r="K124" s="295">
        <f>'0401'!K124+'0402'!K124+'0403'!K124+'405'!K124+'0406'!K124+'0409'!K124+'410-sahara'!K124+'414-Al ghurair'!K124+'415'!K124+'Al Foah_418'!K124+Rak_417!K124+D.C.!K124+'Wafi _419'!K124</f>
        <v>0</v>
      </c>
      <c r="L124" s="68"/>
      <c r="M124" s="295">
        <f>'0401'!M124+'0402'!M124+'0403'!M124+'405'!M124+'0406'!M124+'0409'!M124+'410-sahara'!M124+'414-Al ghurair'!M124+'415'!M124+'Al Foah_418'!M124+Rak_417!M124+D.C.!M124+'Wafi _419'!M124</f>
        <v>0</v>
      </c>
      <c r="N124" s="68"/>
      <c r="O124" s="295">
        <f>'0401'!O124+'0402'!O124+'0403'!O124+'405'!O124+'0406'!O124+'0409'!O124+'410-sahara'!O124+'414-Al ghurair'!O124+'415'!O124+'Al Foah_418'!O124+Rak_417!O124+D.C.!O124+'Wafi _419'!O124</f>
        <v>0</v>
      </c>
      <c r="P124" s="68"/>
      <c r="Q124" s="295">
        <f>'0401'!Q124+'0402'!Q124+'0403'!Q124+'405'!Q124+'0406'!Q124+'0409'!Q124+'410-sahara'!Q124+'414-Al ghurair'!Q124+'415'!Q124+'Al Foah_418'!Q124+Rak_417!Q124+D.C.!Q124+'Wafi _419'!Q124</f>
        <v>0</v>
      </c>
      <c r="R124" s="68"/>
      <c r="S124" s="295">
        <f>'0401'!S124+'0402'!S124+'0403'!S124+'405'!S124+'0406'!S124+'0409'!S124+'410-sahara'!S124+'414-Al ghurair'!S124+'415'!S124+'Al Foah_418'!S124+Rak_417!S124+D.C.!S124+'Wafi _419'!S124</f>
        <v>0</v>
      </c>
      <c r="T124" s="68"/>
      <c r="U124" s="295">
        <f>'0401'!U124+'0402'!U124+'0403'!U124+'405'!U124+'0406'!U124+'0409'!U124+'410-sahara'!U124+'414-Al ghurair'!U124+'415'!U124+'Al Foah_418'!U124+Rak_417!U124+D.C.!U124+'Wafi _419'!U124</f>
        <v>0</v>
      </c>
      <c r="V124" s="68"/>
      <c r="W124" s="295">
        <f>'0401'!W124+'0402'!W124+'0403'!W124+'405'!W124+'0406'!W124+'0409'!W124+'410-sahara'!W124+'414-Al ghurair'!W124+'415'!W124+'Al Foah_418'!W124+Rak_417!W124+D.C.!W124+'Wafi _419'!W124</f>
        <v>0</v>
      </c>
      <c r="X124" s="68"/>
      <c r="Y124" s="295">
        <f>'0401'!Y124+'0402'!Y124+'0403'!Y124+'405'!Y124+'0406'!Y124+'0409'!Y124+'410-sahara'!Y124+'414-Al ghurair'!Y124+'415'!Y124+'Al Foah_418'!Y124+Rak_417!Y124+D.C.!Y124+'Wafi _419'!Y124</f>
        <v>0</v>
      </c>
      <c r="Z124" s="68"/>
      <c r="AA124" s="382">
        <f t="shared" si="64"/>
        <v>0</v>
      </c>
      <c r="AB124" s="147"/>
      <c r="AC124" s="128">
        <f t="shared" si="65"/>
        <v>0</v>
      </c>
      <c r="AD124" s="131"/>
      <c r="AE124" s="84">
        <f t="shared" si="60"/>
        <v>0</v>
      </c>
      <c r="AF124" s="33" t="e">
        <f>#REF!+'0401'!#REF!+'0402'!#REF!+'0403'!#REF!+#REF!+'405'!#REF!+'0406'!#REF!+D.C.!#REF!+#REF!+#REF!+'0409'!#REF!</f>
        <v>#REF!</v>
      </c>
      <c r="AG124" s="33" t="e">
        <f t="shared" si="247"/>
        <v>#REF!</v>
      </c>
      <c r="AH124" s="84">
        <f t="shared" si="62"/>
        <v>0</v>
      </c>
      <c r="AI124" s="33">
        <f>'0401'!AA124+'0402'!AA124+'0403'!AA124+'405'!AA124+'0406'!AA124+'0409'!AA124+'410-sahara'!AA124+'414-Al ghurair'!AA124+'415'!AA124+'Al Foah_418'!AA124+Rak_417!AA124+D.C.!AA124</f>
        <v>0</v>
      </c>
      <c r="AJ124" s="84">
        <f t="shared" si="63"/>
        <v>0</v>
      </c>
    </row>
    <row r="125" spans="1:36" customFormat="1">
      <c r="A125" s="2">
        <v>6412</v>
      </c>
      <c r="B125" s="2" t="s">
        <v>93</v>
      </c>
      <c r="C125" s="295">
        <f>'0401'!C125+'0402'!C125+'0403'!C125+'405'!C125+'0406'!C125+'0409'!C125+'410-sahara'!C125+'414-Al ghurair'!C125+'415'!C125+'Al Foah_418'!C125+Rak_417!C125+D.C.!C125+'Wafi _419'!C125</f>
        <v>0</v>
      </c>
      <c r="D125" s="68">
        <f>C125/C12</f>
        <v>0</v>
      </c>
      <c r="E125" s="295">
        <f>'0401'!E125+'0402'!E125+'0403'!E125+'405'!E125+'0406'!E125+'0409'!E125+'410-sahara'!E125+'414-Al ghurair'!E125+'415'!E125+'Al Foah_418'!E125+Rak_417!E125+D.C.!E125+'Wafi _419'!E125</f>
        <v>0</v>
      </c>
      <c r="F125" s="68">
        <f>E125/E12</f>
        <v>0</v>
      </c>
      <c r="G125" s="295">
        <f>'0401'!G125+'0402'!G125+'0403'!G125+'405'!G125+'0406'!G125+'0409'!G125+'410-sahara'!G125+'414-Al ghurair'!G125+'415'!G125+'Al Foah_418'!G125+Rak_417!G125+D.C.!G125+'Wafi _419'!G125</f>
        <v>0</v>
      </c>
      <c r="H125" s="68">
        <f>G125/G12</f>
        <v>0</v>
      </c>
      <c r="I125" s="295">
        <f>'0401'!I125+'0402'!I125+'0403'!I125+'405'!I125+'0406'!I125+'0409'!I125+'410-sahara'!I125+'414-Al ghurair'!I125+'415'!I125+'Al Foah_418'!I125+Rak_417!I125+D.C.!I125+'Wafi _419'!I125</f>
        <v>0</v>
      </c>
      <c r="J125" s="68">
        <f>I125/I12</f>
        <v>0</v>
      </c>
      <c r="K125" s="295">
        <f>'0401'!K125+'0402'!K125+'0403'!K125+'405'!K125+'0406'!K125+'0409'!K125+'410-sahara'!K125+'414-Al ghurair'!K125+'415'!K125+'Al Foah_418'!K125+Rak_417!K125+D.C.!K125+'Wafi _419'!K125</f>
        <v>0</v>
      </c>
      <c r="L125" s="68">
        <f>K125/K12</f>
        <v>0</v>
      </c>
      <c r="M125" s="295">
        <f>'0401'!M125+'0402'!M125+'0403'!M125+'405'!M125+'0406'!M125+'0409'!M125+'410-sahara'!M125+'414-Al ghurair'!M125+'415'!M125+'Al Foah_418'!M125+Rak_417!M125+D.C.!M125+'Wafi _419'!M125</f>
        <v>0</v>
      </c>
      <c r="N125" s="68">
        <f>M125/M12</f>
        <v>0</v>
      </c>
      <c r="O125" s="295">
        <f>'0401'!O125+'0402'!O125+'0403'!O125+'405'!O125+'0406'!O125+'0409'!O125+'410-sahara'!O125+'414-Al ghurair'!O125+'415'!O125+'Al Foah_418'!O125+Rak_417!O125+D.C.!O125+'Wafi _419'!O125</f>
        <v>0</v>
      </c>
      <c r="P125" s="68">
        <f>O125/O12</f>
        <v>0</v>
      </c>
      <c r="Q125" s="295">
        <f>'0401'!Q125+'0402'!Q125+'0403'!Q125+'405'!Q125+'0406'!Q125+'0409'!Q125+'410-sahara'!Q125+'414-Al ghurair'!Q125+'415'!Q125+'Al Foah_418'!Q125+Rak_417!Q125+D.C.!Q125+'Wafi _419'!Q125</f>
        <v>0</v>
      </c>
      <c r="R125" s="68">
        <f>Q125/Q12</f>
        <v>0</v>
      </c>
      <c r="S125" s="295">
        <f>'0401'!S125+'0402'!S125+'0403'!S125+'405'!S125+'0406'!S125+'0409'!S125+'410-sahara'!S125+'414-Al ghurair'!S125+'415'!S125+'Al Foah_418'!S125+Rak_417!S125+D.C.!S125+'Wafi _419'!S125</f>
        <v>0</v>
      </c>
      <c r="T125" s="68">
        <f>S125/S12</f>
        <v>0</v>
      </c>
      <c r="U125" s="295">
        <f>'0401'!U125+'0402'!U125+'0403'!U125+'405'!U125+'0406'!U125+'0409'!U125+'410-sahara'!U125+'414-Al ghurair'!U125+'415'!U125+'Al Foah_418'!U125+Rak_417!U125+D.C.!U125+'Wafi _419'!U125</f>
        <v>0</v>
      </c>
      <c r="V125" s="68">
        <f>U125/U12</f>
        <v>0</v>
      </c>
      <c r="W125" s="295">
        <f>'0401'!W125+'0402'!W125+'0403'!W125+'405'!W125+'0406'!W125+'0409'!W125+'410-sahara'!W125+'414-Al ghurair'!W125+'415'!W125+'Al Foah_418'!W125+Rak_417!W125+D.C.!W125+'Wafi _419'!W125</f>
        <v>0</v>
      </c>
      <c r="X125" s="68">
        <f>W125/W12</f>
        <v>0</v>
      </c>
      <c r="Y125" s="295">
        <f>'0401'!Y125+'0402'!Y125+'0403'!Y125+'405'!Y125+'0406'!Y125+'0409'!Y125+'410-sahara'!Y125+'414-Al ghurair'!Y125+'415'!Y125+'Al Foah_418'!Y125+Rak_417!Y125+D.C.!Y125+'Wafi _419'!Y125</f>
        <v>0</v>
      </c>
      <c r="Z125" s="68">
        <f>Y125/Y12</f>
        <v>0</v>
      </c>
      <c r="AA125" s="382">
        <f t="shared" si="64"/>
        <v>0</v>
      </c>
      <c r="AB125" s="147">
        <f>AA125/AA12</f>
        <v>0</v>
      </c>
      <c r="AC125" s="128">
        <f t="shared" si="65"/>
        <v>0</v>
      </c>
      <c r="AD125" s="131">
        <f>AC125/AC12</f>
        <v>0</v>
      </c>
      <c r="AE125" s="84">
        <f t="shared" si="60"/>
        <v>0</v>
      </c>
      <c r="AF125" s="33" t="e">
        <f>#REF!+'0401'!#REF!+'0402'!#REF!+'0403'!#REF!+#REF!+'405'!#REF!+'0406'!#REF!+D.C.!#REF!+#REF!+#REF!+'0409'!#REF!</f>
        <v>#REF!</v>
      </c>
      <c r="AG125" s="33" t="e">
        <f t="shared" si="247"/>
        <v>#REF!</v>
      </c>
      <c r="AH125" s="84">
        <f t="shared" si="62"/>
        <v>0</v>
      </c>
      <c r="AI125" s="33">
        <f>'0401'!AA125+'0402'!AA125+'0403'!AA125+'405'!AA125+'0406'!AA125+'0409'!AA125+'410-sahara'!AA125+'414-Al ghurair'!AA125+'415'!AA125+'Al Foah_418'!AA125+Rak_417!AA125+D.C.!AA125</f>
        <v>0</v>
      </c>
      <c r="AJ125" s="84">
        <f t="shared" si="63"/>
        <v>0</v>
      </c>
    </row>
    <row r="126" spans="1:36" customFormat="1">
      <c r="A126" s="2">
        <v>6413</v>
      </c>
      <c r="B126" s="2" t="s">
        <v>41</v>
      </c>
      <c r="C126" s="295">
        <f>'0401'!C126+'0402'!C126+'0403'!C126+'405'!C126+'0406'!C126+'0409'!C126+'410-sahara'!C126+'414-Al ghurair'!C126+'415'!C126+'Al Foah_418'!C126+Rak_417!C126+D.C.!C126+'Wafi _419'!C126</f>
        <v>109212.95818269603</v>
      </c>
      <c r="D126" s="68">
        <f>C126/C12</f>
        <v>9.9999999999999985E-3</v>
      </c>
      <c r="E126" s="295">
        <f>'0401'!E126+'0402'!E126+'0403'!E126+'405'!E126+'0406'!E126+'0409'!E126+'410-sahara'!E126+'414-Al ghurair'!E126+'415'!E126+'Al Foah_418'!E126+Rak_417!E126+D.C.!E126+'Wafi _419'!E126</f>
        <v>84967.849922305541</v>
      </c>
      <c r="F126" s="68">
        <f>E126/E12</f>
        <v>0.01</v>
      </c>
      <c r="G126" s="295">
        <f>'0401'!G126+'0402'!G126+'0403'!G126+'405'!G126+'0406'!G126+'0409'!G126+'410-sahara'!G126+'414-Al ghurair'!G126+'415'!G126+'Al Foah_418'!G126+Rak_417!G126+D.C.!G126+'Wafi _419'!G126</f>
        <v>140942.76298593267</v>
      </c>
      <c r="H126" s="68">
        <f>G126/G12</f>
        <v>0.01</v>
      </c>
      <c r="I126" s="295">
        <f>'0401'!I126+'0402'!I126+'0403'!I126+'405'!I126+'0406'!I126+'0409'!I126+'410-sahara'!I126+'414-Al ghurair'!I126+'415'!I126+'Al Foah_418'!I126+Rak_417!I126+D.C.!I126+'Wafi _419'!I126</f>
        <v>124451.65204465938</v>
      </c>
      <c r="J126" s="68">
        <f>I126/I12</f>
        <v>9.9999999999999985E-3</v>
      </c>
      <c r="K126" s="295">
        <f>'0401'!K126+'0402'!K126+'0403'!K126+'405'!K126+'0406'!K126+'0409'!K126+'410-sahara'!K126+'414-Al ghurair'!K126+'415'!K126+'Al Foah_418'!K126+Rak_417!K126+D.C.!K126+'Wafi _419'!K126</f>
        <v>113823.71205433876</v>
      </c>
      <c r="L126" s="68">
        <f>K126/K12</f>
        <v>9.9999999999999967E-3</v>
      </c>
      <c r="M126" s="295">
        <f>'0401'!M126+'0402'!M126+'0403'!M126+'405'!M126+'0406'!M126+'0409'!M126+'410-sahara'!M126+'414-Al ghurair'!M126+'415'!M126+'Al Foah_418'!M126+Rak_417!M126+D.C.!M126+'Wafi _419'!M126</f>
        <v>161400.45080515509</v>
      </c>
      <c r="N126" s="68">
        <f>M126/M12</f>
        <v>1.0000000000000002E-2</v>
      </c>
      <c r="O126" s="295">
        <f>'0401'!O126+'0402'!O126+'0403'!O126+'405'!O126+'0406'!O126+'0409'!O126+'410-sahara'!O126+'414-Al ghurair'!O126+'415'!O126+'Al Foah_418'!O126+Rak_417!O126+D.C.!O126+'Wafi _419'!O126</f>
        <v>102184.32702803012</v>
      </c>
      <c r="P126" s="68">
        <f>O126/O12</f>
        <v>1.0000000000000002E-2</v>
      </c>
      <c r="Q126" s="295">
        <f>'0401'!Q126+'0402'!Q126+'0403'!Q126+'405'!Q126+'0406'!Q126+'0409'!Q126+'410-sahara'!Q126+'414-Al ghurair'!Q126+'415'!Q126+'Al Foah_418'!Q126+Rak_417!Q126+D.C.!Q126+'Wafi _419'!Q126</f>
        <v>126886.26359405994</v>
      </c>
      <c r="R126" s="68">
        <f>Q126/Q12</f>
        <v>1.0000000000000002E-2</v>
      </c>
      <c r="S126" s="295">
        <f>'0401'!S126+'0402'!S126+'0403'!S126+'405'!S126+'0406'!S126+'0409'!S126+'410-sahara'!S126+'414-Al ghurair'!S126+'415'!S126+'Al Foah_418'!S126+Rak_417!S126+D.C.!S126+'Wafi _419'!S126</f>
        <v>127822.59581472108</v>
      </c>
      <c r="T126" s="68">
        <f>S126/S12</f>
        <v>9.9999999999999985E-3</v>
      </c>
      <c r="U126" s="295">
        <f>'0401'!U126+'0402'!U126+'0403'!U126+'405'!U126+'0406'!U126+'0409'!U126+'410-sahara'!U126+'414-Al ghurair'!U126+'415'!U126+'Al Foah_418'!U126+Rak_417!U126+D.C.!U126+'Wafi _419'!U126</f>
        <v>101389.71616395797</v>
      </c>
      <c r="V126" s="68">
        <f>U126/U12</f>
        <v>9.9999999999999985E-3</v>
      </c>
      <c r="W126" s="295">
        <f>'0401'!W126+'0402'!W126+'0403'!W126+'405'!W126+'0406'!W126+'0409'!W126+'410-sahara'!W126+'414-Al ghurair'!W126+'415'!W126+'Al Foah_418'!W126+Rak_417!W126+D.C.!W126+'Wafi _419'!W126</f>
        <v>103158.10787117069</v>
      </c>
      <c r="X126" s="68">
        <f>W126/W12</f>
        <v>1.0000000000000002E-2</v>
      </c>
      <c r="Y126" s="295">
        <f>'0401'!Y126+'0402'!Y126+'0403'!Y126+'405'!Y126+'0406'!Y126+'0409'!Y126+'410-sahara'!Y126+'414-Al ghurair'!Y126+'415'!Y126+'Al Foah_418'!Y126+Rak_417!Y126+D.C.!Y126+'Wafi _419'!Y126</f>
        <v>155837.18645911806</v>
      </c>
      <c r="Z126" s="68">
        <f>Y126/Y12</f>
        <v>0.01</v>
      </c>
      <c r="AA126" s="382">
        <f t="shared" si="64"/>
        <v>1452077.5829261453</v>
      </c>
      <c r="AB126" s="147">
        <f>AA126/AA12</f>
        <v>9.9999999999999985E-3</v>
      </c>
      <c r="AC126" s="128">
        <f t="shared" si="65"/>
        <v>121006.46524384544</v>
      </c>
      <c r="AD126" s="131">
        <f>AC126/AC12</f>
        <v>9.9999999999999985E-3</v>
      </c>
      <c r="AE126" s="84">
        <f t="shared" si="60"/>
        <v>1452077.5829261453</v>
      </c>
      <c r="AF126" s="33" t="e">
        <f>#REF!+'0401'!#REF!+'0402'!#REF!+'0403'!#REF!+#REF!+'405'!#REF!+'0406'!#REF!+D.C.!#REF!+#REF!+#REF!+'0409'!#REF!</f>
        <v>#REF!</v>
      </c>
      <c r="AG126" s="33" t="e">
        <f t="shared" si="247"/>
        <v>#REF!</v>
      </c>
      <c r="AH126" s="84">
        <f t="shared" si="62"/>
        <v>0</v>
      </c>
      <c r="AI126" s="33">
        <f>'0401'!AA126+'0402'!AA126+'0403'!AA126+'405'!AA126+'0406'!AA126+'0409'!AA126+'410-sahara'!AA126+'414-Al ghurair'!AA126+'415'!AA126+'Al Foah_418'!AA126+Rak_417!AA126+D.C.!AA126</f>
        <v>1353523.5280795705</v>
      </c>
      <c r="AJ126" s="84">
        <f t="shared" si="63"/>
        <v>98554.054846574785</v>
      </c>
    </row>
    <row r="127" spans="1:36" customFormat="1">
      <c r="A127" s="2">
        <v>6414</v>
      </c>
      <c r="B127" s="2" t="s">
        <v>43</v>
      </c>
      <c r="C127" s="295">
        <f>'0401'!C127+'0402'!C127+'0403'!C127+'405'!C127+'0406'!C127+'0409'!C127+'410-sahara'!C127+'414-Al ghurair'!C127+'415'!C127+'Al Foah_418'!C127+Rak_417!C127+D.C.!C127+'Wafi _419'!C127</f>
        <v>3000</v>
      </c>
      <c r="D127" s="68">
        <f>C127/C12</f>
        <v>2.7469267840739861E-4</v>
      </c>
      <c r="E127" s="295">
        <f>'0401'!E127+'0402'!E127+'0403'!E127+'405'!E127+'0406'!E127+'0409'!E127+'410-sahara'!E127+'414-Al ghurair'!E127+'415'!E127+'Al Foah_418'!E127+Rak_417!E127+D.C.!E127+'Wafi _419'!E127</f>
        <v>3000</v>
      </c>
      <c r="F127" s="68">
        <f>E127/E12</f>
        <v>3.5307472211468162E-4</v>
      </c>
      <c r="G127" s="295">
        <f>'0401'!G127+'0402'!G127+'0403'!G127+'405'!G127+'0406'!G127+'0409'!G127+'410-sahara'!G127+'414-Al ghurair'!G127+'415'!G127+'Al Foah_418'!G127+Rak_417!G127+D.C.!G127+'Wafi _419'!G127</f>
        <v>3000</v>
      </c>
      <c r="H127" s="68">
        <f>G127/G12</f>
        <v>2.1285236194067136E-4</v>
      </c>
      <c r="I127" s="295">
        <f>'0401'!I127+'0402'!I127+'0403'!I127+'405'!I127+'0406'!I127+'0409'!I127+'410-sahara'!I127+'414-Al ghurair'!I127+'415'!I127+'Al Foah_418'!I127+Rak_417!I127+D.C.!I127+'Wafi _419'!I127</f>
        <v>3000</v>
      </c>
      <c r="J127" s="68">
        <f>I127/I12</f>
        <v>2.4105746695298605E-4</v>
      </c>
      <c r="K127" s="295">
        <f>'0401'!K127+'0402'!K127+'0403'!K127+'405'!K127+'0406'!K127+'0409'!K127+'410-sahara'!K127+'414-Al ghurair'!K127+'415'!K127+'Al Foah_418'!K127+Rak_417!K127+D.C.!K127+'Wafi _419'!K127</f>
        <v>3000</v>
      </c>
      <c r="L127" s="68">
        <f>K127/K12</f>
        <v>2.6356546855261733E-4</v>
      </c>
      <c r="M127" s="295">
        <f>'0401'!M127+'0402'!M127+'0403'!M127+'405'!M127+'0406'!M127+'0409'!M127+'410-sahara'!M127+'414-Al ghurair'!M127+'415'!M127+'Al Foah_418'!M127+Rak_417!M127+D.C.!M127+'Wafi _419'!M127</f>
        <v>3000</v>
      </c>
      <c r="N127" s="68">
        <f>M127/M12</f>
        <v>1.8587308678720129E-4</v>
      </c>
      <c r="O127" s="295">
        <f>'0401'!O127+'0402'!O127+'0403'!O127+'405'!O127+'0406'!O127+'0409'!O127+'410-sahara'!O127+'414-Al ghurair'!O127+'415'!O127+'Al Foah_418'!O127+Rak_417!O127+D.C.!O127+'Wafi _419'!O127</f>
        <v>3000</v>
      </c>
      <c r="P127" s="68">
        <f>O127/O12</f>
        <v>2.9358709767468279E-4</v>
      </c>
      <c r="Q127" s="295">
        <f>'0401'!Q127+'0402'!Q127+'0403'!Q127+'405'!Q127+'0406'!Q127+'0409'!Q127+'410-sahara'!Q127+'414-Al ghurair'!Q127+'415'!Q127+'Al Foah_418'!Q127+Rak_417!Q127+D.C.!Q127+'Wafi _419'!Q127</f>
        <v>3000</v>
      </c>
      <c r="R127" s="68">
        <f>Q127/Q12</f>
        <v>2.3643221220523373E-4</v>
      </c>
      <c r="S127" s="295">
        <f>'0401'!S127+'0402'!S127+'0403'!S127+'405'!S127+'0406'!S127+'0409'!S127+'410-sahara'!S127+'414-Al ghurair'!S127+'415'!S127+'Al Foah_418'!S127+Rak_417!S127+D.C.!S127+'Wafi _419'!S127</f>
        <v>3000</v>
      </c>
      <c r="T127" s="68">
        <f>S127/S12</f>
        <v>2.3470028760396176E-4</v>
      </c>
      <c r="U127" s="295">
        <f>'0401'!U127+'0402'!U127+'0403'!U127+'405'!U127+'0406'!U127+'0409'!U127+'410-sahara'!U127+'414-Al ghurair'!U127+'415'!U127+'Al Foah_418'!U127+Rak_417!U127+D.C.!U127+'Wafi _419'!U127</f>
        <v>3000</v>
      </c>
      <c r="V127" s="68">
        <f>U127/U12</f>
        <v>2.9588799668288645E-4</v>
      </c>
      <c r="W127" s="295">
        <f>'0401'!W127+'0402'!W127+'0403'!W127+'405'!W127+'0406'!W127+'0409'!W127+'410-sahara'!W127+'414-Al ghurair'!W127+'415'!W127+'Al Foah_418'!W127+Rak_417!W127+D.C.!W127+'Wafi _419'!W127</f>
        <v>3000</v>
      </c>
      <c r="X127" s="68">
        <f>W127/W12</f>
        <v>2.9081572567679891E-4</v>
      </c>
      <c r="Y127" s="295">
        <f>'0401'!Y127+'0402'!Y127+'0403'!Y127+'405'!Y127+'0406'!Y127+'0409'!Y127+'410-sahara'!Y127+'414-Al ghurair'!Y127+'415'!Y127+'Al Foah_418'!Y127+Rak_417!Y127+D.C.!Y127+'Wafi _419'!Y127</f>
        <v>3000</v>
      </c>
      <c r="Z127" s="68">
        <f>Y127/Y12</f>
        <v>1.9250860902747451E-4</v>
      </c>
      <c r="AA127" s="382">
        <f t="shared" si="64"/>
        <v>36000</v>
      </c>
      <c r="AB127" s="147">
        <f>AA127/AA12</f>
        <v>2.479206374597066E-4</v>
      </c>
      <c r="AC127" s="128">
        <f t="shared" si="65"/>
        <v>3000</v>
      </c>
      <c r="AD127" s="131">
        <f>AC127/AC12</f>
        <v>2.4792063745970665E-4</v>
      </c>
      <c r="AE127" s="84">
        <f t="shared" si="60"/>
        <v>36000</v>
      </c>
      <c r="AF127" s="33" t="e">
        <f>#REF!+'0401'!#REF!+'0402'!#REF!+'0403'!#REF!+#REF!+'405'!#REF!+'0406'!#REF!+D.C.!#REF!+#REF!+#REF!+'0409'!#REF!</f>
        <v>#REF!</v>
      </c>
      <c r="AG127" s="33" t="e">
        <f t="shared" si="247"/>
        <v>#REF!</v>
      </c>
      <c r="AH127" s="84">
        <f t="shared" si="62"/>
        <v>0</v>
      </c>
      <c r="AI127" s="33">
        <f>'0401'!AA127+'0402'!AA127+'0403'!AA127+'405'!AA127+'0406'!AA127+'0409'!AA127+'410-sahara'!AA127+'414-Al ghurair'!AA127+'415'!AA127+'Al Foah_418'!AA127+Rak_417!AA127+D.C.!AA127</f>
        <v>33000</v>
      </c>
      <c r="AJ127" s="84">
        <f t="shared" si="63"/>
        <v>3000</v>
      </c>
    </row>
    <row r="128" spans="1:36" customFormat="1">
      <c r="A128" s="2">
        <v>6415</v>
      </c>
      <c r="B128" s="2" t="s">
        <v>44</v>
      </c>
      <c r="C128" s="295">
        <f>'0401'!C128+'0402'!C128+'0403'!C128+'405'!C128+'0406'!C128+'0409'!C128+'410-sahara'!C128+'414-Al ghurair'!C128+'415'!C128+'Al Foah_418'!C128+Rak_417!C128+D.C.!C128+'Wafi _419'!C128</f>
        <v>0</v>
      </c>
      <c r="D128" s="68">
        <f>C128/C12</f>
        <v>0</v>
      </c>
      <c r="E128" s="295">
        <f>'0401'!E128+'0402'!E128+'0403'!E128+'405'!E128+'0406'!E128+'0409'!E128+'410-sahara'!E128+'414-Al ghurair'!E128+'415'!E128+'Al Foah_418'!E128+Rak_417!E128+D.C.!E128+'Wafi _419'!E128</f>
        <v>0</v>
      </c>
      <c r="F128" s="68">
        <f>E128/E12</f>
        <v>0</v>
      </c>
      <c r="G128" s="295">
        <f>'0401'!G128+'0402'!G128+'0403'!G128+'405'!G128+'0406'!G128+'0409'!G128+'410-sahara'!G128+'414-Al ghurair'!G128+'415'!G128+'Al Foah_418'!G128+Rak_417!G128+D.C.!G128+'Wafi _419'!G128</f>
        <v>0</v>
      </c>
      <c r="H128" s="68">
        <f>G128/G12</f>
        <v>0</v>
      </c>
      <c r="I128" s="295">
        <f>'0401'!I128+'0402'!I128+'0403'!I128+'405'!I128+'0406'!I128+'0409'!I128+'410-sahara'!I128+'414-Al ghurair'!I128+'415'!I128+'Al Foah_418'!I128+Rak_417!I128+D.C.!I128+'Wafi _419'!I128</f>
        <v>0</v>
      </c>
      <c r="J128" s="68">
        <f>I128/I12</f>
        <v>0</v>
      </c>
      <c r="K128" s="295">
        <f>'0401'!K128+'0402'!K128+'0403'!K128+'405'!K128+'0406'!K128+'0409'!K128+'410-sahara'!K128+'414-Al ghurair'!K128+'415'!K128+'Al Foah_418'!K128+Rak_417!K128+D.C.!K128+'Wafi _419'!K128</f>
        <v>0</v>
      </c>
      <c r="L128" s="68">
        <f>K128/K12</f>
        <v>0</v>
      </c>
      <c r="M128" s="295">
        <f>'0401'!M128+'0402'!M128+'0403'!M128+'405'!M128+'0406'!M128+'0409'!M128+'410-sahara'!M128+'414-Al ghurair'!M128+'415'!M128+'Al Foah_418'!M128+Rak_417!M128+D.C.!M128+'Wafi _419'!M128</f>
        <v>0</v>
      </c>
      <c r="N128" s="68">
        <f>M128/M12</f>
        <v>0</v>
      </c>
      <c r="O128" s="295">
        <f>'0401'!O128+'0402'!O128+'0403'!O128+'405'!O128+'0406'!O128+'0409'!O128+'410-sahara'!O128+'414-Al ghurair'!O128+'415'!O128+'Al Foah_418'!O128+Rak_417!O128+D.C.!O128+'Wafi _419'!O128</f>
        <v>0</v>
      </c>
      <c r="P128" s="68">
        <f>O128/O12</f>
        <v>0</v>
      </c>
      <c r="Q128" s="295">
        <f>'0401'!Q128+'0402'!Q128+'0403'!Q128+'405'!Q128+'0406'!Q128+'0409'!Q128+'410-sahara'!Q128+'414-Al ghurair'!Q128+'415'!Q128+'Al Foah_418'!Q128+Rak_417!Q128+D.C.!Q128+'Wafi _419'!Q128</f>
        <v>0</v>
      </c>
      <c r="R128" s="68">
        <f>Q128/Q12</f>
        <v>0</v>
      </c>
      <c r="S128" s="295">
        <f>'0401'!S128+'0402'!S128+'0403'!S128+'405'!S128+'0406'!S128+'0409'!S128+'410-sahara'!S128+'414-Al ghurair'!S128+'415'!S128+'Al Foah_418'!S128+Rak_417!S128+D.C.!S128+'Wafi _419'!S128</f>
        <v>0</v>
      </c>
      <c r="T128" s="68">
        <f>S128/S12</f>
        <v>0</v>
      </c>
      <c r="U128" s="295">
        <f>'0401'!U128+'0402'!U128+'0403'!U128+'405'!U128+'0406'!U128+'0409'!U128+'410-sahara'!U128+'414-Al ghurair'!U128+'415'!U128+'Al Foah_418'!U128+Rak_417!U128+D.C.!U128+'Wafi _419'!U128</f>
        <v>0</v>
      </c>
      <c r="V128" s="68">
        <f>U128/U12</f>
        <v>0</v>
      </c>
      <c r="W128" s="295">
        <f>'0401'!W128+'0402'!W128+'0403'!W128+'405'!W128+'0406'!W128+'0409'!W128+'410-sahara'!W128+'414-Al ghurair'!W128+'415'!W128+'Al Foah_418'!W128+Rak_417!W128+D.C.!W128+'Wafi _419'!W128</f>
        <v>0</v>
      </c>
      <c r="X128" s="68">
        <f>W128/W12</f>
        <v>0</v>
      </c>
      <c r="Y128" s="295">
        <f>'0401'!Y128+'0402'!Y128+'0403'!Y128+'405'!Y128+'0406'!Y128+'0409'!Y128+'410-sahara'!Y128+'414-Al ghurair'!Y128+'415'!Y128+'Al Foah_418'!Y128+Rak_417!Y128+D.C.!Y128+'Wafi _419'!Y128</f>
        <v>0</v>
      </c>
      <c r="Z128" s="68">
        <f>Y128/Y12</f>
        <v>0</v>
      </c>
      <c r="AA128" s="382">
        <f t="shared" si="64"/>
        <v>0</v>
      </c>
      <c r="AB128" s="147">
        <f>AA128/AA12</f>
        <v>0</v>
      </c>
      <c r="AC128" s="128">
        <f t="shared" si="65"/>
        <v>0</v>
      </c>
      <c r="AD128" s="131">
        <f>AC128/AC12</f>
        <v>0</v>
      </c>
      <c r="AE128" s="84">
        <f t="shared" si="60"/>
        <v>0</v>
      </c>
      <c r="AF128" s="33" t="e">
        <f>#REF!+'0401'!#REF!+'0402'!#REF!+'0403'!#REF!+#REF!+'405'!#REF!+'0406'!#REF!+D.C.!#REF!+#REF!+#REF!+'0409'!#REF!</f>
        <v>#REF!</v>
      </c>
      <c r="AG128" s="33" t="e">
        <f t="shared" si="247"/>
        <v>#REF!</v>
      </c>
      <c r="AH128" s="84">
        <f t="shared" si="62"/>
        <v>0</v>
      </c>
      <c r="AI128" s="33">
        <f>'0401'!AA128+'0402'!AA128+'0403'!AA128+'405'!AA128+'0406'!AA128+'0409'!AA128+'410-sahara'!AA128+'414-Al ghurair'!AA128+'415'!AA128+'Al Foah_418'!AA128+Rak_417!AA128+D.C.!AA128</f>
        <v>0</v>
      </c>
      <c r="AJ128" s="84">
        <f t="shared" si="63"/>
        <v>0</v>
      </c>
    </row>
    <row r="129" spans="1:36" customFormat="1" ht="15.75" thickBot="1">
      <c r="A129" s="337">
        <v>6499</v>
      </c>
      <c r="B129" s="337" t="s">
        <v>102</v>
      </c>
      <c r="C129" s="338">
        <f>'0401'!C129+'0402'!C129+'0403'!C129+'405'!C129+'0406'!C129+'0409'!C129+'410-sahara'!C129+'414-Al ghurair'!C129+'415'!C129+'Al Foah_418'!C129+Rak_417!C129+D.C.!C129+'Wafi _419'!C129</f>
        <v>151712.95818269605</v>
      </c>
      <c r="D129" s="339">
        <f>C129/C12</f>
        <v>1.389147961077148E-2</v>
      </c>
      <c r="E129" s="338">
        <f>'0401'!E129+'0402'!E129+'0403'!E129+'405'!E129+'0406'!E129+'0409'!E129+'410-sahara'!E129+'414-Al ghurair'!E129+'415'!E129+'Al Foah_418'!E129+Rak_417!E129+D.C.!E129+'Wafi _419'!E129</f>
        <v>127467.84992230556</v>
      </c>
      <c r="F129" s="339">
        <f>E129/E12</f>
        <v>1.500189189662466E-2</v>
      </c>
      <c r="G129" s="338">
        <f>'0401'!G129+'0402'!G129+'0403'!G129+'405'!G129+'0406'!G129+'0409'!G129+'410-sahara'!G129+'414-Al ghurair'!G129+'415'!G129+'Al Foah_418'!G129+Rak_417!G129+D.C.!G129+'Wafi _419'!G129</f>
        <v>183442.76298593267</v>
      </c>
      <c r="H129" s="339">
        <f>G129/G12</f>
        <v>1.3015408460826177E-2</v>
      </c>
      <c r="I129" s="338">
        <f>'0401'!I129+'0402'!I129+'0403'!I129+'405'!I129+'0406'!I129+'0409'!I129+'410-sahara'!I129+'414-Al ghurair'!I129+'415'!I129+'Al Foah_418'!I129+Rak_417!I129+D.C.!I129+'Wafi _419'!I129</f>
        <v>166951.65204465939</v>
      </c>
      <c r="J129" s="339">
        <f>I129/I12</f>
        <v>1.3414980781833969E-2</v>
      </c>
      <c r="K129" s="338">
        <f>'0401'!K129+'0402'!K129+'0403'!K129+'405'!K129+'0406'!K129+'0409'!K129+'410-sahara'!K129+'414-Al ghurair'!K129+'415'!K129+'Al Foah_418'!K129+Rak_417!K129+D.C.!K129+'Wafi _419'!K129</f>
        <v>156323.71205433874</v>
      </c>
      <c r="L129" s="339">
        <f>K129/K12</f>
        <v>1.3733844137828742E-2</v>
      </c>
      <c r="M129" s="338">
        <f>'0401'!M129+'0402'!M129+'0403'!M129+'405'!M129+'0406'!M129+'0409'!M129+'410-sahara'!M129+'414-Al ghurair'!M129+'415'!M129+'Al Foah_418'!M129+Rak_417!M129+D.C.!M129+'Wafi _419'!M129</f>
        <v>203900.45080515509</v>
      </c>
      <c r="N129" s="339">
        <f>M129/M12</f>
        <v>1.2633202062818686E-2</v>
      </c>
      <c r="O129" s="338">
        <f>'0401'!O129+'0402'!O129+'0403'!O129+'405'!O129+'0406'!O129+'0409'!O129+'410-sahara'!O129+'414-Al ghurair'!O129+'415'!O129+'Al Foah_418'!O129+Rak_417!O129+D.C.!O129+'Wafi _419'!O129</f>
        <v>144684.32702803012</v>
      </c>
      <c r="P129" s="339">
        <f>O129/O12</f>
        <v>1.4159150550391341E-2</v>
      </c>
      <c r="Q129" s="338">
        <f>'0401'!Q129+'0402'!Q129+'0403'!Q129+'405'!Q129+'0406'!Q129+'0409'!Q129+'410-sahara'!Q129+'414-Al ghurair'!Q129+'415'!Q129+'Al Foah_418'!Q129+Rak_417!Q129+D.C.!Q129+'Wafi _419'!Q129</f>
        <v>169386.26359405994</v>
      </c>
      <c r="R129" s="339">
        <f>Q129/Q12</f>
        <v>1.3349456339574146E-2</v>
      </c>
      <c r="S129" s="338">
        <f>'0401'!S129+'0402'!S129+'0403'!S129+'405'!S129+'0406'!S129+'0409'!S129+'410-sahara'!S129+'414-Al ghurair'!S129+'415'!S129+'Al Foah_418'!S129+Rak_417!S129+D.C.!S129+'Wafi _419'!S129</f>
        <v>170322.59581472111</v>
      </c>
      <c r="T129" s="339">
        <f>S129/S12</f>
        <v>1.3324920741056125E-2</v>
      </c>
      <c r="U129" s="338">
        <f>'0401'!U129+'0402'!U129+'0403'!U129+'405'!U129+'0406'!U129+'0409'!U129+'410-sahara'!U129+'414-Al ghurair'!U129+'415'!U129+'Al Foah_418'!U129+Rak_417!U129+D.C.!U129+'Wafi _419'!U129</f>
        <v>143889.71616395799</v>
      </c>
      <c r="V129" s="339">
        <f>U129/U12</f>
        <v>1.4191746619674223E-2</v>
      </c>
      <c r="W129" s="338">
        <f>'0401'!W129+'0402'!W129+'0403'!W129+'405'!W129+'0406'!W129+'0409'!W129+'410-sahara'!W129+'414-Al ghurair'!W129+'415'!W129+'Al Foah_418'!W129+Rak_417!W129+D.C.!W129+'Wafi _419'!W129</f>
        <v>145658.10787117068</v>
      </c>
      <c r="X129" s="339">
        <f>W129/W12</f>
        <v>1.4119889447087985E-2</v>
      </c>
      <c r="Y129" s="338">
        <f>'0401'!Y129+'0402'!Y129+'0403'!Y129+'405'!Y129+'0406'!Y129+'0409'!Y129+'410-sahara'!Y129+'414-Al ghurair'!Y129+'415'!Y129+'Al Foah_418'!Y129+Rak_417!Y129+D.C.!Y129+'Wafi _419'!Y129</f>
        <v>198337.18645911806</v>
      </c>
      <c r="Z129" s="339">
        <f>Y129/Y12</f>
        <v>1.272720529455589E-2</v>
      </c>
      <c r="AA129" s="338">
        <f t="shared" si="64"/>
        <v>1962077.5829261453</v>
      </c>
      <c r="AB129" s="339">
        <f>AA129/AA12</f>
        <v>1.3512209030679175E-2</v>
      </c>
      <c r="AC129" s="338">
        <f t="shared" si="65"/>
        <v>163506.46524384545</v>
      </c>
      <c r="AD129" s="339">
        <f>AC129/AC12</f>
        <v>1.3512209030679177E-2</v>
      </c>
      <c r="AE129" s="84">
        <f t="shared" si="60"/>
        <v>1962077.5829261453</v>
      </c>
      <c r="AF129" s="33" t="e">
        <f>#REF!+'0401'!#REF!+'0402'!#REF!+'0403'!#REF!+#REF!+'405'!#REF!+'0406'!#REF!+D.C.!#REF!+#REF!+#REF!+'0409'!#REF!</f>
        <v>#REF!</v>
      </c>
      <c r="AG129" s="33" t="e">
        <f t="shared" si="247"/>
        <v>#REF!</v>
      </c>
      <c r="AH129" s="84">
        <f t="shared" si="62"/>
        <v>0</v>
      </c>
      <c r="AI129" s="33">
        <f>'0401'!AA129+'0402'!AA129+'0403'!AA129+'405'!AA129+'0406'!AA129+'0409'!AA129+'410-sahara'!AA129+'414-Al ghurair'!AA129+'415'!AA129+'Al Foah_418'!AA129+Rak_417!AA129+D.C.!AA129</f>
        <v>1821523.5280795705</v>
      </c>
      <c r="AJ129" s="84">
        <f t="shared" si="63"/>
        <v>140554.05484657479</v>
      </c>
    </row>
    <row r="130" spans="1:36" s="1" customFormat="1" ht="15.75" thickTop="1">
      <c r="A130" s="222"/>
      <c r="B130" s="222"/>
      <c r="C130" s="292">
        <f>'0401'!C130+'0402'!C130+'0403'!C130+'405'!C130+'0406'!C130+'0409'!C130+'410-sahara'!C130+'414-Al ghurair'!C130+'415'!C130+'Al Foah_418'!C130+Rak_417!C130+D.C.!C130+'Wafi _419'!C130</f>
        <v>0</v>
      </c>
      <c r="D130" s="68"/>
      <c r="E130" s="292">
        <f>'0401'!E130+'0402'!E130+'0403'!E130+'405'!E130+'0406'!E130+'0409'!E130+'410-sahara'!E130+'414-Al ghurair'!E130+'415'!E130+'Al Foah_418'!E130+Rak_417!E130+D.C.!E130+'Wafi _419'!E130</f>
        <v>0</v>
      </c>
      <c r="F130" s="68"/>
      <c r="G130" s="292">
        <f>'0401'!G130+'0402'!G130+'0403'!G130+'405'!G130+'0406'!G130+'0409'!G130+'410-sahara'!G130+'414-Al ghurair'!G130+'415'!G130+'Al Foah_418'!G130+Rak_417!G130+D.C.!G130+'Wafi _419'!G130</f>
        <v>0</v>
      </c>
      <c r="H130" s="68"/>
      <c r="I130" s="292">
        <f>'0401'!I130+'0402'!I130+'0403'!I130+'405'!I130+'0406'!I130+'0409'!I130+'410-sahara'!I130+'414-Al ghurair'!I130+'415'!I130+'Al Foah_418'!I130+Rak_417!I130+D.C.!I130+'Wafi _419'!I130</f>
        <v>0</v>
      </c>
      <c r="J130" s="68"/>
      <c r="K130" s="292">
        <f>'0401'!K130+'0402'!K130+'0403'!K130+'405'!K130+'0406'!K130+'0409'!K130+'410-sahara'!K130+'414-Al ghurair'!K130+'415'!K130+'Al Foah_418'!K130+Rak_417!K130+D.C.!K130+'Wafi _419'!K130</f>
        <v>0</v>
      </c>
      <c r="L130" s="68"/>
      <c r="M130" s="292">
        <f>'0401'!M130+'0402'!M130+'0403'!M130+'405'!M130+'0406'!M130+'0409'!M130+'410-sahara'!M130+'414-Al ghurair'!M130+'415'!M130+'Al Foah_418'!M130+Rak_417!M130+D.C.!M130+'Wafi _419'!M130</f>
        <v>0</v>
      </c>
      <c r="N130" s="68"/>
      <c r="O130" s="292">
        <f>'0401'!O130+'0402'!O130+'0403'!O130+'405'!O130+'0406'!O130+'0409'!O130+'410-sahara'!O130+'414-Al ghurair'!O130+'415'!O130+'Al Foah_418'!O130+Rak_417!O130+D.C.!O130+'Wafi _419'!O130</f>
        <v>0</v>
      </c>
      <c r="P130" s="68"/>
      <c r="Q130" s="292">
        <f>'0401'!Q130+'0402'!Q130+'0403'!Q130+'405'!Q130+'0406'!Q130+'0409'!Q130+'410-sahara'!Q130+'414-Al ghurair'!Q130+'415'!Q130+'Al Foah_418'!Q130+Rak_417!Q130+D.C.!Q130+'Wafi _419'!Q130</f>
        <v>0</v>
      </c>
      <c r="R130" s="68"/>
      <c r="S130" s="292">
        <f>'0401'!S130+'0402'!S130+'0403'!S130+'405'!S130+'0406'!S130+'0409'!S130+'410-sahara'!S130+'414-Al ghurair'!S130+'415'!S130+'Al Foah_418'!S130+Rak_417!S130+D.C.!S130+'Wafi _419'!S130</f>
        <v>0</v>
      </c>
      <c r="T130" s="68"/>
      <c r="U130" s="292">
        <f>'0401'!U130+'0402'!U130+'0403'!U130+'405'!U130+'0406'!U130+'0409'!U130+'410-sahara'!U130+'414-Al ghurair'!U130+'415'!U130+'Al Foah_418'!U130+Rak_417!U130+D.C.!U130+'Wafi _419'!U130</f>
        <v>0</v>
      </c>
      <c r="V130" s="68"/>
      <c r="W130" s="292">
        <f>'0401'!W130+'0402'!W130+'0403'!W130+'405'!W130+'0406'!W130+'0409'!W130+'410-sahara'!W130+'414-Al ghurair'!W130+'415'!W130+'Al Foah_418'!W130+Rak_417!W130+D.C.!W130+'Wafi _419'!W130</f>
        <v>0</v>
      </c>
      <c r="X130" s="68"/>
      <c r="Y130" s="292">
        <f>'0401'!Y130+'0402'!Y130+'0403'!Y130+'405'!Y130+'0406'!Y130+'0409'!Y130+'410-sahara'!Y130+'414-Al ghurair'!Y130+'415'!Y130+'Al Foah_418'!Y130+Rak_417!Y130+D.C.!Y130+'Wafi _419'!Y130</f>
        <v>0</v>
      </c>
      <c r="Z130" s="68"/>
      <c r="AA130" s="154">
        <f t="shared" si="64"/>
        <v>0</v>
      </c>
      <c r="AB130" s="147"/>
      <c r="AC130" s="139">
        <f t="shared" si="65"/>
        <v>0</v>
      </c>
      <c r="AD130" s="131"/>
      <c r="AE130" s="84">
        <f t="shared" si="60"/>
        <v>0</v>
      </c>
      <c r="AF130" s="33" t="e">
        <f>#REF!+'0401'!#REF!+'0402'!#REF!+'0403'!#REF!+#REF!+'405'!#REF!+'0406'!#REF!+D.C.!#REF!+#REF!+#REF!+'0409'!#REF!</f>
        <v>#REF!</v>
      </c>
      <c r="AG130" s="33" t="e">
        <f t="shared" si="247"/>
        <v>#REF!</v>
      </c>
      <c r="AH130" s="84">
        <f t="shared" si="62"/>
        <v>0</v>
      </c>
      <c r="AI130" s="33">
        <f>'0401'!AA130+'0402'!AA130+'0403'!AA130+'405'!AA130+'0406'!AA130+'0409'!AA130+'410-sahara'!AA130+'414-Al ghurair'!AA130+'415'!AA130+'Al Foah_418'!AA130+Rak_417!AA130+D.C.!AA130</f>
        <v>0</v>
      </c>
      <c r="AJ130" s="84">
        <f t="shared" si="63"/>
        <v>0</v>
      </c>
    </row>
    <row r="131" spans="1:36" s="1" customFormat="1" ht="15.75" thickBot="1">
      <c r="A131" s="337"/>
      <c r="B131" s="337" t="s">
        <v>134</v>
      </c>
      <c r="C131" s="340">
        <f>'0401'!C131+'0402'!C131+'0403'!C131+'405'!C131+'0406'!C131+'0409'!C131+'410-sahara'!C131+'414-Al ghurair'!C131+'415'!C131+'Al Foah_418'!C131+Rak_417!C131+D.C.!C131+'Wafi _419'!C131</f>
        <v>913636.03438052465</v>
      </c>
      <c r="D131" s="339">
        <f>C131/C12</f>
        <v>8.3656376457833484E-2</v>
      </c>
      <c r="E131" s="340">
        <f>'0401'!E131+'0402'!E131+'0403'!E131+'405'!E131+'0406'!E131+'0409'!E131+'410-sahara'!E131+'414-Al ghurair'!E131+'415'!E131+'Al Foah_418'!E131+Rak_417!E131+D.C.!E131+'Wafi _419'!E131</f>
        <v>269338.40342120477</v>
      </c>
      <c r="F131" s="339">
        <f>E131/E12</f>
        <v>3.1698860647584634E-2</v>
      </c>
      <c r="G131" s="340">
        <f>'0401'!G131+'0402'!G131+'0403'!G131+'405'!G131+'0406'!G131+'0409'!G131+'410-sahara'!G131+'414-Al ghurair'!G131+'415'!G131+'Al Foah_418'!G131+Rak_417!G131+D.C.!G131+'Wafi _419'!G131</f>
        <v>2336530.2480993099</v>
      </c>
      <c r="H131" s="339">
        <f>G131/G12</f>
        <v>0.16577866068458699</v>
      </c>
      <c r="I131" s="340">
        <f>'0401'!I131+'0402'!I131+'0403'!I131+'405'!I131+'0406'!I131+'0409'!I131+'410-sahara'!I131+'414-Al ghurair'!I131+'415'!I131+'Al Foah_418'!I131+Rak_417!I131+D.C.!I131+'Wafi _419'!I131</f>
        <v>2157285.3982426184</v>
      </c>
      <c r="J131" s="339">
        <f>I131/I12</f>
        <v>0.17334325119834312</v>
      </c>
      <c r="K131" s="340">
        <f>'0401'!K131+'0402'!K131+'0403'!K131+'405'!K131+'0406'!K131+'0409'!K131+'410-sahara'!K131+'414-Al ghurair'!K131+'415'!K131+'Al Foah_418'!K131+Rak_417!K131+D.C.!K131+'Wafi _419'!K131</f>
        <v>1964098.9842296985</v>
      </c>
      <c r="L131" s="339">
        <f>K131/K12</f>
        <v>0.17255622302074008</v>
      </c>
      <c r="M131" s="340">
        <f>'0401'!M131+'0402'!M131+'0403'!M131+'405'!M131+'0406'!M131+'0409'!M131+'410-sahara'!M131+'414-Al ghurair'!M131+'415'!M131+'Al Foah_418'!M131+Rak_417!M131+D.C.!M131+'Wafi _419'!M131</f>
        <v>3305469.574816416</v>
      </c>
      <c r="N131" s="339">
        <f>M131/M12</f>
        <v>0.204799277717435</v>
      </c>
      <c r="O131" s="340">
        <f>'0401'!O131+'0402'!O131+'0403'!O131+'405'!O131+'0406'!O131+'0409'!O131+'410-sahara'!O131+'414-Al ghurair'!O131+'415'!O131+'Al Foah_418'!O131+Rak_417!O131+D.C.!O131+'Wafi _419'!O131</f>
        <v>1138040.4696235568</v>
      </c>
      <c r="P131" s="339">
        <f>O131/O12</f>
        <v>0.11137133283770434</v>
      </c>
      <c r="Q131" s="340">
        <f>'0401'!Q131+'0402'!Q131+'0403'!Q131+'405'!Q131+'0406'!Q131+'0409'!Q131+'410-sahara'!Q131+'414-Al ghurair'!Q131+'415'!Q131+'Al Foah_418'!Q131+Rak_417!Q131+D.C.!Q131+'Wafi _419'!Q131</f>
        <v>2158452.0209542261</v>
      </c>
      <c r="R131" s="339">
        <f>Q131/Q12</f>
        <v>0.1701091954176884</v>
      </c>
      <c r="S131" s="340">
        <f>'0401'!S131+'0402'!S131+'0403'!S131+'405'!S131+'0406'!S131+'0409'!S131+'410-sahara'!S131+'414-Al ghurair'!S131+'415'!S131+'Al Foah_418'!S131+Rak_417!S131+D.C.!S131+'Wafi _419'!S131</f>
        <v>1896842.0304794081</v>
      </c>
      <c r="T131" s="339">
        <f>S131/S12</f>
        <v>0.14839645669759996</v>
      </c>
      <c r="U131" s="340">
        <f>'0401'!U131+'0402'!U131+'0403'!U131+'405'!U131+'0406'!U131+'0409'!U131+'410-sahara'!U131+'414-Al ghurair'!U131+'415'!U131+'Al Foah_418'!U131+Rak_417!U131+D.C.!U131+'Wafi _419'!U131</f>
        <v>1066008.6624498842</v>
      </c>
      <c r="V131" s="339">
        <f>U131/U12</f>
        <v>0.10513972252629986</v>
      </c>
      <c r="W131" s="340">
        <f>'0401'!W131+'0402'!W131+'0403'!W131+'405'!W131+'0406'!W131+'0409'!W131+'410-sahara'!W131+'414-Al ghurair'!W131+'415'!W131+'Al Foah_418'!W131+Rak_417!W131+D.C.!W131+'Wafi _419'!W131</f>
        <v>1156580.8016649694</v>
      </c>
      <c r="X131" s="339">
        <f>W131/W12</f>
        <v>0.11211729504668397</v>
      </c>
      <c r="Y131" s="340">
        <f>'0401'!Y131+'0402'!Y131+'0403'!Y131+'405'!Y131+'0406'!Y131+'0409'!Y131+'410-sahara'!Y131+'414-Al ghurair'!Y131+'415'!Y131+'Al Foah_418'!Y131+Rak_417!Y131+D.C.!Y131+'Wafi _419'!Y131</f>
        <v>3008513.1686860062</v>
      </c>
      <c r="Z131" s="339">
        <f>Y131/Y12</f>
        <v>0.19305489511486093</v>
      </c>
      <c r="AA131" s="340">
        <f t="shared" si="64"/>
        <v>21370795.797047827</v>
      </c>
      <c r="AB131" s="339">
        <f>AA131/AA12</f>
        <v>0.14717392547292546</v>
      </c>
      <c r="AC131" s="340">
        <f t="shared" si="65"/>
        <v>1780899.6497539857</v>
      </c>
      <c r="AD131" s="339">
        <f>AC131/AC12</f>
        <v>0.14717392547292546</v>
      </c>
      <c r="AE131" s="84">
        <f t="shared" si="60"/>
        <v>21370795.797047827</v>
      </c>
      <c r="AF131" s="33" t="e">
        <f>#REF!+'0401'!#REF!+'0402'!#REF!+'0403'!#REF!+#REF!+'405'!#REF!+'0406'!#REF!+D.C.!#REF!+#REF!+#REF!+'0409'!#REF!</f>
        <v>#REF!</v>
      </c>
      <c r="AG131" s="33" t="e">
        <f t="shared" si="247"/>
        <v>#REF!</v>
      </c>
      <c r="AH131" s="84">
        <f t="shared" si="62"/>
        <v>0</v>
      </c>
      <c r="AI131" s="33">
        <f>'0401'!AA131+'0402'!AA131+'0403'!AA131+'405'!AA131+'0406'!AA131+'0409'!AA131+'410-sahara'!AA131+'414-Al ghurair'!AA131+'415'!AA131+'Al Foah_418'!AA131+Rak_417!AA131+D.C.!AA131</f>
        <v>19601029.565335862</v>
      </c>
      <c r="AJ131" s="84">
        <f t="shared" si="63"/>
        <v>1769766.2317119651</v>
      </c>
    </row>
    <row r="132" spans="1:36" s="1" customFormat="1" ht="15.75" thickTop="1">
      <c r="A132" s="222"/>
      <c r="B132" s="222"/>
      <c r="C132" s="292">
        <f>'0401'!C132+'0402'!C132+'0403'!C132+'405'!C132+'0406'!C132+'0409'!C132+'410-sahara'!C132+'414-Al ghurair'!C132+'415'!C132+'Al Foah_418'!C132+Rak_417!C132+D.C.!C132+'Wafi _419'!C132</f>
        <v>0</v>
      </c>
      <c r="D132" s="68"/>
      <c r="E132" s="292">
        <f>'0401'!E132+'0402'!E132+'0403'!E132+'405'!E132+'0406'!E132+'0409'!E132+'410-sahara'!E132+'414-Al ghurair'!E132+'415'!E132+'Al Foah_418'!E132+Rak_417!E132+D.C.!E132+'Wafi _419'!E132</f>
        <v>0</v>
      </c>
      <c r="F132" s="68"/>
      <c r="G132" s="292">
        <f>'0401'!G132+'0402'!G132+'0403'!G132+'405'!G132+'0406'!G132+'0409'!G132+'410-sahara'!G132+'414-Al ghurair'!G132+'415'!G132+'Al Foah_418'!G132+Rak_417!G132+D.C.!G132+'Wafi _419'!G132</f>
        <v>0</v>
      </c>
      <c r="H132" s="68"/>
      <c r="I132" s="292">
        <f>'0401'!I132+'0402'!I132+'0403'!I132+'405'!I132+'0406'!I132+'0409'!I132+'410-sahara'!I132+'414-Al ghurair'!I132+'415'!I132+'Al Foah_418'!I132+Rak_417!I132+D.C.!I132+'Wafi _419'!I132</f>
        <v>0</v>
      </c>
      <c r="J132" s="68"/>
      <c r="K132" s="292">
        <f>'0401'!K132+'0402'!K132+'0403'!K132+'405'!K132+'0406'!K132+'0409'!K132+'410-sahara'!K132+'414-Al ghurair'!K132+'415'!K132+'Al Foah_418'!K132+Rak_417!K132+D.C.!K132+'Wafi _419'!K132</f>
        <v>0</v>
      </c>
      <c r="L132" s="68"/>
      <c r="M132" s="292">
        <f>'0401'!M132+'0402'!M132+'0403'!M132+'405'!M132+'0406'!M132+'0409'!M132+'410-sahara'!M132+'414-Al ghurair'!M132+'415'!M132+'Al Foah_418'!M132+Rak_417!M132+D.C.!M132+'Wafi _419'!M132</f>
        <v>0</v>
      </c>
      <c r="N132" s="68"/>
      <c r="O132" s="292">
        <f>'0401'!O132+'0402'!O132+'0403'!O132+'405'!O132+'0406'!O132+'0409'!O132+'410-sahara'!O132+'414-Al ghurair'!O132+'415'!O132+'Al Foah_418'!O132+Rak_417!O132+D.C.!O132+'Wafi _419'!O132</f>
        <v>0</v>
      </c>
      <c r="P132" s="68"/>
      <c r="Q132" s="292">
        <f>'0401'!Q132+'0402'!Q132+'0403'!Q132+'405'!Q132+'0406'!Q132+'0409'!Q132+'410-sahara'!Q132+'414-Al ghurair'!Q132+'415'!Q132+'Al Foah_418'!Q132+Rak_417!Q132+D.C.!Q132+'Wafi _419'!Q132</f>
        <v>0</v>
      </c>
      <c r="R132" s="68"/>
      <c r="S132" s="292">
        <f>'0401'!S132+'0402'!S132+'0403'!S132+'405'!S132+'0406'!S132+'0409'!S132+'410-sahara'!S132+'414-Al ghurair'!S132+'415'!S132+'Al Foah_418'!S132+Rak_417!S132+D.C.!S132+'Wafi _419'!S132</f>
        <v>0</v>
      </c>
      <c r="T132" s="68"/>
      <c r="U132" s="292">
        <f>'0401'!U132+'0402'!U132+'0403'!U132+'405'!U132+'0406'!U132+'0409'!U132+'410-sahara'!U132+'414-Al ghurair'!U132+'415'!U132+'Al Foah_418'!U132+Rak_417!U132+D.C.!U132+'Wafi _419'!U132</f>
        <v>0</v>
      </c>
      <c r="V132" s="68"/>
      <c r="W132" s="292">
        <f>'0401'!W132+'0402'!W132+'0403'!W132+'405'!W132+'0406'!W132+'0409'!W132+'410-sahara'!W132+'414-Al ghurair'!W132+'415'!W132+'Al Foah_418'!W132+Rak_417!W132+D.C.!W132+'Wafi _419'!W132</f>
        <v>0</v>
      </c>
      <c r="X132" s="68"/>
      <c r="Y132" s="292">
        <f>'0401'!Y132+'0402'!Y132+'0403'!Y132+'405'!Y132+'0406'!Y132+'0409'!Y132+'410-sahara'!Y132+'414-Al ghurair'!Y132+'415'!Y132+'Al Foah_418'!Y132+Rak_417!Y132+D.C.!Y132+'Wafi _419'!Y132</f>
        <v>0</v>
      </c>
      <c r="Z132" s="68"/>
      <c r="AA132" s="292">
        <f t="shared" si="64"/>
        <v>0</v>
      </c>
      <c r="AB132" s="147"/>
      <c r="AC132" s="139">
        <f t="shared" si="65"/>
        <v>0</v>
      </c>
      <c r="AD132" s="131"/>
      <c r="AE132" s="84">
        <f t="shared" si="60"/>
        <v>0</v>
      </c>
      <c r="AF132" s="33" t="e">
        <f>#REF!+'0401'!#REF!+'0402'!#REF!+'0403'!#REF!+#REF!+'405'!#REF!+'0406'!#REF!+D.C.!#REF!+#REF!+#REF!+'0409'!#REF!</f>
        <v>#REF!</v>
      </c>
      <c r="AG132" s="33" t="e">
        <f t="shared" si="247"/>
        <v>#REF!</v>
      </c>
      <c r="AH132" s="84">
        <f t="shared" si="62"/>
        <v>0</v>
      </c>
      <c r="AI132" s="33">
        <f>'0401'!AA132+'0402'!AA132+'0403'!AA132+'405'!AA132+'0406'!AA132+'0409'!AA132+'410-sahara'!AA132+'414-Al ghurair'!AA132+'415'!AA132+'Al Foah_418'!AA132+Rak_417!AA132+D.C.!AA132</f>
        <v>0</v>
      </c>
      <c r="AJ132" s="84">
        <f t="shared" si="63"/>
        <v>0</v>
      </c>
    </row>
    <row r="133" spans="1:36" s="1" customFormat="1" ht="15.75" thickBot="1">
      <c r="A133" s="337">
        <v>6412</v>
      </c>
      <c r="B133" s="337" t="s">
        <v>149</v>
      </c>
      <c r="C133" s="338">
        <f>'0401'!C133+'0402'!C133+'0403'!C133+'405'!C133+'0406'!C133+'0409'!C133+'410-sahara'!C133+'414-Al ghurair'!C133+'415'!C133+'Al Foah_418'!C133+Rak_417!C133+D.C.!C133+'Wafi _419'!C133</f>
        <v>0</v>
      </c>
      <c r="D133" s="339"/>
      <c r="E133" s="338">
        <f>'0401'!E133+'0402'!E133+'0403'!E133+'405'!E133+'0406'!E133+'0409'!E133+'410-sahara'!E133+'414-Al ghurair'!E133+'415'!E133+'Al Foah_418'!E133+Rak_417!E133+D.C.!E133+'Wafi _419'!E133</f>
        <v>0</v>
      </c>
      <c r="F133" s="339"/>
      <c r="G133" s="338">
        <f>'0401'!G133+'0402'!G133+'0403'!G133+'405'!G133+'0406'!G133+'0409'!G133+'410-sahara'!G133+'414-Al ghurair'!G133+'415'!G133+'Al Foah_418'!G133+Rak_417!G133+D.C.!G133+'Wafi _419'!G133</f>
        <v>0</v>
      </c>
      <c r="H133" s="339"/>
      <c r="I133" s="338">
        <f>'0401'!I133+'0402'!I133+'0403'!I133+'405'!I133+'0406'!I133+'0409'!I133+'410-sahara'!I133+'414-Al ghurair'!I133+'415'!I133+'Al Foah_418'!I133+Rak_417!I133+D.C.!I133+'Wafi _419'!I133</f>
        <v>0</v>
      </c>
      <c r="J133" s="339"/>
      <c r="K133" s="338">
        <f>'0401'!K133+'0402'!K133+'0403'!K133+'405'!K133+'0406'!K133+'0409'!K133+'410-sahara'!K133+'414-Al ghurair'!K133+'415'!K133+'Al Foah_418'!K133+Rak_417!K133+D.C.!K133+'Wafi _419'!K133</f>
        <v>0</v>
      </c>
      <c r="L133" s="339"/>
      <c r="M133" s="338">
        <f>'0401'!M133+'0402'!M133+'0403'!M133+'405'!M133+'0406'!M133+'0409'!M133+'410-sahara'!M133+'414-Al ghurair'!M133+'415'!M133+'Al Foah_418'!M133+Rak_417!M133+D.C.!M133+'Wafi _419'!M133</f>
        <v>0</v>
      </c>
      <c r="N133" s="339"/>
      <c r="O133" s="338">
        <f>'0401'!O133+'0402'!O133+'0403'!O133+'405'!O133+'0406'!O133+'0409'!O133+'410-sahara'!O133+'414-Al ghurair'!O133+'415'!O133+'Al Foah_418'!O133+Rak_417!O133+D.C.!O133+'Wafi _419'!O133</f>
        <v>0</v>
      </c>
      <c r="P133" s="339"/>
      <c r="Q133" s="338">
        <f>'0401'!Q133+'0402'!Q133+'0403'!Q133+'405'!Q133+'0406'!Q133+'0409'!Q133+'410-sahara'!Q133+'414-Al ghurair'!Q133+'415'!Q133+'Al Foah_418'!Q133+Rak_417!Q133+D.C.!Q133+'Wafi _419'!Q133</f>
        <v>0</v>
      </c>
      <c r="R133" s="339"/>
      <c r="S133" s="338">
        <f>'0401'!S133+'0402'!S133+'0403'!S133+'405'!S133+'0406'!S133+'0409'!S133+'410-sahara'!S133+'414-Al ghurair'!S133+'415'!S133+'Al Foah_418'!S133+Rak_417!S133+D.C.!S133+'Wafi _419'!S133</f>
        <v>0</v>
      </c>
      <c r="T133" s="339"/>
      <c r="U133" s="338">
        <f>'0401'!U133+'0402'!U133+'0403'!U133+'405'!U133+'0406'!U133+'0409'!U133+'410-sahara'!U133+'414-Al ghurair'!U133+'415'!U133+'Al Foah_418'!U133+Rak_417!U133+D.C.!U133+'Wafi _419'!U133</f>
        <v>0</v>
      </c>
      <c r="V133" s="339"/>
      <c r="W133" s="338">
        <f>'0401'!W133+'0402'!W133+'0403'!W133+'405'!W133+'0406'!W133+'0409'!W133+'410-sahara'!W133+'414-Al ghurair'!W133+'415'!W133+'Al Foah_418'!W133+Rak_417!W133+D.C.!W133+'Wafi _419'!W133</f>
        <v>0</v>
      </c>
      <c r="X133" s="339"/>
      <c r="Y133" s="338">
        <f>'0401'!Y133+'0402'!Y133+'0403'!Y133+'405'!Y133+'0406'!Y133+'0409'!Y133+'410-sahara'!Y133+'414-Al ghurair'!Y133+'415'!Y133+'Al Foah_418'!Y133+Rak_417!Y133+D.C.!Y133+'Wafi _419'!Y133</f>
        <v>0</v>
      </c>
      <c r="Z133" s="339"/>
      <c r="AA133" s="340">
        <f t="shared" si="64"/>
        <v>0</v>
      </c>
      <c r="AB133" s="339"/>
      <c r="AC133" s="340">
        <f t="shared" si="65"/>
        <v>0</v>
      </c>
      <c r="AD133" s="339"/>
      <c r="AE133" s="84">
        <f t="shared" si="60"/>
        <v>0</v>
      </c>
      <c r="AF133" s="33" t="e">
        <f>#REF!+'0401'!#REF!+'0402'!#REF!+'0403'!#REF!+#REF!+'405'!#REF!+'0406'!#REF!+D.C.!#REF!+#REF!+#REF!+'0409'!#REF!</f>
        <v>#REF!</v>
      </c>
      <c r="AG133" s="33" t="e">
        <f t="shared" si="247"/>
        <v>#REF!</v>
      </c>
      <c r="AH133" s="84">
        <f t="shared" si="62"/>
        <v>0</v>
      </c>
      <c r="AI133" s="33">
        <f>'0401'!AA133+'0402'!AA133+'0403'!AA133+'405'!AA133+'0406'!AA133+'0409'!AA133+'410-sahara'!AA133+'414-Al ghurair'!AA133+'415'!AA133+'Al Foah_418'!AA133+Rak_417!AA133+D.C.!AA133</f>
        <v>0</v>
      </c>
      <c r="AJ133" s="84">
        <f t="shared" si="63"/>
        <v>0</v>
      </c>
    </row>
    <row r="134" spans="1:36" s="1" customFormat="1" ht="15.75" thickTop="1">
      <c r="A134" s="222"/>
      <c r="B134" s="222"/>
      <c r="C134" s="292">
        <f>'0401'!C134+'0402'!C134+'0403'!C134+'405'!C134+'0406'!C134+'0409'!C134+'410-sahara'!C134+'414-Al ghurair'!C134+'415'!C134+'Al Foah_418'!C134+Rak_417!C134+D.C.!C134+'Wafi _419'!C134</f>
        <v>0</v>
      </c>
      <c r="D134" s="68"/>
      <c r="E134" s="292">
        <f>'0401'!E134+'0402'!E134+'0403'!E134+'405'!E134+'0406'!E134+'0409'!E134+'410-sahara'!E134+'414-Al ghurair'!E134+'415'!E134+'Al Foah_418'!E134+Rak_417!E134+D.C.!E134+'Wafi _419'!E134</f>
        <v>0</v>
      </c>
      <c r="F134" s="68"/>
      <c r="G134" s="292">
        <f>'0401'!G134+'0402'!G134+'0403'!G134+'405'!G134+'0406'!G134+'0409'!G134+'410-sahara'!G134+'414-Al ghurair'!G134+'415'!G134+'Al Foah_418'!G134+Rak_417!G134+D.C.!G134+'Wafi _419'!G134</f>
        <v>0</v>
      </c>
      <c r="H134" s="68"/>
      <c r="I134" s="292">
        <f>'0401'!I134+'0402'!I134+'0403'!I134+'405'!I134+'0406'!I134+'0409'!I134+'410-sahara'!I134+'414-Al ghurair'!I134+'415'!I134+'Al Foah_418'!I134+Rak_417!I134+D.C.!I134+'Wafi _419'!I134</f>
        <v>0</v>
      </c>
      <c r="J134" s="68"/>
      <c r="K134" s="292">
        <f>'0401'!K134+'0402'!K134+'0403'!K134+'405'!K134+'0406'!K134+'0409'!K134+'410-sahara'!K134+'414-Al ghurair'!K134+'415'!K134+'Al Foah_418'!K134+Rak_417!K134+D.C.!K134+'Wafi _419'!K134</f>
        <v>0</v>
      </c>
      <c r="L134" s="68"/>
      <c r="M134" s="292">
        <f>'0401'!M134+'0402'!M134+'0403'!M134+'405'!M134+'0406'!M134+'0409'!M134+'410-sahara'!M134+'414-Al ghurair'!M134+'415'!M134+'Al Foah_418'!M134+Rak_417!M134+D.C.!M134+'Wafi _419'!M134</f>
        <v>0</v>
      </c>
      <c r="N134" s="68"/>
      <c r="O134" s="292">
        <f>'0401'!O134+'0402'!O134+'0403'!O134+'405'!O134+'0406'!O134+'0409'!O134+'410-sahara'!O134+'414-Al ghurair'!O134+'415'!O134+'Al Foah_418'!O134+Rak_417!O134+D.C.!O134+'Wafi _419'!O134</f>
        <v>0</v>
      </c>
      <c r="P134" s="68"/>
      <c r="Q134" s="292">
        <f>'0401'!Q134+'0402'!Q134+'0403'!Q134+'405'!Q134+'0406'!Q134+'0409'!Q134+'410-sahara'!Q134+'414-Al ghurair'!Q134+'415'!Q134+'Al Foah_418'!Q134+Rak_417!Q134+D.C.!Q134+'Wafi _419'!Q134</f>
        <v>0</v>
      </c>
      <c r="R134" s="68"/>
      <c r="S134" s="292">
        <f>'0401'!S134+'0402'!S134+'0403'!S134+'405'!S134+'0406'!S134+'0409'!S134+'410-sahara'!S134+'414-Al ghurair'!S134+'415'!S134+'Al Foah_418'!S134+Rak_417!S134+D.C.!S134+'Wafi _419'!S134</f>
        <v>0</v>
      </c>
      <c r="T134" s="68"/>
      <c r="U134" s="292">
        <f>'0401'!U134+'0402'!U134+'0403'!U134+'405'!U134+'0406'!U134+'0409'!U134+'410-sahara'!U134+'414-Al ghurair'!U134+'415'!U134+'Al Foah_418'!U134+Rak_417!U134+D.C.!U134+'Wafi _419'!U134</f>
        <v>0</v>
      </c>
      <c r="V134" s="68"/>
      <c r="W134" s="292">
        <f>'0401'!W134+'0402'!W134+'0403'!W134+'405'!W134+'0406'!W134+'0409'!W134+'410-sahara'!W134+'414-Al ghurair'!W134+'415'!W134+'Al Foah_418'!W134+Rak_417!W134+D.C.!W134+'Wafi _419'!W134</f>
        <v>0</v>
      </c>
      <c r="X134" s="68"/>
      <c r="Y134" s="292">
        <f>'0401'!Y134+'0402'!Y134+'0403'!Y134+'405'!Y134+'0406'!Y134+'0409'!Y134+'410-sahara'!Y134+'414-Al ghurair'!Y134+'415'!Y134+'Al Foah_418'!Y134+Rak_417!Y134+D.C.!Y134+'Wafi _419'!Y134</f>
        <v>0</v>
      </c>
      <c r="Z134" s="68"/>
      <c r="AA134" s="154">
        <f t="shared" si="64"/>
        <v>0</v>
      </c>
      <c r="AB134" s="147"/>
      <c r="AC134" s="139">
        <f t="shared" si="65"/>
        <v>0</v>
      </c>
      <c r="AD134" s="131"/>
      <c r="AE134" s="84">
        <f t="shared" si="60"/>
        <v>0</v>
      </c>
      <c r="AF134" s="33" t="e">
        <f>#REF!+'0401'!#REF!+'0402'!#REF!+'0403'!#REF!+#REF!+'405'!#REF!+'0406'!#REF!+D.C.!#REF!+#REF!+#REF!+'0409'!#REF!</f>
        <v>#REF!</v>
      </c>
      <c r="AG134" s="33" t="e">
        <f t="shared" si="247"/>
        <v>#REF!</v>
      </c>
      <c r="AH134" s="84">
        <f t="shared" si="62"/>
        <v>0</v>
      </c>
      <c r="AI134" s="33">
        <f>'0401'!AA134+'0402'!AA134+'0403'!AA134+'405'!AA134+'0406'!AA134+'0409'!AA134+'410-sahara'!AA134+'414-Al ghurair'!AA134+'415'!AA134+'Al Foah_418'!AA134+Rak_417!AA134+D.C.!AA134</f>
        <v>0</v>
      </c>
      <c r="AJ134" s="84">
        <f t="shared" si="63"/>
        <v>0</v>
      </c>
    </row>
    <row r="135" spans="1:36" s="1" customFormat="1" ht="15.75" thickBot="1">
      <c r="A135" s="337"/>
      <c r="B135" s="337" t="s">
        <v>140</v>
      </c>
      <c r="C135" s="340">
        <f>'0401'!C135+'0402'!C135+'0403'!C135+'405'!C135+'0406'!C135+'0409'!C135+'410-sahara'!C135+'414-Al ghurair'!C135+'415'!C135+'Al Foah_418'!C135+Rak_417!C135+D.C.!C135+'Wafi _419'!C135</f>
        <v>913636.03438052465</v>
      </c>
      <c r="D135" s="339">
        <f>C135/C12</f>
        <v>8.3656376457833484E-2</v>
      </c>
      <c r="E135" s="340">
        <f>'0401'!E135+'0402'!E135+'0403'!E135+'405'!E135+'0406'!E135+'0409'!E135+'410-sahara'!E135+'414-Al ghurair'!E135+'415'!E135+'Al Foah_418'!E135+Rak_417!E135+D.C.!E135+'Wafi _419'!E135</f>
        <v>269338.40342120477</v>
      </c>
      <c r="F135" s="339">
        <f>E135/E12</f>
        <v>3.1698860647584634E-2</v>
      </c>
      <c r="G135" s="340">
        <f>'0401'!G135+'0402'!G135+'0403'!G135+'405'!G135+'0406'!G135+'0409'!G135+'410-sahara'!G135+'414-Al ghurair'!G135+'415'!G135+'Al Foah_418'!G135+Rak_417!G135+D.C.!G135+'Wafi _419'!G135</f>
        <v>2336530.2480993099</v>
      </c>
      <c r="H135" s="339">
        <f>G135/G12</f>
        <v>0.16577866068458699</v>
      </c>
      <c r="I135" s="340">
        <f>'0401'!I135+'0402'!I135+'0403'!I135+'405'!I135+'0406'!I135+'0409'!I135+'410-sahara'!I135+'414-Al ghurair'!I135+'415'!I135+'Al Foah_418'!I135+Rak_417!I135+D.C.!I135+'Wafi _419'!I135</f>
        <v>2157285.3982426184</v>
      </c>
      <c r="J135" s="339">
        <f>I135/I12</f>
        <v>0.17334325119834312</v>
      </c>
      <c r="K135" s="340">
        <f>'0401'!K135+'0402'!K135+'0403'!K135+'405'!K135+'0406'!K135+'0409'!K135+'410-sahara'!K135+'414-Al ghurair'!K135+'415'!K135+'Al Foah_418'!K135+Rak_417!K135+D.C.!K135+'Wafi _419'!K135</f>
        <v>1964098.9842296985</v>
      </c>
      <c r="L135" s="339">
        <f>K135/K12</f>
        <v>0.17255622302074008</v>
      </c>
      <c r="M135" s="340">
        <f>'0401'!M135+'0402'!M135+'0403'!M135+'405'!M135+'0406'!M135+'0409'!M135+'410-sahara'!M135+'414-Al ghurair'!M135+'415'!M135+'Al Foah_418'!M135+Rak_417!M135+D.C.!M135+'Wafi _419'!M135</f>
        <v>3305469.574816416</v>
      </c>
      <c r="N135" s="339">
        <f>M135/M12</f>
        <v>0.204799277717435</v>
      </c>
      <c r="O135" s="340">
        <f>'0401'!O135+'0402'!O135+'0403'!O135+'405'!O135+'0406'!O135+'0409'!O135+'410-sahara'!O135+'414-Al ghurair'!O135+'415'!O135+'Al Foah_418'!O135+Rak_417!O135+D.C.!O135+'Wafi _419'!O135</f>
        <v>1138040.4696235568</v>
      </c>
      <c r="P135" s="339">
        <f>O135/O12</f>
        <v>0.11137133283770434</v>
      </c>
      <c r="Q135" s="340">
        <f>'0401'!Q135+'0402'!Q135+'0403'!Q135+'405'!Q135+'0406'!Q135+'0409'!Q135+'410-sahara'!Q135+'414-Al ghurair'!Q135+'415'!Q135+'Al Foah_418'!Q135+Rak_417!Q135+D.C.!Q135+'Wafi _419'!Q135</f>
        <v>2158452.0209542261</v>
      </c>
      <c r="R135" s="339">
        <f>Q135/Q12</f>
        <v>0.1701091954176884</v>
      </c>
      <c r="S135" s="340">
        <f>'0401'!S135+'0402'!S135+'0403'!S135+'405'!S135+'0406'!S135+'0409'!S135+'410-sahara'!S135+'414-Al ghurair'!S135+'415'!S135+'Al Foah_418'!S135+Rak_417!S135+D.C.!S135+'Wafi _419'!S135</f>
        <v>1896842.0304794081</v>
      </c>
      <c r="T135" s="339">
        <f>S135/S12</f>
        <v>0.14839645669759996</v>
      </c>
      <c r="U135" s="340">
        <f>'0401'!U135+'0402'!U135+'0403'!U135+'405'!U135+'0406'!U135+'0409'!U135+'410-sahara'!U135+'414-Al ghurair'!U135+'415'!U135+'Al Foah_418'!U135+Rak_417!U135+D.C.!U135+'Wafi _419'!U135</f>
        <v>1066008.6624498842</v>
      </c>
      <c r="V135" s="339">
        <f>U135/U12</f>
        <v>0.10513972252629986</v>
      </c>
      <c r="W135" s="340">
        <f>'0401'!W135+'0402'!W135+'0403'!W135+'405'!W135+'0406'!W135+'0409'!W135+'410-sahara'!W135+'414-Al ghurair'!W135+'415'!W135+'Al Foah_418'!W135+Rak_417!W135+D.C.!W135+'Wafi _419'!W135</f>
        <v>1156580.8016649694</v>
      </c>
      <c r="X135" s="339">
        <f>W135/W12</f>
        <v>0.11211729504668397</v>
      </c>
      <c r="Y135" s="340">
        <f>'0401'!Y135+'0402'!Y135+'0403'!Y135+'405'!Y135+'0406'!Y135+'0409'!Y135+'410-sahara'!Y135+'414-Al ghurair'!Y135+'415'!Y135+'Al Foah_418'!Y135+Rak_417!Y135+D.C.!Y135+'Wafi _419'!Y135</f>
        <v>3008513.1686860062</v>
      </c>
      <c r="Z135" s="339">
        <f>Y135/Y12</f>
        <v>0.19305489511486093</v>
      </c>
      <c r="AA135" s="340">
        <f t="shared" si="64"/>
        <v>21370795.797047827</v>
      </c>
      <c r="AB135" s="339">
        <f>AA135/AA12</f>
        <v>0.14717392547292546</v>
      </c>
      <c r="AC135" s="340">
        <f t="shared" si="65"/>
        <v>1780899.6497539857</v>
      </c>
      <c r="AD135" s="339">
        <f>AC135/AC12</f>
        <v>0.14717392547292546</v>
      </c>
      <c r="AE135" s="84">
        <f t="shared" si="60"/>
        <v>21370795.797047827</v>
      </c>
      <c r="AF135" s="33" t="e">
        <f>#REF!+'0401'!#REF!+'0402'!#REF!+'0403'!#REF!+#REF!+'405'!#REF!+'0406'!#REF!+D.C.!#REF!+#REF!+#REF!+'0409'!#REF!</f>
        <v>#REF!</v>
      </c>
      <c r="AG135" s="33" t="e">
        <f t="shared" si="247"/>
        <v>#REF!</v>
      </c>
      <c r="AH135" s="84">
        <f t="shared" si="62"/>
        <v>0</v>
      </c>
      <c r="AI135" s="33">
        <f>'0401'!AA135+'0402'!AA135+'0403'!AA135+'405'!AA135+'0406'!AA135+'0409'!AA135+'410-sahara'!AA135+'414-Al ghurair'!AA135+'415'!AA135+'Al Foah_418'!AA135+Rak_417!AA135+D.C.!AA135</f>
        <v>19601029.565335862</v>
      </c>
      <c r="AJ135" s="84">
        <f t="shared" si="63"/>
        <v>1769766.2317119651</v>
      </c>
    </row>
    <row r="136" spans="1:36" customFormat="1" ht="15.75" thickTop="1">
      <c r="A136" s="738">
        <v>6604</v>
      </c>
      <c r="B136" s="738" t="s">
        <v>148</v>
      </c>
      <c r="C136" s="295">
        <f>'0401'!C136+'0402'!C136+'0403'!C136+'405'!C136+'0406'!C136+'0409'!C136+'410-sahara'!C136+'414-Al ghurair'!C136+'415'!C136+'Al Foah_418'!C136+Rak_417!C136+D.C.!C136+'Wafi _419'!C136</f>
        <v>0</v>
      </c>
      <c r="D136" s="68"/>
      <c r="E136" s="295">
        <f>'0401'!E136+'0402'!E136+'0403'!E136+'405'!E136+'0406'!E136+'0409'!E136+'410-sahara'!E136+'414-Al ghurair'!E136+'415'!E136+'Al Foah_418'!E136+Rak_417!E136+D.C.!E136+'Wafi _419'!E136</f>
        <v>0</v>
      </c>
      <c r="F136" s="68"/>
      <c r="G136" s="295">
        <f>'0401'!G136+'0402'!G136+'0403'!G136+'405'!G136+'0406'!G136+'0409'!G136+'410-sahara'!G136+'414-Al ghurair'!G136+'415'!G136+'Al Foah_418'!G136+Rak_417!G136+D.C.!G136+'Wafi _419'!G136</f>
        <v>0</v>
      </c>
      <c r="H136" s="68"/>
      <c r="I136" s="295">
        <f>'0401'!I136+'0402'!I136+'0403'!I136+'405'!I136+'0406'!I136+'0409'!I136+'410-sahara'!I136+'414-Al ghurair'!I136+'415'!I136+'Al Foah_418'!I136+Rak_417!I136+D.C.!I136+'Wafi _419'!I136</f>
        <v>0</v>
      </c>
      <c r="J136" s="68"/>
      <c r="K136" s="295">
        <f>'0401'!K136+'0402'!K136+'0403'!K136+'405'!K136+'0406'!K136+'0409'!K136+'410-sahara'!K136+'414-Al ghurair'!K136+'415'!K136+'Al Foah_418'!K136+Rak_417!K136+D.C.!K136+'Wafi _419'!K136</f>
        <v>0</v>
      </c>
      <c r="L136" s="68"/>
      <c r="M136" s="295">
        <f>'0401'!M136+'0402'!M136+'0403'!M136+'405'!M136+'0406'!M136+'0409'!M136+'410-sahara'!M136+'414-Al ghurair'!M136+'415'!M136+'Al Foah_418'!M136+Rak_417!M136+D.C.!M136+'Wafi _419'!M136</f>
        <v>0</v>
      </c>
      <c r="N136" s="68"/>
      <c r="O136" s="295">
        <f>'0401'!O136+'0402'!O136+'0403'!O136+'405'!O136+'0406'!O136+'0409'!O136+'410-sahara'!O136+'414-Al ghurair'!O136+'415'!O136+'Al Foah_418'!O136+Rak_417!O136+D.C.!O136+'Wafi _419'!O136</f>
        <v>0</v>
      </c>
      <c r="P136" s="68"/>
      <c r="Q136" s="295">
        <f>'0401'!Q136+'0402'!Q136+'0403'!Q136+'405'!Q136+'0406'!Q136+'0409'!Q136+'410-sahara'!Q136+'414-Al ghurair'!Q136+'415'!Q136+'Al Foah_418'!Q136+Rak_417!Q136+D.C.!Q136+'Wafi _419'!Q136</f>
        <v>0</v>
      </c>
      <c r="R136" s="68"/>
      <c r="S136" s="295">
        <f>'0401'!S136+'0402'!S136+'0403'!S136+'405'!S136+'0406'!S136+'0409'!S136+'410-sahara'!S136+'414-Al ghurair'!S136+'415'!S136+'Al Foah_418'!S136+Rak_417!S136+D.C.!S136+'Wafi _419'!S136</f>
        <v>0</v>
      </c>
      <c r="T136" s="68"/>
      <c r="U136" s="295">
        <f>'0401'!U136+'0402'!U136+'0403'!U136+'405'!U136+'0406'!U136+'0409'!U136+'410-sahara'!U136+'414-Al ghurair'!U136+'415'!U136+'Al Foah_418'!U136+Rak_417!U136+D.C.!U136+'Wafi _419'!U136</f>
        <v>0</v>
      </c>
      <c r="V136" s="68"/>
      <c r="W136" s="295">
        <f>'0401'!W136+'0402'!W136+'0403'!W136+'405'!W136+'0406'!W136+'0409'!W136+'410-sahara'!W136+'414-Al ghurair'!W136+'415'!W136+'Al Foah_418'!W136+Rak_417!W136+D.C.!W136+'Wafi _419'!W136</f>
        <v>0</v>
      </c>
      <c r="X136" s="68"/>
      <c r="Y136" s="295">
        <f>'0401'!Y136+'0402'!Y136+'0403'!Y136+'405'!Y136+'0406'!Y136+'0409'!Y136+'410-sahara'!Y136+'414-Al ghurair'!Y136+'415'!Y136+'Al Foah_418'!Y136+Rak_417!Y136+D.C.!Y136+'Wafi _419'!Y136</f>
        <v>0</v>
      </c>
      <c r="Z136" s="68"/>
      <c r="AA136" s="382">
        <f t="shared" si="64"/>
        <v>0</v>
      </c>
      <c r="AB136" s="147"/>
      <c r="AC136" s="128">
        <f t="shared" si="65"/>
        <v>0</v>
      </c>
      <c r="AD136" s="131"/>
      <c r="AE136" s="84">
        <f t="shared" si="60"/>
        <v>0</v>
      </c>
      <c r="AF136" s="33" t="e">
        <f>#REF!+'0401'!#REF!+'0402'!#REF!+'0403'!#REF!+#REF!+'405'!#REF!+'0406'!#REF!+D.C.!#REF!+#REF!+#REF!+'0409'!#REF!</f>
        <v>#REF!</v>
      </c>
      <c r="AG136" s="33" t="e">
        <f t="shared" si="247"/>
        <v>#REF!</v>
      </c>
      <c r="AH136" s="84">
        <f t="shared" si="62"/>
        <v>0</v>
      </c>
      <c r="AI136" s="33">
        <f>'0401'!AA136+'0402'!AA136+'0403'!AA136+'405'!AA136+'0406'!AA136+'0409'!AA136+'410-sahara'!AA136+'414-Al ghurair'!AA136+'415'!AA136+'Al Foah_418'!AA136+Rak_417!AA136+D.C.!AA136</f>
        <v>0</v>
      </c>
      <c r="AJ136" s="84">
        <f t="shared" si="63"/>
        <v>0</v>
      </c>
    </row>
    <row r="137" spans="1:36" customFormat="1">
      <c r="A137" s="737">
        <v>6502</v>
      </c>
      <c r="B137" s="738" t="s">
        <v>136</v>
      </c>
      <c r="C137" s="295">
        <f>'0401'!C137+'0402'!C137+'0403'!C137+'405'!C137+'0406'!C137+'0409'!C137+'410-sahara'!C137+'414-Al ghurair'!C137+'415'!C137+'Al Foah_418'!C137+Rak_417!C137+D.C.!C137+'Wafi _419'!C137</f>
        <v>439246.14</v>
      </c>
      <c r="D137" s="68">
        <f>C137/C12</f>
        <v>4.021923289223707E-2</v>
      </c>
      <c r="E137" s="295">
        <f>'0401'!E137+'0402'!E137+'0403'!E137+'405'!E137+'0406'!E137+'0409'!E137+'410-sahara'!E137+'414-Al ghurair'!E137+'415'!E137+'Al Foah_418'!E137+Rak_417!E137+D.C.!E137+'Wafi _419'!E137</f>
        <v>439247.14</v>
      </c>
      <c r="F137" s="68">
        <f>E137/E12</f>
        <v>5.1695687298389553E-2</v>
      </c>
      <c r="G137" s="295">
        <f>'0401'!G137+'0402'!G137+'0403'!G137+'405'!G137+'0406'!G137+'0409'!G137+'410-sahara'!G137+'414-Al ghurair'!G137+'415'!G137+'Al Foah_418'!G137+Rak_417!G137+D.C.!G137+'Wafi _419'!G137</f>
        <v>435439.28</v>
      </c>
      <c r="H137" s="68">
        <f>G137/G12</f>
        <v>3.0894759743248446E-2</v>
      </c>
      <c r="I137" s="295">
        <f>'0401'!I137+'0402'!I137+'0403'!I137+'405'!I137+'0406'!I137+'0409'!I137+'410-sahara'!I137+'414-Al ghurair'!I137+'415'!I137+'Al Foah_418'!I137+Rak_417!I137+D.C.!I137+'Wafi _419'!I137</f>
        <v>367472.87</v>
      </c>
      <c r="J137" s="68">
        <f>I137/I12</f>
        <v>2.9527359738714648E-2</v>
      </c>
      <c r="K137" s="295">
        <f>'0401'!K137+'0402'!K137+'0403'!K137+'405'!K137+'0406'!K137+'0409'!K137+'410-sahara'!K137+'414-Al ghurair'!K137+'415'!K137+'Al Foah_418'!K137+Rak_417!K137+D.C.!K137+'Wafi _419'!K137</f>
        <v>366127.43</v>
      </c>
      <c r="L137" s="68">
        <f>K137/K12</f>
        <v>3.2166182545971866E-2</v>
      </c>
      <c r="M137" s="295">
        <f>'0401'!M137+'0402'!M137+'0403'!M137+'405'!M137+'0406'!M137+'0409'!M137+'410-sahara'!M137+'414-Al ghurair'!M137+'415'!M137+'Al Foah_418'!M137+Rak_417!M137+D.C.!M137+'Wafi _419'!M137</f>
        <v>365822.99</v>
      </c>
      <c r="N137" s="68">
        <f>M137/M12</f>
        <v>2.2665549456341156E-2</v>
      </c>
      <c r="O137" s="295">
        <f>'0401'!O137+'0402'!O137+'0403'!O137+'405'!O137+'0406'!O137+'0409'!O137+'410-sahara'!O137+'414-Al ghurair'!O137+'415'!O137+'Al Foah_418'!O137+Rak_417!O137+D.C.!O137+'Wafi _419'!O137</f>
        <v>365822.99</v>
      </c>
      <c r="P137" s="68">
        <f>O137/O12</f>
        <v>3.5800303298924835E-2</v>
      </c>
      <c r="Q137" s="295">
        <f>'0401'!Q137+'0402'!Q137+'0403'!Q137+'405'!Q137+'0406'!Q137+'0409'!Q137+'410-sahara'!Q137+'414-Al ghurair'!Q137+'415'!Q137+'Al Foah_418'!Q137+Rak_417!Q137+D.C.!Q137+'Wafi _419'!Q137</f>
        <v>365824</v>
      </c>
      <c r="R137" s="68">
        <f>Q137/Q12</f>
        <v>2.883085919925581E-2</v>
      </c>
      <c r="S137" s="295">
        <f>'0401'!S137+'0402'!S137+'0403'!S137+'405'!S137+'0406'!S137+'0409'!S137+'410-sahara'!S137+'414-Al ghurair'!S137+'415'!S137+'Al Foah_418'!S137+Rak_417!S137+D.C.!S137+'Wafi _419'!S137</f>
        <v>365824</v>
      </c>
      <c r="T137" s="68">
        <f>S137/S12</f>
        <v>2.8619666004143902E-2</v>
      </c>
      <c r="U137" s="295">
        <f>'0401'!U137+'0402'!U137+'0403'!U137+'405'!U137+'0406'!U137+'0409'!U137+'410-sahara'!U137+'414-Al ghurair'!U137+'415'!U137+'Al Foah_418'!U137+Rak_417!U137+D.C.!U137+'Wafi _419'!U137</f>
        <v>365822.99</v>
      </c>
      <c r="V137" s="68">
        <f>U137/U12</f>
        <v>3.6080877217214528E-2</v>
      </c>
      <c r="W137" s="295">
        <f>'0401'!W137+'0402'!W137+'0403'!W137+'405'!W137+'0406'!W137+'0409'!W137+'410-sahara'!W137+'414-Al ghurair'!W137+'415'!W137+'Al Foah_418'!W137+Rak_417!W137+D.C.!W137+'Wafi _419'!W137</f>
        <v>365822.99</v>
      </c>
      <c r="X137" s="68">
        <f>W137/W12</f>
        <v>3.5462359435368782E-2</v>
      </c>
      <c r="Y137" s="295">
        <f>'0401'!Y137+'0402'!Y137+'0403'!Y137+'405'!Y137+'0406'!Y137+'0409'!Y137+'410-sahara'!Y137+'414-Al ghurair'!Y137+'415'!Y137+'Al Foah_418'!Y137+Rak_417!Y137+D.C.!Y137+'Wafi _419'!Y137</f>
        <v>365822.99</v>
      </c>
      <c r="Z137" s="68">
        <f>Y137/Y12</f>
        <v>2.3474691651723903E-2</v>
      </c>
      <c r="AA137" s="382">
        <f t="shared" si="64"/>
        <v>4608295.8100000005</v>
      </c>
      <c r="AB137" s="147">
        <f>AA137/AA12</f>
        <v>3.1735878744947092E-2</v>
      </c>
      <c r="AC137" s="128">
        <f t="shared" si="65"/>
        <v>384024.65083333338</v>
      </c>
      <c r="AD137" s="131">
        <f>AC137/AC12</f>
        <v>3.1735878744947092E-2</v>
      </c>
      <c r="AE137" s="84">
        <f t="shared" si="60"/>
        <v>4608295.8100000005</v>
      </c>
      <c r="AF137" s="33" t="e">
        <f>#REF!+'0401'!#REF!+'0402'!#REF!+'0403'!#REF!+#REF!+'405'!#REF!+'0406'!#REF!+D.C.!#REF!+#REF!+#REF!+'0409'!#REF!</f>
        <v>#REF!</v>
      </c>
      <c r="AG137" s="33" t="e">
        <f t="shared" si="247"/>
        <v>#REF!</v>
      </c>
      <c r="AH137" s="84">
        <f t="shared" si="62"/>
        <v>0</v>
      </c>
      <c r="AI137" s="33">
        <f>'0401'!AA137+'0402'!AA137+'0403'!AA137+'405'!AA137+'0406'!AA137+'0409'!AA137+'410-sahara'!AA137+'414-Al ghurair'!AA137+'415'!AA137+'Al Foah_418'!AA137+Rak_417!AA137+D.C.!AA137</f>
        <v>4244446.1500000004</v>
      </c>
      <c r="AJ137" s="84">
        <f t="shared" si="63"/>
        <v>363849.66000000015</v>
      </c>
    </row>
    <row r="138" spans="1:36" customFormat="1">
      <c r="A138" s="737">
        <v>6503</v>
      </c>
      <c r="B138" s="738" t="s">
        <v>137</v>
      </c>
      <c r="C138" s="295">
        <f>'0401'!C138+'0402'!C138+'0403'!C138+'405'!C138+'0406'!C138+'0409'!C138+'410-sahara'!C138+'414-Al ghurair'!C138+'415'!C138+'Al Foah_418'!C138+Rak_417!C138+D.C.!C138+'Wafi _419'!C138</f>
        <v>24921.38</v>
      </c>
      <c r="D138" s="68">
        <f>C138/C12</f>
        <v>2.2819068739361923E-3</v>
      </c>
      <c r="E138" s="295">
        <f>'0401'!E138+'0402'!E138+'0403'!E138+'405'!E138+'0406'!E138+'0409'!E138+'410-sahara'!E138+'414-Al ghurair'!E138+'415'!E138+'Al Foah_418'!E138+Rak_417!E138+D.C.!E138+'Wafi _419'!E138</f>
        <v>24920.38</v>
      </c>
      <c r="F138" s="68">
        <f>E138/E12</f>
        <v>2.932918747830757E-3</v>
      </c>
      <c r="G138" s="295">
        <f>'0401'!G138+'0402'!G138+'0403'!G138+'405'!G138+'0406'!G138+'0409'!G138+'410-sahara'!G138+'414-Al ghurair'!G138+'415'!G138+'Al Foah_418'!G138+Rak_417!G138+D.C.!G138+'Wafi _419'!G138</f>
        <v>18611.64</v>
      </c>
      <c r="H138" s="68">
        <f>G138/G12</f>
        <v>1.3205105111964923E-3</v>
      </c>
      <c r="I138" s="295">
        <f>'0401'!I138+'0402'!I138+'0403'!I138+'405'!I138+'0406'!I138+'0409'!I138+'410-sahara'!I138+'414-Al ghurair'!I138+'415'!I138+'Al Foah_418'!I138+Rak_417!I138+D.C.!I138+'Wafi _419'!I138</f>
        <v>18610.64</v>
      </c>
      <c r="J138" s="68">
        <f>I138/I12</f>
        <v>1.4954112455913067E-3</v>
      </c>
      <c r="K138" s="295">
        <f>'0401'!K138+'0402'!K138+'0403'!K138+'405'!K138+'0406'!K138+'0409'!K138+'410-sahara'!K138+'414-Al ghurair'!K138+'415'!K138+'Al Foah_418'!K138+Rak_417!K138+D.C.!K138+'Wafi _419'!K138</f>
        <v>18610.64</v>
      </c>
      <c r="L138" s="68">
        <f>K138/K12</f>
        <v>1.6350406838880273E-3</v>
      </c>
      <c r="M138" s="295">
        <f>'0401'!M138+'0402'!M138+'0403'!M138+'405'!M138+'0406'!M138+'0409'!M138+'410-sahara'!M138+'414-Al ghurair'!M138+'415'!M138+'Al Foah_418'!M138+Rak_417!M138+D.C.!M138+'Wafi _419'!M138</f>
        <v>18609.64</v>
      </c>
      <c r="N138" s="68">
        <f>M138/M12</f>
        <v>1.1530104102661907E-3</v>
      </c>
      <c r="O138" s="295">
        <f>'0401'!O138+'0402'!O138+'0403'!O138+'405'!O138+'0406'!O138+'0409'!O138+'410-sahara'!O138+'414-Al ghurair'!O138+'415'!O138+'Al Foah_418'!O138+Rak_417!O138+D.C.!O138+'Wafi _419'!O138</f>
        <v>18611.64</v>
      </c>
      <c r="P138" s="68">
        <f>O138/O12</f>
        <v>1.8213791235220109E-3</v>
      </c>
      <c r="Q138" s="295">
        <f>'0401'!Q138+'0402'!Q138+'0403'!Q138+'405'!Q138+'0406'!Q138+'0409'!Q138+'410-sahara'!Q138+'414-Al ghurair'!Q138+'415'!Q138+'Al Foah_418'!Q138+Rak_417!Q138+D.C.!Q138+'Wafi _419'!Q138</f>
        <v>18611.47</v>
      </c>
      <c r="R138" s="68">
        <f>Q138/Q12</f>
        <v>1.4667836748304473E-3</v>
      </c>
      <c r="S138" s="295">
        <f>'0401'!S138+'0402'!S138+'0403'!S138+'405'!S138+'0406'!S138+'0409'!S138+'410-sahara'!S138+'414-Al ghurair'!S138+'415'!S138+'Al Foah_418'!S138+Rak_417!S138+D.C.!S138+'Wafi _419'!S138</f>
        <v>18611.38</v>
      </c>
      <c r="T138" s="68">
        <f>S138/S12</f>
        <v>1.456032079568874E-3</v>
      </c>
      <c r="U138" s="295">
        <f>'0401'!U138+'0402'!U138+'0403'!U138+'405'!U138+'0406'!U138+'0409'!U138+'410-sahara'!U138+'414-Al ghurair'!U138+'415'!U138+'Al Foah_418'!U138+Rak_417!U138+D.C.!U138+'Wafi _419'!U138</f>
        <v>18609.64</v>
      </c>
      <c r="V138" s="68">
        <f>U138/U12</f>
        <v>1.8354563661965701E-3</v>
      </c>
      <c r="W138" s="295">
        <f>'0401'!W138+'0402'!W138+'0403'!W138+'405'!W138+'0406'!W138+'0409'!W138+'410-sahara'!W138+'414-Al ghurair'!W138+'415'!W138+'Al Foah_418'!W138+Rak_417!W138+D.C.!W138+'Wafi _419'!W138</f>
        <v>18609.64</v>
      </c>
      <c r="X138" s="68">
        <f>W138/W12</f>
        <v>1.8039919870613279E-3</v>
      </c>
      <c r="Y138" s="295">
        <f>'0401'!Y138+'0402'!Y138+'0403'!Y138+'405'!Y138+'0406'!Y138+'0409'!Y138+'410-sahara'!Y138+'414-Al ghurair'!Y138+'415'!Y138+'Al Foah_418'!Y138+Rak_417!Y138+D.C.!Y138+'Wafi _419'!Y138</f>
        <v>18609.64</v>
      </c>
      <c r="Z138" s="68">
        <f>Y138/Y12</f>
        <v>1.1941719703006835E-3</v>
      </c>
      <c r="AA138" s="382">
        <f t="shared" si="64"/>
        <v>235947.73000000004</v>
      </c>
      <c r="AB138" s="147">
        <f>AA138/AA12</f>
        <v>1.6248975452436321E-3</v>
      </c>
      <c r="AC138" s="128">
        <f t="shared" si="65"/>
        <v>19662.310833333337</v>
      </c>
      <c r="AD138" s="131">
        <f>AC138/AC12</f>
        <v>1.6248975452436321E-3</v>
      </c>
      <c r="AE138" s="84">
        <f t="shared" si="60"/>
        <v>235947.73000000004</v>
      </c>
      <c r="AF138" s="33" t="e">
        <f>#REF!+'0401'!#REF!+'0402'!#REF!+'0403'!#REF!+#REF!+'405'!#REF!+'0406'!#REF!+D.C.!#REF!+#REF!+#REF!+'0409'!#REF!</f>
        <v>#REF!</v>
      </c>
      <c r="AG138" s="33" t="e">
        <f t="shared" si="247"/>
        <v>#REF!</v>
      </c>
      <c r="AH138" s="84">
        <f t="shared" si="62"/>
        <v>0</v>
      </c>
      <c r="AI138" s="33">
        <f>'0401'!AA138+'0402'!AA138+'0403'!AA138+'405'!AA138+'0406'!AA138+'0409'!AA138+'410-sahara'!AA138+'414-Al ghurair'!AA138+'415'!AA138+'Al Foah_418'!AA138+Rak_417!AA138+D.C.!AA138</f>
        <v>127040.19</v>
      </c>
      <c r="AJ138" s="84">
        <f t="shared" si="63"/>
        <v>108907.54000000004</v>
      </c>
    </row>
    <row r="139" spans="1:36" customFormat="1">
      <c r="A139" s="737">
        <v>6504</v>
      </c>
      <c r="B139" s="738" t="s">
        <v>138</v>
      </c>
      <c r="C139" s="295">
        <f>'0401'!C139+'0402'!C139+'0403'!C139+'405'!C139+'0406'!C139+'0409'!C139+'410-sahara'!C139+'414-Al ghurair'!C139+'415'!C139+'Al Foah_418'!C139+Rak_417!C139+D.C.!C139+'Wafi _419'!C139</f>
        <v>0</v>
      </c>
      <c r="D139" s="68">
        <f>C139/C12</f>
        <v>0</v>
      </c>
      <c r="E139" s="295">
        <f>'0401'!E139+'0402'!E139+'0403'!E139+'405'!E139+'0406'!E139+'0409'!E139+'410-sahara'!E139+'414-Al ghurair'!E139+'415'!E139+'Al Foah_418'!E139+Rak_417!E139+D.C.!E139+'Wafi _419'!E139</f>
        <v>0</v>
      </c>
      <c r="F139" s="68">
        <f>E139/E12</f>
        <v>0</v>
      </c>
      <c r="G139" s="295">
        <f>'0401'!G139+'0402'!G139+'0403'!G139+'405'!G139+'0406'!G139+'0409'!G139+'410-sahara'!G139+'414-Al ghurair'!G139+'415'!G139+'Al Foah_418'!G139+Rak_417!G139+D.C.!G139+'Wafi _419'!G139</f>
        <v>0</v>
      </c>
      <c r="H139" s="68">
        <f>G139/G12</f>
        <v>0</v>
      </c>
      <c r="I139" s="295">
        <f>'0401'!I139+'0402'!I139+'0403'!I139+'405'!I139+'0406'!I139+'0409'!I139+'410-sahara'!I139+'414-Al ghurair'!I139+'415'!I139+'Al Foah_418'!I139+Rak_417!I139+D.C.!I139+'Wafi _419'!I139</f>
        <v>0</v>
      </c>
      <c r="J139" s="68">
        <f>I139/I12</f>
        <v>0</v>
      </c>
      <c r="K139" s="295">
        <f>'0401'!K139+'0402'!K139+'0403'!K139+'405'!K139+'0406'!K139+'0409'!K139+'410-sahara'!K139+'414-Al ghurair'!K139+'415'!K139+'Al Foah_418'!K139+Rak_417!K139+D.C.!K139+'Wafi _419'!K139</f>
        <v>0</v>
      </c>
      <c r="L139" s="68">
        <f>K139/K12</f>
        <v>0</v>
      </c>
      <c r="M139" s="295">
        <f>'0401'!M139+'0402'!M139+'0403'!M139+'405'!M139+'0406'!M139+'0409'!M139+'410-sahara'!M139+'414-Al ghurair'!M139+'415'!M139+'Al Foah_418'!M139+Rak_417!M139+D.C.!M139+'Wafi _419'!M139</f>
        <v>0</v>
      </c>
      <c r="N139" s="68">
        <f>M139/M12</f>
        <v>0</v>
      </c>
      <c r="O139" s="295">
        <f>'0401'!O139+'0402'!O139+'0403'!O139+'405'!O139+'0406'!O139+'0409'!O139+'410-sahara'!O139+'414-Al ghurair'!O139+'415'!O139+'Al Foah_418'!O139+Rak_417!O139+D.C.!O139+'Wafi _419'!O139</f>
        <v>0</v>
      </c>
      <c r="P139" s="68">
        <f>O139/O12</f>
        <v>0</v>
      </c>
      <c r="Q139" s="295">
        <f>'0401'!Q139+'0402'!Q139+'0403'!Q139+'405'!Q139+'0406'!Q139+'0409'!Q139+'410-sahara'!Q139+'414-Al ghurair'!Q139+'415'!Q139+'Al Foah_418'!Q139+Rak_417!Q139+D.C.!Q139+'Wafi _419'!Q139</f>
        <v>0</v>
      </c>
      <c r="R139" s="68">
        <f>Q139/Q12</f>
        <v>0</v>
      </c>
      <c r="S139" s="295">
        <f>'0401'!S139+'0402'!S139+'0403'!S139+'405'!S139+'0406'!S139+'0409'!S139+'410-sahara'!S139+'414-Al ghurair'!S139+'415'!S139+'Al Foah_418'!S139+Rak_417!S139+D.C.!S139+'Wafi _419'!S139</f>
        <v>0</v>
      </c>
      <c r="T139" s="68">
        <f>S139/S12</f>
        <v>0</v>
      </c>
      <c r="U139" s="295">
        <f>'0401'!U139+'0402'!U139+'0403'!U139+'405'!U139+'0406'!U139+'0409'!U139+'410-sahara'!U139+'414-Al ghurair'!U139+'415'!U139+'Al Foah_418'!U139+Rak_417!U139+D.C.!U139+'Wafi _419'!U139</f>
        <v>0</v>
      </c>
      <c r="V139" s="68">
        <f>U139/U12</f>
        <v>0</v>
      </c>
      <c r="W139" s="295">
        <f>'0401'!W139+'0402'!W139+'0403'!W139+'405'!W139+'0406'!W139+'0409'!W139+'410-sahara'!W139+'414-Al ghurair'!W139+'415'!W139+'Al Foah_418'!W139+Rak_417!W139+D.C.!W139+'Wafi _419'!W139</f>
        <v>0</v>
      </c>
      <c r="X139" s="68">
        <f>W139/W12</f>
        <v>0</v>
      </c>
      <c r="Y139" s="295">
        <f>'0401'!Y139+'0402'!Y139+'0403'!Y139+'405'!Y139+'0406'!Y139+'0409'!Y139+'410-sahara'!Y139+'414-Al ghurair'!Y139+'415'!Y139+'Al Foah_418'!Y139+Rak_417!Y139+D.C.!Y139+'Wafi _419'!Y139</f>
        <v>0</v>
      </c>
      <c r="Z139" s="68">
        <f>Y139/Y12</f>
        <v>0</v>
      </c>
      <c r="AA139" s="382">
        <f t="shared" si="64"/>
        <v>0</v>
      </c>
      <c r="AB139" s="147">
        <f>AA139/AA12</f>
        <v>0</v>
      </c>
      <c r="AC139" s="128">
        <f t="shared" si="65"/>
        <v>0</v>
      </c>
      <c r="AD139" s="131">
        <f>AC139/AC12</f>
        <v>0</v>
      </c>
      <c r="AE139" s="84">
        <f t="shared" si="60"/>
        <v>0</v>
      </c>
      <c r="AF139" s="33" t="e">
        <f>#REF!+'0401'!#REF!+'0402'!#REF!+'0403'!#REF!+#REF!+'405'!#REF!+'0406'!#REF!+D.C.!#REF!+#REF!+#REF!+'0409'!#REF!</f>
        <v>#REF!</v>
      </c>
      <c r="AG139" s="33" t="e">
        <f t="shared" si="247"/>
        <v>#REF!</v>
      </c>
      <c r="AH139" s="84">
        <f t="shared" si="62"/>
        <v>0</v>
      </c>
      <c r="AI139" s="33">
        <f>'0401'!AA139+'0402'!AA139+'0403'!AA139+'405'!AA139+'0406'!AA139+'0409'!AA139+'410-sahara'!AA139+'414-Al ghurair'!AA139+'415'!AA139+'Al Foah_418'!AA139+Rak_417!AA139+D.C.!AA139</f>
        <v>0</v>
      </c>
      <c r="AJ139" s="84">
        <f t="shared" si="63"/>
        <v>0</v>
      </c>
    </row>
    <row r="140" spans="1:36" customFormat="1">
      <c r="A140" s="737">
        <v>6505</v>
      </c>
      <c r="B140" s="737" t="s">
        <v>139</v>
      </c>
      <c r="C140" s="295">
        <f>'0401'!C140+'0402'!C140+'0403'!C140+'405'!C140+'0406'!C140+'0409'!C140+'410-sahara'!C140+'414-Al ghurair'!C140+'415'!C140+'Al Foah_418'!C140+Rak_417!C140+D.C.!C140+'Wafi _419'!C140</f>
        <v>0</v>
      </c>
      <c r="D140" s="68">
        <f>C140/C12</f>
        <v>0</v>
      </c>
      <c r="E140" s="295">
        <f>'0401'!E140+'0402'!E140+'0403'!E140+'405'!E140+'0406'!E140+'0409'!E140+'410-sahara'!E140+'414-Al ghurair'!E140+'415'!E140+'Al Foah_418'!E140+Rak_417!E140+D.C.!E140+'Wafi _419'!E140</f>
        <v>0</v>
      </c>
      <c r="F140" s="68">
        <f>E140/E12</f>
        <v>0</v>
      </c>
      <c r="G140" s="295">
        <f>'0401'!G140+'0402'!G140+'0403'!G140+'405'!G140+'0406'!G140+'0409'!G140+'410-sahara'!G140+'414-Al ghurair'!G140+'415'!G140+'Al Foah_418'!G140+Rak_417!G140+D.C.!G140+'Wafi _419'!G140</f>
        <v>0</v>
      </c>
      <c r="H140" s="68">
        <f>G140/G12</f>
        <v>0</v>
      </c>
      <c r="I140" s="295">
        <f>'0401'!I140+'0402'!I140+'0403'!I140+'405'!I140+'0406'!I140+'0409'!I140+'410-sahara'!I140+'414-Al ghurair'!I140+'415'!I140+'Al Foah_418'!I140+Rak_417!I140+D.C.!I140+'Wafi _419'!I140</f>
        <v>0</v>
      </c>
      <c r="J140" s="68">
        <f>I140/I12</f>
        <v>0</v>
      </c>
      <c r="K140" s="295">
        <f>'0401'!K140+'0402'!K140+'0403'!K140+'405'!K140+'0406'!K140+'0409'!K140+'410-sahara'!K140+'414-Al ghurair'!K140+'415'!K140+'Al Foah_418'!K140+Rak_417!K140+D.C.!K140+'Wafi _419'!K140</f>
        <v>0</v>
      </c>
      <c r="L140" s="68">
        <f>K140/K12</f>
        <v>0</v>
      </c>
      <c r="M140" s="295">
        <f>'0401'!M140+'0402'!M140+'0403'!M140+'405'!M140+'0406'!M140+'0409'!M140+'410-sahara'!M140+'414-Al ghurair'!M140+'415'!M140+'Al Foah_418'!M140+Rak_417!M140+D.C.!M140+'Wafi _419'!M140</f>
        <v>0</v>
      </c>
      <c r="N140" s="68">
        <f>M140/M12</f>
        <v>0</v>
      </c>
      <c r="O140" s="295">
        <f>'0401'!O140+'0402'!O140+'0403'!O140+'405'!O140+'0406'!O140+'0409'!O140+'410-sahara'!O140+'414-Al ghurair'!O140+'415'!O140+'Al Foah_418'!O140+Rak_417!O140+D.C.!O140+'Wafi _419'!O140</f>
        <v>0</v>
      </c>
      <c r="P140" s="68">
        <f>O140/O12</f>
        <v>0</v>
      </c>
      <c r="Q140" s="295">
        <f>'0401'!Q140+'0402'!Q140+'0403'!Q140+'405'!Q140+'0406'!Q140+'0409'!Q140+'410-sahara'!Q140+'414-Al ghurair'!Q140+'415'!Q140+'Al Foah_418'!Q140+Rak_417!Q140+D.C.!Q140+'Wafi _419'!Q140</f>
        <v>0</v>
      </c>
      <c r="R140" s="68">
        <f>Q140/Q12</f>
        <v>0</v>
      </c>
      <c r="S140" s="295">
        <f>'0401'!S140+'0402'!S140+'0403'!S140+'405'!S140+'0406'!S140+'0409'!S140+'410-sahara'!S140+'414-Al ghurair'!S140+'415'!S140+'Al Foah_418'!S140+Rak_417!S140+D.C.!S140+'Wafi _419'!S140</f>
        <v>0</v>
      </c>
      <c r="T140" s="68">
        <f>S140/S12</f>
        <v>0</v>
      </c>
      <c r="U140" s="295">
        <f>'0401'!U140+'0402'!U140+'0403'!U140+'405'!U140+'0406'!U140+'0409'!U140+'410-sahara'!U140+'414-Al ghurair'!U140+'415'!U140+'Al Foah_418'!U140+Rak_417!U140+D.C.!U140+'Wafi _419'!U140</f>
        <v>0</v>
      </c>
      <c r="V140" s="68">
        <f>U140/U12</f>
        <v>0</v>
      </c>
      <c r="W140" s="295">
        <f>'0401'!W140+'0402'!W140+'0403'!W140+'405'!W140+'0406'!W140+'0409'!W140+'410-sahara'!W140+'414-Al ghurair'!W140+'415'!W140+'Al Foah_418'!W140+Rak_417!W140+D.C.!W140+'Wafi _419'!W140</f>
        <v>0</v>
      </c>
      <c r="X140" s="68">
        <f>W140/W12</f>
        <v>0</v>
      </c>
      <c r="Y140" s="295">
        <f>'0401'!Y140+'0402'!Y140+'0403'!Y140+'405'!Y140+'0406'!Y140+'0409'!Y140+'410-sahara'!Y140+'414-Al ghurair'!Y140+'415'!Y140+'Al Foah_418'!Y140+Rak_417!Y140+D.C.!Y140+'Wafi _419'!Y140</f>
        <v>0</v>
      </c>
      <c r="Z140" s="68">
        <f>Y140/Y12</f>
        <v>0</v>
      </c>
      <c r="AA140" s="382">
        <f t="shared" si="64"/>
        <v>0</v>
      </c>
      <c r="AB140" s="147">
        <f>AA140/AA12</f>
        <v>0</v>
      </c>
      <c r="AC140" s="128">
        <f t="shared" si="65"/>
        <v>0</v>
      </c>
      <c r="AD140" s="131">
        <f>AC140/AC12</f>
        <v>0</v>
      </c>
      <c r="AE140" s="84">
        <f t="shared" si="60"/>
        <v>0</v>
      </c>
      <c r="AF140" s="33" t="e">
        <f>#REF!+'0401'!#REF!+'0402'!#REF!+'0403'!#REF!+#REF!+'405'!#REF!+'0406'!#REF!+D.C.!#REF!+#REF!+#REF!+'0409'!#REF!</f>
        <v>#REF!</v>
      </c>
      <c r="AG140" s="33" t="e">
        <f t="shared" si="247"/>
        <v>#REF!</v>
      </c>
      <c r="AH140" s="84">
        <f t="shared" si="62"/>
        <v>0</v>
      </c>
      <c r="AI140" s="33">
        <f>'0401'!AA140+'0402'!AA140+'0403'!AA140+'405'!AA140+'0406'!AA140+'0409'!AA140+'410-sahara'!AA140+'414-Al ghurair'!AA140+'415'!AA140+'Al Foah_418'!AA140+Rak_417!AA140+D.C.!AA140</f>
        <v>0</v>
      </c>
      <c r="AJ140" s="84">
        <f t="shared" si="63"/>
        <v>0</v>
      </c>
    </row>
    <row r="141" spans="1:36" s="1" customFormat="1">
      <c r="A141" s="737">
        <v>6506</v>
      </c>
      <c r="B141" s="737" t="s">
        <v>229</v>
      </c>
      <c r="C141" s="295">
        <f>'0401'!C141+'0402'!C141+'0403'!C141+'405'!C141+'0406'!C141+'0409'!C141+'410-sahara'!C141+'414-Al ghurair'!C141+'415'!C141+'Al Foah_418'!C141+Rak_417!C141+D.C.!C141+'Wafi _419'!C141</f>
        <v>0</v>
      </c>
      <c r="D141" s="68">
        <f>C141/C12</f>
        <v>0</v>
      </c>
      <c r="E141" s="295">
        <f>'0401'!E141+'0402'!E141+'0403'!E141+'405'!E141+'0406'!E141+'0409'!E141+'410-sahara'!E141+'414-Al ghurair'!E141+'415'!E141+'Al Foah_418'!E141+Rak_417!E141+D.C.!E141+'Wafi _419'!E141</f>
        <v>0</v>
      </c>
      <c r="F141" s="68">
        <f>E141/E12</f>
        <v>0</v>
      </c>
      <c r="G141" s="295">
        <f>'0401'!G141+'0402'!G141+'0403'!G141+'405'!G141+'0406'!G141+'0409'!G141+'410-sahara'!G141+'414-Al ghurair'!G141+'415'!G141+'Al Foah_418'!G141+Rak_417!G141+D.C.!G141+'Wafi _419'!G141</f>
        <v>0</v>
      </c>
      <c r="H141" s="68">
        <f>G141/G12</f>
        <v>0</v>
      </c>
      <c r="I141" s="295">
        <f>'0401'!I141+'0402'!I141+'0403'!I141+'405'!I141+'0406'!I141+'0409'!I141+'410-sahara'!I141+'414-Al ghurair'!I141+'415'!I141+'Al Foah_418'!I141+Rak_417!I141+D.C.!I141+'Wafi _419'!I141</f>
        <v>0</v>
      </c>
      <c r="J141" s="68">
        <f>I141/I12</f>
        <v>0</v>
      </c>
      <c r="K141" s="295">
        <f>'0401'!K141+'0402'!K141+'0403'!K141+'405'!K141+'0406'!K141+'0409'!K141+'410-sahara'!K141+'414-Al ghurair'!K141+'415'!K141+'Al Foah_418'!K141+Rak_417!K141+D.C.!K141+'Wafi _419'!K141</f>
        <v>0</v>
      </c>
      <c r="L141" s="68">
        <f>K141/K12</f>
        <v>0</v>
      </c>
      <c r="M141" s="295">
        <f>'0401'!M141+'0402'!M141+'0403'!M141+'405'!M141+'0406'!M141+'0409'!M141+'410-sahara'!M141+'414-Al ghurair'!M141+'415'!M141+'Al Foah_418'!M141+Rak_417!M141+D.C.!M141+'Wafi _419'!M141</f>
        <v>0</v>
      </c>
      <c r="N141" s="68">
        <f>M141/M12</f>
        <v>0</v>
      </c>
      <c r="O141" s="295">
        <f>'0401'!O141+'0402'!O141+'0403'!O141+'405'!O141+'0406'!O141+'0409'!O141+'410-sahara'!O141+'414-Al ghurair'!O141+'415'!O141+'Al Foah_418'!O141+Rak_417!O141+D.C.!O141+'Wafi _419'!O141</f>
        <v>0</v>
      </c>
      <c r="P141" s="68">
        <f>O141/O12</f>
        <v>0</v>
      </c>
      <c r="Q141" s="295">
        <f>'0401'!Q141+'0402'!Q141+'0403'!Q141+'405'!Q141+'0406'!Q141+'0409'!Q141+'410-sahara'!Q141+'414-Al ghurair'!Q141+'415'!Q141+'Al Foah_418'!Q141+Rak_417!Q141+D.C.!Q141+'Wafi _419'!Q141</f>
        <v>0</v>
      </c>
      <c r="R141" s="68">
        <f>Q141/Q12</f>
        <v>0</v>
      </c>
      <c r="S141" s="295">
        <f>'0401'!S141+'0402'!S141+'0403'!S141+'405'!S141+'0406'!S141+'0409'!S141+'410-sahara'!S141+'414-Al ghurair'!S141+'415'!S141+'Al Foah_418'!S141+Rak_417!S141+D.C.!S141+'Wafi _419'!S141</f>
        <v>0</v>
      </c>
      <c r="T141" s="68">
        <f>S141/S12</f>
        <v>0</v>
      </c>
      <c r="U141" s="295">
        <f>'0401'!U141+'0402'!U141+'0403'!U141+'405'!U141+'0406'!U141+'0409'!U141+'410-sahara'!U141+'414-Al ghurair'!U141+'415'!U141+'Al Foah_418'!U141+Rak_417!U141+D.C.!U141+'Wafi _419'!U141</f>
        <v>0</v>
      </c>
      <c r="V141" s="68">
        <f>U141/U12</f>
        <v>0</v>
      </c>
      <c r="W141" s="295">
        <f>'0401'!W141+'0402'!W141+'0403'!W141+'405'!W141+'0406'!W141+'0409'!W141+'410-sahara'!W141+'414-Al ghurair'!W141+'415'!W141+'Al Foah_418'!W141+Rak_417!W141+D.C.!W141+'Wafi _419'!W141</f>
        <v>0</v>
      </c>
      <c r="X141" s="68">
        <f>W141/W12</f>
        <v>0</v>
      </c>
      <c r="Y141" s="295">
        <f>'0401'!Y141+'0402'!Y141+'0403'!Y141+'405'!Y141+'0406'!Y141+'0409'!Y141+'410-sahara'!Y141+'414-Al ghurair'!Y141+'415'!Y141+'Al Foah_418'!Y141+Rak_417!Y141+D.C.!Y141+'Wafi _419'!Y141</f>
        <v>0</v>
      </c>
      <c r="Z141" s="68">
        <f>Y141/Y12</f>
        <v>0</v>
      </c>
      <c r="AA141" s="382">
        <f t="shared" si="64"/>
        <v>0</v>
      </c>
      <c r="AB141" s="147">
        <f>AA141/AA12</f>
        <v>0</v>
      </c>
      <c r="AC141" s="383">
        <f t="shared" si="65"/>
        <v>0</v>
      </c>
      <c r="AD141" s="131">
        <f>AC141/AC12</f>
        <v>0</v>
      </c>
      <c r="AE141" s="84">
        <f t="shared" si="60"/>
        <v>0</v>
      </c>
      <c r="AF141" s="33"/>
      <c r="AG141" s="33"/>
      <c r="AH141" s="84">
        <f t="shared" si="62"/>
        <v>0</v>
      </c>
      <c r="AI141" s="33">
        <f>'0401'!AA141+'0402'!AA141+'0403'!AA141+'405'!AA141+'0406'!AA141+'0409'!AA141+'410-sahara'!AA141+'414-Al ghurair'!AA141+'415'!AA141+'Al Foah_418'!AA141+Rak_417!AA141+D.C.!AA141</f>
        <v>0</v>
      </c>
      <c r="AJ141" s="84">
        <f t="shared" si="63"/>
        <v>0</v>
      </c>
    </row>
    <row r="142" spans="1:36" customFormat="1">
      <c r="A142" s="737">
        <v>6701</v>
      </c>
      <c r="B142" s="737" t="s">
        <v>145</v>
      </c>
      <c r="C142" s="295">
        <f>'0401'!C142+'0402'!C142+'0403'!C142+'405'!C142+'0406'!C142+'0409'!C142+'410-sahara'!C142+'414-Al ghurair'!C142+'415'!C142+'Al Foah_418'!C142+Rak_417!C142+D.C.!C142+'Wafi _419'!C142</f>
        <v>645209.57176920748</v>
      </c>
      <c r="D142" s="68">
        <f>C142/C12</f>
        <v>5.9078115134458098E-2</v>
      </c>
      <c r="E142" s="295">
        <f>'0401'!E142+'0402'!E142+'0403'!E142+'405'!E142+'0406'!E142+'0409'!E142+'410-sahara'!E142+'414-Al ghurair'!E142+'415'!E142+'Al Foah_418'!E142+Rak_417!E142+D.C.!E142+'Wafi _419'!E142</f>
        <v>645209.57176920748</v>
      </c>
      <c r="F142" s="68">
        <f>E142/E12</f>
        <v>7.5935730086048564E-2</v>
      </c>
      <c r="G142" s="295">
        <f>'0401'!G142+'0402'!G142+'0403'!G142+'405'!G142+'0406'!G142+'0409'!G142+'410-sahara'!G142+'414-Al ghurair'!G142+'415'!G142+'Al Foah_418'!G142+Rak_417!G142+D.C.!G142+'Wafi _419'!G142</f>
        <v>645209.57176920748</v>
      </c>
      <c r="H142" s="68">
        <f>G142/G12</f>
        <v>4.5778127099268304E-2</v>
      </c>
      <c r="I142" s="295">
        <f>'0401'!I142+'0402'!I142+'0403'!I142+'405'!I142+'0406'!I142+'0409'!I142+'410-sahara'!I142+'414-Al ghurair'!I142+'415'!I142+'Al Foah_418'!I142+Rak_417!I142+D.C.!I142+'Wafi _419'!I142</f>
        <v>645209.57176920748</v>
      </c>
      <c r="J142" s="68">
        <f>I142/I12</f>
        <v>5.184419500816867E-2</v>
      </c>
      <c r="K142" s="295">
        <f>'0401'!K142+'0402'!K142+'0403'!K142+'405'!K142+'0406'!K142+'0409'!K142+'410-sahara'!K142+'414-Al ghurair'!K142+'415'!K142+'Al Foah_418'!K142+Rak_417!K142+D.C.!K142+'Wafi _419'!K142</f>
        <v>645209.57176920748</v>
      </c>
      <c r="L142" s="68">
        <f>K142/K12</f>
        <v>5.6684987699328247E-2</v>
      </c>
      <c r="M142" s="295">
        <f>'0401'!M142+'0402'!M142+'0403'!M142+'405'!M142+'0406'!M142+'0409'!M142+'410-sahara'!M142+'414-Al ghurair'!M142+'415'!M142+'Al Foah_418'!M142+Rak_417!M142+D.C.!M142+'Wafi _419'!M142</f>
        <v>645209.57176920748</v>
      </c>
      <c r="N142" s="68">
        <f>M142/M12</f>
        <v>3.9975698243130291E-2</v>
      </c>
      <c r="O142" s="295">
        <f>'0401'!O142+'0402'!O142+'0403'!O142+'405'!O142+'0406'!O142+'0409'!O142+'410-sahara'!O142+'414-Al ghurair'!O142+'415'!O142+'Al Foah_418'!O142+Rak_417!O142+D.C.!O142+'Wafi _419'!O142</f>
        <v>645209.57176920748</v>
      </c>
      <c r="P142" s="68">
        <f>O142/O12</f>
        <v>6.3141735189215523E-2</v>
      </c>
      <c r="Q142" s="295">
        <f>'0401'!Q142+'0402'!Q142+'0403'!Q142+'405'!Q142+'0406'!Q142+'0409'!Q142+'410-sahara'!Q142+'414-Al ghurair'!Q142+'415'!Q142+'Al Foah_418'!Q142+Rak_417!Q142+D.C.!Q142+'Wafi _419'!Q142</f>
        <v>645209.57176920748</v>
      </c>
      <c r="R142" s="68">
        <f>Q142/Q12</f>
        <v>5.0849442129795086E-2</v>
      </c>
      <c r="S142" s="295">
        <f>'0401'!S142+'0402'!S142+'0403'!S142+'405'!S142+'0406'!S142+'0409'!S142+'410-sahara'!S142+'414-Al ghurair'!S142+'415'!S142+'Al Foah_418'!S142+Rak_417!S142+D.C.!S142+'Wafi _419'!S142</f>
        <v>645209.57176920748</v>
      </c>
      <c r="T142" s="68">
        <f>S142/S12</f>
        <v>5.0476957353020664E-2</v>
      </c>
      <c r="U142" s="295">
        <f>'0401'!U142+'0402'!U142+'0403'!U142+'405'!U142+'0406'!U142+'0409'!U142+'410-sahara'!U142+'414-Al ghurair'!U142+'415'!U142+'Al Foah_418'!U142+Rak_417!U142+D.C.!U142+'Wafi _419'!U142</f>
        <v>645209.57176920748</v>
      </c>
      <c r="V142" s="68">
        <f>U142/U12</f>
        <v>6.3636589210471287E-2</v>
      </c>
      <c r="W142" s="295">
        <f>'0401'!W142+'0402'!W142+'0403'!W142+'405'!W142+'0406'!W142+'0409'!W142+'410-sahara'!W142+'414-Al ghurair'!W142+'415'!W142+'Al Foah_418'!W142+Rak_417!W142+D.C.!W142+'Wafi _419'!W142</f>
        <v>645209.57176920748</v>
      </c>
      <c r="X142" s="68">
        <f>W142/W12</f>
        <v>6.2545696609226237E-2</v>
      </c>
      <c r="Y142" s="295">
        <f>'0401'!Y142+'0402'!Y142+'0403'!Y142+'405'!Y142+'0406'!Y142+'0409'!Y142+'410-sahara'!Y142+'414-Al ghurair'!Y142+'415'!Y142+'Al Foah_418'!Y142+Rak_417!Y142+D.C.!Y142+'Wafi _419'!Y142</f>
        <v>645209.57176920748</v>
      </c>
      <c r="Z142" s="68">
        <f>Y142/Y12</f>
        <v>4.1402799064167536E-2</v>
      </c>
      <c r="AA142" s="382">
        <f t="shared" si="64"/>
        <v>7742514.8612304917</v>
      </c>
      <c r="AB142" s="147">
        <f>AA142/AA12</f>
        <v>5.3320256109375429E-2</v>
      </c>
      <c r="AC142" s="383">
        <f t="shared" si="65"/>
        <v>645209.5717692076</v>
      </c>
      <c r="AD142" s="131">
        <f>AC142/AC12</f>
        <v>5.3320256109375429E-2</v>
      </c>
      <c r="AE142" s="84">
        <f t="shared" si="60"/>
        <v>7742514.8612304917</v>
      </c>
      <c r="AF142" s="33" t="e">
        <f>#REF!+'0401'!#REF!+'0402'!#REF!+'0403'!#REF!+#REF!+'405'!#REF!+'0406'!#REF!+D.C.!#REF!+#REF!+#REF!+'0409'!#REF!</f>
        <v>#REF!</v>
      </c>
      <c r="AG142" s="33" t="e">
        <f t="shared" si="247"/>
        <v>#REF!</v>
      </c>
      <c r="AH142" s="84">
        <f t="shared" si="62"/>
        <v>0</v>
      </c>
      <c r="AI142" s="33">
        <f>'0401'!AA142+'0402'!AA142+'0403'!AA142+'405'!AA142+'0406'!AA142+'0409'!AA142+'410-sahara'!AA142+'414-Al ghurair'!AA142+'415'!AA142+'Al Foah_418'!AA142+Rak_417!AA142+D.C.!AA142</f>
        <v>7217022.8612304889</v>
      </c>
      <c r="AJ142" s="84">
        <f t="shared" si="63"/>
        <v>525492.00000000279</v>
      </c>
    </row>
    <row r="143" spans="1:36" customFormat="1">
      <c r="A143" s="2"/>
      <c r="B143" s="2"/>
      <c r="C143" s="295">
        <f>'0401'!C143+'0402'!C143+'0403'!C143+'405'!C143+'0406'!C143+'0409'!C143+'410-sahara'!C143+'414-Al ghurair'!C143+'415'!C143+'Al Foah_418'!C143+Rak_417!C143+D.C.!C143+'Wafi _419'!C143</f>
        <v>0</v>
      </c>
      <c r="D143" s="68">
        <f>C143/C12</f>
        <v>0</v>
      </c>
      <c r="E143" s="295">
        <f>'0401'!E143+'0402'!E143+'0403'!E143+'405'!E143+'0406'!E143+'0409'!E143+'410-sahara'!E143+'414-Al ghurair'!E143+'415'!E143+'Al Foah_418'!E143+Rak_417!E143+D.C.!E143+'Wafi _419'!E143</f>
        <v>0</v>
      </c>
      <c r="F143" s="68">
        <f>E143/E12</f>
        <v>0</v>
      </c>
      <c r="G143" s="295">
        <f>'0401'!G143+'0402'!G143+'0403'!G143+'405'!G143+'0406'!G143+'0409'!G143+'410-sahara'!G143+'414-Al ghurair'!G143+'415'!G143+'Al Foah_418'!G143+Rak_417!G143+D.C.!G143+'Wafi _419'!G143</f>
        <v>0</v>
      </c>
      <c r="H143" s="68">
        <f>G143/G12</f>
        <v>0</v>
      </c>
      <c r="I143" s="295">
        <f>'0401'!I143+'0402'!I143+'0403'!I143+'405'!I143+'0406'!I143+'0409'!I143+'410-sahara'!I143+'414-Al ghurair'!I143+'415'!I143+'Al Foah_418'!I143+Rak_417!I143+D.C.!I143+'Wafi _419'!I143</f>
        <v>0</v>
      </c>
      <c r="J143" s="68">
        <f>I143/I12</f>
        <v>0</v>
      </c>
      <c r="K143" s="295">
        <f>'0401'!K143+'0402'!K143+'0403'!K143+'405'!K143+'0406'!K143+'0409'!K143+'410-sahara'!K143+'414-Al ghurair'!K143+'415'!K143+'Al Foah_418'!K143+Rak_417!K143+D.C.!K143+'Wafi _419'!K143</f>
        <v>0</v>
      </c>
      <c r="L143" s="68">
        <f>K143/K12</f>
        <v>0</v>
      </c>
      <c r="M143" s="295">
        <f>'0401'!M143+'0402'!M143+'0403'!M143+'405'!M143+'0406'!M143+'0409'!M143+'410-sahara'!M143+'414-Al ghurair'!M143+'415'!M143+'Al Foah_418'!M143+Rak_417!M143+D.C.!M143+'Wafi _419'!M143</f>
        <v>0</v>
      </c>
      <c r="N143" s="68">
        <f>M143/M12</f>
        <v>0</v>
      </c>
      <c r="O143" s="295">
        <f>'0401'!O143+'0402'!O143+'0403'!O143+'405'!O143+'0406'!O143+'0409'!O143+'410-sahara'!O143+'414-Al ghurair'!O143+'415'!O143+'Al Foah_418'!O143+Rak_417!O143+D.C.!O143+'Wafi _419'!O143</f>
        <v>0</v>
      </c>
      <c r="P143" s="68">
        <f>O143/O12</f>
        <v>0</v>
      </c>
      <c r="Q143" s="295">
        <f>'0401'!Q143+'0402'!Q143+'0403'!Q143+'405'!Q143+'0406'!Q143+'0409'!Q143+'410-sahara'!Q143+'414-Al ghurair'!Q143+'415'!Q143+'Al Foah_418'!Q143+Rak_417!Q143+D.C.!Q143+'Wafi _419'!Q143</f>
        <v>0</v>
      </c>
      <c r="R143" s="68">
        <f>Q143/Q12</f>
        <v>0</v>
      </c>
      <c r="S143" s="295">
        <f>'0401'!S143+'0402'!S143+'0403'!S143+'405'!S143+'0406'!S143+'0409'!S143+'410-sahara'!S143+'414-Al ghurair'!S143+'415'!S143+'Al Foah_418'!S143+Rak_417!S143+D.C.!S143+'Wafi _419'!S143</f>
        <v>0</v>
      </c>
      <c r="T143" s="68">
        <f>S143/S12</f>
        <v>0</v>
      </c>
      <c r="U143" s="295">
        <f>'0401'!U143+'0402'!U143+'0403'!U143+'405'!U143+'0406'!U143+'0409'!U143+'410-sahara'!U143+'414-Al ghurair'!U143+'415'!U143+'Al Foah_418'!U143+Rak_417!U143+D.C.!U143+'Wafi _419'!U143</f>
        <v>0</v>
      </c>
      <c r="V143" s="68">
        <f>U143/U12</f>
        <v>0</v>
      </c>
      <c r="W143" s="295">
        <f>'0401'!W143+'0402'!W143+'0403'!W143+'405'!W143+'0406'!W143+'0409'!W143+'410-sahara'!W143+'414-Al ghurair'!W143+'415'!W143+'Al Foah_418'!W143+Rak_417!W143+D.C.!W143+'Wafi _419'!W143</f>
        <v>0</v>
      </c>
      <c r="X143" s="68">
        <f>W143/W12</f>
        <v>0</v>
      </c>
      <c r="Y143" s="295">
        <f>'0401'!Y143+'0402'!Y143+'0403'!Y143+'405'!Y143+'0406'!Y143+'0409'!Y143+'410-sahara'!Y143+'414-Al ghurair'!Y143+'415'!Y143+'Al Foah_418'!Y143+Rak_417!Y143+D.C.!Y143+'Wafi _419'!Y143</f>
        <v>0</v>
      </c>
      <c r="Z143" s="68">
        <f>Y143/Y12</f>
        <v>0</v>
      </c>
      <c r="AA143" s="382">
        <f t="shared" si="64"/>
        <v>0</v>
      </c>
      <c r="AB143" s="147">
        <f>AA143/AA12</f>
        <v>0</v>
      </c>
      <c r="AC143" s="128">
        <f t="shared" si="65"/>
        <v>0</v>
      </c>
      <c r="AD143" s="131">
        <f>AC143/AC12</f>
        <v>0</v>
      </c>
      <c r="AE143" s="84">
        <f t="shared" si="60"/>
        <v>0</v>
      </c>
      <c r="AF143" s="33" t="e">
        <f>#REF!+'0401'!#REF!+'0402'!#REF!+'0403'!#REF!+#REF!+'405'!#REF!+'0406'!#REF!+D.C.!#REF!+#REF!+#REF!+'0409'!#REF!</f>
        <v>#REF!</v>
      </c>
      <c r="AG143" s="33" t="e">
        <f t="shared" si="247"/>
        <v>#REF!</v>
      </c>
      <c r="AH143" s="84">
        <f t="shared" si="62"/>
        <v>0</v>
      </c>
      <c r="AI143" s="33">
        <f>'0401'!AA143+'0402'!AA143+'0403'!AA143+'405'!AA143+'0406'!AA143+'0409'!AA143+'410-sahara'!AA143+'414-Al ghurair'!AA143+'415'!AA143+'Al Foah_418'!AA143+Rak_417!AA143+D.C.!AA143</f>
        <v>0</v>
      </c>
      <c r="AJ143" s="84">
        <f t="shared" si="63"/>
        <v>0</v>
      </c>
    </row>
    <row r="144" spans="1:36" customFormat="1">
      <c r="A144" s="341">
        <v>6798</v>
      </c>
      <c r="B144" s="341" t="s">
        <v>141</v>
      </c>
      <c r="C144" s="342">
        <f>'0401'!C144+'0402'!C144+'0403'!C144+'405'!C144+'0406'!C144+'0409'!C144+'410-sahara'!C144+'414-Al ghurair'!C144+'415'!C144+'Al Foah_418'!C144+Rak_417!C144+D.C.!C144+'Wafi _419'!C144</f>
        <v>1109377.0917692075</v>
      </c>
      <c r="D144" s="94">
        <f>C144/C12</f>
        <v>0.10157925490063135</v>
      </c>
      <c r="E144" s="342">
        <f>'0401'!E144+'0402'!E144+'0403'!E144+'405'!E144+'0406'!E144+'0409'!E144+'410-sahara'!E144+'414-Al ghurair'!E144+'415'!E144+'Al Foah_418'!E144+Rak_417!E144+D.C.!E144+'Wafi _419'!E144</f>
        <v>1109377.0917692075</v>
      </c>
      <c r="F144" s="94">
        <f>E144/E12</f>
        <v>0.13056433613226887</v>
      </c>
      <c r="G144" s="342">
        <f>'0401'!G144+'0402'!G144+'0403'!G144+'405'!G144+'0406'!G144+'0409'!G144+'410-sahara'!G144+'414-Al ghurair'!G144+'415'!G144+'Al Foah_418'!G144+Rak_417!G144+D.C.!G144+'Wafi _419'!G144</f>
        <v>1099260.4917692074</v>
      </c>
      <c r="H144" s="94">
        <f>G144/G12</f>
        <v>7.7993397353713245E-2</v>
      </c>
      <c r="I144" s="342">
        <f>'0401'!I144+'0402'!I144+'0403'!I144+'405'!I144+'0406'!I144+'0409'!I144+'410-sahara'!I144+'414-Al ghurair'!I144+'415'!I144+'Al Foah_418'!I144+Rak_417!I144+D.C.!I144+'Wafi _419'!I144</f>
        <v>1031293.0817692075</v>
      </c>
      <c r="J144" s="94">
        <f>I144/I12</f>
        <v>8.2866965992474631E-2</v>
      </c>
      <c r="K144" s="342">
        <f>'0401'!K144+'0402'!K144+'0403'!K144+'405'!K144+'0406'!K144+'0409'!K144+'410-sahara'!K144+'414-Al ghurair'!K144+'415'!K144+'Al Foah_418'!K144+Rak_417!K144+D.C.!K144+'Wafi _419'!K144</f>
        <v>1029947.6417692075</v>
      </c>
      <c r="L144" s="94">
        <f>K144/K12</f>
        <v>9.0486210929188154E-2</v>
      </c>
      <c r="M144" s="342">
        <f>'0401'!M144+'0402'!M144+'0403'!M144+'405'!M144+'0406'!M144+'0409'!M144+'410-sahara'!M144+'414-Al ghurair'!M144+'415'!M144+'Al Foah_418'!M144+Rak_417!M144+D.C.!M144+'Wafi _419'!M144</f>
        <v>1029642.2017692074</v>
      </c>
      <c r="N144" s="94">
        <f>M144/M12</f>
        <v>6.3794258109737628E-2</v>
      </c>
      <c r="O144" s="342">
        <f>'0401'!O144+'0402'!O144+'0403'!O144+'405'!O144+'0406'!O144+'0409'!O144+'410-sahara'!O144+'414-Al ghurair'!O144+'415'!O144+'Al Foah_418'!O144+Rak_417!O144+D.C.!O144+'Wafi _419'!O144</f>
        <v>1029644.2017692074</v>
      </c>
      <c r="P144" s="94">
        <f>O144/O12</f>
        <v>0.10076341761166235</v>
      </c>
      <c r="Q144" s="342">
        <f>'0401'!Q144+'0402'!Q144+'0403'!Q144+'405'!Q144+'0406'!Q144+'0409'!Q144+'410-sahara'!Q144+'414-Al ghurair'!Q144+'415'!Q144+'Al Foah_418'!Q144+Rak_417!Q144+D.C.!Q144+'Wafi _419'!Q144</f>
        <v>1029645.0417692073</v>
      </c>
      <c r="R144" s="94">
        <f>Q144/Q12</f>
        <v>8.1147085003881333E-2</v>
      </c>
      <c r="S144" s="342">
        <f>'0401'!S144+'0402'!S144+'0403'!S144+'405'!S144+'0406'!S144+'0409'!S144+'410-sahara'!S144+'414-Al ghurair'!S144+'415'!S144+'Al Foah_418'!S144+Rak_417!S144+D.C.!S144+'Wafi _419'!S144</f>
        <v>1029644.9517692075</v>
      </c>
      <c r="T144" s="94">
        <f>S144/S12</f>
        <v>8.0552655436733442E-2</v>
      </c>
      <c r="U144" s="342">
        <f>'0401'!U144+'0402'!U144+'0403'!U144+'405'!U144+'0406'!U144+'0409'!U144+'410-sahara'!U144+'414-Al ghurair'!U144+'415'!U144+'Al Foah_418'!U144+Rak_417!U144+D.C.!U144+'Wafi _419'!U144</f>
        <v>1029642.2017692074</v>
      </c>
      <c r="V144" s="94">
        <f>U144/U12</f>
        <v>0.10155292279388237</v>
      </c>
      <c r="W144" s="342">
        <f>'0401'!W144+'0402'!W144+'0403'!W144+'405'!W144+'0406'!W144+'0409'!W144+'410-sahara'!W144+'414-Al ghurair'!W144+'415'!W144+'Al Foah_418'!W144+Rak_417!W144+D.C.!W144+'Wafi _419'!W144</f>
        <v>1029642.2017692074</v>
      </c>
      <c r="X144" s="94">
        <f>W144/W12</f>
        <v>9.9812048031656345E-2</v>
      </c>
      <c r="Y144" s="342">
        <f>'0401'!Y144+'0402'!Y144+'0403'!Y144+'405'!Y144+'0406'!Y144+'0409'!Y144+'410-sahara'!Y144+'414-Al ghurair'!Y144+'415'!Y144+'Al Foah_418'!Y144+Rak_417!Y144+D.C.!Y144+'Wafi _419'!Y144</f>
        <v>1029642.2017692074</v>
      </c>
      <c r="Z144" s="94">
        <f>Y144/Y12</f>
        <v>6.607166268619212E-2</v>
      </c>
      <c r="AA144" s="152">
        <f t="shared" si="64"/>
        <v>12586758.401230486</v>
      </c>
      <c r="AB144" s="161">
        <f>AA144/AA12</f>
        <v>8.6681032399566108E-2</v>
      </c>
      <c r="AC144" s="137">
        <f t="shared" si="65"/>
        <v>1048896.5334358739</v>
      </c>
      <c r="AD144" s="164">
        <f>AC144/AC12</f>
        <v>8.6681032399566121E-2</v>
      </c>
      <c r="AE144" s="84">
        <f t="shared" si="60"/>
        <v>12586758.401230486</v>
      </c>
      <c r="AF144" s="33" t="e">
        <f>#REF!+'0401'!#REF!+'0402'!#REF!+'0403'!#REF!+#REF!+'405'!#REF!+'0406'!#REF!+D.C.!#REF!+#REF!+#REF!+'0409'!#REF!</f>
        <v>#REF!</v>
      </c>
      <c r="AG144" s="33" t="e">
        <f t="shared" si="247"/>
        <v>#REF!</v>
      </c>
      <c r="AH144" s="84">
        <f t="shared" si="62"/>
        <v>0</v>
      </c>
      <c r="AI144" s="33">
        <f>'0401'!AA144+'0402'!AA144+'0403'!AA144+'405'!AA144+'0406'!AA144+'0409'!AA144+'410-sahara'!AA144+'414-Al ghurair'!AA144+'415'!AA144+'Al Foah_418'!AA144+Rak_417!AA144+D.C.!AA144</f>
        <v>11588509.201230491</v>
      </c>
      <c r="AJ144" s="84">
        <f t="shared" si="63"/>
        <v>998249.19999999553</v>
      </c>
    </row>
    <row r="145" spans="1:36" customFormat="1">
      <c r="A145" s="341">
        <v>6799</v>
      </c>
      <c r="B145" s="341" t="s">
        <v>143</v>
      </c>
      <c r="C145" s="342">
        <f>'0401'!C145+'0402'!C145+'0403'!C145+'405'!C145+'0406'!C145+'0409'!C145+'410-sahara'!C145+'414-Al ghurair'!C145+'415'!C145+'Al Foah_418'!C145+Rak_417!C145+D.C.!C145+'Wafi _419'!C145</f>
        <v>5316862.8584484905</v>
      </c>
      <c r="D145" s="94">
        <f>C145/C12</f>
        <v>0.48683443310401114</v>
      </c>
      <c r="E145" s="342">
        <f>'0401'!E145+'0402'!E145+'0403'!E145+'405'!E145+'0406'!E145+'0409'!E145+'410-sahara'!E145+'414-Al ghurair'!E145+'415'!E145+'Al Foah_418'!E145+Rak_417!E145+D.C.!E145+'Wafi _419'!E145</f>
        <v>5439745.0079070479</v>
      </c>
      <c r="F145" s="94">
        <f>E145/E12</f>
        <v>0.64021215234716922</v>
      </c>
      <c r="G145" s="342">
        <f>'0401'!G145+'0402'!G145+'0403'!G145+'405'!G145+'0406'!G145+'0409'!G145+'410-sahara'!G145+'414-Al ghurair'!G145+'415'!G145+'Al Foah_418'!G145+Rak_417!G145+D.C.!G145+'Wafi _419'!G145</f>
        <v>5451703.9664540309</v>
      </c>
      <c r="H145" s="94">
        <f>G145/G12</f>
        <v>0.38680268862035566</v>
      </c>
      <c r="I145" s="342">
        <f>'0401'!I145+'0402'!I145+'0403'!I145+'405'!I145+'0406'!I145+'0409'!I145+'410-sahara'!I145+'414-Al ghurair'!I145+'415'!I145+'Al Foah_418'!I145+Rak_417!I145+D.C.!I145+'Wafi _419'!I145</f>
        <v>5447298.8167637438</v>
      </c>
      <c r="J145" s="94">
        <f>I145/I12</f>
        <v>0.43770401816835541</v>
      </c>
      <c r="K145" s="342">
        <f>'0401'!K145+'0402'!K145+'0403'!K145+'405'!K145+'0406'!K145+'0409'!K145+'410-sahara'!K145+'414-Al ghurair'!K145+'415'!K145+'Al Foah_418'!K145+Rak_417!K145+D.C.!K145+'Wafi _419'!K145</f>
        <v>5460538.795259757</v>
      </c>
      <c r="L145" s="94">
        <f>K145/K12</f>
        <v>0.47973648870746077</v>
      </c>
      <c r="M145" s="342">
        <f>'0401'!M145+'0402'!M145+'0403'!M145+'405'!M145+'0406'!M145+'0409'!M145+'410-sahara'!M145+'414-Al ghurair'!M145+'415'!M145+'Al Foah_418'!M145+Rak_417!M145+D.C.!M145+'Wafi _419'!M145</f>
        <v>5277854.3677603975</v>
      </c>
      <c r="N145" s="94">
        <f>M145/M12</f>
        <v>0.32700369431631254</v>
      </c>
      <c r="O145" s="342">
        <f>'0401'!O145+'0402'!O145+'0403'!O145+'405'!O145+'0406'!O145+'0409'!O145+'410-sahara'!O145+'414-Al ghurair'!O145+'415'!O145+'Al Foah_418'!O145+Rak_417!O145+D.C.!O145+'Wafi _419'!O145</f>
        <v>5254359.9992038459</v>
      </c>
      <c r="P145" s="94">
        <f>O145/O12</f>
        <v>0.51420410076806855</v>
      </c>
      <c r="Q145" s="342">
        <f>'0401'!Q145+'0402'!Q145+'0403'!Q145+'405'!Q145+'0406'!Q145+'0409'!Q145+'410-sahara'!Q145+'414-Al ghurair'!Q145+'415'!Q145+'Al Foah_418'!Q145+Rak_417!Q145+D.C.!Q145+'Wafi _419'!Q145</f>
        <v>5695065.8217288544</v>
      </c>
      <c r="R145" s="94">
        <f>Q145/Q12</f>
        <v>0.44883233696192343</v>
      </c>
      <c r="S145" s="342">
        <f>'0401'!S145+'0402'!S145+'0403'!S145+'405'!S145+'0406'!S145+'0409'!S145+'410-sahara'!S145+'414-Al ghurair'!S145+'415'!S145+'Al Foah_418'!S145+Rak_417!S145+D.C.!S145+'Wafi _419'!S145</f>
        <v>5476914.1047930829</v>
      </c>
      <c r="T145" s="94">
        <f>S145/S12</f>
        <v>0.42847777185904373</v>
      </c>
      <c r="U145" s="342">
        <f>'0401'!U145+'0402'!U145+'0403'!U145+'405'!U145+'0406'!U145+'0409'!U145+'410-sahara'!U145+'414-Al ghurair'!U145+'415'!U145+'Al Foah_418'!U145+Rak_417!U145+D.C.!U145+'Wafi _419'!U145</f>
        <v>5425747.5886058677</v>
      </c>
      <c r="V145" s="94">
        <f>U145/U12</f>
        <v>0.53513786149986398</v>
      </c>
      <c r="W145" s="342">
        <f>'0401'!W145+'0402'!W145+'0403'!W145+'405'!W145+'0406'!W145+'0409'!W145+'410-sahara'!W145+'414-Al ghurair'!W145+'415'!W145+'Al Foah_418'!W145+Rak_417!W145+D.C.!W145+'Wafi _419'!W145</f>
        <v>5510102.0054287706</v>
      </c>
      <c r="X145" s="94">
        <f>W145/W12</f>
        <v>0.53414143775398426</v>
      </c>
      <c r="Y145" s="342">
        <f>'0401'!Y145+'0402'!Y145+'0403'!Y145+'405'!Y145+'0406'!Y145+'0409'!Y145+'410-sahara'!Y145+'414-Al ghurair'!Y145+'415'!Y145+'Al Foah_418'!Y145+Rak_417!Y145+D.C.!Y145+'Wafi _419'!Y145</f>
        <v>5504034.2016845243</v>
      </c>
      <c r="Z145" s="94">
        <f>Y145/Y12</f>
        <v>0.35319132273531129</v>
      </c>
      <c r="AA145" s="276">
        <f t="shared" si="64"/>
        <v>65260227.53403841</v>
      </c>
      <c r="AB145" s="161">
        <f>AA145/AA12</f>
        <v>0.44942658919456391</v>
      </c>
      <c r="AC145" s="277">
        <f t="shared" si="65"/>
        <v>5438352.2945032008</v>
      </c>
      <c r="AD145" s="164">
        <f>AC145/AC12</f>
        <v>0.44942658919456391</v>
      </c>
      <c r="AE145" s="84">
        <f t="shared" si="60"/>
        <v>65260227.53403841</v>
      </c>
      <c r="AF145" s="33" t="e">
        <f>#REF!+'0401'!#REF!+'0402'!#REF!+'0403'!#REF!+#REF!+'405'!#REF!+'0406'!#REF!+D.C.!#REF!+#REF!+#REF!+'0409'!#REF!</f>
        <v>#REF!</v>
      </c>
      <c r="AG145" s="33" t="e">
        <f t="shared" si="247"/>
        <v>#REF!</v>
      </c>
      <c r="AH145" s="84">
        <f t="shared" si="62"/>
        <v>0</v>
      </c>
      <c r="AI145" s="33">
        <f>'0401'!AA145+'0402'!AA145+'0403'!AA145+'405'!AA145+'0406'!AA145+'0409'!AA145+'410-sahara'!AA145+'414-Al ghurair'!AA145+'415'!AA145+'Al Foah_418'!AA145+Rak_417!AA145+D.C.!AA145</f>
        <v>60928197.360911757</v>
      </c>
      <c r="AJ145" s="84">
        <f t="shared" si="63"/>
        <v>4332030.1731266528</v>
      </c>
    </row>
    <row r="146" spans="1:36" customFormat="1" ht="15.75" thickBot="1">
      <c r="A146" s="11">
        <v>6999</v>
      </c>
      <c r="B146" s="11" t="s">
        <v>142</v>
      </c>
      <c r="C146" s="343">
        <f>'0401'!C146+'0402'!C146+'0403'!C146+'405'!C146+'0406'!C146+'0409'!C146+'410-sahara'!C146+'414-Al ghurair'!C146+'415'!C146+'Al Foah_418'!C146+Rak_417!C146+D.C.!C146+'Wafi _419'!C146</f>
        <v>-195741.05738868279</v>
      </c>
      <c r="D146" s="95">
        <f>C146/C12</f>
        <v>-1.7922878442797868E-2</v>
      </c>
      <c r="E146" s="343">
        <f>'0401'!E146+'0402'!E146+'0403'!E146+'405'!E146+'0406'!E146+'0409'!E146+'410-sahara'!E146+'414-Al ghurair'!E146+'415'!E146+'Al Foah_418'!E146+Rak_417!E146+D.C.!E146+'Wafi _419'!E146</f>
        <v>-840038.68834800273</v>
      </c>
      <c r="F146" s="95">
        <f>E146/E12</f>
        <v>-9.8865475484684245E-2</v>
      </c>
      <c r="G146" s="343">
        <f>'0401'!G146+'0402'!G146+'0403'!G146+'405'!G146+'0406'!G146+'0409'!G146+'410-sahara'!G146+'414-Al ghurair'!G146+'415'!G146+'Al Foah_418'!G146+Rak_417!G146+D.C.!G146+'Wafi _419'!G146</f>
        <v>1237269.7563301027</v>
      </c>
      <c r="H146" s="95">
        <f>G146/G12</f>
        <v>8.7785263330873761E-2</v>
      </c>
      <c r="I146" s="343">
        <f>'0401'!I146+'0402'!I146+'0403'!I146+'405'!I146+'0406'!I146+'0409'!I146+'410-sahara'!I146+'414-Al ghurair'!I146+'415'!I146+'Al Foah_418'!I146+Rak_417!I146+D.C.!I146+'Wafi _419'!I146</f>
        <v>1125992.3164734107</v>
      </c>
      <c r="J146" s="95">
        <f>I146/I12</f>
        <v>9.0476285205868479E-2</v>
      </c>
      <c r="K146" s="343">
        <f>'0401'!K146+'0402'!K146+'0403'!K146+'405'!K146+'0406'!K146+'0409'!K146+'410-sahara'!K146+'414-Al ghurair'!K146+'415'!K146+'Al Foah_418'!K146+Rak_417!K146+D.C.!K146+'Wafi _419'!K146</f>
        <v>934151.34246049111</v>
      </c>
      <c r="L146" s="95">
        <f>K146/K12</f>
        <v>8.2070012091551944E-2</v>
      </c>
      <c r="M146" s="343">
        <f>'0401'!M146+'0402'!M146+'0403'!M146+'405'!M146+'0406'!M146+'0409'!M146+'410-sahara'!M146+'414-Al ghurair'!M146+'415'!M146+'Al Foah_418'!M146+Rak_417!M146+D.C.!M146+'Wafi _419'!M146</f>
        <v>2275827.3730472084</v>
      </c>
      <c r="N146" s="95">
        <f>M146/M12</f>
        <v>0.14100501960769735</v>
      </c>
      <c r="O146" s="343">
        <f>'0401'!O146+'0402'!O146+'0403'!O146+'405'!O146+'0406'!O146+'0409'!O146+'410-sahara'!O146+'414-Al ghurair'!O146+'415'!O146+'Al Foah_418'!O146+Rak_417!O146+D.C.!O146+'Wafi _419'!O146</f>
        <v>108396.26785434931</v>
      </c>
      <c r="P146" s="95">
        <f>O146/O12</f>
        <v>1.0607915226041976E-2</v>
      </c>
      <c r="Q146" s="343">
        <f>'0401'!Q146+'0402'!Q146+'0403'!Q146+'405'!Q146+'0406'!Q146+'0409'!Q146+'410-sahara'!Q146+'414-Al ghurair'!Q146+'415'!Q146+'Al Foah_418'!Q146+Rak_417!Q146+D.C.!Q146+'Wafi _419'!Q146</f>
        <v>1128806.9791850185</v>
      </c>
      <c r="R146" s="95">
        <f>Q146/Q12</f>
        <v>8.8962110413807041E-2</v>
      </c>
      <c r="S146" s="343">
        <f>'0401'!S146+'0402'!S146+'0403'!S146+'405'!S146+'0406'!S146+'0409'!S146+'410-sahara'!S146+'414-Al ghurair'!S146+'415'!S146+'Al Foah_418'!S146+Rak_417!S146+D.C.!S146+'Wafi _419'!S146</f>
        <v>867197.07871020061</v>
      </c>
      <c r="T146" s="95">
        <f>S146/S12</f>
        <v>6.7843801260866518E-2</v>
      </c>
      <c r="U146" s="343">
        <f>'0401'!U146+'0402'!U146+'0403'!U146+'405'!U146+'0406'!U146+'0409'!U146+'410-sahara'!U146+'414-Al ghurair'!U146+'415'!U146+'Al Foah_418'!U146+Rak_417!U146+D.C.!U146+'Wafi _419'!U146</f>
        <v>36366.460680676886</v>
      </c>
      <c r="V146" s="95">
        <f>U146/U12</f>
        <v>3.5867997324174807E-3</v>
      </c>
      <c r="W146" s="343">
        <f>'0401'!W146+'0402'!W146+'0403'!W146+'405'!W146+'0406'!W146+'0409'!W146+'410-sahara'!W146+'414-Al ghurair'!W146+'415'!W146+'Al Foah_418'!W146+Rak_417!W146+D.C.!W146+'Wafi _419'!W146</f>
        <v>126938.59989576193</v>
      </c>
      <c r="X146" s="95">
        <f>W146/W12</f>
        <v>1.2305247015027611E-2</v>
      </c>
      <c r="Y146" s="343">
        <f>'0401'!Y146+'0402'!Y146+'0403'!Y146+'405'!Y146+'0406'!Y146+'0409'!Y146+'410-sahara'!Y146+'414-Al ghurair'!Y146+'415'!Y146+'Al Foah_418'!Y146+Rak_417!Y146+D.C.!Y146+'Wafi _419'!Y146</f>
        <v>1978870.9669167993</v>
      </c>
      <c r="Z146" s="95">
        <f>Y146/Y12</f>
        <v>0.12698323242866885</v>
      </c>
      <c r="AA146" s="390">
        <f t="shared" si="64"/>
        <v>8784037.3958173338</v>
      </c>
      <c r="AB146" s="95">
        <f>AA146/AA12</f>
        <v>6.0492893073359297E-2</v>
      </c>
      <c r="AC146" s="178">
        <f t="shared" si="65"/>
        <v>732003.11631811119</v>
      </c>
      <c r="AD146" s="95">
        <f>AC146/AC12</f>
        <v>6.0492893073359304E-2</v>
      </c>
      <c r="AE146" s="84">
        <f t="shared" si="60"/>
        <v>8784037.3958173338</v>
      </c>
      <c r="AF146" s="33" t="e">
        <f>#REF!+'0401'!#REF!+'0402'!#REF!+'0403'!#REF!+#REF!+'405'!#REF!+'0406'!#REF!+D.C.!#REF!+#REF!+#REF!+'0409'!#REF!</f>
        <v>#REF!</v>
      </c>
      <c r="AG146" s="33" t="e">
        <f t="shared" si="247"/>
        <v>#REF!</v>
      </c>
      <c r="AH146" s="84">
        <f t="shared" si="62"/>
        <v>0</v>
      </c>
      <c r="AI146" s="33">
        <f>'0401'!AA146+'0402'!AA146+'0403'!AA146+'405'!AA146+'0406'!AA146+'0409'!AA146+'410-sahara'!AA146+'414-Al ghurair'!AA146+'415'!AA146+'Al Foah_418'!AA146+Rak_417!AA146+D.C.!AA146</f>
        <v>8012520.3641053708</v>
      </c>
      <c r="AJ146" s="84">
        <f t="shared" si="63"/>
        <v>771517.03171196301</v>
      </c>
    </row>
    <row r="147" spans="1:36" customFormat="1" ht="15.75" thickTop="1">
      <c r="A147" s="1"/>
      <c r="B147" s="1"/>
      <c r="C147" s="292">
        <f>'0401'!C147+'0402'!C147+'0403'!C147+'405'!C147+'0406'!C147+'0409'!C147+'410-sahara'!C147+'414-Al ghurair'!C147+'415'!C147+'Al Foah_418'!C147+Rak_417!C147+D.C.!C147+'Wafi _419'!C147</f>
        <v>0</v>
      </c>
      <c r="D147" s="68"/>
      <c r="E147" s="292">
        <f>'0401'!E147+'0402'!E147+'0403'!E147+'405'!E147+'0406'!E147+'0409'!E147+'410-sahara'!E147+'414-Al ghurair'!E147+'415'!E147+'Al Foah_418'!E147+Rak_417!E147+D.C.!E147+'Wafi _419'!E147</f>
        <v>0</v>
      </c>
      <c r="F147" s="102"/>
      <c r="G147" s="292">
        <f>'0401'!G147+'0402'!G147+'0403'!G147+'405'!G147+'0406'!G147+'0409'!G147+'410-sahara'!G147+'414-Al ghurair'!G147+'415'!G147+'Al Foah_418'!G147+Rak_417!G147+D.C.!G147+'Wafi _419'!G147</f>
        <v>0</v>
      </c>
      <c r="H147" s="102"/>
      <c r="I147" s="292">
        <f>'0401'!I147+'0402'!I147+'0403'!I147+'405'!I147+'0406'!I147+'0409'!I147+'410-sahara'!I147+'414-Al ghurair'!I147+'415'!I147+'Al Foah_418'!I147+Rak_417!I147+D.C.!I147+'Wafi _419'!I147</f>
        <v>0</v>
      </c>
      <c r="J147" s="102"/>
      <c r="K147" s="292">
        <f>'0401'!K147+'0402'!K147+'0403'!K147+'405'!K147+'0406'!K147+'0409'!K147+'410-sahara'!K147+'414-Al ghurair'!K147+'415'!K147+'Al Foah_418'!K147+Rak_417!K147+D.C.!K147+'Wafi _419'!K147</f>
        <v>0</v>
      </c>
      <c r="L147" s="102"/>
      <c r="M147" s="292">
        <f>'0401'!M147+'0402'!M147+'0403'!M147+'405'!M147+'0406'!M147+'0409'!M147+'410-sahara'!M147+'414-Al ghurair'!M147+'415'!M147+'Al Foah_418'!M147+Rak_417!M147+D.C.!M147+'Wafi _419'!M147</f>
        <v>0</v>
      </c>
      <c r="N147" s="102"/>
      <c r="O147" s="292">
        <f>'0401'!O147+'0402'!O147+'0403'!O147+'405'!O147+'0406'!O147+'0409'!O147+'410-sahara'!O147+'414-Al ghurair'!O147+'415'!O147+'Al Foah_418'!O147+Rak_417!O147+D.C.!O147+'Wafi _419'!O147</f>
        <v>0</v>
      </c>
      <c r="P147" s="102"/>
      <c r="Q147" s="292">
        <f>'0401'!Q147+'0402'!Q147+'0403'!Q147+'405'!Q147+'0406'!Q147+'0409'!Q147+'410-sahara'!Q147+'414-Al ghurair'!Q147+'415'!Q147+'Al Foah_418'!Q147+Rak_417!Q147+D.C.!Q147+'Wafi _419'!Q147</f>
        <v>0</v>
      </c>
      <c r="R147" s="102"/>
      <c r="S147" s="292">
        <f>'0401'!S147+'0402'!S147+'0403'!S147+'405'!S147+'0406'!S147+'0409'!S147+'410-sahara'!S147+'414-Al ghurair'!S147+'415'!S147+'Al Foah_418'!S147+Rak_417!S147+D.C.!S147+'Wafi _419'!S147</f>
        <v>0</v>
      </c>
      <c r="T147" s="102"/>
      <c r="U147" s="292">
        <f>'0401'!U147+'0402'!U147+'0403'!U147+'405'!U147+'0406'!U147+'0409'!U147+'410-sahara'!U147+'414-Al ghurair'!U147+'415'!U147+'Al Foah_418'!U147+Rak_417!U147+D.C.!U147+'Wafi _419'!U147</f>
        <v>0</v>
      </c>
      <c r="V147" s="102"/>
      <c r="W147" s="292">
        <f>'0401'!W147+'0402'!W147+'0403'!W147+'405'!W147+'0406'!W147+'0409'!W147+'410-sahara'!W147+'414-Al ghurair'!W147+'415'!W147+'Al Foah_418'!W147+Rak_417!W147+D.C.!W147+'Wafi _419'!W147</f>
        <v>0</v>
      </c>
      <c r="X147" s="104"/>
      <c r="Y147" s="292">
        <f>'0401'!Y147+'0402'!Y147+'0403'!Y147+'405'!Y147+'0406'!Y147+'0409'!Y147+'410-sahara'!Y147+'414-Al ghurair'!Y147+'415'!Y147+'Al Foah_418'!Y147+Rak_417!Y147+D.C.!Y147+'Wafi _419'!Y147</f>
        <v>0</v>
      </c>
      <c r="Z147" s="104"/>
      <c r="AA147" s="142">
        <f t="shared" si="64"/>
        <v>0</v>
      </c>
      <c r="AB147" s="160"/>
      <c r="AC147" s="126">
        <f t="shared" si="65"/>
        <v>0</v>
      </c>
      <c r="AD147" s="163"/>
      <c r="AE147" s="84">
        <f t="shared" si="60"/>
        <v>0</v>
      </c>
      <c r="AF147" s="33" t="e">
        <f>#REF!+'0401'!#REF!+'0402'!#REF!+'0403'!#REF!+#REF!+'405'!#REF!+'0406'!#REF!+D.C.!#REF!+#REF!+#REF!+'0409'!#REF!</f>
        <v>#REF!</v>
      </c>
      <c r="AG147" s="33" t="e">
        <f t="shared" si="247"/>
        <v>#REF!</v>
      </c>
      <c r="AH147" s="84">
        <f t="shared" si="62"/>
        <v>0</v>
      </c>
      <c r="AI147" s="33">
        <f>'0401'!AA147+'0402'!AA147+'0403'!AA147+'405'!AA147+'0406'!AA147+'0409'!AA147+'410-sahara'!AA147+'414-Al ghurair'!AA147+'415'!AA147+'Al Foah_418'!AA147+Rak_417!AA147+D.C.!AA147</f>
        <v>0</v>
      </c>
      <c r="AJ147" s="84">
        <f t="shared" si="63"/>
        <v>0</v>
      </c>
    </row>
    <row r="148" spans="1:36" customFormat="1" ht="15.75" thickBot="1">
      <c r="A148" s="742"/>
      <c r="B148" s="743" t="s">
        <v>233</v>
      </c>
      <c r="C148" s="344">
        <f>'0401'!C148+'0402'!C148+'0403'!C148+'405'!C148+'0406'!C148+'0409'!C148+'410-sahara'!C148+'414-Al ghurair'!C148+'415'!C148+'Al Foah_418'!C148+Rak_417!C148+D.C.!C148+'Wafi _419'!C148</f>
        <v>26843.599999999999</v>
      </c>
      <c r="D148" s="95">
        <f>C148/C12</f>
        <v>2.4579134606989485E-3</v>
      </c>
      <c r="E148" s="344">
        <f>'0401'!E148+'0402'!E148+'0403'!E148+'405'!E148+'0406'!E148+'0409'!E148+'410-sahara'!E148+'414-Al ghurair'!E148+'415'!E148+'Al Foah_418'!E148+Rak_417!E148+D.C.!E148+'Wafi _419'!E148</f>
        <v>23522.78</v>
      </c>
      <c r="F148" s="95">
        <f>E148/E12</f>
        <v>2.7684330039549304E-3</v>
      </c>
      <c r="G148" s="344">
        <f>'0401'!G148+'0402'!G148+'0403'!G148+'405'!G148+'0406'!G148+'0409'!G148+'410-sahara'!G148+'414-Al ghurair'!G148+'415'!G148+'Al Foah_418'!G148+Rak_417!G148+D.C.!G148+'Wafi _419'!G148</f>
        <v>47258.53</v>
      </c>
      <c r="H148" s="95">
        <f>G148/G12</f>
        <v>3.3530299107813583E-3</v>
      </c>
      <c r="I148" s="344">
        <f>'0401'!I148+'0402'!I148+'0403'!I148+'405'!I148+'0406'!I148+'0409'!I148+'410-sahara'!I148+'414-Al ghurair'!I148+'415'!I148+'Al Foah_418'!I148+Rak_417!I148+D.C.!I148+'Wafi _419'!I148</f>
        <v>36250</v>
      </c>
      <c r="J148" s="95">
        <f>I148/I12</f>
        <v>2.9127777256819148E-3</v>
      </c>
      <c r="K148" s="344">
        <f>'0401'!K148+'0402'!K148+'0403'!K148+'405'!K148+'0406'!K148+'0409'!K148+'410-sahara'!K148+'414-Al ghurair'!K148+'415'!K148+'Al Foah_418'!K148+Rak_417!K148+D.C.!K148+'Wafi _419'!K148</f>
        <v>9861.09</v>
      </c>
      <c r="L148" s="95">
        <f>K148/K12</f>
        <v>8.6634760209650975E-4</v>
      </c>
      <c r="M148" s="344">
        <f>'0401'!M148+'0402'!M148+'0403'!M148+'405'!M148+'0406'!M148+'0409'!M148+'410-sahara'!M148+'414-Al ghurair'!M148+'415'!M148+'Al Foah_418'!M148+Rak_417!M148+D.C.!M148+'Wafi _419'!M148</f>
        <v>58116.61</v>
      </c>
      <c r="N148" s="95">
        <f>M148/M12</f>
        <v>3.6007712314359767E-3</v>
      </c>
      <c r="O148" s="344">
        <f>'0401'!O148+'0402'!O148+'0403'!O148+'405'!O148+'0406'!O148+'0409'!O148+'410-sahara'!O148+'414-Al ghurair'!O148+'415'!O148+'Al Foah_418'!O148+Rak_417!O148+D.C.!O148+'Wafi _419'!O148</f>
        <v>14435.18</v>
      </c>
      <c r="P148" s="95">
        <f>O148/O12</f>
        <v>1.4126608668705424E-3</v>
      </c>
      <c r="Q148" s="344">
        <f>'0401'!Q148+'0402'!Q148+'0403'!Q148+'405'!Q148+'0406'!Q148+'0409'!Q148+'410-sahara'!Q148+'414-Al ghurair'!Q148+'415'!Q148+'Al Foah_418'!Q148+Rak_417!Q148+D.C.!Q148+'Wafi _419'!Q148</f>
        <v>35000</v>
      </c>
      <c r="R148" s="95">
        <f>Q148/Q12</f>
        <v>2.7583758090610603E-3</v>
      </c>
      <c r="S148" s="344">
        <f>'0401'!S148+'0402'!S148+'0403'!S148+'405'!S148+'0406'!S148+'0409'!S148+'410-sahara'!S148+'414-Al ghurair'!S148+'415'!S148+'Al Foah_418'!S148+Rak_417!S148+D.C.!S148+'Wafi _419'!S148</f>
        <v>35000</v>
      </c>
      <c r="T148" s="95">
        <f>S148/S12</f>
        <v>2.7381700220462206E-3</v>
      </c>
      <c r="U148" s="344">
        <f>'0401'!U148+'0402'!U148+'0403'!U148+'405'!U148+'0406'!U148+'0409'!U148+'410-sahara'!U148+'414-Al ghurair'!U148+'415'!U148+'Al Foah_418'!U148+Rak_417!U148+D.C.!U148+'Wafi _419'!U148</f>
        <v>35000</v>
      </c>
      <c r="V148" s="95">
        <f>U148/U12</f>
        <v>3.4520266279670082E-3</v>
      </c>
      <c r="W148" s="344">
        <f>'0401'!W148+'0402'!W148+'0403'!W148+'405'!W148+'0406'!W148+'0409'!W148+'410-sahara'!W148+'414-Al ghurair'!W148+'415'!W148+'Al Foah_418'!W148+Rak_417!W148+D.C.!W148+'Wafi _419'!W148</f>
        <v>35000</v>
      </c>
      <c r="X148" s="95">
        <f>W148/W12</f>
        <v>3.392850132895987E-3</v>
      </c>
      <c r="Y148" s="344">
        <f>'0401'!Y148+'0402'!Y148+'0403'!Y148+'405'!Y148+'0406'!Y148+'0409'!Y148+'410-sahara'!Y148+'414-Al ghurair'!Y148+'415'!Y148+'Al Foah_418'!Y148+Rak_417!Y148+D.C.!Y148+'Wafi _419'!Y148</f>
        <v>35000</v>
      </c>
      <c r="Z148" s="95">
        <f>Y148/Y12</f>
        <v>2.2459337719872023E-3</v>
      </c>
      <c r="AA148" s="69">
        <f t="shared" si="64"/>
        <v>391287.79</v>
      </c>
      <c r="AB148" s="95">
        <f>AA148/AA12</f>
        <v>2.6946755090833281E-3</v>
      </c>
      <c r="AC148" s="69">
        <f t="shared" si="65"/>
        <v>32607.31583333333</v>
      </c>
      <c r="AD148" s="95">
        <f>AC148/AC12</f>
        <v>2.6946755090833281E-3</v>
      </c>
      <c r="AE148" s="84">
        <f t="shared" si="60"/>
        <v>391287.79</v>
      </c>
      <c r="AF148" s="33" t="e">
        <f>#REF!+'0401'!#REF!+'0402'!#REF!+'0403'!#REF!+#REF!+'405'!#REF!+'0406'!#REF!+D.C.!#REF!+#REF!+#REF!+'0409'!#REF!</f>
        <v>#REF!</v>
      </c>
      <c r="AG148" s="33" t="e">
        <f t="shared" si="247"/>
        <v>#REF!</v>
      </c>
      <c r="AH148" s="84">
        <f t="shared" si="62"/>
        <v>0</v>
      </c>
      <c r="AI148" s="33">
        <f>'0401'!AA148+'0402'!AA148+'0403'!AA148+'405'!AA148+'0406'!AA148+'0409'!AA148+'410-sahara'!AA148+'414-Al ghurair'!AA148+'415'!AA148+'Al Foah_418'!AA148+Rak_417!AA148+D.C.!AA148</f>
        <v>391287.79</v>
      </c>
      <c r="AJ148" s="84">
        <f t="shared" si="63"/>
        <v>0</v>
      </c>
    </row>
    <row r="149" spans="1:36" customFormat="1" ht="15.75" thickTop="1">
      <c r="A149" s="1"/>
      <c r="B149" s="86"/>
      <c r="C149" s="292">
        <f>'0401'!C149+'0402'!C149+'0403'!C149+'405'!C149+'0406'!C149+'0409'!C149+'410-sahara'!C149+'414-Al ghurair'!C149+'415'!C149+'Al Foah_418'!C149+Rak_417!C149+D.C.!C149+'Wafi _419'!C149</f>
        <v>0</v>
      </c>
      <c r="D149" s="68"/>
      <c r="E149" s="292">
        <f>'0401'!E149+'0402'!E149+'0403'!E149+'405'!E149+'0406'!E149+'0409'!E149+'410-sahara'!E149+'414-Al ghurair'!E149+'415'!E149+'Al Foah_418'!E149+Rak_417!E149+D.C.!E149+'Wafi _419'!E149</f>
        <v>0</v>
      </c>
      <c r="F149" s="102"/>
      <c r="G149" s="292">
        <f>'0401'!G149+'0402'!G149+'0403'!G149+'405'!G149+'0406'!G149+'0409'!G149+'410-sahara'!G149+'414-Al ghurair'!G149+'415'!G149+'Al Foah_418'!G149+Rak_417!G149+D.C.!G149+'Wafi _419'!G149</f>
        <v>0</v>
      </c>
      <c r="H149" s="102"/>
      <c r="I149" s="292">
        <f>'0401'!I149+'0402'!I149+'0403'!I149+'405'!I149+'0406'!I149+'0409'!I149+'410-sahara'!I149+'414-Al ghurair'!I149+'415'!I149+'Al Foah_418'!I149+Rak_417!I149+D.C.!I149+'Wafi _419'!I149</f>
        <v>0</v>
      </c>
      <c r="J149" s="102"/>
      <c r="K149" s="292">
        <f>'0401'!K149+'0402'!K149+'0403'!K149+'405'!K149+'0406'!K149+'0409'!K149+'410-sahara'!K149+'414-Al ghurair'!K149+'415'!K149+'Al Foah_418'!K149+Rak_417!K149+D.C.!K149+'Wafi _419'!K149</f>
        <v>0</v>
      </c>
      <c r="L149" s="102"/>
      <c r="M149" s="292">
        <f>'0401'!M149+'0402'!M149+'0403'!M149+'405'!M149+'0406'!M149+'0409'!M149+'410-sahara'!M149+'414-Al ghurair'!M149+'415'!M149+'Al Foah_418'!M149+Rak_417!M149+D.C.!M149+'Wafi _419'!M149</f>
        <v>0</v>
      </c>
      <c r="N149" s="102"/>
      <c r="O149" s="292">
        <f>'0401'!O149+'0402'!O149+'0403'!O149+'405'!O149+'0406'!O149+'0409'!O149+'410-sahara'!O149+'414-Al ghurair'!O149+'415'!O149+'Al Foah_418'!O149+Rak_417!O149+D.C.!O149+'Wafi _419'!O149</f>
        <v>0</v>
      </c>
      <c r="P149" s="102"/>
      <c r="Q149" s="292">
        <f>'0401'!Q149+'0402'!Q149+'0403'!Q149+'405'!Q149+'0406'!Q149+'0409'!Q149+'410-sahara'!Q149+'414-Al ghurair'!Q149+'415'!Q149+'Al Foah_418'!Q149+Rak_417!Q149+D.C.!Q149+'Wafi _419'!Q149</f>
        <v>0</v>
      </c>
      <c r="R149" s="102"/>
      <c r="S149" s="292">
        <f>'0401'!S149+'0402'!S149+'0403'!S149+'405'!S149+'0406'!S149+'0409'!S149+'410-sahara'!S149+'414-Al ghurair'!S149+'415'!S149+'Al Foah_418'!S149+Rak_417!S149+D.C.!S149+'Wafi _419'!S149</f>
        <v>0</v>
      </c>
      <c r="T149" s="102"/>
      <c r="U149" s="292">
        <f>'0401'!U149+'0402'!U149+'0403'!U149+'405'!U149+'0406'!U149+'0409'!U149+'410-sahara'!U149+'414-Al ghurair'!U149+'415'!U149+'Al Foah_418'!U149+Rak_417!U149+D.C.!U149+'Wafi _419'!U149</f>
        <v>0</v>
      </c>
      <c r="V149" s="102"/>
      <c r="W149" s="292">
        <f>'0401'!W149+'0402'!W149+'0403'!W149+'405'!W149+'0406'!W149+'0409'!W149+'410-sahara'!W149+'414-Al ghurair'!W149+'415'!W149+'Al Foah_418'!W149+Rak_417!W149+D.C.!W149+'Wafi _419'!W149</f>
        <v>0</v>
      </c>
      <c r="X149" s="104"/>
      <c r="Y149" s="292">
        <f>'0401'!Y149+'0402'!Y149+'0403'!Y149+'405'!Y149+'0406'!Y149+'0409'!Y149+'410-sahara'!Y149+'414-Al ghurair'!Y149+'415'!Y149+'Al Foah_418'!Y149+Rak_417!Y149+D.C.!Y149+'Wafi _419'!Y149</f>
        <v>0</v>
      </c>
      <c r="Z149" s="104"/>
      <c r="AA149" s="142">
        <f t="shared" si="64"/>
        <v>0</v>
      </c>
      <c r="AB149" s="160"/>
      <c r="AC149" s="126">
        <f t="shared" si="65"/>
        <v>0</v>
      </c>
      <c r="AD149" s="163"/>
      <c r="AE149" s="84">
        <f t="shared" si="60"/>
        <v>0</v>
      </c>
      <c r="AF149" s="33" t="e">
        <f>#REF!+'0401'!#REF!+'0402'!#REF!+'0403'!#REF!+#REF!+'405'!#REF!+'0406'!#REF!+D.C.!#REF!+#REF!+#REF!+'0409'!#REF!</f>
        <v>#REF!</v>
      </c>
      <c r="AG149" s="33" t="e">
        <f t="shared" si="247"/>
        <v>#REF!</v>
      </c>
      <c r="AH149" s="84">
        <f t="shared" si="62"/>
        <v>0</v>
      </c>
      <c r="AI149" s="33">
        <f>'0401'!AA149+'0402'!AA149+'0403'!AA149+'405'!AA149+'0406'!AA149+'0409'!AA149+'410-sahara'!AA149+'414-Al ghurair'!AA149+'415'!AA149+'Al Foah_418'!AA149+Rak_417!AA149+D.C.!AA149</f>
        <v>0</v>
      </c>
      <c r="AJ149" s="84">
        <f t="shared" si="63"/>
        <v>0</v>
      </c>
    </row>
    <row r="150" spans="1:36" s="1" customFormat="1" ht="15.75" thickBot="1">
      <c r="A150" s="742"/>
      <c r="B150" s="743" t="s">
        <v>232</v>
      </c>
      <c r="C150" s="344">
        <f>'0401'!C150+'0402'!C150+'0403'!C150+'405'!C150+'0406'!C150+'0409'!C150+'410-sahara'!C150+'414-Al ghurair'!C150+'415'!C150+'Al Foah_418'!C150+Rak_417!C150+D.C.!C150+'Wafi _419'!C150</f>
        <v>-19574.105738868278</v>
      </c>
      <c r="D150" s="95"/>
      <c r="E150" s="344">
        <f>'0401'!E150+'0402'!E150+'0403'!E150+'405'!E150+'0406'!E150+'0409'!E150+'410-sahara'!E150+'414-Al ghurair'!E150+'415'!E150+'Al Foah_418'!E150+Rak_417!E150+D.C.!E150+'Wafi _419'!E150</f>
        <v>-84003.868834800262</v>
      </c>
      <c r="F150" s="95"/>
      <c r="G150" s="344">
        <f>'0401'!G150+'0402'!G150+'0403'!G150+'405'!G150+'0406'!G150+'0409'!G150+'410-sahara'!G150+'414-Al ghurair'!G150+'415'!G150+'Al Foah_418'!G150+Rak_417!G150+D.C.!G150+'Wafi _419'!G150</f>
        <v>123726.97563301024</v>
      </c>
      <c r="H150" s="95"/>
      <c r="I150" s="344">
        <f>'0401'!I150+'0402'!I150+'0403'!I150+'405'!I150+'0406'!I150+'0409'!I150+'410-sahara'!I150+'414-Al ghurair'!I150+'415'!I150+'Al Foah_418'!I150+Rak_417!I150+D.C.!I150+'Wafi _419'!I150</f>
        <v>112599.2316473411</v>
      </c>
      <c r="J150" s="95"/>
      <c r="K150" s="344">
        <f>'0401'!K150+'0402'!K150+'0403'!K150+'405'!K150+'0406'!K150+'0409'!K150+'410-sahara'!K150+'414-Al ghurair'!K150+'415'!K150+'Al Foah_418'!K150+Rak_417!K150+D.C.!K150+'Wafi _419'!K150</f>
        <v>93415.134246049143</v>
      </c>
      <c r="L150" s="95"/>
      <c r="M150" s="344">
        <f>'0401'!M150+'0402'!M150+'0403'!M150+'405'!M150+'0406'!M150+'0409'!M150+'410-sahara'!M150+'414-Al ghurair'!M150+'415'!M150+'Al Foah_418'!M150+Rak_417!M150+D.C.!M150+'Wafi _419'!M150</f>
        <v>227582.73730472082</v>
      </c>
      <c r="N150" s="95"/>
      <c r="O150" s="344">
        <f>'0401'!O150+'0402'!O150+'0403'!O150+'405'!O150+'0406'!O150+'0409'!O150+'410-sahara'!O150+'414-Al ghurair'!O150+'415'!O150+'Al Foah_418'!O150+Rak_417!O150+D.C.!O150+'Wafi _419'!O150</f>
        <v>10839.626785434928</v>
      </c>
      <c r="P150" s="95"/>
      <c r="Q150" s="344">
        <f>'0401'!Q150+'0402'!Q150+'0403'!Q150+'405'!Q150+'0406'!Q150+'0409'!Q150+'410-sahara'!Q150+'414-Al ghurair'!Q150+'415'!Q150+'Al Foah_418'!Q150+Rak_417!Q150+D.C.!Q150+'Wafi _419'!Q150</f>
        <v>112880.69791850187</v>
      </c>
      <c r="R150" s="95"/>
      <c r="S150" s="344">
        <f>'0401'!S150+'0402'!S150+'0403'!S150+'405'!S150+'0406'!S150+'0409'!S150+'410-sahara'!S150+'414-Al ghurair'!S150+'415'!S150+'Al Foah_418'!S150+Rak_417!S150+D.C.!S150+'Wafi _419'!S150</f>
        <v>86719.707871020044</v>
      </c>
      <c r="T150" s="95"/>
      <c r="U150" s="344">
        <f>'0401'!U150+'0402'!U150+'0403'!U150+'405'!U150+'0406'!U150+'0409'!U150+'410-sahara'!U150+'414-Al ghurair'!U150+'415'!U150+'Al Foah_418'!U150+Rak_417!U150+D.C.!U150+'Wafi _419'!U150</f>
        <v>3636.6460680676864</v>
      </c>
      <c r="V150" s="95"/>
      <c r="W150" s="344">
        <f>'0401'!W150+'0402'!W150+'0403'!W150+'405'!W150+'0406'!W150+'0409'!W150+'410-sahara'!W150+'414-Al ghurair'!W150+'415'!W150+'Al Foah_418'!W150+Rak_417!W150+D.C.!W150+'Wafi _419'!W150</f>
        <v>12693.8599895762</v>
      </c>
      <c r="X150" s="95"/>
      <c r="Y150" s="344">
        <f>'0401'!Y150+'0402'!Y150+'0403'!Y150+'405'!Y150+'0406'!Y150+'0409'!Y150+'410-sahara'!Y150+'414-Al ghurair'!Y150+'415'!Y150+'Al Foah_418'!Y150+Rak_417!Y150+D.C.!Y150+'Wafi _419'!Y150</f>
        <v>197887.09669167991</v>
      </c>
      <c r="Z150" s="95"/>
      <c r="AA150" s="69">
        <f t="shared" ref="AA150:AA152" si="248">C150+E150+G150+I150+K150+M150+O150+Q150+S150+U150+W150+Y150</f>
        <v>878403.73958173336</v>
      </c>
      <c r="AB150" s="95"/>
      <c r="AC150" s="69">
        <f t="shared" ref="AC150:AC152" si="249">AA150/12</f>
        <v>73200.311631811113</v>
      </c>
      <c r="AD150" s="95"/>
      <c r="AE150" s="84">
        <f t="shared" ref="AE150:AE152" si="250">C150+E150+G150+I150+K150+M150+O150+Q150+S150+U150+W150+Y150</f>
        <v>878403.73958173336</v>
      </c>
      <c r="AF150" s="33" t="e">
        <f>#REF!+'0401'!#REF!+'0402'!#REF!+'0403'!#REF!+#REF!+'405'!#REF!+'0406'!#REF!+D.C.!#REF!+#REF!+#REF!+'0409'!#REF!</f>
        <v>#REF!</v>
      </c>
      <c r="AG150" s="33" t="e">
        <f t="shared" ref="AG150" si="251">AA150-AF150</f>
        <v>#REF!</v>
      </c>
      <c r="AH150" s="84">
        <f t="shared" ref="AH150:AH152" si="252">AA150-AE150</f>
        <v>0</v>
      </c>
      <c r="AI150" s="33">
        <f>'0401'!AA150+'0402'!AA150+'0403'!AA150+'405'!AA150+'0406'!AA150+'0409'!AA150+'410-sahara'!AA150+'414-Al ghurair'!AA150+'415'!AA150+'Al Foah_418'!AA150+Rak_417!AA150+D.C.!AA150</f>
        <v>801595.06755385385</v>
      </c>
      <c r="AJ150" s="84">
        <f t="shared" ref="AJ150:AJ152" si="253">AA150-AI150</f>
        <v>76808.672027879511</v>
      </c>
    </row>
    <row r="151" spans="1:36" s="1" customFormat="1" ht="15.75" thickTop="1">
      <c r="B151" s="86"/>
      <c r="C151" s="292"/>
      <c r="D151" s="68"/>
      <c r="E151" s="292"/>
      <c r="F151" s="102"/>
      <c r="G151" s="292">
        <f>'0401'!G151+'0402'!G151+'0403'!G151+'405'!G151+'0406'!G151+'0409'!G151+'410-sahara'!G151+'414-Al ghurair'!G151+'415'!G151+'Al Foah_418'!G151+Rak_417!G151+D.C.!G151+'Wafi _419'!G151</f>
        <v>0</v>
      </c>
      <c r="H151" s="102"/>
      <c r="I151" s="292">
        <f>'0401'!I151+'0402'!I151+'0403'!I151+'405'!I151+'0406'!I151+'0409'!I151+'410-sahara'!I151+'414-Al ghurair'!I151+'415'!I151+'Al Foah_418'!I151+Rak_417!I151+D.C.!I151+'Wafi _419'!I151</f>
        <v>0</v>
      </c>
      <c r="J151" s="102"/>
      <c r="K151" s="292">
        <f>'0401'!K151+'0402'!K151+'0403'!K151+'405'!K151+'0406'!K151+'0409'!K151+'410-sahara'!K151+'414-Al ghurair'!K151+'415'!K151+'Al Foah_418'!K151+Rak_417!K151+D.C.!K151+'Wafi _419'!K151</f>
        <v>0</v>
      </c>
      <c r="L151" s="102"/>
      <c r="M151" s="292">
        <f>'0401'!M151+'0402'!M151+'0403'!M151+'405'!M151+'0406'!M151+'0409'!M151+'410-sahara'!M151+'414-Al ghurair'!M151+'415'!M151+'Al Foah_418'!M151+Rak_417!M151+D.C.!M151+'Wafi _419'!M151</f>
        <v>0</v>
      </c>
      <c r="N151" s="102"/>
      <c r="O151" s="292">
        <f>'0401'!O151+'0402'!O151+'0403'!O151+'405'!O151+'0406'!O151+'0409'!O151+'410-sahara'!O151+'414-Al ghurair'!O151+'415'!O151+'Al Foah_418'!O151+Rak_417!O151+D.C.!O151+'Wafi _419'!O151</f>
        <v>0</v>
      </c>
      <c r="P151" s="102"/>
      <c r="Q151" s="292">
        <f>'0401'!Q151+'0402'!Q151+'0403'!Q151+'405'!Q151+'0406'!Q151+'0409'!Q151+'410-sahara'!Q151+'414-Al ghurair'!Q151+'415'!Q151+'Al Foah_418'!Q151+Rak_417!Q151+D.C.!Q151+'Wafi _419'!Q151</f>
        <v>0</v>
      </c>
      <c r="R151" s="102"/>
      <c r="S151" s="292">
        <f>'0401'!S151+'0402'!S151+'0403'!S151+'405'!S151+'0406'!S151+'0409'!S151+'410-sahara'!S151+'414-Al ghurair'!S151+'415'!S151+'Al Foah_418'!S151+Rak_417!S151+D.C.!S151+'Wafi _419'!S151</f>
        <v>0</v>
      </c>
      <c r="T151" s="102"/>
      <c r="U151" s="292">
        <f>'0401'!U151+'0402'!U151+'0403'!U151+'405'!U151+'0406'!U151+'0409'!U151+'410-sahara'!U151+'414-Al ghurair'!U151+'415'!U151+'Al Foah_418'!U151+Rak_417!U151+D.C.!U151+'Wafi _419'!U151</f>
        <v>0</v>
      </c>
      <c r="V151" s="102"/>
      <c r="W151" s="292">
        <f>'0401'!W151+'0402'!W151+'0403'!W151+'405'!W151+'0406'!W151+'0409'!W151+'410-sahara'!W151+'414-Al ghurair'!W151+'415'!W151+'Al Foah_418'!W151+Rak_417!W151+D.C.!W151+'Wafi _419'!W151</f>
        <v>0</v>
      </c>
      <c r="X151" s="104"/>
      <c r="Y151" s="292">
        <f>'0401'!Y151+'0402'!Y151+'0403'!Y151+'405'!Y151+'0406'!Y151+'0409'!Y151+'410-sahara'!Y151+'414-Al ghurair'!Y151+'415'!Y151+'Al Foah_418'!Y151+Rak_417!Y151+D.C.!Y151+'Wafi _419'!Y151</f>
        <v>0</v>
      </c>
      <c r="Z151" s="104"/>
      <c r="AA151" s="142">
        <f t="shared" si="248"/>
        <v>0</v>
      </c>
      <c r="AB151" s="160"/>
      <c r="AC151" s="126">
        <f t="shared" si="249"/>
        <v>0</v>
      </c>
      <c r="AD151" s="163"/>
      <c r="AE151" s="84">
        <f t="shared" si="250"/>
        <v>0</v>
      </c>
      <c r="AF151" s="33"/>
      <c r="AG151" s="33"/>
      <c r="AH151" s="84">
        <f t="shared" si="252"/>
        <v>0</v>
      </c>
      <c r="AI151" s="33">
        <f>'0401'!AA151+'0402'!AA151+'0403'!AA151+'405'!AA151+'0406'!AA151+'0409'!AA151+'410-sahara'!AA151+'414-Al ghurair'!AA151+'415'!AA151+'Al Foah_418'!AA151+Rak_417!AA151+D.C.!AA151</f>
        <v>0</v>
      </c>
      <c r="AJ151" s="84">
        <f t="shared" si="253"/>
        <v>0</v>
      </c>
    </row>
    <row r="152" spans="1:36" customFormat="1" ht="15.75" thickBot="1">
      <c r="A152" s="224"/>
      <c r="B152" s="357" t="s">
        <v>207</v>
      </c>
      <c r="C152" s="266">
        <f>'0401'!C152+'0402'!C152+'0403'!C152+'405'!C152+'0406'!C152+'0409'!C152+'410-sahara'!C152+'414-Al ghurair'!C152+'415'!C152+'Al Foah_418'!C152+Rak_417!C152+D.C.!C152+'Wafi _419'!C152</f>
        <v>-203010.55164981453</v>
      </c>
      <c r="D152" s="246">
        <f>C152/C12</f>
        <v>-1.8588504059217029E-2</v>
      </c>
      <c r="E152" s="266">
        <f>'0401'!E152+'0402'!E152+'0403'!E152+'405'!E152+'0406'!E152+'0409'!E152+'410-sahara'!E152+'414-Al ghurair'!E152+'415'!E152+'Al Foah_418'!E152+Rak_417!E152+D.C.!E152+'Wafi _419'!E152</f>
        <v>-779557.59951320232</v>
      </c>
      <c r="F152" s="246">
        <f>E152/E12</f>
        <v>-9.1747360940170733E-2</v>
      </c>
      <c r="G152" s="266">
        <f>'0401'!G152+'0402'!G152+'0403'!G152+'405'!G152+'0406'!G152+'0409'!G152+'410-sahara'!G152+'414-Al ghurair'!G152+'415'!G152+'Al Foah_418'!G152+Rak_417!G152+D.C.!G152+'Wafi _419'!G152</f>
        <v>1066284.2506970924</v>
      </c>
      <c r="H152" s="246">
        <f>G152/G12</f>
        <v>7.5653707087005015E-2</v>
      </c>
      <c r="I152" s="266">
        <f>'0401'!I152+'0402'!I152+'0403'!I152+'405'!I152+'0406'!I152+'0409'!I152+'410-sahara'!I152+'414-Al ghurair'!I152+'415'!I152+'Al Foah_418'!I152+Rak_417!I152+D.C.!I152+'Wafi _419'!I152</f>
        <v>977143.08482606988</v>
      </c>
      <c r="J152" s="246">
        <f>I152/I12</f>
        <v>7.851587895959973E-2</v>
      </c>
      <c r="K152" s="266">
        <f>'0401'!K152+'0402'!K152+'0403'!K152+'405'!K152+'0406'!K152+'0409'!K152+'410-sahara'!K152+'414-Al ghurair'!K152+'415'!K152+'Al Foah_418'!K152+Rak_417!K152+D.C.!K152+'Wafi _419'!K152</f>
        <v>830875.11821444216</v>
      </c>
      <c r="L152" s="246">
        <f>K152/K12</f>
        <v>7.2996663280300259E-2</v>
      </c>
      <c r="M152" s="266">
        <f>'0401'!M152+'0402'!M152+'0403'!M152+'405'!M152+'0406'!M152+'0409'!M152+'410-sahara'!M152+'414-Al ghurair'!M152+'415'!M152+'Al Foah_418'!M152+Rak_417!M152+D.C.!M152+'Wafi _419'!M152</f>
        <v>1990128.0257424871</v>
      </c>
      <c r="N152" s="246">
        <f>M152/M12</f>
        <v>0.12330374641549162</v>
      </c>
      <c r="O152" s="266">
        <f>'0401'!O152+'0402'!O152+'0403'!O152+'405'!O152+'0406'!O152+'0409'!O152+'410-sahara'!O152+'414-Al ghurair'!O152+'415'!O152+'Al Foah_418'!O152+Rak_417!O152+D.C.!O152+'Wafi _419'!O152</f>
        <v>83121.461068914359</v>
      </c>
      <c r="P152" s="246">
        <f>O152/O12</f>
        <v>8.1344628365672342E-3</v>
      </c>
      <c r="Q152" s="266">
        <f>'0401'!Q152+'0402'!Q152+'0403'!Q152+'405'!Q152+'0406'!Q152+'0409'!Q152+'410-sahara'!Q152+'414-Al ghurair'!Q152+'415'!Q152+'Al Foah_418'!Q152+Rak_417!Q152+D.C.!Q152+'Wafi _419'!Q152</f>
        <v>980926.28126651677</v>
      </c>
      <c r="R152" s="246">
        <f>Q152/Q12</f>
        <v>7.7307523563365302E-2</v>
      </c>
      <c r="S152" s="266">
        <f>'0401'!S152+'0402'!S152+'0403'!S152+'405'!S152+'0406'!S152+'0409'!S152+'410-sahara'!S152+'414-Al ghurair'!S152+'415'!S152+'Al Foah_418'!S152+Rak_417!S152+D.C.!S152+'Wafi _419'!S152</f>
        <v>745477.37083918054</v>
      </c>
      <c r="T152" s="246">
        <f>S152/S12</f>
        <v>5.8321251112733639E-2</v>
      </c>
      <c r="U152" s="266">
        <f>'0401'!U152+'0402'!U152+'0403'!U152+'405'!U152+'0406'!U152+'0409'!U152+'410-sahara'!U152+'414-Al ghurair'!U152+'415'!U152+'Al Foah_418'!U152+Rak_417!U152+D.C.!U152+'Wafi _419'!U152</f>
        <v>-2270.1853873908221</v>
      </c>
      <c r="V152" s="246">
        <f>U152/U12</f>
        <v>-2.2390686879127762E-4</v>
      </c>
      <c r="W152" s="266">
        <f>'0401'!W152+'0402'!W152+'0403'!W152+'405'!W152+'0406'!W152+'0409'!W152+'410-sahara'!W152+'414-Al ghurair'!W152+'415'!W152+'Al Foah_418'!W152+Rak_417!W152+D.C.!W152+'Wafi _419'!W152</f>
        <v>79244.73990618567</v>
      </c>
      <c r="X152" s="246">
        <f>W152/W12</f>
        <v>7.6818721806288567E-3</v>
      </c>
      <c r="Y152" s="266">
        <f>'0401'!Y152+'0402'!Y152+'0403'!Y152+'405'!Y152+'0406'!Y152+'0409'!Y152+'410-sahara'!Y152+'414-Al ghurair'!Y152+'415'!Y152+'Al Foah_418'!Y152+Rak_417!Y152+D.C.!Y152+'Wafi _419'!Y152</f>
        <v>1745983.8702251196</v>
      </c>
      <c r="Z152" s="246">
        <f>Y152/Y12</f>
        <v>0.11203897541381477</v>
      </c>
      <c r="AA152" s="266">
        <f t="shared" si="248"/>
        <v>7514345.8662355999</v>
      </c>
      <c r="AB152" s="236">
        <f>AA152/AA12</f>
        <v>5.1748928256940038E-2</v>
      </c>
      <c r="AC152" s="234">
        <f t="shared" si="249"/>
        <v>626195.48885296669</v>
      </c>
      <c r="AD152" s="236">
        <f>AC152/AC12</f>
        <v>5.1748928256940038E-2</v>
      </c>
      <c r="AE152" s="85">
        <f t="shared" si="250"/>
        <v>7514345.8662355999</v>
      </c>
      <c r="AF152" s="192" t="e">
        <f>#REF!+'0401'!#REF!+'0402'!#REF!+'0403'!#REF!+#REF!+'405'!#REF!+'0406'!#REF!+D.C.!#REF!+#REF!+#REF!+'0409'!#REF!</f>
        <v>#REF!</v>
      </c>
      <c r="AG152" s="192" t="e">
        <f t="shared" si="247"/>
        <v>#REF!</v>
      </c>
      <c r="AH152" s="85">
        <f t="shared" si="252"/>
        <v>0</v>
      </c>
      <c r="AI152" s="192">
        <f>'0401'!AA152+'0402'!AA152+'0403'!AA152+'405'!AA152+'0406'!AA152+'0409'!AA152+'410-sahara'!AA152+'414-Al ghurair'!AA152+'415'!AA152+'Al Foah_418'!AA152+Rak_417!AA152+D.C.!AA152</f>
        <v>6819637.506551519</v>
      </c>
      <c r="AJ152" s="84">
        <f t="shared" si="253"/>
        <v>694708.35968408082</v>
      </c>
    </row>
    <row r="153" spans="1:36" customFormat="1" ht="15.75" hidden="1" thickTop="1">
      <c r="A153" s="1"/>
      <c r="B153" s="191" t="s">
        <v>308</v>
      </c>
      <c r="C153" s="48">
        <f>C152-D.C.!C152</f>
        <v>-167599.12264981453</v>
      </c>
      <c r="D153" s="106"/>
      <c r="E153" s="48">
        <f>E152-D.C.!E152</f>
        <v>-747466.99051320227</v>
      </c>
      <c r="F153" s="104"/>
      <c r="G153" s="48">
        <f>G152-D.C.!G152</f>
        <v>1122110.6096970923</v>
      </c>
      <c r="H153" s="104"/>
      <c r="I153" s="48">
        <f>I152-D.C.!I152</f>
        <v>1021960.9138260699</v>
      </c>
      <c r="J153" s="104"/>
      <c r="K153" s="48">
        <f>K152-D.C.!K152</f>
        <v>849304.03721444216</v>
      </c>
      <c r="L153" s="104"/>
      <c r="M153" s="48">
        <f>M152-D.C.!M152</f>
        <v>2056812.4647424871</v>
      </c>
      <c r="N153" s="104"/>
      <c r="O153" s="48">
        <f>O152-D.C.!O152</f>
        <v>106124.47006891436</v>
      </c>
      <c r="P153" s="104"/>
      <c r="Q153" s="48">
        <f>Q152-D.C.!Q152</f>
        <v>1025043.1102665168</v>
      </c>
      <c r="R153" s="104"/>
      <c r="S153" s="48">
        <f>S152-D.C.!S152</f>
        <v>789045.1998391801</v>
      </c>
      <c r="T153" s="104"/>
      <c r="U153" s="48">
        <f>U152-D.C.!U152</f>
        <v>41297.643612609172</v>
      </c>
      <c r="V153" s="104"/>
      <c r="W153" s="48">
        <f>W152-D.C.!W152</f>
        <v>122812.56890618567</v>
      </c>
      <c r="X153" s="104"/>
      <c r="Y153" s="48">
        <f>Y152-D.C.!Y152</f>
        <v>1789551.6992251195</v>
      </c>
      <c r="Z153" s="104" t="s">
        <v>103</v>
      </c>
      <c r="AA153" s="292">
        <f>AA152*0.985</f>
        <v>7401630.6782420659</v>
      </c>
      <c r="AB153" s="102"/>
      <c r="AC153" s="5"/>
      <c r="AD153" s="102"/>
      <c r="AF153" s="33"/>
      <c r="AG153" s="33"/>
      <c r="AH153" s="84"/>
    </row>
    <row r="154" spans="1:36" s="1" customFormat="1" hidden="1">
      <c r="C154" s="413">
        <f>C152-D.C.!C152</f>
        <v>-167599.12264981453</v>
      </c>
      <c r="D154" s="414"/>
      <c r="E154" s="413">
        <f>E152-D.C.!E152</f>
        <v>-747466.99051320227</v>
      </c>
      <c r="F154" s="414"/>
      <c r="G154" s="413">
        <f>G152-D.C.!G152</f>
        <v>1122110.6096970923</v>
      </c>
      <c r="H154" s="217"/>
      <c r="I154" s="215"/>
      <c r="J154" s="217"/>
      <c r="K154" s="215"/>
      <c r="L154" s="217"/>
      <c r="M154" s="215"/>
      <c r="N154" s="217"/>
      <c r="O154" s="215"/>
      <c r="P154" s="217"/>
      <c r="Q154" s="215"/>
      <c r="R154" s="217"/>
      <c r="S154" s="215"/>
      <c r="T154" s="217"/>
      <c r="U154" s="215"/>
      <c r="V154" s="217"/>
      <c r="W154" s="215"/>
      <c r="X154" s="217"/>
      <c r="Y154" s="215"/>
      <c r="Z154" s="217"/>
      <c r="AA154" s="32"/>
      <c r="AB154" s="218"/>
      <c r="AC154" s="5"/>
      <c r="AD154" s="218"/>
      <c r="AF154" s="33"/>
      <c r="AG154" s="33"/>
    </row>
    <row r="155" spans="1:36" s="1" customFormat="1" hidden="1">
      <c r="B155" s="1" t="s">
        <v>336</v>
      </c>
      <c r="C155" s="408">
        <f>C153</f>
        <v>-167599.12264981453</v>
      </c>
      <c r="D155" s="216"/>
      <c r="E155" s="215">
        <f>E153+C155</f>
        <v>-915066.11316301674</v>
      </c>
      <c r="F155" s="217"/>
      <c r="G155" s="215">
        <f>G153+E155</f>
        <v>207044.49653407559</v>
      </c>
      <c r="H155" s="217"/>
      <c r="I155" s="215">
        <f>I153+G155</f>
        <v>1229005.4103601454</v>
      </c>
      <c r="J155" s="217"/>
      <c r="K155" s="215">
        <f>K153+I155</f>
        <v>2078309.4475745875</v>
      </c>
      <c r="L155" s="217"/>
      <c r="M155" s="215">
        <f>M153+K155</f>
        <v>4135121.9123170748</v>
      </c>
      <c r="N155" s="217"/>
      <c r="O155" s="215">
        <f>O153+M155</f>
        <v>4241246.3823859897</v>
      </c>
      <c r="P155" s="217"/>
      <c r="Q155" s="215">
        <f>Q153+O155</f>
        <v>5266289.4926525066</v>
      </c>
      <c r="R155" s="217"/>
      <c r="S155" s="215">
        <f>S153+Q155</f>
        <v>6055334.6924916869</v>
      </c>
      <c r="T155" s="217"/>
      <c r="U155" s="215">
        <f>U153+S155</f>
        <v>6096632.3361042961</v>
      </c>
      <c r="V155" s="217"/>
      <c r="W155" s="215">
        <f>W153+U155</f>
        <v>6219444.9050104814</v>
      </c>
      <c r="X155" s="217"/>
      <c r="Y155" s="215">
        <f>Y153+W155</f>
        <v>8008996.6042356007</v>
      </c>
      <c r="Z155" s="217"/>
      <c r="AA155" s="32"/>
      <c r="AB155" s="218"/>
      <c r="AC155" s="5"/>
      <c r="AD155" s="218"/>
      <c r="AF155" s="33"/>
      <c r="AG155" s="33"/>
    </row>
    <row r="156" spans="1:36" hidden="1">
      <c r="A156" s="282"/>
      <c r="B156" s="283" t="s">
        <v>147</v>
      </c>
      <c r="C156" s="409">
        <f>C152</f>
        <v>-203010.55164981453</v>
      </c>
      <c r="D156" s="410"/>
      <c r="E156" s="409">
        <f>E152+C156</f>
        <v>-982568.15116301691</v>
      </c>
      <c r="F156" s="411"/>
      <c r="G156" s="409">
        <f>G152+E156</f>
        <v>83716.099534075474</v>
      </c>
      <c r="H156" s="411"/>
      <c r="I156" s="409">
        <f>I152+G156</f>
        <v>1060859.1843601454</v>
      </c>
      <c r="J156" s="411"/>
      <c r="K156" s="409">
        <f>K152+I156</f>
        <v>1891734.3025745875</v>
      </c>
      <c r="L156" s="411"/>
      <c r="M156" s="409">
        <f>M152+K156</f>
        <v>3881862.3283170746</v>
      </c>
      <c r="N156" s="411"/>
      <c r="O156" s="409">
        <f>O152+M156</f>
        <v>3964983.7893859888</v>
      </c>
      <c r="P156" s="411"/>
      <c r="Q156" s="409">
        <f>Q152+O156</f>
        <v>4945910.0706525054</v>
      </c>
      <c r="R156" s="411"/>
      <c r="S156" s="409">
        <f>S152+Q156</f>
        <v>5691387.4414916858</v>
      </c>
      <c r="T156" s="411"/>
      <c r="U156" s="409">
        <f>U152+S156</f>
        <v>5689117.2561042951</v>
      </c>
      <c r="V156" s="411"/>
      <c r="W156" s="409">
        <f>W152+U156</f>
        <v>5768361.9960104804</v>
      </c>
      <c r="X156" s="411"/>
      <c r="Y156" s="409">
        <f>Y152+W156</f>
        <v>7514345.8662355999</v>
      </c>
      <c r="Z156" s="411"/>
      <c r="AA156" s="412">
        <f>'0401'!AA152+'0402'!AA152+'0403'!AA152+'405'!AA152+'0406'!AA152+'0409'!AA152+'410-sahara'!AA152+'414-Al ghurair'!AA152+'415'!AA152+Rak_417!AA152+'Al Foah_418'!AA152+'Wafi _419'!AA152+D.C.!AA152</f>
        <v>7510915.5548024392</v>
      </c>
      <c r="AC156" s="269"/>
      <c r="AD156" s="304"/>
    </row>
    <row r="157" spans="1:36" ht="15.75" thickTop="1">
      <c r="AA157" s="269"/>
      <c r="AC157" s="269"/>
    </row>
    <row r="158" spans="1:36">
      <c r="B158" s="275" t="s">
        <v>240</v>
      </c>
      <c r="C158" s="215">
        <f>C152</f>
        <v>-203010.55164981453</v>
      </c>
      <c r="D158" s="673"/>
      <c r="E158" s="215">
        <f>C158+E152</f>
        <v>-982568.15116301691</v>
      </c>
      <c r="G158" s="215">
        <f>E158+G152</f>
        <v>83716.099534075474</v>
      </c>
      <c r="I158" s="215">
        <f>G158+I152</f>
        <v>1060859.1843601454</v>
      </c>
      <c r="K158" s="215">
        <f>I158+K152</f>
        <v>1891734.3025745875</v>
      </c>
      <c r="M158" s="215">
        <f>K158+M152</f>
        <v>3881862.3283170746</v>
      </c>
      <c r="O158" s="215">
        <f>M158+O152</f>
        <v>3964983.7893859888</v>
      </c>
      <c r="Q158" s="215">
        <f>O158+Q152</f>
        <v>4945910.0706525054</v>
      </c>
      <c r="S158" s="215">
        <f>Q158+S152</f>
        <v>5691387.4414916858</v>
      </c>
      <c r="U158" s="215">
        <f>S158+U152</f>
        <v>5689117.2561042951</v>
      </c>
      <c r="W158" s="215">
        <f>U158+W152</f>
        <v>5768361.9960104804</v>
      </c>
      <c r="Y158" s="215">
        <f>W158+Y152</f>
        <v>7514345.8662355999</v>
      </c>
      <c r="AA158" s="701"/>
    </row>
    <row r="159" spans="1:36">
      <c r="F159" s="435"/>
      <c r="I159" s="215">
        <v>-1830786.06</v>
      </c>
      <c r="M159" s="435">
        <f>M158*10%</f>
        <v>388186.23283170746</v>
      </c>
      <c r="O159" s="435">
        <f>O158+M150</f>
        <v>4192566.5266907099</v>
      </c>
    </row>
    <row r="160" spans="1:36" hidden="1">
      <c r="B160" s="422" t="s">
        <v>144</v>
      </c>
      <c r="C160" s="423">
        <f>C152</f>
        <v>-203010.55164981453</v>
      </c>
      <c r="D160" s="423"/>
      <c r="E160" s="423">
        <f>E152</f>
        <v>-779557.59951320232</v>
      </c>
      <c r="F160" s="423"/>
      <c r="G160" s="423">
        <f>G152</f>
        <v>1066284.2506970924</v>
      </c>
      <c r="H160" s="423"/>
      <c r="I160" s="423">
        <f>I152</f>
        <v>977143.08482606988</v>
      </c>
      <c r="J160" s="423"/>
      <c r="K160" s="423"/>
      <c r="L160" s="423"/>
      <c r="M160" s="423"/>
      <c r="N160" s="423"/>
      <c r="O160" s="423"/>
      <c r="P160" s="423"/>
      <c r="Q160" s="423">
        <f>Q152</f>
        <v>980926.28126651677</v>
      </c>
      <c r="R160" s="423"/>
      <c r="S160" s="423">
        <f>S152</f>
        <v>745477.37083918054</v>
      </c>
      <c r="T160" s="423"/>
      <c r="U160" s="423">
        <f>U152</f>
        <v>-2270.1853873908221</v>
      </c>
      <c r="V160" s="423"/>
      <c r="W160" s="423">
        <f>W152</f>
        <v>79244.73990618567</v>
      </c>
      <c r="X160" s="423"/>
      <c r="Y160" s="423">
        <f>Y152</f>
        <v>1745983.8702251196</v>
      </c>
      <c r="Z160" s="423"/>
      <c r="AA160" s="423">
        <f>AA152</f>
        <v>7514345.8662355999</v>
      </c>
      <c r="AB160" s="423"/>
      <c r="AC160" s="423">
        <f>AC152</f>
        <v>626195.48885296669</v>
      </c>
      <c r="AD160" s="423"/>
      <c r="AF160" s="214"/>
      <c r="AG160" s="214"/>
    </row>
    <row r="161" spans="1:33" hidden="1">
      <c r="AF161" s="214"/>
      <c r="AG161" s="214"/>
    </row>
    <row r="162" spans="1:33" hidden="1">
      <c r="B162" s="214" t="s">
        <v>237</v>
      </c>
      <c r="C162" s="215">
        <f>C150</f>
        <v>-19574.105738868278</v>
      </c>
      <c r="E162" s="215">
        <f>E150</f>
        <v>-84003.868834800262</v>
      </c>
      <c r="G162" s="215">
        <f>G150</f>
        <v>123726.97563301024</v>
      </c>
      <c r="I162" s="215">
        <f>I150</f>
        <v>112599.2316473411</v>
      </c>
      <c r="Q162" s="215">
        <f>Q150</f>
        <v>112880.69791850187</v>
      </c>
      <c r="S162" s="215">
        <f>S150</f>
        <v>86719.707871020044</v>
      </c>
      <c r="U162" s="215">
        <f>U150</f>
        <v>3636.6460680676864</v>
      </c>
      <c r="W162" s="215">
        <f>W150</f>
        <v>12693.8599895762</v>
      </c>
      <c r="Y162" s="215">
        <f>Y150</f>
        <v>197887.09669167991</v>
      </c>
      <c r="AA162" s="215">
        <f>AA150</f>
        <v>878403.73958173336</v>
      </c>
      <c r="AC162" s="215">
        <f>AC150</f>
        <v>73200.311631811113</v>
      </c>
      <c r="AF162" s="214"/>
      <c r="AG162" s="214"/>
    </row>
    <row r="163" spans="1:33" hidden="1">
      <c r="AF163" s="214"/>
      <c r="AG163" s="214"/>
    </row>
    <row r="164" spans="1:33" hidden="1">
      <c r="B164" s="214" t="s">
        <v>241</v>
      </c>
      <c r="C164" s="215">
        <f>C142</f>
        <v>645209.57176920748</v>
      </c>
      <c r="D164" s="215"/>
      <c r="E164" s="215">
        <f>E142</f>
        <v>645209.57176920748</v>
      </c>
      <c r="F164" s="215"/>
      <c r="G164" s="215">
        <f>G142</f>
        <v>645209.57176920748</v>
      </c>
      <c r="H164" s="215"/>
      <c r="I164" s="215">
        <f>I142</f>
        <v>645209.57176920748</v>
      </c>
      <c r="J164" s="215"/>
      <c r="L164" s="215"/>
      <c r="N164" s="215"/>
      <c r="P164" s="215"/>
      <c r="Q164" s="215">
        <f>Q142</f>
        <v>645209.57176920748</v>
      </c>
      <c r="R164" s="215"/>
      <c r="S164" s="215">
        <f>S142</f>
        <v>645209.57176920748</v>
      </c>
      <c r="T164" s="215"/>
      <c r="U164" s="215">
        <f>U142</f>
        <v>645209.57176920748</v>
      </c>
      <c r="V164" s="215"/>
      <c r="W164" s="215">
        <f>W142</f>
        <v>645209.57176920748</v>
      </c>
      <c r="X164" s="215"/>
      <c r="Y164" s="215">
        <f>Y142</f>
        <v>645209.57176920748</v>
      </c>
      <c r="Z164" s="215"/>
      <c r="AA164" s="215">
        <f>AA142</f>
        <v>7742514.8612304917</v>
      </c>
      <c r="AB164" s="215"/>
      <c r="AC164" s="215">
        <f>AC142</f>
        <v>645209.5717692076</v>
      </c>
      <c r="AD164" s="215"/>
      <c r="AF164" s="214"/>
      <c r="AG164" s="214"/>
    </row>
    <row r="165" spans="1:33" hidden="1">
      <c r="AA165" s="215"/>
      <c r="AC165" s="215"/>
      <c r="AF165" s="214"/>
      <c r="AG165" s="214"/>
    </row>
    <row r="166" spans="1:33" hidden="1">
      <c r="B166" s="214" t="s">
        <v>238</v>
      </c>
      <c r="C166" s="215">
        <f>C144-C142</f>
        <v>464167.52</v>
      </c>
      <c r="D166" s="215"/>
      <c r="E166" s="215">
        <f>E144-E142</f>
        <v>464167.52</v>
      </c>
      <c r="F166" s="215"/>
      <c r="G166" s="215">
        <f>G144-G142</f>
        <v>454050.91999999993</v>
      </c>
      <c r="H166" s="215"/>
      <c r="I166" s="215">
        <f>I144-I142</f>
        <v>386083.51</v>
      </c>
      <c r="J166" s="215"/>
      <c r="L166" s="215"/>
      <c r="N166" s="215"/>
      <c r="P166" s="215"/>
      <c r="Q166" s="215">
        <f>Q144-Q142</f>
        <v>384435.46999999986</v>
      </c>
      <c r="R166" s="215"/>
      <c r="S166" s="215">
        <f>S144-S142</f>
        <v>384435.38</v>
      </c>
      <c r="T166" s="215"/>
      <c r="U166" s="215">
        <f>U144-U142</f>
        <v>384432.62999999989</v>
      </c>
      <c r="V166" s="215"/>
      <c r="W166" s="215">
        <f>W144-W142</f>
        <v>384432.62999999989</v>
      </c>
      <c r="X166" s="215"/>
      <c r="Y166" s="215">
        <f>Y144-Y142</f>
        <v>384432.62999999989</v>
      </c>
      <c r="Z166" s="215"/>
      <c r="AA166" s="215">
        <f>AA144-AA142</f>
        <v>4844243.5399999944</v>
      </c>
      <c r="AB166" s="215"/>
      <c r="AC166" s="215">
        <f>AC144-AC142</f>
        <v>403686.96166666632</v>
      </c>
      <c r="AD166" s="215"/>
      <c r="AF166" s="214"/>
      <c r="AG166" s="214"/>
    </row>
    <row r="167" spans="1:33" hidden="1">
      <c r="AC167" s="215"/>
      <c r="AF167" s="214"/>
      <c r="AG167" s="214"/>
    </row>
    <row r="168" spans="1:33" hidden="1">
      <c r="AF168" s="214"/>
      <c r="AG168" s="214"/>
    </row>
    <row r="169" spans="1:33" hidden="1">
      <c r="B169" s="424" t="s">
        <v>239</v>
      </c>
      <c r="C169" s="425">
        <f>C162+C160+C164+C166</f>
        <v>886792.43438052468</v>
      </c>
      <c r="D169" s="426"/>
      <c r="E169" s="425">
        <f>E162+E160+E164+E166</f>
        <v>245815.62342120497</v>
      </c>
      <c r="F169" s="425"/>
      <c r="G169" s="425">
        <f>G162+G160+G164+G166</f>
        <v>2289271.7180993101</v>
      </c>
      <c r="H169" s="425"/>
      <c r="I169" s="425">
        <f>I162+I160+I164+I166</f>
        <v>2121035.3982426184</v>
      </c>
      <c r="J169" s="425"/>
      <c r="K169" s="425"/>
      <c r="L169" s="425"/>
      <c r="M169" s="425"/>
      <c r="N169" s="425"/>
      <c r="O169" s="425"/>
      <c r="P169" s="425"/>
      <c r="Q169" s="425">
        <f>Q162+Q160+Q164+Q166</f>
        <v>2123452.0209542261</v>
      </c>
      <c r="R169" s="425"/>
      <c r="S169" s="425">
        <f>S162+S160+S164+S166</f>
        <v>1861842.0304794079</v>
      </c>
      <c r="T169" s="425"/>
      <c r="U169" s="425">
        <f>U162+U160+U164+U166</f>
        <v>1031008.6624498842</v>
      </c>
      <c r="V169" s="425"/>
      <c r="W169" s="425">
        <f>W162+W160+W164+W166</f>
        <v>1121580.8016649692</v>
      </c>
      <c r="X169" s="425"/>
      <c r="Y169" s="425">
        <f>Y162+Y160+Y164+Y166</f>
        <v>2973513.1686860071</v>
      </c>
      <c r="Z169" s="425"/>
      <c r="AA169" s="425">
        <f>AA162+AA160+AA164+AA166</f>
        <v>20979508.007047821</v>
      </c>
      <c r="AC169" s="215">
        <f>AA169/12</f>
        <v>1748292.3339206518</v>
      </c>
      <c r="AF169" s="214"/>
      <c r="AG169" s="214"/>
    </row>
    <row r="170" spans="1:33">
      <c r="M170" s="215">
        <f>M159/12</f>
        <v>32348.852735975623</v>
      </c>
      <c r="O170" s="215">
        <f>O159*10%</f>
        <v>419256.65266907099</v>
      </c>
      <c r="W170" s="215" t="s">
        <v>103</v>
      </c>
      <c r="Y170" s="215">
        <f>Y158*0.985</f>
        <v>7401630.6782420659</v>
      </c>
      <c r="AF170" s="214"/>
      <c r="AG170" s="214"/>
    </row>
    <row r="171" spans="1:33">
      <c r="B171" s="275"/>
      <c r="AF171" s="214"/>
      <c r="AG171" s="214"/>
    </row>
    <row r="172" spans="1:33">
      <c r="B172" s="680" t="s">
        <v>240</v>
      </c>
      <c r="C172" s="681">
        <f>C169</f>
        <v>886792.43438052468</v>
      </c>
      <c r="D172" s="681"/>
      <c r="E172" s="681">
        <f>C172+E169</f>
        <v>1132608.0578017295</v>
      </c>
      <c r="F172" s="681"/>
      <c r="G172" s="681">
        <f>E172+G169</f>
        <v>3421879.7759010396</v>
      </c>
      <c r="H172" s="681"/>
      <c r="I172" s="681">
        <f>G172+I169</f>
        <v>5542915.174143658</v>
      </c>
      <c r="J172" s="681"/>
      <c r="K172" s="681"/>
      <c r="L172" s="681"/>
      <c r="M172" s="681"/>
      <c r="N172" s="681"/>
      <c r="O172" s="681"/>
      <c r="P172" s="681"/>
      <c r="Q172" s="681">
        <f>O172+Q169</f>
        <v>2123452.0209542261</v>
      </c>
      <c r="R172" s="681"/>
      <c r="S172" s="681">
        <f>Q172+S169</f>
        <v>3985294.051433634</v>
      </c>
      <c r="T172" s="681"/>
      <c r="U172" s="681">
        <f>S172+U169</f>
        <v>5016302.7138835182</v>
      </c>
      <c r="V172" s="681"/>
      <c r="W172" s="681">
        <f>U172+W169</f>
        <v>6137883.5155484872</v>
      </c>
      <c r="X172" s="681"/>
      <c r="Y172" s="681">
        <f>W172+Y169</f>
        <v>9111396.6842344943</v>
      </c>
      <c r="Z172" s="681"/>
      <c r="AA172" s="681"/>
      <c r="AB172" s="423"/>
      <c r="AC172" s="423"/>
      <c r="AD172" s="423"/>
      <c r="AF172" s="214"/>
      <c r="AG172" s="214"/>
    </row>
    <row r="173" spans="1:33">
      <c r="A173" s="786">
        <v>401</v>
      </c>
      <c r="B173" s="682"/>
      <c r="C173" s="781">
        <f>'0401'!C152</f>
        <v>-48720.636585919579</v>
      </c>
      <c r="D173" s="781"/>
      <c r="E173" s="781">
        <f>'0401'!E152</f>
        <v>-119805.24844407501</v>
      </c>
      <c r="F173" s="788"/>
      <c r="G173" s="781">
        <f>'0401'!G152</f>
        <v>91681.414886370359</v>
      </c>
      <c r="H173" s="788"/>
      <c r="I173" s="781">
        <f>'0401'!I152</f>
        <v>44058.358789186292</v>
      </c>
      <c r="J173" s="788"/>
      <c r="K173" s="781">
        <f>'0401'!K152</f>
        <v>-58241.033861744276</v>
      </c>
      <c r="L173" s="788"/>
      <c r="M173" s="781">
        <f>'0401'!M152</f>
        <v>95036.427937621789</v>
      </c>
      <c r="N173" s="788"/>
      <c r="O173" s="781">
        <f>'0401'!O152</f>
        <v>-89388.070716231945</v>
      </c>
      <c r="P173" s="788"/>
      <c r="Q173" s="781">
        <f>'0401'!Q152</f>
        <v>3913.8122925296389</v>
      </c>
      <c r="R173" s="788"/>
      <c r="S173" s="781">
        <f>'0401'!S152</f>
        <v>7486.4141281365919</v>
      </c>
      <c r="T173" s="788"/>
      <c r="U173" s="781">
        <f>'0401'!U152</f>
        <v>-63229.687667386512</v>
      </c>
      <c r="V173" s="788"/>
      <c r="W173" s="781">
        <f>'0401'!W152</f>
        <v>-26457.146216397239</v>
      </c>
      <c r="X173" s="788"/>
      <c r="Y173" s="781">
        <f>'0401'!Y152</f>
        <v>92602.866903778136</v>
      </c>
      <c r="Z173" s="788"/>
      <c r="AA173" s="781">
        <f>'0401'!AA152</f>
        <v>-71062.52855413506</v>
      </c>
      <c r="AB173" s="789"/>
      <c r="AC173" s="719">
        <f>AA173*0.985</f>
        <v>-69996.590625823039</v>
      </c>
      <c r="AE173" s="218">
        <f>'0401'!AA152+'0402'!AA152+'0403'!AA152+'405'!AA152+'0406'!AA152+'0409'!AA152+'410-sahara'!AA152+'414-Al ghurair'!AA152+'415'!AA152+'Al Foah_418'!AA152+Rak_417!AA152+D.C.!AA152</f>
        <v>6819637.506551519</v>
      </c>
    </row>
    <row r="174" spans="1:33">
      <c r="A174" s="786">
        <v>402</v>
      </c>
      <c r="B174" s="682"/>
      <c r="C174" s="781">
        <f>'0402'!C152</f>
        <v>-65462.288335968362</v>
      </c>
      <c r="D174" s="781"/>
      <c r="E174" s="781">
        <f>'0402'!E152</f>
        <v>-94729.566349849891</v>
      </c>
      <c r="F174" s="788"/>
      <c r="G174" s="781">
        <f>'0402'!G152</f>
        <v>72282.058137954518</v>
      </c>
      <c r="H174" s="788"/>
      <c r="I174" s="781">
        <f>'0402'!I152</f>
        <v>54956.976594268664</v>
      </c>
      <c r="J174" s="788"/>
      <c r="K174" s="781">
        <f>'0402'!K152</f>
        <v>81271.35186365855</v>
      </c>
      <c r="L174" s="788"/>
      <c r="M174" s="781">
        <f>'0402'!M152</f>
        <v>167999.15344512582</v>
      </c>
      <c r="N174" s="788"/>
      <c r="O174" s="781">
        <f>'0402'!O152</f>
        <v>-22664.432412438138</v>
      </c>
      <c r="P174" s="788"/>
      <c r="Q174" s="781">
        <f>'0402'!Q152</f>
        <v>70012.895400999405</v>
      </c>
      <c r="R174" s="788"/>
      <c r="S174" s="781">
        <f>'0402'!S152</f>
        <v>100988.65164741286</v>
      </c>
      <c r="T174" s="788"/>
      <c r="U174" s="781">
        <f>'0402'!U152</f>
        <v>-16846.224012211555</v>
      </c>
      <c r="V174" s="788"/>
      <c r="W174" s="781">
        <f>'0402'!W152</f>
        <v>-7533.8165650307747</v>
      </c>
      <c r="X174" s="788"/>
      <c r="Y174" s="781">
        <f>'0402'!Y152</f>
        <v>153840.75906873005</v>
      </c>
      <c r="Z174" s="788"/>
      <c r="AA174" s="781">
        <f>'0402'!AA152</f>
        <v>494115.51848264702</v>
      </c>
      <c r="AB174" s="789"/>
      <c r="AC174" s="719">
        <f t="shared" ref="AC174:AC191" si="254">AA174*0.985</f>
        <v>486703.78570540732</v>
      </c>
    </row>
    <row r="175" spans="1:33">
      <c r="A175" s="786">
        <v>403</v>
      </c>
      <c r="B175" s="682"/>
      <c r="C175" s="781">
        <f>'0403'!C152</f>
        <v>-53665.384820543157</v>
      </c>
      <c r="D175" s="781"/>
      <c r="E175" s="781">
        <f>'0403'!E152</f>
        <v>-93347.596807780603</v>
      </c>
      <c r="F175" s="788"/>
      <c r="G175" s="781">
        <f>'0403'!G152</f>
        <v>74011.535651679893</v>
      </c>
      <c r="H175" s="788"/>
      <c r="I175" s="781">
        <f>'0403'!I152</f>
        <v>66522.095451555215</v>
      </c>
      <c r="J175" s="788"/>
      <c r="K175" s="781">
        <f>'0403'!K152</f>
        <v>70106.289298062722</v>
      </c>
      <c r="L175" s="788"/>
      <c r="M175" s="781">
        <f>'0403'!M152</f>
        <v>149750.90524138079</v>
      </c>
      <c r="N175" s="788"/>
      <c r="O175" s="781">
        <f>'0403'!O152</f>
        <v>-32410.392988689702</v>
      </c>
      <c r="P175" s="788"/>
      <c r="Q175" s="781">
        <f>'0403'!Q152</f>
        <v>111994.37315743725</v>
      </c>
      <c r="R175" s="788"/>
      <c r="S175" s="781">
        <f>'0403'!S152</f>
        <v>52503.856555396596</v>
      </c>
      <c r="T175" s="788"/>
      <c r="U175" s="781">
        <f>'0403'!U152</f>
        <v>-15435.270887482106</v>
      </c>
      <c r="V175" s="788"/>
      <c r="W175" s="781">
        <f>'0403'!W152</f>
        <v>-7646.1905589857533</v>
      </c>
      <c r="X175" s="788"/>
      <c r="Y175" s="781">
        <f>'0403'!Y152</f>
        <v>139809.20738927531</v>
      </c>
      <c r="Z175" s="788"/>
      <c r="AA175" s="781">
        <f>'0403'!AA152</f>
        <v>462193.42668130738</v>
      </c>
      <c r="AB175" s="789"/>
      <c r="AC175" s="719">
        <f t="shared" si="254"/>
        <v>455260.52528108779</v>
      </c>
    </row>
    <row r="176" spans="1:33">
      <c r="A176" s="786">
        <v>405</v>
      </c>
      <c r="B176" s="682"/>
      <c r="C176" s="781">
        <f>'405'!C152</f>
        <v>175321.11960423595</v>
      </c>
      <c r="D176" s="781"/>
      <c r="E176" s="781">
        <f>'405'!E152</f>
        <v>82979.139164923894</v>
      </c>
      <c r="F176" s="788"/>
      <c r="G176" s="781">
        <f>'405'!G152</f>
        <v>366988.98028140597</v>
      </c>
      <c r="H176" s="788"/>
      <c r="I176" s="781">
        <f>'405'!I152</f>
        <v>349827.97698344325</v>
      </c>
      <c r="J176" s="788"/>
      <c r="K176" s="781">
        <f>'405'!K152</f>
        <v>242403.72803806153</v>
      </c>
      <c r="L176" s="788"/>
      <c r="M176" s="781">
        <f>'405'!M152</f>
        <v>489684.068560799</v>
      </c>
      <c r="N176" s="788"/>
      <c r="O176" s="781">
        <f>'405'!O152</f>
        <v>202317.88953502753</v>
      </c>
      <c r="P176" s="788"/>
      <c r="Q176" s="781">
        <f>'405'!Q152</f>
        <v>366132.79501804413</v>
      </c>
      <c r="R176" s="788"/>
      <c r="S176" s="781">
        <f>'405'!S152</f>
        <v>255503.32349439178</v>
      </c>
      <c r="T176" s="788"/>
      <c r="U176" s="781">
        <f>'405'!U152</f>
        <v>212173.10562455509</v>
      </c>
      <c r="V176" s="788"/>
      <c r="W176" s="781">
        <f>'405'!W152</f>
        <v>234957.10198667637</v>
      </c>
      <c r="X176" s="788"/>
      <c r="Y176" s="781">
        <f>'405'!Y152</f>
        <v>468468.87701276888</v>
      </c>
      <c r="Z176" s="788"/>
      <c r="AA176" s="781">
        <f>'405'!AA152</f>
        <v>3446758.1053043329</v>
      </c>
      <c r="AB176" s="789"/>
      <c r="AC176" s="719">
        <f t="shared" si="254"/>
        <v>3395056.7337247678</v>
      </c>
    </row>
    <row r="177" spans="1:29">
      <c r="A177" s="786">
        <v>406</v>
      </c>
      <c r="B177" s="682"/>
      <c r="C177" s="781">
        <f>'0406'!C152</f>
        <v>41985.245814329406</v>
      </c>
      <c r="D177" s="781"/>
      <c r="E177" s="781">
        <f>'0406'!E152</f>
        <v>-14578.980243367816</v>
      </c>
      <c r="F177" s="788"/>
      <c r="G177" s="781">
        <f>'0406'!G152</f>
        <v>85807.834619664689</v>
      </c>
      <c r="H177" s="788"/>
      <c r="I177" s="781">
        <f>'0406'!I152</f>
        <v>74728.138269527059</v>
      </c>
      <c r="J177" s="788"/>
      <c r="K177" s="781">
        <f>'0406'!K152</f>
        <v>91300.771489719118</v>
      </c>
      <c r="L177" s="788"/>
      <c r="M177" s="781">
        <f>'0406'!M152</f>
        <v>154879.85678332948</v>
      </c>
      <c r="N177" s="788"/>
      <c r="O177" s="781">
        <f>'0406'!O152</f>
        <v>-44890.51781339696</v>
      </c>
      <c r="P177" s="788"/>
      <c r="Q177" s="781">
        <f>'0406'!Q152</f>
        <v>33863.848983733726</v>
      </c>
      <c r="R177" s="788"/>
      <c r="S177" s="781">
        <f>'0406'!S152</f>
        <v>-20829.669729673456</v>
      </c>
      <c r="T177" s="788"/>
      <c r="U177" s="781">
        <f>'0406'!U152</f>
        <v>-58740.11972943708</v>
      </c>
      <c r="V177" s="788"/>
      <c r="W177" s="781">
        <f>'0406'!W152</f>
        <v>-25150.160518262863</v>
      </c>
      <c r="X177" s="788"/>
      <c r="Y177" s="781">
        <f>'0406'!Y152</f>
        <v>82254.568475781824</v>
      </c>
      <c r="Z177" s="788"/>
      <c r="AA177" s="781">
        <f>'0406'!AA152</f>
        <v>400630.81640194764</v>
      </c>
      <c r="AB177" s="789"/>
      <c r="AC177" s="719">
        <f t="shared" si="254"/>
        <v>394621.35415591841</v>
      </c>
    </row>
    <row r="178" spans="1:29">
      <c r="A178" s="786">
        <v>409</v>
      </c>
      <c r="B178" s="682"/>
      <c r="C178" s="781">
        <f>'0409'!C152</f>
        <v>8657.6733769831862</v>
      </c>
      <c r="D178" s="781"/>
      <c r="E178" s="781">
        <f>'0409'!E152</f>
        <v>-55058.867675559792</v>
      </c>
      <c r="F178" s="788"/>
      <c r="G178" s="781">
        <f>'0409'!G152</f>
        <v>149260.5317603937</v>
      </c>
      <c r="H178" s="788"/>
      <c r="I178" s="781">
        <f>'0409'!I152</f>
        <v>215195.49746735042</v>
      </c>
      <c r="J178" s="788"/>
      <c r="K178" s="781">
        <f>'0409'!K152</f>
        <v>200361.51022656824</v>
      </c>
      <c r="L178" s="788"/>
      <c r="M178" s="781">
        <f>'0409'!M152</f>
        <v>322403.6401956217</v>
      </c>
      <c r="N178" s="788"/>
      <c r="O178" s="781">
        <f>'0409'!O152</f>
        <v>113083.7906197166</v>
      </c>
      <c r="P178" s="788"/>
      <c r="Q178" s="781">
        <f>'0409'!Q152</f>
        <v>239807.50148862106</v>
      </c>
      <c r="R178" s="788"/>
      <c r="S178" s="781">
        <f>'0409'!S152</f>
        <v>221765.9771611137</v>
      </c>
      <c r="T178" s="788"/>
      <c r="U178" s="781">
        <f>'0409'!U152</f>
        <v>102227.48720087127</v>
      </c>
      <c r="V178" s="788"/>
      <c r="W178" s="781">
        <f>'0409'!W152</f>
        <v>135723.90906233041</v>
      </c>
      <c r="X178" s="788"/>
      <c r="Y178" s="781">
        <f>'0409'!Y152</f>
        <v>316134.27866636153</v>
      </c>
      <c r="Z178" s="788"/>
      <c r="AA178" s="781">
        <f>'0409'!AA152</f>
        <v>1969562.9295503648</v>
      </c>
      <c r="AB178" s="789"/>
      <c r="AC178" s="719">
        <f t="shared" si="254"/>
        <v>1940019.4856071093</v>
      </c>
    </row>
    <row r="179" spans="1:29">
      <c r="A179" s="786">
        <v>410</v>
      </c>
      <c r="B179" s="682"/>
      <c r="C179" s="781">
        <f>'410-sahara'!C152</f>
        <v>-48150.088599514536</v>
      </c>
      <c r="D179" s="781"/>
      <c r="E179" s="781">
        <f>'410-sahara'!E152</f>
        <v>-106255.51328756004</v>
      </c>
      <c r="F179" s="788"/>
      <c r="G179" s="781">
        <f>'410-sahara'!G152</f>
        <v>119828.69832405256</v>
      </c>
      <c r="H179" s="788"/>
      <c r="I179" s="781">
        <f>'410-sahara'!I152</f>
        <v>80595.486084022035</v>
      </c>
      <c r="J179" s="788"/>
      <c r="K179" s="781">
        <f>'410-sahara'!K152</f>
        <v>72832.42627198821</v>
      </c>
      <c r="L179" s="788"/>
      <c r="M179" s="781">
        <f>'410-sahara'!M152</f>
        <v>188281.67315753625</v>
      </c>
      <c r="N179" s="788"/>
      <c r="O179" s="781">
        <f>'410-sahara'!O152</f>
        <v>-3355.550759152914</v>
      </c>
      <c r="P179" s="788"/>
      <c r="Q179" s="781">
        <f>'410-sahara'!Q152</f>
        <v>93968.335307608446</v>
      </c>
      <c r="R179" s="788"/>
      <c r="S179" s="781">
        <f>'410-sahara'!S152</f>
        <v>43861.747394923827</v>
      </c>
      <c r="T179" s="788"/>
      <c r="U179" s="781">
        <f>'410-sahara'!U152</f>
        <v>-13371.938824581401</v>
      </c>
      <c r="V179" s="788"/>
      <c r="W179" s="781">
        <f>'410-sahara'!W152</f>
        <v>-109281.97207955124</v>
      </c>
      <c r="X179" s="788"/>
      <c r="Y179" s="781">
        <f>'410-sahara'!Y152</f>
        <v>145611.26367608612</v>
      </c>
      <c r="Z179" s="788"/>
      <c r="AA179" s="781">
        <f>'410-sahara'!AA152</f>
        <v>464564.56666585954</v>
      </c>
      <c r="AB179" s="789"/>
      <c r="AC179" s="719">
        <f t="shared" si="254"/>
        <v>457596.09816587163</v>
      </c>
    </row>
    <row r="180" spans="1:29">
      <c r="A180" s="786">
        <v>414</v>
      </c>
      <c r="B180" s="682"/>
      <c r="C180" s="781">
        <f>'414-Al ghurair'!C152</f>
        <v>-58893.367776315536</v>
      </c>
      <c r="D180" s="781"/>
      <c r="E180" s="781">
        <f>'414-Al ghurair'!E152</f>
        <v>-105716.93944723727</v>
      </c>
      <c r="F180" s="788"/>
      <c r="G180" s="781">
        <f>'414-Al ghurair'!G152</f>
        <v>38231.938811398286</v>
      </c>
      <c r="H180" s="788"/>
      <c r="I180" s="781">
        <f>'414-Al ghurair'!I152</f>
        <v>35660.562771741716</v>
      </c>
      <c r="J180" s="788"/>
      <c r="K180" s="781">
        <f>'414-Al ghurair'!K152</f>
        <v>32824.655367156905</v>
      </c>
      <c r="L180" s="788"/>
      <c r="M180" s="781">
        <f>'414-Al ghurair'!M152</f>
        <v>120299.13722204285</v>
      </c>
      <c r="N180" s="788"/>
      <c r="O180" s="781">
        <f>'414-Al ghurair'!O152</f>
        <v>-25597.872551765769</v>
      </c>
      <c r="P180" s="788"/>
      <c r="Q180" s="781">
        <f>'414-Al ghurair'!Q152</f>
        <v>14985.557267486802</v>
      </c>
      <c r="R180" s="788"/>
      <c r="S180" s="781">
        <f>'414-Al ghurair'!S152</f>
        <v>11633.579127179821</v>
      </c>
      <c r="T180" s="788"/>
      <c r="U180" s="781">
        <f>'414-Al ghurair'!U152</f>
        <v>-35552.957176160984</v>
      </c>
      <c r="V180" s="788"/>
      <c r="W180" s="781">
        <f>'414-Al ghurair'!W152</f>
        <v>-33282.292570940284</v>
      </c>
      <c r="X180" s="788"/>
      <c r="Y180" s="781">
        <f>'414-Al ghurair'!Y152</f>
        <v>67455.721447269447</v>
      </c>
      <c r="Z180" s="788"/>
      <c r="AA180" s="781">
        <f>'414-Al ghurair'!AA152</f>
        <v>62047.722491855471</v>
      </c>
      <c r="AB180" s="789"/>
      <c r="AC180" s="719">
        <f t="shared" si="254"/>
        <v>61117.006654477642</v>
      </c>
    </row>
    <row r="181" spans="1:29">
      <c r="A181" s="786">
        <v>415</v>
      </c>
      <c r="B181" s="682"/>
      <c r="C181" s="781">
        <f>'415'!C152</f>
        <v>15466.012733254884</v>
      </c>
      <c r="D181" s="781"/>
      <c r="E181" s="781">
        <f>'415'!E152</f>
        <v>-9959.7448969375309</v>
      </c>
      <c r="F181" s="788"/>
      <c r="G181" s="781">
        <f>'415'!G152</f>
        <v>89509.792785388519</v>
      </c>
      <c r="H181" s="788"/>
      <c r="I181" s="781">
        <f>'415'!I152</f>
        <v>81398.100366156868</v>
      </c>
      <c r="J181" s="788"/>
      <c r="K181" s="781">
        <f>'415'!K152</f>
        <v>111816.83932072105</v>
      </c>
      <c r="L181" s="788"/>
      <c r="M181" s="781">
        <f>'415'!M152</f>
        <v>163962.74460036674</v>
      </c>
      <c r="N181" s="788"/>
      <c r="O181" s="781">
        <f>'415'!O152</f>
        <v>36081.793471791716</v>
      </c>
      <c r="P181" s="788"/>
      <c r="Q181" s="781">
        <f>'415'!Q152</f>
        <v>60900.989414550466</v>
      </c>
      <c r="R181" s="788"/>
      <c r="S181" s="781">
        <f>'415'!S152</f>
        <v>137342.55937701379</v>
      </c>
      <c r="T181" s="788"/>
      <c r="U181" s="781">
        <f>'415'!U152</f>
        <v>17879.582639197604</v>
      </c>
      <c r="V181" s="788"/>
      <c r="W181" s="781">
        <f>'415'!W152</f>
        <v>46690.830198870513</v>
      </c>
      <c r="X181" s="788"/>
      <c r="Y181" s="781">
        <f>'415'!Y152</f>
        <v>148957.50577254777</v>
      </c>
      <c r="Z181" s="788"/>
      <c r="AA181" s="781">
        <f>'415'!AA152</f>
        <v>900047.00578292203</v>
      </c>
      <c r="AB181" s="789"/>
      <c r="AC181" s="719">
        <f t="shared" si="254"/>
        <v>886546.30069617822</v>
      </c>
    </row>
    <row r="182" spans="1:29">
      <c r="A182" s="786" t="s">
        <v>259</v>
      </c>
      <c r="B182" s="682"/>
      <c r="C182" s="781">
        <f>Rak_417!C152</f>
        <v>-117144.9001185278</v>
      </c>
      <c r="D182" s="788"/>
      <c r="E182" s="781">
        <f>Rak_417!E152</f>
        <v>-135188.12083630828</v>
      </c>
      <c r="F182" s="788"/>
      <c r="G182" s="781">
        <f>Rak_417!G152</f>
        <v>-78726.081297748984</v>
      </c>
      <c r="H182" s="788"/>
      <c r="I182" s="781">
        <f>Rak_417!I152</f>
        <v>-62770.84117966699</v>
      </c>
      <c r="J182" s="788"/>
      <c r="K182" s="781">
        <f>Rak_417!K152</f>
        <v>-40716.583301548701</v>
      </c>
      <c r="L182" s="788"/>
      <c r="M182" s="781">
        <f>Rak_417!M152</f>
        <v>-9601.9843146732055</v>
      </c>
      <c r="N182" s="788"/>
      <c r="O182" s="781">
        <f>Rak_417!O152</f>
        <v>-74906.105766133784</v>
      </c>
      <c r="P182" s="788"/>
      <c r="Q182" s="781">
        <f>Rak_417!Q152</f>
        <v>-37899.782515738923</v>
      </c>
      <c r="R182" s="788"/>
      <c r="S182" s="781">
        <f>Rak_417!S152</f>
        <v>-49723.683916315764</v>
      </c>
      <c r="T182" s="788"/>
      <c r="U182" s="781">
        <f>Rak_417!U152</f>
        <v>-73369.891324681506</v>
      </c>
      <c r="V182" s="788"/>
      <c r="W182" s="781">
        <f>Rak_417!W152</f>
        <v>-63360.979037917401</v>
      </c>
      <c r="X182" s="788"/>
      <c r="Y182" s="781">
        <f>Rak_417!Y152</f>
        <v>18744.110607775776</v>
      </c>
      <c r="Z182" s="788"/>
      <c r="AA182" s="781">
        <f>Rak_417!AA152</f>
        <v>-724664.8430014879</v>
      </c>
      <c r="AB182" s="789"/>
      <c r="AC182" s="719">
        <f t="shared" si="254"/>
        <v>-713794.87035646557</v>
      </c>
    </row>
    <row r="183" spans="1:29">
      <c r="A183" s="786" t="s">
        <v>258</v>
      </c>
      <c r="B183" s="682"/>
      <c r="C183" s="781">
        <f>'Al Foah_418'!C152</f>
        <v>-26437.960180953713</v>
      </c>
      <c r="D183" s="781"/>
      <c r="E183" s="781">
        <f>'Al Foah_418'!E152</f>
        <v>-55571.073815709889</v>
      </c>
      <c r="F183" s="788"/>
      <c r="G183" s="781">
        <f>'Al Foah_418'!G152</f>
        <v>-3720.5408624333622</v>
      </c>
      <c r="H183" s="788"/>
      <c r="I183" s="781">
        <f>'Al Foah_418'!I152</f>
        <v>4741.8079079961335</v>
      </c>
      <c r="J183" s="788"/>
      <c r="K183" s="781">
        <f>'Al Foah_418'!K152</f>
        <v>-5105.6018150837863</v>
      </c>
      <c r="L183" s="788"/>
      <c r="M183" s="781">
        <f>'Al Foah_418'!M152</f>
        <v>41538.394996433395</v>
      </c>
      <c r="N183" s="788"/>
      <c r="O183" s="781">
        <f>'Al Foah_418'!O152</f>
        <v>-8688.3965990979941</v>
      </c>
      <c r="P183" s="788"/>
      <c r="Q183" s="781">
        <f>'Al Foah_418'!Q152</f>
        <v>7967.8321121508343</v>
      </c>
      <c r="R183" s="788"/>
      <c r="S183" s="781">
        <f>'Al Foah_418'!S152</f>
        <v>-14252.516731885369</v>
      </c>
      <c r="T183" s="788"/>
      <c r="U183" s="781">
        <f>'Al Foah_418'!U152</f>
        <v>-35279.374398848377</v>
      </c>
      <c r="V183" s="788"/>
      <c r="W183" s="781">
        <f>'Al Foah_418'!W152</f>
        <v>-30433.357550479319</v>
      </c>
      <c r="X183" s="788"/>
      <c r="Y183" s="781">
        <f>'Al Foah_418'!Y152</f>
        <v>38766.623116966257</v>
      </c>
      <c r="Z183" s="788"/>
      <c r="AA183" s="781">
        <f>'Al Foah_418'!AA152</f>
        <v>-89904.475254095247</v>
      </c>
      <c r="AB183" s="789"/>
      <c r="AC183" s="719">
        <f t="shared" si="254"/>
        <v>-88555.908125283822</v>
      </c>
    </row>
    <row r="184" spans="1:29">
      <c r="A184" s="787" t="s">
        <v>306</v>
      </c>
      <c r="C184" s="779">
        <f>'Wafi _419'!C152</f>
        <v>9445.4522391247519</v>
      </c>
      <c r="D184" s="779"/>
      <c r="E184" s="779">
        <f>'Wafi _419'!E152</f>
        <v>-40234.477873740128</v>
      </c>
      <c r="F184" s="779"/>
      <c r="G184" s="779">
        <f>'Wafi _419'!G152</f>
        <v>116954.44659896614</v>
      </c>
      <c r="H184" s="779"/>
      <c r="I184" s="779">
        <f>'Wafi _419'!I152</f>
        <v>77046.754320489155</v>
      </c>
      <c r="J184" s="779"/>
      <c r="K184" s="779">
        <f>'Wafi _419'!K152</f>
        <v>50449.684316882543</v>
      </c>
      <c r="L184" s="779"/>
      <c r="M184" s="779">
        <f>'Wafi _419'!M152</f>
        <v>172578.44691690255</v>
      </c>
      <c r="N184" s="779"/>
      <c r="O184" s="779">
        <f>'Wafi _419'!O152</f>
        <v>56542.336049285732</v>
      </c>
      <c r="P184" s="779"/>
      <c r="Q184" s="779">
        <f>'Wafi _419'!Q152</f>
        <v>59394.952339094067</v>
      </c>
      <c r="R184" s="779"/>
      <c r="S184" s="779">
        <f>'Wafi _419'!S152</f>
        <v>42764.961331485778</v>
      </c>
      <c r="T184" s="779"/>
      <c r="U184" s="779">
        <f>'Wafi _419'!U152</f>
        <v>20842.932168774732</v>
      </c>
      <c r="V184" s="779"/>
      <c r="W184" s="779">
        <f>'Wafi _419'!W152</f>
        <v>8586.642755873283</v>
      </c>
      <c r="X184" s="779"/>
      <c r="Y184" s="779">
        <f>'Wafi _419'!Y152</f>
        <v>116905.91708777829</v>
      </c>
      <c r="Z184" s="779"/>
      <c r="AA184" s="779">
        <f>'Wafi _419'!AA152</f>
        <v>691278.04825092049</v>
      </c>
      <c r="AB184" s="789"/>
      <c r="AC184" s="719">
        <f t="shared" si="254"/>
        <v>680908.87752715673</v>
      </c>
    </row>
    <row r="185" spans="1:29">
      <c r="A185" s="700"/>
      <c r="B185" s="683"/>
      <c r="C185" s="790"/>
      <c r="D185" s="791"/>
      <c r="E185" s="790"/>
      <c r="F185" s="791"/>
      <c r="G185" s="790"/>
      <c r="H185" s="791"/>
      <c r="I185" s="790"/>
      <c r="J185" s="791"/>
      <c r="K185" s="790"/>
      <c r="L185" s="791"/>
      <c r="M185" s="790"/>
      <c r="N185" s="791"/>
      <c r="O185" s="790"/>
      <c r="P185" s="791"/>
      <c r="Q185" s="790"/>
      <c r="R185" s="791"/>
      <c r="S185" s="790"/>
      <c r="T185" s="791"/>
      <c r="U185" s="790"/>
      <c r="V185" s="791"/>
      <c r="W185" s="790"/>
      <c r="X185" s="791"/>
      <c r="Y185" s="790"/>
      <c r="Z185" s="791"/>
      <c r="AA185" s="790"/>
      <c r="AB185" s="789"/>
      <c r="AC185" s="719">
        <f t="shared" si="254"/>
        <v>0</v>
      </c>
    </row>
    <row r="186" spans="1:29">
      <c r="A186" s="683"/>
      <c r="B186" s="782" t="s">
        <v>260</v>
      </c>
      <c r="C186" s="792">
        <f>SUM(C173:C184)</f>
        <v>-167599.12264981453</v>
      </c>
      <c r="D186" s="793"/>
      <c r="E186" s="792">
        <f>SUM(E173:E184)</f>
        <v>-747466.99051320239</v>
      </c>
      <c r="F186" s="793"/>
      <c r="G186" s="792">
        <f>SUM(G173:G184)</f>
        <v>1122110.6096970923</v>
      </c>
      <c r="H186" s="793"/>
      <c r="I186" s="792">
        <f>SUM(I173:I184)</f>
        <v>1021960.9138260699</v>
      </c>
      <c r="J186" s="793"/>
      <c r="K186" s="792">
        <f>SUM(K173:K184)</f>
        <v>849304.03721444216</v>
      </c>
      <c r="L186" s="793"/>
      <c r="M186" s="792">
        <f>SUM(M173:M184)</f>
        <v>2056812.4647424868</v>
      </c>
      <c r="N186" s="793"/>
      <c r="O186" s="792">
        <f>SUM(O173:O184)</f>
        <v>106124.47006891436</v>
      </c>
      <c r="P186" s="793"/>
      <c r="Q186" s="792">
        <f>SUM(Q173:Q184)</f>
        <v>1025043.1102665168</v>
      </c>
      <c r="R186" s="793"/>
      <c r="S186" s="792">
        <f>SUM(S173:S184)</f>
        <v>789045.1998391801</v>
      </c>
      <c r="T186" s="793"/>
      <c r="U186" s="792">
        <f>SUM(U173:U184)</f>
        <v>41297.643612609172</v>
      </c>
      <c r="V186" s="793"/>
      <c r="W186" s="792">
        <f>SUM(W173:W184)</f>
        <v>122812.56890618567</v>
      </c>
      <c r="X186" s="793"/>
      <c r="Y186" s="792">
        <f>SUM(Y173:Y184)</f>
        <v>1789551.6992251195</v>
      </c>
      <c r="Z186" s="793"/>
      <c r="AA186" s="792">
        <f>SUM(AA173:AA184)</f>
        <v>8005566.2928024391</v>
      </c>
      <c r="AB186" s="789"/>
      <c r="AC186" s="719">
        <f t="shared" si="254"/>
        <v>7885482.7984104026</v>
      </c>
    </row>
    <row r="187" spans="1:29">
      <c r="A187" s="683"/>
      <c r="B187" s="782" t="s">
        <v>216</v>
      </c>
      <c r="C187" s="794">
        <f>D.C.!C152</f>
        <v>-35411.429000000004</v>
      </c>
      <c r="D187" s="793"/>
      <c r="E187" s="794">
        <f>D.C.!E152</f>
        <v>-32090.608999999997</v>
      </c>
      <c r="F187" s="793"/>
      <c r="G187" s="794">
        <f>D.C.!G152</f>
        <v>-55826.358999999997</v>
      </c>
      <c r="H187" s="793"/>
      <c r="I187" s="794">
        <f>D.C.!I152</f>
        <v>-44817.828999999998</v>
      </c>
      <c r="J187" s="793"/>
      <c r="K187" s="794">
        <f>D.C.!K152</f>
        <v>-18428.919000000002</v>
      </c>
      <c r="L187" s="793"/>
      <c r="M187" s="794">
        <f>D.C.!M152</f>
        <v>-66684.438999999998</v>
      </c>
      <c r="N187" s="793"/>
      <c r="O187" s="794">
        <f>D.C.!O152</f>
        <v>-23003.009000000002</v>
      </c>
      <c r="P187" s="793"/>
      <c r="Q187" s="794">
        <f>D.C.!Q152</f>
        <v>-44116.828999999998</v>
      </c>
      <c r="R187" s="793"/>
      <c r="S187" s="794">
        <f>D.C.!S152</f>
        <v>-43567.828999999569</v>
      </c>
      <c r="T187" s="793"/>
      <c r="U187" s="794">
        <f>D.C.!U152</f>
        <v>-43567.828999999998</v>
      </c>
      <c r="V187" s="793"/>
      <c r="W187" s="794">
        <f>D.C.!W152</f>
        <v>-43567.828999999998</v>
      </c>
      <c r="X187" s="793"/>
      <c r="Y187" s="794">
        <f>D.C.!Y152</f>
        <v>-43567.828999999998</v>
      </c>
      <c r="Z187" s="793"/>
      <c r="AA187" s="794">
        <f>D.C.!AA152</f>
        <v>-494650.73799999955</v>
      </c>
      <c r="AB187" s="789"/>
      <c r="AC187" s="719">
        <f t="shared" si="254"/>
        <v>-487230.97692999954</v>
      </c>
    </row>
    <row r="188" spans="1:29">
      <c r="A188" s="683"/>
      <c r="B188" s="780"/>
      <c r="C188" s="794"/>
      <c r="D188" s="793"/>
      <c r="E188" s="794"/>
      <c r="F188" s="793"/>
      <c r="G188" s="794"/>
      <c r="H188" s="793"/>
      <c r="I188" s="794"/>
      <c r="J188" s="793"/>
      <c r="K188" s="794"/>
      <c r="L188" s="793"/>
      <c r="M188" s="794"/>
      <c r="N188" s="793"/>
      <c r="O188" s="794"/>
      <c r="P188" s="793"/>
      <c r="Q188" s="794"/>
      <c r="R188" s="793"/>
      <c r="S188" s="794"/>
      <c r="T188" s="793"/>
      <c r="U188" s="794"/>
      <c r="V188" s="793"/>
      <c r="W188" s="794"/>
      <c r="X188" s="793"/>
      <c r="Y188" s="794"/>
      <c r="Z188" s="793"/>
      <c r="AA188" s="794"/>
      <c r="AB188" s="789"/>
      <c r="AC188" s="719">
        <f t="shared" si="254"/>
        <v>0</v>
      </c>
    </row>
    <row r="189" spans="1:29" ht="15.75" thickBot="1">
      <c r="A189" s="683"/>
      <c r="B189" s="782" t="s">
        <v>120</v>
      </c>
      <c r="C189" s="795">
        <f>C186+C187</f>
        <v>-203010.55164981453</v>
      </c>
      <c r="D189" s="793"/>
      <c r="E189" s="795">
        <f>E186+E187</f>
        <v>-779557.59951320244</v>
      </c>
      <c r="F189" s="793"/>
      <c r="G189" s="795">
        <f>G186+G187</f>
        <v>1066284.2506970924</v>
      </c>
      <c r="H189" s="793"/>
      <c r="I189" s="795">
        <f>I186+I187</f>
        <v>977143.08482606988</v>
      </c>
      <c r="J189" s="793"/>
      <c r="K189" s="795">
        <f>K186+K187</f>
        <v>830875.11821444216</v>
      </c>
      <c r="L189" s="793"/>
      <c r="M189" s="795">
        <f>M186+M187</f>
        <v>1990128.0257424868</v>
      </c>
      <c r="N189" s="793"/>
      <c r="O189" s="795">
        <f>O186+O187</f>
        <v>83121.461068914359</v>
      </c>
      <c r="P189" s="793"/>
      <c r="Q189" s="795">
        <f>Q186+Q187</f>
        <v>980926.28126651677</v>
      </c>
      <c r="R189" s="793"/>
      <c r="S189" s="795">
        <f>S186+S187</f>
        <v>745477.37083918054</v>
      </c>
      <c r="T189" s="793"/>
      <c r="U189" s="795">
        <f>U186+U187</f>
        <v>-2270.1853873908258</v>
      </c>
      <c r="V189" s="793"/>
      <c r="W189" s="795">
        <f>W186+W187</f>
        <v>79244.73990618567</v>
      </c>
      <c r="X189" s="793"/>
      <c r="Y189" s="795">
        <f>Y186+Y187</f>
        <v>1745983.8702251196</v>
      </c>
      <c r="Z189" s="793"/>
      <c r="AA189" s="795">
        <f>AA186+AA187</f>
        <v>7510915.5548024392</v>
      </c>
      <c r="AB189" s="789"/>
      <c r="AC189" s="719">
        <f t="shared" si="254"/>
        <v>7398251.8214804027</v>
      </c>
    </row>
    <row r="190" spans="1:29" ht="15.75" thickTop="1">
      <c r="A190" s="683"/>
      <c r="B190" s="780"/>
      <c r="C190" s="784"/>
      <c r="D190" s="783"/>
      <c r="E190" s="784"/>
      <c r="F190" s="783"/>
      <c r="G190" s="784"/>
      <c r="H190" s="783"/>
      <c r="I190" s="784"/>
      <c r="J190" s="783"/>
      <c r="K190" s="784"/>
      <c r="L190" s="783"/>
      <c r="M190" s="784"/>
      <c r="N190" s="783"/>
      <c r="O190" s="784"/>
      <c r="P190" s="783"/>
      <c r="Q190" s="784"/>
      <c r="R190" s="783"/>
      <c r="S190" s="784"/>
      <c r="T190" s="783"/>
      <c r="U190" s="784"/>
      <c r="V190" s="783"/>
      <c r="W190" s="784"/>
      <c r="X190" s="783"/>
      <c r="Y190" s="784"/>
      <c r="Z190" s="783"/>
      <c r="AA190" s="785">
        <f>AA189*0.985</f>
        <v>7398251.8214804027</v>
      </c>
      <c r="AC190" s="269">
        <f t="shared" si="254"/>
        <v>7287278.044158197</v>
      </c>
    </row>
    <row r="191" spans="1:29">
      <c r="K191" s="215">
        <f>SUM(K42:K75,K77:K92,K94:K114,K116:K128,K136:K143,K148,K150)</f>
        <v>5563815.0195058063</v>
      </c>
      <c r="AC191" s="269">
        <f t="shared" si="254"/>
        <v>0</v>
      </c>
    </row>
    <row r="192" spans="1:29">
      <c r="K192" s="215">
        <f>K37-K191</f>
        <v>830875.11821444239</v>
      </c>
    </row>
    <row r="193" spans="11:11">
      <c r="K193" s="215">
        <f>K192-K152</f>
        <v>0</v>
      </c>
    </row>
  </sheetData>
  <customSheetViews>
    <customSheetView guid="{E19D3675-E478-4A54-8E7A-94A199F67811}" hiddenRows="1" hiddenColumns="1">
      <pane xSplit="2" ySplit="3" topLeftCell="E118" activePane="bottomRight" state="frozen"/>
      <selection pane="bottomRight" activeCell="K36" sqref="K3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"/>
    </customSheetView>
    <customSheetView guid="{BFB0E08A-7D07-48F2-93C4-BE631A8642F6}" showPageBreaks="1" hiddenRows="1" hiddenColumns="1">
      <pane xSplit="2" ySplit="3" topLeftCell="D117" activePane="bottomRight" state="frozen"/>
      <selection pane="bottomRight" activeCell="G174" sqref="G174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2"/>
    </customSheetView>
    <customSheetView guid="{D65E0E17-9A53-4B36-ADDE-FDFBD878E6A1}">
      <selection activeCell="T118" sqref="T118"/>
      <pageMargins left="0.7" right="0.7" top="0.75" bottom="0.75" header="0.3" footer="0.3"/>
      <pageSetup orientation="portrait" verticalDpi="0" r:id="rId3"/>
    </customSheetView>
    <customSheetView guid="{F3E5B7E7-D3C6-4CDC-BAA7-D62F15A870E4}">
      <selection activeCell="T118" sqref="T118"/>
      <pageMargins left="0.7" right="0.7" top="0.75" bottom="0.75" header="0.3" footer="0.3"/>
      <pageSetup orientation="portrait" verticalDpi="0" r:id="rId4"/>
    </customSheetView>
    <customSheetView guid="{879F34B1-DA85-44D2-99EE-74A633FB2C72}" hiddenRows="1" hiddenColumns="1">
      <pane xSplit="2" ySplit="3" topLeftCell="C4" activePane="bottomRight" state="frozen"/>
      <selection pane="bottomRight" activeCell="C18" sqref="C18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5"/>
    </customSheetView>
    <customSheetView guid="{02AA01BD-C75B-4B6E-A8E6-EEB6E90D29E4}" hiddenRows="1" hiddenColumns="1">
      <pane xSplit="2" ySplit="3" topLeftCell="H103" activePane="bottomRight" state="frozen"/>
      <selection pane="bottomRight" activeCell="S166" sqref="S16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6"/>
    </customSheetView>
    <customSheetView guid="{209662B1-09B2-4060-A837-250CED7848ED}" hiddenRows="1" hiddenColumns="1">
      <pane xSplit="2" ySplit="3" topLeftCell="M4" activePane="bottomRight" state="frozen"/>
      <selection pane="bottomRight" activeCell="V16" sqref="V16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7"/>
    </customSheetView>
    <customSheetView guid="{B2BB7590-1CD2-4457-858D-F8835B99F338}" showPageBreaks="1" hiddenRows="1" hiddenColumns="1">
      <pane xSplit="2" ySplit="3" topLeftCell="C78" activePane="bottomRight" state="frozen"/>
      <selection pane="bottomRight" activeCell="I169" sqref="I169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8"/>
    </customSheetView>
    <customSheetView guid="{A879B074-133C-4DA1-A94D-0D1575EAAFB0}">
      <selection activeCell="C5" sqref="C5"/>
      <pageMargins left="0.7" right="0.7" top="0.75" bottom="0.75" header="0.3" footer="0.3"/>
      <pageSetup orientation="portrait" verticalDpi="0" r:id="rId9"/>
    </customSheetView>
    <customSheetView guid="{C4C974E7-2FCF-4C3A-A063-03001047949F}" topLeftCell="A100">
      <selection activeCell="C112" sqref="C112:AD112"/>
      <pageMargins left="0.7" right="0.7" top="0.75" bottom="0.75" header="0.3" footer="0.3"/>
      <pageSetup orientation="portrait" verticalDpi="0" r:id="rId10"/>
    </customSheetView>
    <customSheetView guid="{A8167CC1-C909-4D11-B8D5-4313083C8125}" hiddenRows="1" hiddenColumns="1">
      <pane xSplit="2" ySplit="3" topLeftCell="C121" activePane="bottomRight" state="frozen"/>
      <selection pane="bottomRight" activeCell="G120" sqref="G120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1"/>
    </customSheetView>
    <customSheetView guid="{AA4262F8-9AB3-4147-94E2-8DEF81F7E83C}" hiddenRows="1" hiddenColumns="1">
      <pane xSplit="2" ySplit="3" topLeftCell="C4" activePane="bottomRight" state="frozen"/>
      <selection pane="bottomRight" activeCell="B8" sqref="B8"/>
      <pageMargins left="0.70866141732283472" right="0.70866141732283472" top="0.47244094488188981" bottom="0.43307086614173229" header="0.31496062992125984" footer="0.31496062992125984"/>
      <printOptions horizontalCentered="1"/>
      <pageSetup paperSize="8" scale="42" orientation="landscape" r:id="rId12"/>
    </customSheetView>
  </customSheetViews>
  <mergeCells count="15">
    <mergeCell ref="A1:AD1"/>
    <mergeCell ref="C2:D2"/>
    <mergeCell ref="E2:F2"/>
    <mergeCell ref="G2:H2"/>
    <mergeCell ref="I2:J2"/>
    <mergeCell ref="K2:L2"/>
    <mergeCell ref="M2:N2"/>
    <mergeCell ref="O2:P2"/>
    <mergeCell ref="AA2:AB2"/>
    <mergeCell ref="AC2:AD2"/>
    <mergeCell ref="Q2:R2"/>
    <mergeCell ref="S2:T2"/>
    <mergeCell ref="U2:V2"/>
    <mergeCell ref="W2:X2"/>
    <mergeCell ref="Y2:Z2"/>
  </mergeCells>
  <printOptions horizontalCentered="1"/>
  <pageMargins left="0.70866141732283472" right="0.70866141732283472" top="0.47244094488188981" bottom="0.43307086614173229" header="0.31496062992125984" footer="0.31496062992125984"/>
  <pageSetup paperSize="8" scale="42" orientation="landscape" r:id="rId1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/>
  <dimension ref="A1:P67"/>
  <sheetViews>
    <sheetView workbookViewId="0">
      <selection activeCell="H21" sqref="H21"/>
    </sheetView>
  </sheetViews>
  <sheetFormatPr defaultRowHeight="15"/>
  <cols>
    <col min="1" max="1" width="9.140625" customWidth="1"/>
    <col min="2" max="2" width="14.28515625" customWidth="1"/>
    <col min="3" max="3" width="20.7109375" customWidth="1"/>
    <col min="4" max="4" width="13.28515625" customWidth="1"/>
    <col min="5" max="5" width="13.140625" customWidth="1"/>
    <col min="6" max="6" width="9.140625" customWidth="1"/>
    <col min="7" max="8" width="13.28515625" customWidth="1"/>
    <col min="9" max="9" width="11.5703125" customWidth="1"/>
    <col min="10" max="12" width="9.140625" customWidth="1"/>
    <col min="13" max="13" width="12" customWidth="1"/>
    <col min="14" max="14" width="13.28515625" customWidth="1"/>
    <col min="15" max="15" width="14.28515625" customWidth="1"/>
    <col min="16" max="16" width="22.85546875" customWidth="1"/>
  </cols>
  <sheetData>
    <row r="1" spans="2:14">
      <c r="B1" s="33">
        <v>1600000</v>
      </c>
      <c r="E1" s="33">
        <v>1600000</v>
      </c>
      <c r="H1" s="33">
        <v>1600000</v>
      </c>
      <c r="I1" s="1"/>
    </row>
    <row r="2" spans="2:14">
      <c r="D2" s="184"/>
      <c r="E2" s="1"/>
      <c r="H2" s="1"/>
      <c r="I2" s="1"/>
    </row>
    <row r="3" spans="2:14">
      <c r="B3" s="33">
        <f>B1*C3%</f>
        <v>800000</v>
      </c>
      <c r="C3">
        <v>50</v>
      </c>
      <c r="D3" s="184">
        <v>52</v>
      </c>
      <c r="E3" s="33">
        <f>E1*F3%</f>
        <v>832000</v>
      </c>
      <c r="F3" s="1">
        <v>52</v>
      </c>
      <c r="H3" s="33">
        <f>H1*I3%</f>
        <v>864000</v>
      </c>
      <c r="I3" s="1">
        <v>54</v>
      </c>
    </row>
    <row r="4" spans="2:14">
      <c r="D4" s="184"/>
      <c r="E4" s="1"/>
      <c r="F4" s="1"/>
      <c r="H4" s="1"/>
      <c r="I4" s="1"/>
    </row>
    <row r="5" spans="2:14">
      <c r="B5" s="84">
        <f>B1*C5%</f>
        <v>288000</v>
      </c>
      <c r="C5">
        <v>18</v>
      </c>
      <c r="D5" s="184">
        <v>16</v>
      </c>
      <c r="E5" s="84">
        <f>E1*F5%</f>
        <v>288000</v>
      </c>
      <c r="F5" s="1">
        <v>18</v>
      </c>
      <c r="H5" s="84">
        <f>H1*I5%</f>
        <v>288000</v>
      </c>
      <c r="I5" s="1">
        <v>18</v>
      </c>
      <c r="L5">
        <v>10</v>
      </c>
      <c r="M5">
        <v>3</v>
      </c>
      <c r="N5">
        <v>3</v>
      </c>
    </row>
    <row r="6" spans="2:14">
      <c r="D6" s="184"/>
      <c r="E6" s="1"/>
      <c r="F6" s="1"/>
      <c r="H6" s="1"/>
      <c r="I6" s="1"/>
    </row>
    <row r="7" spans="2:14">
      <c r="B7" s="84">
        <f>B1*C7%</f>
        <v>160000</v>
      </c>
      <c r="C7">
        <v>10</v>
      </c>
      <c r="D7" s="184">
        <v>9</v>
      </c>
      <c r="E7" s="84">
        <f>E1*F7%</f>
        <v>160000</v>
      </c>
      <c r="F7" s="1">
        <v>10</v>
      </c>
      <c r="H7" s="84">
        <f>H1*I7%</f>
        <v>160000</v>
      </c>
      <c r="I7" s="1">
        <v>10</v>
      </c>
    </row>
    <row r="8" spans="2:14">
      <c r="D8" s="184"/>
      <c r="E8" s="1"/>
      <c r="F8" s="1"/>
      <c r="H8" s="1"/>
      <c r="I8" s="1"/>
    </row>
    <row r="9" spans="2:14">
      <c r="B9" s="84">
        <f>B1*C9%</f>
        <v>48000</v>
      </c>
      <c r="C9">
        <v>3</v>
      </c>
      <c r="D9" s="184">
        <v>3</v>
      </c>
      <c r="E9" s="84">
        <f>E1*F9%</f>
        <v>48000</v>
      </c>
      <c r="F9" s="1">
        <v>3</v>
      </c>
      <c r="H9" s="84">
        <f>H1*I9%</f>
        <v>48000</v>
      </c>
      <c r="I9" s="1">
        <v>3</v>
      </c>
    </row>
    <row r="10" spans="2:14">
      <c r="D10" s="184"/>
      <c r="E10" s="1"/>
      <c r="F10" s="1"/>
      <c r="H10" s="1"/>
      <c r="I10" s="1"/>
    </row>
    <row r="11" spans="2:14">
      <c r="B11" s="84">
        <f>B1*C11%</f>
        <v>16000</v>
      </c>
      <c r="C11">
        <v>1</v>
      </c>
      <c r="D11" s="184">
        <v>1</v>
      </c>
      <c r="E11" s="84">
        <f>E1*F11%</f>
        <v>16000</v>
      </c>
      <c r="F11" s="1">
        <v>1</v>
      </c>
      <c r="H11" s="84">
        <f>H1*I11%</f>
        <v>16000</v>
      </c>
      <c r="I11" s="1">
        <v>1</v>
      </c>
    </row>
    <row r="12" spans="2:14">
      <c r="D12" s="184"/>
      <c r="E12" s="1"/>
      <c r="F12" s="1"/>
      <c r="H12" s="1"/>
      <c r="I12" s="1"/>
    </row>
    <row r="13" spans="2:14">
      <c r="B13" s="84">
        <f>B1*C13%</f>
        <v>160000</v>
      </c>
      <c r="C13">
        <v>10</v>
      </c>
      <c r="D13" s="184">
        <v>8</v>
      </c>
      <c r="E13" s="84">
        <f>E1*F13%</f>
        <v>160000</v>
      </c>
      <c r="F13" s="1">
        <v>10</v>
      </c>
      <c r="H13" s="84">
        <f>H1*I13%</f>
        <v>160000</v>
      </c>
      <c r="I13" s="1">
        <v>10</v>
      </c>
    </row>
    <row r="14" spans="2:14">
      <c r="D14" s="184"/>
      <c r="E14" s="1"/>
      <c r="H14" s="1"/>
      <c r="I14" s="1"/>
    </row>
    <row r="15" spans="2:14">
      <c r="B15" s="85">
        <f>SUM(B5:B13)</f>
        <v>672000</v>
      </c>
      <c r="D15" s="184"/>
      <c r="E15" s="85">
        <f>SUM(E5:E13)</f>
        <v>672000</v>
      </c>
      <c r="H15" s="85">
        <f>SUM(H5:H13)</f>
        <v>672000</v>
      </c>
      <c r="I15" s="1"/>
    </row>
    <row r="16" spans="2:14">
      <c r="D16" s="184"/>
      <c r="E16" s="1"/>
      <c r="H16" s="1"/>
      <c r="I16" s="1"/>
    </row>
    <row r="17" spans="1:10">
      <c r="B17" s="85">
        <f>B3-B15</f>
        <v>128000</v>
      </c>
      <c r="C17" s="191">
        <f>B17/B1*100</f>
        <v>8</v>
      </c>
      <c r="D17" s="184">
        <f>SUM(D5:D14)</f>
        <v>37</v>
      </c>
      <c r="E17" s="85">
        <f>E3-E15</f>
        <v>160000</v>
      </c>
      <c r="F17" s="191">
        <f>E17/E1*100</f>
        <v>10</v>
      </c>
      <c r="H17" s="85">
        <f>H3-H15</f>
        <v>192000</v>
      </c>
      <c r="I17" s="191">
        <f>H17/H1*100</f>
        <v>12</v>
      </c>
    </row>
    <row r="18" spans="1:10">
      <c r="D18" s="184"/>
    </row>
    <row r="19" spans="1:10">
      <c r="D19" s="184">
        <f>D3-D17</f>
        <v>15</v>
      </c>
    </row>
    <row r="20" spans="1:10">
      <c r="A20" s="191" t="s">
        <v>127</v>
      </c>
      <c r="B20" s="85">
        <f>B17+B13</f>
        <v>288000</v>
      </c>
      <c r="D20">
        <v>5</v>
      </c>
      <c r="E20" s="85">
        <f>E17+E13</f>
        <v>320000</v>
      </c>
      <c r="H20" s="85">
        <f>H17+H13</f>
        <v>352000</v>
      </c>
    </row>
    <row r="21" spans="1:10">
      <c r="D21">
        <v>10</v>
      </c>
    </row>
    <row r="23" spans="1:10">
      <c r="A23" s="191" t="s">
        <v>128</v>
      </c>
      <c r="B23" s="192">
        <v>9000000</v>
      </c>
      <c r="C23" s="193">
        <v>0.09</v>
      </c>
      <c r="D23" s="85">
        <f>B23*C23</f>
        <v>810000</v>
      </c>
      <c r="E23" s="85">
        <f>D23/12</f>
        <v>67500</v>
      </c>
    </row>
    <row r="25" spans="1:10">
      <c r="B25" s="191"/>
    </row>
    <row r="27" spans="1:10">
      <c r="A27" s="1"/>
      <c r="B27" s="1" t="s">
        <v>129</v>
      </c>
      <c r="D27" s="192">
        <v>150000</v>
      </c>
      <c r="F27" s="1" t="s">
        <v>131</v>
      </c>
      <c r="G27" s="194">
        <v>4.2500000000000003E-2</v>
      </c>
      <c r="J27" s="194">
        <v>9.2499999999999999E-2</v>
      </c>
    </row>
    <row r="29" spans="1:10">
      <c r="A29" s="1"/>
      <c r="B29" s="1" t="s">
        <v>130</v>
      </c>
      <c r="D29" s="33">
        <v>75000</v>
      </c>
      <c r="H29" s="33">
        <v>115000</v>
      </c>
    </row>
    <row r="30" spans="1:10">
      <c r="H30" s="33">
        <v>27500</v>
      </c>
    </row>
    <row r="31" spans="1:10">
      <c r="D31" s="85">
        <f>D27+D29</f>
        <v>225000</v>
      </c>
      <c r="H31" s="33">
        <v>83333</v>
      </c>
    </row>
    <row r="33" spans="2:9">
      <c r="H33" s="85">
        <f>H29+H30+H31</f>
        <v>225833</v>
      </c>
      <c r="I33" s="191">
        <f>H33/H1*100</f>
        <v>14.1145625</v>
      </c>
    </row>
    <row r="36" spans="2:9">
      <c r="B36" s="308" t="s">
        <v>160</v>
      </c>
      <c r="C36" s="309"/>
      <c r="D36" s="310"/>
    </row>
    <row r="37" spans="2:9">
      <c r="B37" s="48">
        <v>55630278.02563455</v>
      </c>
      <c r="C37" s="215">
        <f>B37*0.125%</f>
        <v>69537.84753204319</v>
      </c>
      <c r="D37" s="20" t="s">
        <v>158</v>
      </c>
    </row>
    <row r="38" spans="2:9">
      <c r="B38" s="311"/>
      <c r="C38" s="312">
        <f>C37/12</f>
        <v>5794.8206276702658</v>
      </c>
      <c r="D38" s="313" t="s">
        <v>159</v>
      </c>
    </row>
    <row r="39" spans="2:9">
      <c r="C39" s="33">
        <v>6000</v>
      </c>
      <c r="D39" s="1" t="s">
        <v>161</v>
      </c>
    </row>
    <row r="45" spans="2:9">
      <c r="B45" s="1" t="s">
        <v>162</v>
      </c>
      <c r="C45" s="1" t="s">
        <v>164</v>
      </c>
      <c r="H45" s="1" t="s">
        <v>162</v>
      </c>
      <c r="I45" s="1" t="s">
        <v>164</v>
      </c>
    </row>
    <row r="46" spans="2:9">
      <c r="B46" s="1">
        <v>400</v>
      </c>
      <c r="C46">
        <v>12</v>
      </c>
      <c r="H46" s="1">
        <v>400</v>
      </c>
      <c r="I46" s="1">
        <v>12</v>
      </c>
    </row>
    <row r="47" spans="2:9">
      <c r="B47">
        <v>401</v>
      </c>
      <c r="C47">
        <v>12</v>
      </c>
      <c r="H47" s="1">
        <v>401</v>
      </c>
      <c r="I47" s="1">
        <v>12</v>
      </c>
    </row>
    <row r="48" spans="2:9">
      <c r="B48">
        <v>402</v>
      </c>
      <c r="C48">
        <v>12</v>
      </c>
      <c r="H48" s="1">
        <v>402</v>
      </c>
      <c r="I48" s="1">
        <v>12</v>
      </c>
    </row>
    <row r="49" spans="1:16">
      <c r="B49">
        <v>403</v>
      </c>
      <c r="C49">
        <v>12</v>
      </c>
      <c r="H49" s="1">
        <v>403</v>
      </c>
      <c r="I49" s="1">
        <v>12</v>
      </c>
    </row>
    <row r="50" spans="1:16">
      <c r="B50">
        <v>405</v>
      </c>
      <c r="C50">
        <v>12</v>
      </c>
      <c r="H50" s="1">
        <v>405</v>
      </c>
      <c r="I50" s="1">
        <v>12</v>
      </c>
    </row>
    <row r="51" spans="1:16">
      <c r="C51" s="272">
        <f>SUM(C46:C50)</f>
        <v>60</v>
      </c>
      <c r="H51" s="1">
        <v>406</v>
      </c>
      <c r="I51">
        <v>12</v>
      </c>
    </row>
    <row r="52" spans="1:16">
      <c r="I52" s="272">
        <f>SUM(I46:I51)</f>
        <v>72</v>
      </c>
      <c r="K52">
        <v>93</v>
      </c>
      <c r="M52">
        <v>14852508.618134767</v>
      </c>
      <c r="N52" s="33">
        <f>M52/K52</f>
        <v>159704.3937433846</v>
      </c>
    </row>
    <row r="53" spans="1:16">
      <c r="B53" s="1" t="s">
        <v>163</v>
      </c>
      <c r="G53" s="1" t="s">
        <v>163</v>
      </c>
      <c r="H53" s="1"/>
      <c r="I53" s="1"/>
      <c r="J53" s="1"/>
    </row>
    <row r="54" spans="1:16">
      <c r="A54" s="1"/>
      <c r="B54" s="1" t="s">
        <v>165</v>
      </c>
      <c r="C54">
        <v>12</v>
      </c>
      <c r="D54" s="1" t="s">
        <v>167</v>
      </c>
      <c r="G54" s="1" t="s">
        <v>168</v>
      </c>
      <c r="H54" s="1" t="s">
        <v>210</v>
      </c>
      <c r="I54" s="1">
        <v>9</v>
      </c>
      <c r="J54" s="268" t="s">
        <v>211</v>
      </c>
      <c r="M54">
        <v>93</v>
      </c>
      <c r="N54">
        <v>170000</v>
      </c>
      <c r="O54">
        <f>N54*M54</f>
        <v>15810000</v>
      </c>
    </row>
    <row r="55" spans="1:16">
      <c r="B55" s="1" t="s">
        <v>166</v>
      </c>
      <c r="C55">
        <v>9</v>
      </c>
      <c r="D55" s="314">
        <v>41000</v>
      </c>
      <c r="G55" s="1" t="s">
        <v>166</v>
      </c>
      <c r="H55" s="1" t="s">
        <v>208</v>
      </c>
      <c r="I55" s="1">
        <v>8</v>
      </c>
      <c r="J55" s="268" t="s">
        <v>212</v>
      </c>
      <c r="O55" s="33">
        <f>O54/12</f>
        <v>1317500</v>
      </c>
      <c r="P55" s="84">
        <f>O55/6</f>
        <v>219583.33333333334</v>
      </c>
    </row>
    <row r="56" spans="1:16">
      <c r="B56" s="1" t="s">
        <v>168</v>
      </c>
      <c r="C56">
        <v>9</v>
      </c>
      <c r="D56" s="314">
        <v>41000</v>
      </c>
      <c r="G56" s="1" t="s">
        <v>169</v>
      </c>
      <c r="H56" s="1" t="s">
        <v>209</v>
      </c>
      <c r="I56" s="1">
        <v>4</v>
      </c>
      <c r="J56" s="268" t="s">
        <v>213</v>
      </c>
      <c r="L56" s="1"/>
      <c r="M56" s="1"/>
      <c r="N56" s="33"/>
    </row>
    <row r="57" spans="1:16">
      <c r="B57" s="1" t="s">
        <v>169</v>
      </c>
      <c r="C57">
        <v>6</v>
      </c>
      <c r="D57" s="314">
        <v>41091</v>
      </c>
      <c r="G57" s="1"/>
      <c r="H57" s="1"/>
      <c r="I57" s="1"/>
      <c r="J57" s="314"/>
      <c r="M57" s="1"/>
      <c r="N57" s="33"/>
    </row>
    <row r="58" spans="1:16">
      <c r="C58" s="272">
        <f>SUM(C54:C57)</f>
        <v>36</v>
      </c>
      <c r="H58" s="1"/>
      <c r="I58" s="272">
        <f>SUM(I54:I57)</f>
        <v>21</v>
      </c>
      <c r="J58" s="1"/>
      <c r="M58" s="1"/>
      <c r="N58" s="33"/>
    </row>
    <row r="59" spans="1:16">
      <c r="M59" s="1"/>
      <c r="N59" s="33"/>
    </row>
    <row r="60" spans="1:16">
      <c r="B60" s="272" t="s">
        <v>170</v>
      </c>
      <c r="C60" s="272">
        <f>C51+C58</f>
        <v>96</v>
      </c>
    </row>
    <row r="61" spans="1:16">
      <c r="D61" s="1" t="s">
        <v>174</v>
      </c>
      <c r="M61" s="1" t="s">
        <v>178</v>
      </c>
    </row>
    <row r="62" spans="1:16">
      <c r="A62" s="1" t="s">
        <v>171</v>
      </c>
      <c r="C62" s="33">
        <v>8579359.5675569102</v>
      </c>
      <c r="D62" s="84">
        <f>C62/12</f>
        <v>714946.63062974252</v>
      </c>
      <c r="E62" s="84">
        <f>D62/6</f>
        <v>119157.77177162375</v>
      </c>
      <c r="F62" s="1" t="s">
        <v>175</v>
      </c>
      <c r="I62" s="84"/>
      <c r="J62" s="1"/>
      <c r="L62" s="315">
        <v>100000</v>
      </c>
      <c r="M62">
        <v>6</v>
      </c>
      <c r="N62" s="33">
        <f>L62*M62</f>
        <v>600000</v>
      </c>
      <c r="O62" s="317">
        <f>N62*3</f>
        <v>1800000</v>
      </c>
      <c r="P62" s="310" t="s">
        <v>179</v>
      </c>
    </row>
    <row r="63" spans="1:16">
      <c r="A63" s="1" t="s">
        <v>172</v>
      </c>
      <c r="C63">
        <v>96</v>
      </c>
      <c r="D63" s="84">
        <f>D62</f>
        <v>714946.63062974252</v>
      </c>
      <c r="E63" s="84">
        <f>D63/8</f>
        <v>89368.328828717815</v>
      </c>
      <c r="F63" s="1" t="s">
        <v>176</v>
      </c>
      <c r="H63" s="1"/>
      <c r="I63" s="84"/>
      <c r="J63" s="1"/>
      <c r="L63" s="315">
        <f>L62</f>
        <v>100000</v>
      </c>
      <c r="M63">
        <v>8</v>
      </c>
      <c r="N63" s="33">
        <f>L63*M63</f>
        <v>800000</v>
      </c>
      <c r="O63" s="48">
        <f>N63*3</f>
        <v>2400000</v>
      </c>
      <c r="P63" s="20" t="s">
        <v>179</v>
      </c>
    </row>
    <row r="64" spans="1:16">
      <c r="A64" s="1" t="s">
        <v>173</v>
      </c>
      <c r="B64" s="1"/>
      <c r="C64" s="84">
        <f>C62/C63</f>
        <v>89368.328828717815</v>
      </c>
      <c r="D64" s="84">
        <f>D63</f>
        <v>714946.63062974252</v>
      </c>
      <c r="E64" s="84">
        <f>D64/9</f>
        <v>79438.51451441583</v>
      </c>
      <c r="F64" s="1" t="s">
        <v>177</v>
      </c>
      <c r="H64" s="1"/>
      <c r="I64" s="84"/>
      <c r="J64" s="1"/>
      <c r="L64" s="315">
        <f>L62</f>
        <v>100000</v>
      </c>
      <c r="M64">
        <v>9</v>
      </c>
      <c r="N64" s="33">
        <f>L64*M64</f>
        <v>900000</v>
      </c>
      <c r="O64" s="48">
        <f>N64*6</f>
        <v>5400000</v>
      </c>
      <c r="P64" s="20" t="s">
        <v>180</v>
      </c>
    </row>
    <row r="65" spans="3:16">
      <c r="N65" s="33"/>
      <c r="O65" s="316">
        <f>SUM(O62:O64)</f>
        <v>9600000</v>
      </c>
      <c r="P65" s="313"/>
    </row>
    <row r="66" spans="3:16">
      <c r="C66" s="315">
        <v>100000</v>
      </c>
      <c r="D66">
        <v>6</v>
      </c>
      <c r="E66">
        <f>C66*D66</f>
        <v>600000</v>
      </c>
      <c r="G66" s="33">
        <v>8600000</v>
      </c>
      <c r="H66" s="84"/>
    </row>
    <row r="67" spans="3:16">
      <c r="C67" s="84">
        <f>C66-C64</f>
        <v>10631.671171282185</v>
      </c>
      <c r="G67" s="84">
        <f>G66/12</f>
        <v>716666.66666666663</v>
      </c>
    </row>
  </sheetData>
  <customSheetViews>
    <customSheetView guid="{E19D3675-E478-4A54-8E7A-94A199F67811}" topLeftCell="B31">
      <selection activeCell="I50" sqref="I50"/>
      <pageMargins left="0.7" right="0.7" top="0.75" bottom="0.75" header="0.3" footer="0.3"/>
      <pageSetup orientation="portrait" r:id="rId1"/>
    </customSheetView>
    <customSheetView guid="{BFB0E08A-7D07-48F2-93C4-BE631A8642F6}" topLeftCell="B31">
      <selection activeCell="B43" sqref="B43:Q69"/>
      <pageMargins left="0.7" right="0.7" top="0.75" bottom="0.75" header="0.3" footer="0.3"/>
      <pageSetup orientation="portrait" r:id="rId2"/>
    </customSheetView>
    <customSheetView guid="{D65E0E17-9A53-4B36-ADDE-FDFBD878E6A1}" topLeftCell="B31">
      <selection activeCell="B43" sqref="B43:Q69"/>
      <pageMargins left="0.7" right="0.7" top="0.75" bottom="0.75" header="0.3" footer="0.3"/>
      <pageSetup orientation="portrait" r:id="rId3"/>
    </customSheetView>
    <customSheetView guid="{F3E5B7E7-D3C6-4CDC-BAA7-D62F15A870E4}" topLeftCell="B31">
      <selection activeCell="B43" sqref="B43:Q69"/>
      <pageMargins left="0.7" right="0.7" top="0.75" bottom="0.75" header="0.3" footer="0.3"/>
      <pageSetup orientation="portrait" r:id="rId4"/>
    </customSheetView>
    <customSheetView guid="{879F34B1-DA85-44D2-99EE-74A633FB2C72}" topLeftCell="B31">
      <selection activeCell="B43" sqref="B43:Q69"/>
      <pageMargins left="0.7" right="0.7" top="0.75" bottom="0.75" header="0.3" footer="0.3"/>
      <pageSetup orientation="portrait" r:id="rId5"/>
    </customSheetView>
    <customSheetView guid="{02AA01BD-C75B-4B6E-A8E6-EEB6E90D29E4}">
      <selection activeCell="E26" sqref="E26"/>
      <pageMargins left="0.7" right="0.7" top="0.75" bottom="0.75" header="0.3" footer="0.3"/>
      <pageSetup orientation="portrait" r:id="rId6"/>
    </customSheetView>
    <customSheetView guid="{209662B1-09B2-4060-A837-250CED7848ED}">
      <selection activeCell="E26" sqref="E26"/>
      <pageMargins left="0.7" right="0.7" top="0.75" bottom="0.75" header="0.3" footer="0.3"/>
      <pageSetup orientation="portrait" r:id="rId7"/>
    </customSheetView>
    <customSheetView guid="{B2BB7590-1CD2-4457-858D-F8835B99F338}">
      <selection activeCell="E26" sqref="E26"/>
      <pageMargins left="0.7" right="0.7" top="0.75" bottom="0.75" header="0.3" footer="0.3"/>
      <pageSetup orientation="portrait" r:id="rId8"/>
    </customSheetView>
    <customSheetView guid="{C4C974E7-2FCF-4C3A-A063-03001047949F}">
      <selection activeCell="E26" sqref="E26"/>
      <pageMargins left="0.7" right="0.7" top="0.75" bottom="0.75" header="0.3" footer="0.3"/>
      <pageSetup orientation="portrait" r:id="rId9"/>
    </customSheetView>
    <customSheetView guid="{A8167CC1-C909-4D11-B8D5-4313083C8125}" state="hidden">
      <selection activeCell="B43" sqref="B43:Q69"/>
      <pageMargins left="0.7" right="0.7" top="0.75" bottom="0.75" header="0.3" footer="0.3"/>
      <pageSetup orientation="portrait" r:id="rId10"/>
    </customSheetView>
    <customSheetView guid="{AA4262F8-9AB3-4147-94E2-8DEF81F7E83C}">
      <selection activeCell="E26" sqref="E26"/>
      <pageMargins left="0.7" right="0.7" top="0.75" bottom="0.75" header="0.3" footer="0.3"/>
      <pageSetup orientation="portrait" r:id="rId11"/>
    </customSheetView>
  </customSheetViews>
  <pageMargins left="0.7" right="0.7" top="0.75" bottom="0.75" header="0.3" footer="0.3"/>
  <pageSetup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8"/>
  <dimension ref="A1:AB123"/>
  <sheetViews>
    <sheetView topLeftCell="AC1" workbookViewId="0">
      <selection activeCell="AL8" sqref="AL8"/>
    </sheetView>
  </sheetViews>
  <sheetFormatPr defaultRowHeight="15"/>
  <cols>
    <col min="1" max="1" width="6.42578125" style="1" hidden="1" customWidth="1"/>
    <col min="2" max="2" width="32.85546875" style="1" hidden="1" customWidth="1"/>
    <col min="3" max="3" width="17.140625" style="1" hidden="1" customWidth="1"/>
    <col min="4" max="4" width="1" style="1" hidden="1" customWidth="1"/>
    <col min="5" max="5" width="13.28515625" style="1" hidden="1" customWidth="1"/>
    <col min="6" max="6" width="0.5703125" style="1" hidden="1" customWidth="1"/>
    <col min="7" max="7" width="13.28515625" style="1" hidden="1" customWidth="1"/>
    <col min="8" max="8" width="1.140625" style="1" hidden="1" customWidth="1"/>
    <col min="9" max="9" width="13.28515625" style="1" hidden="1" customWidth="1"/>
    <col min="10" max="10" width="1.42578125" style="1" hidden="1" customWidth="1"/>
    <col min="11" max="11" width="13.28515625" style="1" hidden="1" customWidth="1"/>
    <col min="12" max="12" width="1.28515625" style="1" hidden="1" customWidth="1"/>
    <col min="13" max="13" width="13.28515625" style="1" hidden="1" customWidth="1"/>
    <col min="14" max="14" width="1.42578125" style="1" hidden="1" customWidth="1"/>
    <col min="15" max="15" width="13.28515625" style="1" hidden="1" customWidth="1"/>
    <col min="16" max="16" width="0.5703125" style="1" hidden="1" customWidth="1"/>
    <col min="17" max="17" width="13.28515625" style="1" hidden="1" customWidth="1"/>
    <col min="18" max="18" width="0.42578125" style="1" hidden="1" customWidth="1"/>
    <col min="19" max="19" width="13.28515625" style="1" hidden="1" customWidth="1"/>
    <col min="20" max="20" width="0.85546875" style="1" hidden="1" customWidth="1"/>
    <col min="21" max="21" width="13.28515625" style="1" hidden="1" customWidth="1"/>
    <col min="22" max="22" width="0.5703125" style="1" hidden="1" customWidth="1"/>
    <col min="23" max="23" width="13.28515625" style="1" hidden="1" customWidth="1"/>
    <col min="24" max="24" width="1.28515625" style="1" hidden="1" customWidth="1"/>
    <col min="25" max="25" width="13.28515625" style="1" hidden="1" customWidth="1"/>
    <col min="26" max="26" width="0.5703125" style="1" hidden="1" customWidth="1"/>
    <col min="27" max="27" width="14.28515625" style="1" hidden="1" customWidth="1"/>
    <col min="28" max="28" width="6.85546875" style="1" hidden="1" customWidth="1"/>
    <col min="29" max="16384" width="9.140625" style="1"/>
  </cols>
  <sheetData>
    <row r="1" spans="1:28">
      <c r="B1" s="1">
        <v>401</v>
      </c>
      <c r="C1" s="1001" t="s">
        <v>64</v>
      </c>
      <c r="D1" s="1003"/>
      <c r="E1" s="1004" t="s">
        <v>65</v>
      </c>
      <c r="F1" s="1004"/>
      <c r="G1" s="1001" t="s">
        <v>81</v>
      </c>
      <c r="H1" s="1003"/>
      <c r="I1" s="1001" t="s">
        <v>82</v>
      </c>
      <c r="J1" s="1003"/>
      <c r="K1" s="1001" t="s">
        <v>83</v>
      </c>
      <c r="L1" s="1003"/>
      <c r="M1" s="1001" t="s">
        <v>84</v>
      </c>
      <c r="N1" s="1002"/>
      <c r="O1" s="1001" t="s">
        <v>85</v>
      </c>
      <c r="P1" s="1003"/>
      <c r="Q1" s="1001" t="s">
        <v>86</v>
      </c>
      <c r="R1" s="1003"/>
      <c r="S1" s="1004" t="s">
        <v>87</v>
      </c>
      <c r="T1" s="1004"/>
      <c r="U1" s="1001" t="s">
        <v>123</v>
      </c>
      <c r="V1" s="1003"/>
      <c r="W1" s="1001" t="s">
        <v>124</v>
      </c>
      <c r="X1" s="1003"/>
      <c r="Y1" s="1004" t="s">
        <v>125</v>
      </c>
      <c r="Z1" s="1004"/>
      <c r="AA1" s="997" t="s">
        <v>120</v>
      </c>
      <c r="AB1" s="997"/>
    </row>
    <row r="2" spans="1:28" ht="15.75" thickBot="1">
      <c r="A2" s="55">
        <v>5199</v>
      </c>
      <c r="B2" s="55" t="s">
        <v>71</v>
      </c>
      <c r="C2" s="686">
        <f>'0401'!C16*0.985</f>
        <v>984106.60499999998</v>
      </c>
      <c r="E2" s="686">
        <f>'0401'!E16*0.985</f>
        <v>765636.90154612204</v>
      </c>
      <c r="G2" s="686">
        <f>'0401'!G16*0.985</f>
        <v>1270021.3379900858</v>
      </c>
      <c r="I2" s="686">
        <f>'0401'!I16*0.985</f>
        <v>1121421.5149999999</v>
      </c>
      <c r="K2" s="686">
        <f>'0401'!K16*0.985</f>
        <v>1025653.905</v>
      </c>
      <c r="M2" s="686">
        <f>'0401'!M16*0.985</f>
        <v>1454363.335</v>
      </c>
      <c r="O2" s="686">
        <f>'0401'!O16*0.985</f>
        <v>920773.07499999995</v>
      </c>
      <c r="Q2" s="686">
        <f>'0401'!Q16*0.985</f>
        <v>1143359.4350000001</v>
      </c>
      <c r="S2" s="686">
        <f>'0401'!S16*0.985</f>
        <v>1151796.9450000001</v>
      </c>
      <c r="U2" s="686">
        <f>'0401'!U16*0.985</f>
        <v>913612.71548250364</v>
      </c>
      <c r="W2" s="686">
        <f>'0401'!W16*0.985</f>
        <v>929547.51844665036</v>
      </c>
      <c r="Y2" s="686">
        <f>'0401'!Y16*0.985</f>
        <v>1404233.4911346729</v>
      </c>
      <c r="AA2" s="686">
        <f>C2+E2+G2+I2+K2+M2+O2+Q2+S2+U2+W2+Y2</f>
        <v>13084526.779600035</v>
      </c>
    </row>
    <row r="3" spans="1:28" ht="15.75" thickTop="1">
      <c r="A3" s="9">
        <v>5999</v>
      </c>
      <c r="B3" s="801" t="s">
        <v>110</v>
      </c>
      <c r="C3" s="686">
        <f>'0401'!C36*0.985</f>
        <v>584805.57337</v>
      </c>
      <c r="E3" s="686">
        <f>'0401'!E36*0.985</f>
        <v>416216.77861000813</v>
      </c>
      <c r="G3" s="686">
        <f>'0401'!G36*0.985</f>
        <v>701806.0371057234</v>
      </c>
      <c r="H3" s="371"/>
      <c r="I3" s="686">
        <f>'0401'!I36*0.985</f>
        <v>602337.46140350006</v>
      </c>
      <c r="J3" s="371"/>
      <c r="K3" s="686">
        <f>'0401'!K36*0.985</f>
        <v>612971.89284700004</v>
      </c>
      <c r="M3" s="686">
        <f>'0401'!M36*0.985</f>
        <v>899915.40903099999</v>
      </c>
      <c r="O3" s="686">
        <f>'0401'!O36*0.985</f>
        <v>571125.55650000006</v>
      </c>
      <c r="Q3" s="686">
        <f>'0401'!Q36*0.985</f>
        <v>650474.76068449987</v>
      </c>
      <c r="S3" s="686">
        <f>'0401'!S36*0.985</f>
        <v>676581.41610400006</v>
      </c>
      <c r="U3" s="686">
        <f>'0401'!U36*0.985</f>
        <v>518721.46603632078</v>
      </c>
      <c r="W3" s="686">
        <f>'0401'!W36*0.985</f>
        <v>500993.49818721053</v>
      </c>
      <c r="Y3" s="686">
        <f>'0401'!Y36*0.985</f>
        <v>836186.44727247069</v>
      </c>
      <c r="AA3" s="686">
        <f t="shared" ref="AA3:AA7" si="0">C3+E3+G3+I3+K3+M3+O3+Q3+S3+U3+W3+Y3</f>
        <v>7572136.2971517332</v>
      </c>
    </row>
    <row r="4" spans="1:28">
      <c r="A4" s="63">
        <v>6799</v>
      </c>
      <c r="B4" s="63" t="s">
        <v>135</v>
      </c>
      <c r="C4" s="686">
        <f>('0401'!C145-'0401'!C142+'0401'!C148+'0401'!C150)*0.985</f>
        <v>389151.65547446156</v>
      </c>
      <c r="E4" s="686">
        <f>('0401'!E145-'0401'!E142+'0401'!E148+'0401'!E150)*0.985</f>
        <v>409289.08946085855</v>
      </c>
      <c r="G4" s="686">
        <f>('0401'!G145-'0401'!G142+'0401'!G148+'0401'!G150)*0.985</f>
        <v>419769.90402861842</v>
      </c>
      <c r="H4" s="371"/>
      <c r="I4" s="686">
        <f>('0401'!I145-'0401'!I142+'0401'!I148+'0401'!I150)*0.985</f>
        <v>417547.36699648213</v>
      </c>
      <c r="J4" s="371"/>
      <c r="K4" s="686">
        <f>('0401'!K145-'0401'!K142+'0401'!K148+'0401'!K150)*0.985</f>
        <v>411910.2273141488</v>
      </c>
      <c r="M4" s="686">
        <f>('0401'!M145-'0401'!M142+'0401'!M148+'0401'!M150)*0.985</f>
        <v>402697.84125777322</v>
      </c>
      <c r="N4" s="191"/>
      <c r="O4" s="686">
        <f>('0401'!O145-'0401'!O142+'0401'!O148+'0401'!O150)*0.985</f>
        <v>379555.5649628191</v>
      </c>
      <c r="Q4" s="686">
        <f>('0401'!Q145-'0401'!Q142+'0401'!Q148+'0401'!Q150)*0.985</f>
        <v>430890.36601468915</v>
      </c>
      <c r="S4" s="686">
        <f>('0401'!S145-'0401'!S142+'0401'!S148+'0401'!S150)*0.985</f>
        <v>409702.20778711606</v>
      </c>
      <c r="U4" s="686">
        <f>('0401'!U145-'0401'!U142+'0401'!U148+'0401'!U150)*0.985</f>
        <v>399033.28860588925</v>
      </c>
      <c r="W4" s="686">
        <f>('0401'!W145-'0401'!W142+'0401'!W148+'0401'!W150)*0.985</f>
        <v>396475.1060899219</v>
      </c>
      <c r="Y4" s="686">
        <f>('0401'!Y145-'0401'!Y142+'0401'!Y148+'0401'!Y150)*0.985</f>
        <v>418694.01676931162</v>
      </c>
      <c r="AA4" s="686">
        <f t="shared" si="0"/>
        <v>4884716.6347620897</v>
      </c>
    </row>
    <row r="5" spans="1:28" ht="15.75" thickBot="1">
      <c r="B5" s="232" t="s">
        <v>206</v>
      </c>
      <c r="C5" s="686">
        <f>C2-C3-C4</f>
        <v>10149.376155538426</v>
      </c>
      <c r="E5" s="686">
        <f>E2-E3-E4</f>
        <v>-59868.966524744639</v>
      </c>
      <c r="G5" s="686">
        <f>G2-G3-G4</f>
        <v>148445.39685574401</v>
      </c>
      <c r="I5" s="686">
        <f>I2-I3-I4</f>
        <v>101536.68660001771</v>
      </c>
      <c r="K5" s="686">
        <f>K2-K3-K4</f>
        <v>771.78483885119203</v>
      </c>
      <c r="M5" s="686">
        <f>M2-M3-M4</f>
        <v>151750.08471122675</v>
      </c>
      <c r="O5" s="686">
        <f>O2-O3-O4</f>
        <v>-29908.046462819213</v>
      </c>
      <c r="Q5" s="686">
        <f>Q2-Q3-Q4</f>
        <v>61994.308300811041</v>
      </c>
      <c r="S5" s="686">
        <f>S2-S3-S4</f>
        <v>65513.321108883945</v>
      </c>
      <c r="U5" s="686">
        <f>U2-U3-U4</f>
        <v>-4142.0391597063863</v>
      </c>
      <c r="W5" s="686">
        <f>W2-W3-W4</f>
        <v>32078.914169517928</v>
      </c>
      <c r="Y5" s="686">
        <f>Y2-Y3-Y4</f>
        <v>149353.02709289058</v>
      </c>
      <c r="AA5" s="686">
        <f t="shared" si="0"/>
        <v>627673.84768621135</v>
      </c>
    </row>
    <row r="6" spans="1:28">
      <c r="A6" s="63">
        <v>6798</v>
      </c>
      <c r="B6" s="63" t="s">
        <v>205</v>
      </c>
      <c r="C6" s="686">
        <f>('0401'!C144-'0401'!C142)*0.985</f>
        <v>6396.9248999999963</v>
      </c>
      <c r="E6" s="686">
        <f>('0401'!E144-'0401'!E142)*0.985</f>
        <v>6396.9248999999963</v>
      </c>
      <c r="G6" s="686">
        <f>('0401'!G144-'0401'!G142)*0.985</f>
        <v>6396.9248999999963</v>
      </c>
      <c r="H6" s="371"/>
      <c r="I6" s="686">
        <f>('0401'!I144-'0401'!I142)*0.985</f>
        <v>6396.9248999999963</v>
      </c>
      <c r="J6" s="371"/>
      <c r="K6" s="686">
        <f>('0401'!K144-'0401'!K142)*0.985</f>
        <v>6396.9248999999963</v>
      </c>
      <c r="M6" s="686">
        <f>('0401'!M144-'0401'!M142)*0.985</f>
        <v>6396.9248999999963</v>
      </c>
      <c r="O6" s="686">
        <f>('0401'!O144-'0401'!O142)*0.985</f>
        <v>6396.9248999999963</v>
      </c>
      <c r="Q6" s="686">
        <f>('0401'!Q144-'0401'!Q142)*0.985</f>
        <v>6396.9248999999963</v>
      </c>
      <c r="S6" s="686">
        <f>('0401'!S144-'0401'!S142)*0.985</f>
        <v>6396.9248999999963</v>
      </c>
      <c r="U6" s="686">
        <f>('0401'!U144-'0401'!U142)*0.985</f>
        <v>6396.9248999999963</v>
      </c>
      <c r="W6" s="686">
        <f>('0401'!W144-'0401'!W142)*0.985</f>
        <v>6396.9248999999963</v>
      </c>
      <c r="Y6" s="686">
        <f>('0401'!Y144-'0401'!Y142)*0.985</f>
        <v>6396.9248999999963</v>
      </c>
      <c r="AA6" s="686">
        <f t="shared" si="0"/>
        <v>76763.098799999963</v>
      </c>
    </row>
    <row r="7" spans="1:28" ht="15.75" thickBot="1">
      <c r="A7" s="4">
        <v>6299</v>
      </c>
      <c r="B7" s="4" t="s">
        <v>112</v>
      </c>
      <c r="C7" s="686">
        <f>'0401'!C93*0.985</f>
        <v>109864.78652283104</v>
      </c>
      <c r="E7" s="686">
        <f>'0401'!E93*0.985</f>
        <v>109864.78652283104</v>
      </c>
      <c r="G7" s="686">
        <f>'0401'!G93*0.985</f>
        <v>109864.78652283104</v>
      </c>
      <c r="I7" s="686">
        <f>'0401'!I93*0.985</f>
        <v>109864.78652283104</v>
      </c>
      <c r="K7" s="686">
        <f>'0401'!K93*0.985</f>
        <v>109864.78652283104</v>
      </c>
      <c r="M7" s="686">
        <f>'0401'!M93*0.985</f>
        <v>109864.78652283104</v>
      </c>
      <c r="O7" s="686">
        <f>'0401'!O93*0.985</f>
        <v>109864.78652283104</v>
      </c>
      <c r="Q7" s="686">
        <f>'0401'!Q93*0.985</f>
        <v>109864.78652283104</v>
      </c>
      <c r="S7" s="686">
        <f>'0401'!S93*0.985</f>
        <v>109864.78652283104</v>
      </c>
      <c r="U7" s="686">
        <f>'0401'!U93*0.985</f>
        <v>109864.78652283104</v>
      </c>
      <c r="W7" s="686">
        <f>'0401'!W93*0.985</f>
        <v>109864.78652283104</v>
      </c>
      <c r="Y7" s="686">
        <f>'0401'!Y93*0.985</f>
        <v>109864.78652283104</v>
      </c>
      <c r="AA7" s="686">
        <f t="shared" si="0"/>
        <v>1318377.4382739726</v>
      </c>
    </row>
    <row r="8" spans="1:28" ht="15.75" thickTop="1">
      <c r="H8" s="371"/>
      <c r="J8" s="371"/>
    </row>
    <row r="9" spans="1:28">
      <c r="B9" s="1">
        <v>402</v>
      </c>
      <c r="C9" s="1001" t="s">
        <v>64</v>
      </c>
      <c r="D9" s="1003"/>
      <c r="E9" s="1004" t="s">
        <v>65</v>
      </c>
      <c r="F9" s="1004"/>
      <c r="G9" s="1001" t="s">
        <v>81</v>
      </c>
      <c r="H9" s="1003"/>
      <c r="I9" s="1001" t="s">
        <v>82</v>
      </c>
      <c r="J9" s="1003"/>
      <c r="K9" s="1001" t="s">
        <v>83</v>
      </c>
      <c r="L9" s="1003"/>
      <c r="M9" s="1001" t="s">
        <v>84</v>
      </c>
      <c r="N9" s="1002"/>
      <c r="O9" s="1001" t="s">
        <v>85</v>
      </c>
      <c r="P9" s="1003"/>
      <c r="Q9" s="1001" t="s">
        <v>86</v>
      </c>
      <c r="R9" s="1003"/>
      <c r="S9" s="1004" t="s">
        <v>87</v>
      </c>
      <c r="T9" s="1004"/>
      <c r="U9" s="1001" t="s">
        <v>123</v>
      </c>
      <c r="V9" s="1003"/>
      <c r="W9" s="1001" t="s">
        <v>124</v>
      </c>
      <c r="X9" s="1003"/>
      <c r="Y9" s="1004" t="s">
        <v>125</v>
      </c>
      <c r="Z9" s="1004"/>
      <c r="AA9" s="997" t="s">
        <v>120</v>
      </c>
      <c r="AB9" s="997"/>
    </row>
    <row r="10" spans="1:28" ht="15.75" thickBot="1">
      <c r="A10" s="55">
        <v>5199</v>
      </c>
      <c r="B10" s="55" t="s">
        <v>71</v>
      </c>
      <c r="C10" s="686">
        <f>'0402'!C16*0.985</f>
        <v>1009040.5502500001</v>
      </c>
      <c r="E10" s="686">
        <f>'0402'!E16*0.985</f>
        <v>785035.02548385796</v>
      </c>
      <c r="G10" s="686">
        <f>'0402'!G16*0.985</f>
        <v>1302198.5113579738</v>
      </c>
      <c r="I10" s="686">
        <f>'0402'!I16*0.985</f>
        <v>1149833.8188534684</v>
      </c>
      <c r="K10" s="686">
        <f>'0402'!K16*0.985</f>
        <v>1051640.1619190916</v>
      </c>
      <c r="M10" s="686">
        <f>'0402'!M16*0.985</f>
        <v>1491211.1894108462</v>
      </c>
      <c r="O10" s="686">
        <f>'0402'!O16*0.985</f>
        <v>944101.49318994069</v>
      </c>
      <c r="Q10" s="686">
        <f>'0402'!Q16*0.985</f>
        <v>1172327.6808622964</v>
      </c>
      <c r="S10" s="686">
        <f>'0402'!S16*0.985</f>
        <v>1180978.6101269531</v>
      </c>
      <c r="U10" s="686">
        <f>'0402'!U16*0.985</f>
        <v>936759.94447608199</v>
      </c>
      <c r="W10" s="686">
        <f>'0402'!W16*0.985</f>
        <v>953098.47051339457</v>
      </c>
      <c r="Y10" s="686">
        <f>'0402'!Y16*0.985</f>
        <v>1439811.0543941492</v>
      </c>
      <c r="AA10" s="686">
        <f>C10+E10+G10+I10+K10+M10+O10+Q10+S10+U10+W10+Y10</f>
        <v>13416036.510838054</v>
      </c>
    </row>
    <row r="11" spans="1:28" ht="15.75" thickTop="1">
      <c r="A11" s="9">
        <v>5999</v>
      </c>
      <c r="B11" s="801" t="s">
        <v>110</v>
      </c>
      <c r="C11" s="686">
        <f>'0402'!C36*0.985</f>
        <v>556933.92157292506</v>
      </c>
      <c r="E11" s="686">
        <f>'0402'!E36*0.985</f>
        <v>356102.62705183285</v>
      </c>
      <c r="G11" s="686">
        <f>'0402'!G36*0.985</f>
        <v>698485.0917901455</v>
      </c>
      <c r="H11" s="371"/>
      <c r="I11" s="686">
        <f>'0402'!I36*0.985</f>
        <v>554466.15068737173</v>
      </c>
      <c r="J11" s="371"/>
      <c r="K11" s="686">
        <f>'0402'!K36*0.985</f>
        <v>422059.11894574767</v>
      </c>
      <c r="M11" s="686">
        <f>'0402'!M36*0.985</f>
        <v>789991.69591198408</v>
      </c>
      <c r="O11" s="686">
        <f>'0402'!O36*0.985</f>
        <v>453414.96673117153</v>
      </c>
      <c r="Q11" s="686">
        <f>'0402'!Q36*0.985</f>
        <v>552412.58768614149</v>
      </c>
      <c r="S11" s="686">
        <f>'0402'!S36*0.985</f>
        <v>546094.56360067776</v>
      </c>
      <c r="U11" s="686">
        <f>'0402'!U36*0.985</f>
        <v>426472.02473661734</v>
      </c>
      <c r="W11" s="686">
        <f>'0402'!W36*0.985</f>
        <v>433238.88515423512</v>
      </c>
      <c r="Y11" s="686">
        <f>'0402'!Y36*0.985</f>
        <v>745492.4517544118</v>
      </c>
      <c r="AA11" s="686">
        <f t="shared" ref="AA11:AA15" si="1">C11+E11+G11+I11+K11+M11+O11+Q11+S11+U11+W11+Y11</f>
        <v>6535164.0856232625</v>
      </c>
    </row>
    <row r="12" spans="1:28">
      <c r="A12" s="63">
        <v>6799</v>
      </c>
      <c r="B12" s="63" t="s">
        <v>135</v>
      </c>
      <c r="C12" s="686">
        <f>('0402'!C145-'0402'!C142+'0402'!C148+'0402'!C150)*0.985</f>
        <v>456974.78268800391</v>
      </c>
      <c r="E12" s="686">
        <f>('0402'!E145-'0402'!E142+'0402'!E148+'0402'!E150)*0.985</f>
        <v>462628.82128662721</v>
      </c>
      <c r="G12" s="686">
        <f>('0402'!G145-'0402'!G142+'0402'!G148+'0402'!G150)*0.985</f>
        <v>472903.39230194304</v>
      </c>
      <c r="H12" s="371"/>
      <c r="I12" s="686">
        <f>('0402'!I145-'0402'!I142+'0402'!I148+'0402'!I150)*0.985</f>
        <v>481622.8462207421</v>
      </c>
      <c r="J12" s="371"/>
      <c r="K12" s="686">
        <f>('0402'!K145-'0402'!K142+'0402'!K148+'0402'!K150)*0.985</f>
        <v>489916.56138764031</v>
      </c>
      <c r="M12" s="686">
        <f>('0402'!M145-'0402'!M142+'0402'!M148+'0402'!M150)*0.985</f>
        <v>476128.1273554131</v>
      </c>
      <c r="N12" s="191"/>
      <c r="O12" s="686">
        <f>('0402'!O145-'0402'!O142+'0402'!O148+'0402'!O150)*0.985</f>
        <v>453398.79238502076</v>
      </c>
      <c r="Q12" s="686">
        <f>('0402'!Q145-'0402'!Q142+'0402'!Q148+'0402'!Q150)*0.985</f>
        <v>491340.19120617048</v>
      </c>
      <c r="S12" s="686">
        <f>('0402'!S145-'0402'!S142+'0402'!S148+'0402'!S150)*0.985</f>
        <v>475798.0246535737</v>
      </c>
      <c r="U12" s="686">
        <f>('0402'!U145-'0402'!U142+'0402'!U148+'0402'!U150)*0.985</f>
        <v>467269.25039149309</v>
      </c>
      <c r="W12" s="686">
        <f>('0402'!W145-'0402'!W142+'0402'!W148+'0402'!W150)*0.985</f>
        <v>467668.19467571471</v>
      </c>
      <c r="Y12" s="686">
        <f>('0402'!Y145-'0402'!Y142+'0402'!Y148+'0402'!Y150)*0.985</f>
        <v>483173.25495703833</v>
      </c>
      <c r="AA12" s="686">
        <f t="shared" si="1"/>
        <v>5678822.2395093795</v>
      </c>
    </row>
    <row r="13" spans="1:28" ht="15.75" thickBot="1">
      <c r="B13" s="232" t="s">
        <v>206</v>
      </c>
      <c r="C13" s="686">
        <f>C10-C11-C12</f>
        <v>-4868.1540109288762</v>
      </c>
      <c r="E13" s="686">
        <f>E10-E11-E12</f>
        <v>-33696.422854602104</v>
      </c>
      <c r="G13" s="686">
        <f>G10-G11-G12</f>
        <v>130810.02726588526</v>
      </c>
      <c r="I13" s="686">
        <f>I10-I11-I12</f>
        <v>113744.82194535458</v>
      </c>
      <c r="K13" s="686">
        <f>K10-K11-K12</f>
        <v>139664.48158570367</v>
      </c>
      <c r="M13" s="686">
        <f>M10-M11-M12</f>
        <v>225091.36614344904</v>
      </c>
      <c r="O13" s="686">
        <f>O10-O11-O12</f>
        <v>37287.734073748405</v>
      </c>
      <c r="Q13" s="686">
        <f>Q10-Q11-Q12</f>
        <v>128574.90196998441</v>
      </c>
      <c r="S13" s="686">
        <f>S10-S11-S12</f>
        <v>159086.02187270165</v>
      </c>
      <c r="U13" s="686">
        <f>U10-U11-U12</f>
        <v>43018.669347971561</v>
      </c>
      <c r="W13" s="686">
        <f>W10-W11-W12</f>
        <v>52191.390683444741</v>
      </c>
      <c r="Y13" s="686">
        <f>Y10-Y11-Y12</f>
        <v>211145.3476826991</v>
      </c>
      <c r="AA13" s="686">
        <f t="shared" si="1"/>
        <v>1202050.1857054115</v>
      </c>
    </row>
    <row r="14" spans="1:28">
      <c r="A14" s="63">
        <v>6798</v>
      </c>
      <c r="B14" s="63" t="s">
        <v>205</v>
      </c>
      <c r="C14" s="686">
        <f>('0402'!C144-'0402'!C142)*0.985</f>
        <v>8743.1357999999982</v>
      </c>
      <c r="E14" s="686">
        <f>('0402'!E144-'0402'!E142)*0.985</f>
        <v>8743.1357999999982</v>
      </c>
      <c r="G14" s="686">
        <f>('0402'!G144-'0402'!G142)*0.985</f>
        <v>8743.1357999999982</v>
      </c>
      <c r="H14" s="371"/>
      <c r="I14" s="686">
        <f>('0402'!I144-'0402'!I142)*0.985</f>
        <v>8743.1357999999982</v>
      </c>
      <c r="J14" s="371"/>
      <c r="K14" s="686">
        <f>('0402'!K144-'0402'!K142)*0.985</f>
        <v>8743.1357999999982</v>
      </c>
      <c r="M14" s="686">
        <f>('0402'!M144-'0402'!M142)*0.985</f>
        <v>8442.2773999999972</v>
      </c>
      <c r="O14" s="686">
        <f>('0402'!O144-'0402'!O142)*0.985</f>
        <v>8442.2773999999972</v>
      </c>
      <c r="Q14" s="686">
        <f>('0402'!Q144-'0402'!Q142)*0.985</f>
        <v>8442.2773999999972</v>
      </c>
      <c r="S14" s="686">
        <f>('0402'!S144-'0402'!S142)*0.985</f>
        <v>8442.2773999999972</v>
      </c>
      <c r="U14" s="686">
        <f>('0402'!U144-'0402'!U142)*0.985</f>
        <v>8442.2773999999972</v>
      </c>
      <c r="W14" s="686">
        <f>('0402'!W144-'0402'!W142)*0.985</f>
        <v>8442.2773999999972</v>
      </c>
      <c r="Y14" s="686">
        <f>('0402'!Y144-'0402'!Y142)*0.985</f>
        <v>8442.2773999999972</v>
      </c>
      <c r="AA14" s="686">
        <f t="shared" si="1"/>
        <v>102811.62079999995</v>
      </c>
    </row>
    <row r="15" spans="1:28" ht="15.75" thickBot="1">
      <c r="A15" s="4">
        <v>6299</v>
      </c>
      <c r="B15" s="4" t="s">
        <v>112</v>
      </c>
      <c r="C15" s="686">
        <f>'0402'!C93*0.985</f>
        <v>119333.24834703197</v>
      </c>
      <c r="E15" s="686">
        <f>'0402'!E93*0.985</f>
        <v>119333.24834703197</v>
      </c>
      <c r="G15" s="686">
        <f>'0402'!G93*0.985</f>
        <v>119333.24834703197</v>
      </c>
      <c r="I15" s="686">
        <f>'0402'!I93*0.985</f>
        <v>119333.24834703197</v>
      </c>
      <c r="K15" s="686">
        <f>'0402'!K93*0.985</f>
        <v>119333.24834703197</v>
      </c>
      <c r="M15" s="686">
        <f>'0402'!M93*0.985</f>
        <v>119333.24834703197</v>
      </c>
      <c r="O15" s="686">
        <f>'0402'!O93*0.985</f>
        <v>119333.24834703197</v>
      </c>
      <c r="Q15" s="686">
        <f>'0402'!Q93*0.985</f>
        <v>119333.24834703197</v>
      </c>
      <c r="S15" s="686">
        <f>'0402'!S93*0.985</f>
        <v>119333.24834703197</v>
      </c>
      <c r="U15" s="686">
        <f>'0402'!U93*0.985</f>
        <v>119333.24834703197</v>
      </c>
      <c r="W15" s="686">
        <f>'0402'!W93*0.985</f>
        <v>119333.24834703197</v>
      </c>
      <c r="Y15" s="686">
        <f>'0402'!Y93*0.985</f>
        <v>119333.24834703197</v>
      </c>
      <c r="AA15" s="686">
        <f t="shared" si="1"/>
        <v>1431998.9801643835</v>
      </c>
    </row>
    <row r="18" spans="1:28">
      <c r="B18" s="1">
        <v>403</v>
      </c>
      <c r="C18" s="1001" t="s">
        <v>64</v>
      </c>
      <c r="D18" s="1003"/>
      <c r="E18" s="1004" t="s">
        <v>65</v>
      </c>
      <c r="F18" s="1004"/>
      <c r="G18" s="1001" t="s">
        <v>81</v>
      </c>
      <c r="H18" s="1003"/>
      <c r="I18" s="1001" t="s">
        <v>82</v>
      </c>
      <c r="J18" s="1003"/>
      <c r="K18" s="1001" t="s">
        <v>83</v>
      </c>
      <c r="L18" s="1003"/>
      <c r="M18" s="1001" t="s">
        <v>84</v>
      </c>
      <c r="N18" s="1002"/>
      <c r="O18" s="1001" t="s">
        <v>85</v>
      </c>
      <c r="P18" s="1003"/>
      <c r="Q18" s="1001" t="s">
        <v>86</v>
      </c>
      <c r="R18" s="1003"/>
      <c r="S18" s="1004" t="s">
        <v>87</v>
      </c>
      <c r="T18" s="1004"/>
      <c r="U18" s="1001" t="s">
        <v>123</v>
      </c>
      <c r="V18" s="1003"/>
      <c r="W18" s="1001" t="s">
        <v>124</v>
      </c>
      <c r="X18" s="1003"/>
      <c r="Y18" s="1004" t="s">
        <v>125</v>
      </c>
      <c r="Z18" s="1004"/>
      <c r="AA18" s="997" t="s">
        <v>120</v>
      </c>
      <c r="AB18" s="997"/>
    </row>
    <row r="19" spans="1:28" ht="15.75" thickBot="1">
      <c r="A19" s="55">
        <v>5199</v>
      </c>
      <c r="B19" s="55" t="s">
        <v>71</v>
      </c>
      <c r="C19" s="686">
        <f>'0403'!C16*0.985</f>
        <v>903047.54455963999</v>
      </c>
      <c r="E19" s="686">
        <f>'0403'!E16*0.985</f>
        <v>702572.31154877762</v>
      </c>
      <c r="G19" s="686">
        <f>'0403'!G16*0.985</f>
        <v>1165411.208195</v>
      </c>
      <c r="I19" s="686">
        <f>'0403'!I16*0.985</f>
        <v>1029051.4152676496</v>
      </c>
      <c r="K19" s="686">
        <f>'0403'!K16*0.985</f>
        <v>941172.34963068389</v>
      </c>
      <c r="M19" s="686">
        <f>'0403'!M16*0.985</f>
        <v>1334569.36103716</v>
      </c>
      <c r="O19" s="686">
        <f>'0403'!O16*0.985</f>
        <v>844929.90360306983</v>
      </c>
      <c r="Q19" s="686">
        <f>'0403'!Q16*0.985</f>
        <v>1049182.446513626</v>
      </c>
      <c r="S19" s="686">
        <f>'0403'!S16*0.985</f>
        <v>1056924.653132705</v>
      </c>
      <c r="U19" s="686">
        <f>'0403'!U16*0.985</f>
        <v>838359.53580697777</v>
      </c>
      <c r="W19" s="686">
        <f>'0403'!W16*0.985</f>
        <v>852981.8082313952</v>
      </c>
      <c r="Y19" s="686">
        <f>'0403'!Y16*0.985</f>
        <v>1288568.4687198517</v>
      </c>
      <c r="AA19" s="686">
        <f>C19+E19+G19+I19+K19+M19+O19+Q19+S19+U19+W19+Y19</f>
        <v>12006771.006246535</v>
      </c>
    </row>
    <row r="20" spans="1:28" ht="15.75" thickTop="1">
      <c r="A20" s="9">
        <v>5999</v>
      </c>
      <c r="B20" s="801" t="s">
        <v>110</v>
      </c>
      <c r="C20" s="686">
        <f>'0403'!C36*0.985</f>
        <v>476595.63450966601</v>
      </c>
      <c r="E20" s="686">
        <f>'0403'!E36*0.985</f>
        <v>318413.00713159633</v>
      </c>
      <c r="G20" s="686">
        <f>'0403'!G36*0.985</f>
        <v>599635.27549550787</v>
      </c>
      <c r="H20" s="371"/>
      <c r="I20" s="686">
        <f>'0403'!I36*0.985</f>
        <v>468880.66965441435</v>
      </c>
      <c r="J20" s="371"/>
      <c r="K20" s="686">
        <f>'0403'!K36*0.985</f>
        <v>382734.31012487307</v>
      </c>
      <c r="M20" s="686">
        <f>'0403'!M36*0.985</f>
        <v>707469.51134969492</v>
      </c>
      <c r="O20" s="686">
        <f>'0403'!O36*0.985</f>
        <v>416698.19247631339</v>
      </c>
      <c r="Q20" s="686">
        <f>'0403'!Q36*0.985</f>
        <v>433984.69163338433</v>
      </c>
      <c r="S20" s="686">
        <f>'0403'!S36*0.985</f>
        <v>521211.60399442358</v>
      </c>
      <c r="U20" s="686">
        <f>'0403'!U36*0.985</f>
        <v>379924.61972056096</v>
      </c>
      <c r="W20" s="686">
        <f>'0403'!W36*0.985</f>
        <v>387145.59639458399</v>
      </c>
      <c r="Y20" s="686">
        <f>'0403'!Y36*0.985</f>
        <v>651261.39724414097</v>
      </c>
      <c r="AA20" s="686">
        <f t="shared" ref="AA20:AA24" si="2">C20+E20+G20+I20+K20+M20+O20+Q20+S20+U20+W20+Y20</f>
        <v>5743954.5097291581</v>
      </c>
    </row>
    <row r="21" spans="1:28">
      <c r="A21" s="63">
        <v>6799</v>
      </c>
      <c r="B21" s="63" t="s">
        <v>135</v>
      </c>
      <c r="C21" s="686">
        <f>('0403'!C145-'0403'!C142+'0403'!C148+'0403'!C150)*0.985</f>
        <v>425961.75909820892</v>
      </c>
      <c r="E21" s="686">
        <f>('0403'!E145-'0403'!E142+'0403'!E148+'0403'!E150)*0.985</f>
        <v>422756.13227284519</v>
      </c>
      <c r="G21" s="686">
        <f>('0403'!G145-'0403'!G142+'0403'!G148+'0403'!G150)*0.985</f>
        <v>439524.01508258737</v>
      </c>
      <c r="H21" s="371"/>
      <c r="I21" s="686">
        <f>('0403'!I145-'0403'!I142+'0403'!I148+'0403'!I150)*0.985</f>
        <v>441295.92659345333</v>
      </c>
      <c r="J21" s="371"/>
      <c r="K21" s="686">
        <f>('0403'!K145-'0403'!K142+'0403'!K148+'0403'!K150)*0.985</f>
        <v>436032.78954721894</v>
      </c>
      <c r="M21" s="686">
        <f>('0403'!M145-'0403'!M142+'0403'!M148+'0403'!M150)*0.985</f>
        <v>426244.65302470519</v>
      </c>
      <c r="N21" s="191"/>
      <c r="O21" s="686">
        <f>('0403'!O145-'0403'!O142+'0403'!O148+'0403'!O150)*0.985</f>
        <v>406805.39322061569</v>
      </c>
      <c r="Q21" s="686">
        <f>('0403'!Q145-'0403'!Q142+'0403'!Q148+'0403'!Q150)*0.985</f>
        <v>451532.74232016591</v>
      </c>
      <c r="S21" s="686">
        <f>('0403'!S145-'0403'!S142+'0403'!S148+'0403'!S150)*0.985</f>
        <v>430646.19543121592</v>
      </c>
      <c r="U21" s="686">
        <f>('0403'!U145-'0403'!U142+'0403'!U148+'0403'!U150)*0.985</f>
        <v>420288.10291058669</v>
      </c>
      <c r="W21" s="686">
        <f>('0403'!W145-'0403'!W142+'0403'!W148+'0403'!W150)*0.985</f>
        <v>420017.15453741216</v>
      </c>
      <c r="Y21" s="686">
        <f>('0403'!Y145-'0403'!Y142+'0403'!Y148+'0403'!Y150)*0.985</f>
        <v>446244.4471972746</v>
      </c>
      <c r="AA21" s="686">
        <f t="shared" si="2"/>
        <v>5167349.3112362893</v>
      </c>
    </row>
    <row r="22" spans="1:28" ht="15.75" thickBot="1">
      <c r="B22" s="232" t="s">
        <v>206</v>
      </c>
      <c r="C22" s="686">
        <f>C19-C20-C21</f>
        <v>490.1509517650702</v>
      </c>
      <c r="E22" s="686">
        <f>E19-E20-E21</f>
        <v>-38596.827855663898</v>
      </c>
      <c r="G22" s="686">
        <f>G19-G20-G21</f>
        <v>126251.91761690471</v>
      </c>
      <c r="I22" s="686">
        <f>I19-I20-I21</f>
        <v>118874.81901978195</v>
      </c>
      <c r="K22" s="686">
        <f>K19-K20-K21</f>
        <v>122405.24995859188</v>
      </c>
      <c r="M22" s="686">
        <f>M19-M20-M21</f>
        <v>200855.19666275993</v>
      </c>
      <c r="O22" s="686">
        <f>O19-O20-O21</f>
        <v>21426.317906140757</v>
      </c>
      <c r="Q22" s="686">
        <f>Q19-Q20-Q21</f>
        <v>163665.01256007579</v>
      </c>
      <c r="S22" s="686">
        <f>S19-S20-S21</f>
        <v>105066.85370706557</v>
      </c>
      <c r="U22" s="686">
        <f>U19-U20-U21</f>
        <v>38146.813175830117</v>
      </c>
      <c r="W22" s="686">
        <f>W19-W20-W21</f>
        <v>45819.05729939905</v>
      </c>
      <c r="Y22" s="686">
        <f>Y19-Y20-Y21</f>
        <v>191062.62427843612</v>
      </c>
      <c r="AA22" s="686">
        <f t="shared" si="2"/>
        <v>1095467.1852810872</v>
      </c>
    </row>
    <row r="23" spans="1:28">
      <c r="A23" s="63">
        <v>6798</v>
      </c>
      <c r="B23" s="63" t="s">
        <v>205</v>
      </c>
      <c r="C23" s="686">
        <f>('0403'!C144-'0403'!C142)*0.985</f>
        <v>5727.0165499999957</v>
      </c>
      <c r="E23" s="686">
        <f>('0403'!E144-'0403'!E142)*0.985</f>
        <v>5727.0165499999957</v>
      </c>
      <c r="G23" s="686">
        <f>('0403'!G144-'0403'!G142)*0.985</f>
        <v>5727.0165499999957</v>
      </c>
      <c r="H23" s="371"/>
      <c r="I23" s="686">
        <f>('0403'!I144-'0403'!I142)*0.985</f>
        <v>5727.0165499999957</v>
      </c>
      <c r="J23" s="371"/>
      <c r="K23" s="686">
        <f>('0403'!K144-'0403'!K142)*0.985</f>
        <v>5727.0165499999957</v>
      </c>
      <c r="M23" s="686">
        <f>('0403'!M144-'0403'!M142)*0.985</f>
        <v>5727.0165499999957</v>
      </c>
      <c r="O23" s="686">
        <f>('0403'!O144-'0403'!O142)*0.985</f>
        <v>5727.0165499999957</v>
      </c>
      <c r="Q23" s="686">
        <f>('0403'!Q144-'0403'!Q142)*0.985</f>
        <v>5727.0165499999957</v>
      </c>
      <c r="S23" s="686">
        <f>('0403'!S144-'0403'!S142)*0.985</f>
        <v>5727.0165499999957</v>
      </c>
      <c r="U23" s="686">
        <f>('0403'!U144-'0403'!U142)*0.985</f>
        <v>5727.0165499999957</v>
      </c>
      <c r="W23" s="686">
        <f>('0403'!W144-'0403'!W142)*0.985</f>
        <v>5727.0165499999957</v>
      </c>
      <c r="Y23" s="686">
        <f>('0403'!Y144-'0403'!Y142)*0.985</f>
        <v>5727.0165499999957</v>
      </c>
      <c r="AA23" s="686">
        <f t="shared" si="2"/>
        <v>68724.198599999931</v>
      </c>
    </row>
    <row r="24" spans="1:28" ht="15.75" thickBot="1">
      <c r="A24" s="4">
        <v>6299</v>
      </c>
      <c r="B24" s="4" t="s">
        <v>112</v>
      </c>
      <c r="C24" s="686">
        <f>'0403'!C93*0.985</f>
        <v>113115.33217465752</v>
      </c>
      <c r="E24" s="686">
        <f>'0403'!E93*0.985</f>
        <v>113115.33217465752</v>
      </c>
      <c r="G24" s="686">
        <f>'0403'!G93*0.985</f>
        <v>113115.33217465752</v>
      </c>
      <c r="I24" s="686">
        <f>'0403'!I93*0.985</f>
        <v>113115.33217465752</v>
      </c>
      <c r="K24" s="686">
        <f>'0403'!K93*0.985</f>
        <v>113115.33217465752</v>
      </c>
      <c r="M24" s="686">
        <f>'0403'!M93*0.985</f>
        <v>113115.33217465752</v>
      </c>
      <c r="O24" s="686">
        <f>'0403'!O93*0.985</f>
        <v>113115.33217465752</v>
      </c>
      <c r="Q24" s="686">
        <f>'0403'!Q93*0.985</f>
        <v>113115.33217465752</v>
      </c>
      <c r="S24" s="686">
        <f>'0403'!S93*0.985</f>
        <v>113115.33217465752</v>
      </c>
      <c r="U24" s="686">
        <f>'0403'!U93*0.985</f>
        <v>113115.33217465752</v>
      </c>
      <c r="W24" s="686">
        <f>'0403'!W93*0.985</f>
        <v>113115.33217465752</v>
      </c>
      <c r="Y24" s="686">
        <f>'0403'!Y93*0.985</f>
        <v>113115.33217465752</v>
      </c>
      <c r="AA24" s="686">
        <f t="shared" si="2"/>
        <v>1357383.9860958904</v>
      </c>
    </row>
    <row r="27" spans="1:28">
      <c r="B27" s="1">
        <v>405</v>
      </c>
      <c r="C27" s="1001" t="s">
        <v>64</v>
      </c>
      <c r="D27" s="1003"/>
      <c r="E27" s="1004" t="s">
        <v>65</v>
      </c>
      <c r="F27" s="1004"/>
      <c r="G27" s="1001" t="s">
        <v>81</v>
      </c>
      <c r="H27" s="1003"/>
      <c r="I27" s="1001" t="s">
        <v>82</v>
      </c>
      <c r="J27" s="1003"/>
      <c r="K27" s="1001" t="s">
        <v>83</v>
      </c>
      <c r="L27" s="1003"/>
      <c r="M27" s="1001" t="s">
        <v>84</v>
      </c>
      <c r="N27" s="1002"/>
      <c r="O27" s="1001" t="s">
        <v>85</v>
      </c>
      <c r="P27" s="1003"/>
      <c r="Q27" s="1001" t="s">
        <v>86</v>
      </c>
      <c r="R27" s="1003"/>
      <c r="S27" s="1004" t="s">
        <v>87</v>
      </c>
      <c r="T27" s="1004"/>
      <c r="U27" s="1001" t="s">
        <v>123</v>
      </c>
      <c r="V27" s="1003"/>
      <c r="W27" s="1001" t="s">
        <v>124</v>
      </c>
      <c r="X27" s="1003"/>
      <c r="Y27" s="1004" t="s">
        <v>125</v>
      </c>
      <c r="Z27" s="1004"/>
      <c r="AA27" s="997" t="s">
        <v>120</v>
      </c>
      <c r="AB27" s="997"/>
    </row>
    <row r="28" spans="1:28" ht="15.75" thickBot="1">
      <c r="A28" s="55">
        <v>5199</v>
      </c>
      <c r="B28" s="55" t="s">
        <v>71</v>
      </c>
      <c r="C28" s="686">
        <f>'405'!C16*0.985</f>
        <v>1505069.7703508195</v>
      </c>
      <c r="E28" s="686">
        <f>'405'!E16*0.985</f>
        <v>1170946.4844539198</v>
      </c>
      <c r="G28" s="686">
        <f>'405'!G16*0.985</f>
        <v>1942339.7930505364</v>
      </c>
      <c r="I28" s="686">
        <f>'405'!I16*0.985</f>
        <v>1715074.9000821265</v>
      </c>
      <c r="K28" s="686">
        <f>'405'!K16*0.985</f>
        <v>1568610.7123064003</v>
      </c>
      <c r="M28" s="686">
        <f>'405'!M16*0.985</f>
        <v>2224268.2722885511</v>
      </c>
      <c r="O28" s="686">
        <f>'405'!O16*0.985</f>
        <v>1408207.6449227061</v>
      </c>
      <c r="Q28" s="686">
        <f>'405'!Q16*0.985</f>
        <v>1748626.4077040928</v>
      </c>
      <c r="S28" s="686">
        <f>'405'!S16*0.985</f>
        <v>1761530.0042072616</v>
      </c>
      <c r="U28" s="686">
        <f>'405'!U16*0.985</f>
        <v>1397257.1008350109</v>
      </c>
      <c r="W28" s="686">
        <f>'405'!W16*0.985</f>
        <v>1421627.4015267005</v>
      </c>
      <c r="Y28" s="686">
        <f>'405'!Y16*0.985</f>
        <v>2147600.6008541971</v>
      </c>
      <c r="AA28" s="686">
        <f>C28+E28+G28+I28+K28+M28+O28+Q28+S28+U28+W28+Y28</f>
        <v>20011159.092582319</v>
      </c>
    </row>
    <row r="29" spans="1:28" ht="15.75" thickTop="1">
      <c r="A29" s="9">
        <v>5999</v>
      </c>
      <c r="B29" s="801" t="s">
        <v>110</v>
      </c>
      <c r="C29" s="686">
        <f>'405'!C36*0.985</f>
        <v>745406.29330069071</v>
      </c>
      <c r="E29" s="686">
        <f>'405'!E36*0.985</f>
        <v>498015.60054136137</v>
      </c>
      <c r="G29" s="686">
        <f>'405'!G36*0.985</f>
        <v>966948.76500125183</v>
      </c>
      <c r="H29" s="371"/>
      <c r="I29" s="686">
        <f>'405'!I36*0.985</f>
        <v>748704.93639584002</v>
      </c>
      <c r="J29" s="371"/>
      <c r="K29" s="686">
        <f>'405'!K36*0.985</f>
        <v>710826.90267479944</v>
      </c>
      <c r="M29" s="686">
        <f>'405'!M36*0.985</f>
        <v>1119720.471442828</v>
      </c>
      <c r="O29" s="686">
        <f>'405'!O36*0.985</f>
        <v>627180.29351958877</v>
      </c>
      <c r="Q29" s="686">
        <f>'405'!Q36*0.985</f>
        <v>725926.20919719862</v>
      </c>
      <c r="S29" s="686">
        <f>'405'!S36*0.985</f>
        <v>885238.92411372822</v>
      </c>
      <c r="U29" s="686">
        <f>'405'!U36*0.985</f>
        <v>568231.26148943207</v>
      </c>
      <c r="W29" s="686">
        <f>'405'!W36*0.985</f>
        <v>568186.39690991677</v>
      </c>
      <c r="Y29" s="686">
        <f>'405'!Y36*0.985</f>
        <v>1037537.3402125771</v>
      </c>
      <c r="AA29" s="686">
        <f t="shared" ref="AA29:AA33" si="3">C29+E29+G29+I29+K29+M29+O29+Q29+S29+U29+W29+Y29</f>
        <v>9201923.3947992139</v>
      </c>
    </row>
    <row r="30" spans="1:28">
      <c r="A30" s="63">
        <v>6799</v>
      </c>
      <c r="B30" s="63" t="s">
        <v>135</v>
      </c>
      <c r="C30" s="686">
        <f>('405'!C145-'405'!C142+'405'!C148+'405'!C150)*0.985</f>
        <v>498055.23923995637</v>
      </c>
      <c r="E30" s="686">
        <f>('405'!E145-'405'!E142+'405'!E148+'405'!E150)*0.985</f>
        <v>502279.4968351085</v>
      </c>
      <c r="G30" s="686">
        <f>('405'!G145-'405'!G142+'405'!G148+'405'!G150)*0.985</f>
        <v>524989.94747209956</v>
      </c>
      <c r="H30" s="371"/>
      <c r="I30" s="686">
        <f>('405'!I145-'405'!I142+'405'!I148+'405'!I150)*0.985</f>
        <v>532872.47135759483</v>
      </c>
      <c r="J30" s="371"/>
      <c r="K30" s="686">
        <f>('405'!K145-'405'!K142+'405'!K148+'405'!K150)*0.985</f>
        <v>530099.20251411037</v>
      </c>
      <c r="M30" s="686">
        <f>('405'!M145-'405'!M142+'405'!M148+'405'!M150)*0.985</f>
        <v>533292.05831333646</v>
      </c>
      <c r="N30" s="191"/>
      <c r="O30" s="686">
        <f>('405'!O145-'405'!O142+'405'!O148+'405'!O150)*0.985</f>
        <v>492827.29521111527</v>
      </c>
      <c r="Q30" s="686">
        <f>('405'!Q145-'405'!Q142+'405'!Q148+'405'!Q150)*0.985</f>
        <v>573142.46041412069</v>
      </c>
      <c r="S30" s="686">
        <f>('405'!S145-'405'!S142+'405'!S148+'405'!S150)*0.985</f>
        <v>535703.37145155773</v>
      </c>
      <c r="U30" s="686">
        <f>('405'!U145-'405'!U142+'405'!U148+'405'!U150)*0.985</f>
        <v>531118.39530539198</v>
      </c>
      <c r="W30" s="686">
        <f>('405'!W145-'405'!W142+'405'!W148+'405'!W150)*0.985</f>
        <v>533091.32415990764</v>
      </c>
      <c r="Y30" s="686">
        <f>('405'!Y145-'405'!Y142+'405'!Y148+'405'!Y150)*0.985</f>
        <v>559704.48178404267</v>
      </c>
      <c r="AA30" s="686">
        <f t="shared" si="3"/>
        <v>6347175.7440583417</v>
      </c>
    </row>
    <row r="31" spans="1:28" ht="15.75" thickBot="1">
      <c r="B31" s="232" t="s">
        <v>206</v>
      </c>
      <c r="C31" s="686">
        <f>C28-C29-C30</f>
        <v>261608.23781017237</v>
      </c>
      <c r="E31" s="686">
        <f>E28-E29-E30</f>
        <v>170651.38707744994</v>
      </c>
      <c r="G31" s="686">
        <f>G28-G29-G30</f>
        <v>450401.08057718503</v>
      </c>
      <c r="I31" s="686">
        <f>I28-I29-I30</f>
        <v>433497.49232869165</v>
      </c>
      <c r="K31" s="686">
        <f>K28-K29-K30</f>
        <v>327684.60711749049</v>
      </c>
      <c r="M31" s="686">
        <f>M28-M29-M30</f>
        <v>571255.74253238668</v>
      </c>
      <c r="O31" s="686">
        <f>O28-O29-O30</f>
        <v>288200.05619200203</v>
      </c>
      <c r="Q31" s="686">
        <f>Q28-Q29-Q30</f>
        <v>449557.73809277348</v>
      </c>
      <c r="S31" s="686">
        <f>S28-S29-S30</f>
        <v>340587.70864197565</v>
      </c>
      <c r="U31" s="686">
        <f>U28-U29-U30</f>
        <v>297907.44404018682</v>
      </c>
      <c r="W31" s="686">
        <f>W28-W29-W30</f>
        <v>320349.68045687606</v>
      </c>
      <c r="Y31" s="686">
        <f>Y28-Y29-Y30</f>
        <v>550358.77885757736</v>
      </c>
      <c r="AA31" s="686">
        <f t="shared" si="3"/>
        <v>4462059.953724768</v>
      </c>
    </row>
    <row r="32" spans="1:28">
      <c r="A32" s="63">
        <v>6798</v>
      </c>
      <c r="B32" s="63" t="s">
        <v>205</v>
      </c>
      <c r="C32" s="686">
        <f>('405'!C144-'405'!C142)*0.985</f>
        <v>6140.9726500000052</v>
      </c>
      <c r="E32" s="686">
        <f>('405'!E144-'405'!E142)*0.985</f>
        <v>6140.9726500000052</v>
      </c>
      <c r="G32" s="686">
        <f>('405'!G144-'405'!G142)*0.985</f>
        <v>6140.9726500000052</v>
      </c>
      <c r="H32" s="371"/>
      <c r="I32" s="686">
        <f>('405'!I144-'405'!I142)*0.985</f>
        <v>6140.9726500000052</v>
      </c>
      <c r="J32" s="371"/>
      <c r="K32" s="686">
        <f>('405'!K144-'405'!K142)*0.985</f>
        <v>6140.9726500000052</v>
      </c>
      <c r="M32" s="686">
        <f>('405'!M144-'405'!M142)*0.985</f>
        <v>6140.9726500000052</v>
      </c>
      <c r="O32" s="686">
        <f>('405'!O144-'405'!O142)*0.985</f>
        <v>6140.9726500000052</v>
      </c>
      <c r="Q32" s="686">
        <f>('405'!Q144-'405'!Q142)*0.985</f>
        <v>6140.9726500000052</v>
      </c>
      <c r="S32" s="686">
        <f>('405'!S144-'405'!S142)*0.985</f>
        <v>6140.9726500000052</v>
      </c>
      <c r="U32" s="686">
        <f>('405'!U144-'405'!U142)*0.985</f>
        <v>6140.9726500000052</v>
      </c>
      <c r="W32" s="686">
        <f>('405'!W144-'405'!W142)*0.985</f>
        <v>6140.9726500000052</v>
      </c>
      <c r="Y32" s="686">
        <f>('405'!Y144-'405'!Y142)*0.985</f>
        <v>6140.9726500000052</v>
      </c>
      <c r="AA32" s="686">
        <f t="shared" si="3"/>
        <v>73691.671800000055</v>
      </c>
    </row>
    <row r="33" spans="1:28" ht="15.75" thickBot="1">
      <c r="A33" s="4">
        <v>6299</v>
      </c>
      <c r="B33" s="4" t="s">
        <v>112</v>
      </c>
      <c r="C33" s="686">
        <f>'405'!C93*0.985</f>
        <v>144554.79538127853</v>
      </c>
      <c r="E33" s="686">
        <f>'405'!E93*0.985</f>
        <v>144554.79538127853</v>
      </c>
      <c r="G33" s="686">
        <f>'405'!G93*0.985</f>
        <v>144554.79538127853</v>
      </c>
      <c r="I33" s="686">
        <f>'405'!I93*0.985</f>
        <v>144554.79538127853</v>
      </c>
      <c r="K33" s="686">
        <f>'405'!K93*0.985</f>
        <v>144554.79538127853</v>
      </c>
      <c r="M33" s="686">
        <f>'405'!M93*0.985</f>
        <v>144554.79538127853</v>
      </c>
      <c r="O33" s="686">
        <f>'405'!O93*0.985</f>
        <v>144554.79538127853</v>
      </c>
      <c r="Q33" s="686">
        <f>'405'!Q93*0.985</f>
        <v>144554.79538127853</v>
      </c>
      <c r="S33" s="686">
        <f>'405'!S93*0.985</f>
        <v>144554.79538127853</v>
      </c>
      <c r="U33" s="686">
        <f>'405'!U93*0.985</f>
        <v>144554.79538127853</v>
      </c>
      <c r="W33" s="686">
        <f>'405'!W93*0.985</f>
        <v>144554.79538127853</v>
      </c>
      <c r="Y33" s="686">
        <f>'405'!Y93*0.985</f>
        <v>144554.79538127853</v>
      </c>
      <c r="AA33" s="686">
        <f t="shared" si="3"/>
        <v>1734657.5445753422</v>
      </c>
    </row>
    <row r="36" spans="1:28">
      <c r="B36" s="1">
        <v>406</v>
      </c>
      <c r="C36" s="1001" t="s">
        <v>64</v>
      </c>
      <c r="D36" s="1003"/>
      <c r="E36" s="1004" t="s">
        <v>65</v>
      </c>
      <c r="F36" s="1004"/>
      <c r="G36" s="1001" t="s">
        <v>81</v>
      </c>
      <c r="H36" s="1003"/>
      <c r="I36" s="1001" t="s">
        <v>82</v>
      </c>
      <c r="J36" s="1003"/>
      <c r="K36" s="1001" t="s">
        <v>83</v>
      </c>
      <c r="L36" s="1003"/>
      <c r="M36" s="1001" t="s">
        <v>84</v>
      </c>
      <c r="N36" s="1002"/>
      <c r="O36" s="1001" t="s">
        <v>85</v>
      </c>
      <c r="P36" s="1003"/>
      <c r="Q36" s="1001" t="s">
        <v>86</v>
      </c>
      <c r="R36" s="1003"/>
      <c r="S36" s="1004" t="s">
        <v>87</v>
      </c>
      <c r="T36" s="1004"/>
      <c r="U36" s="1001" t="s">
        <v>123</v>
      </c>
      <c r="V36" s="1003"/>
      <c r="W36" s="1001" t="s">
        <v>124</v>
      </c>
      <c r="X36" s="1003"/>
      <c r="Y36" s="1004" t="s">
        <v>125</v>
      </c>
      <c r="Z36" s="1004"/>
      <c r="AA36" s="997" t="s">
        <v>120</v>
      </c>
      <c r="AB36" s="997"/>
    </row>
    <row r="37" spans="1:28" ht="15.75" thickBot="1">
      <c r="A37" s="55">
        <v>5199</v>
      </c>
      <c r="B37" s="55" t="s">
        <v>71</v>
      </c>
      <c r="C37" s="686">
        <f>'0406'!C16*0.985</f>
        <v>735994.57248214504</v>
      </c>
      <c r="E37" s="686">
        <f>'0406'!E16*0.985</f>
        <v>572604.85474060138</v>
      </c>
      <c r="G37" s="686">
        <f>'0406'!G16*0.985</f>
        <v>949824.10368247854</v>
      </c>
      <c r="I37" s="686">
        <f>'0406'!I16*0.985</f>
        <v>838689.08499999996</v>
      </c>
      <c r="K37" s="686">
        <f>'0406'!K16*0.985</f>
        <v>767066.74556834204</v>
      </c>
      <c r="M37" s="686">
        <f>'0406'!M16*0.985</f>
        <v>1087690.0250073187</v>
      </c>
      <c r="O37" s="686">
        <f>'0406'!O16*0.985</f>
        <v>688627.99852173787</v>
      </c>
      <c r="Q37" s="686">
        <f>'0406'!Q16*0.985</f>
        <v>855096.26910569868</v>
      </c>
      <c r="S37" s="686">
        <f>'0406'!S16*0.985</f>
        <v>861406.26029609377</v>
      </c>
      <c r="U37" s="686">
        <f>'0406'!U16*0.985</f>
        <v>683273.07001739671</v>
      </c>
      <c r="W37" s="686">
        <f>'0406'!W16*0.985</f>
        <v>695190.39730162162</v>
      </c>
      <c r="Y37" s="686">
        <f>'0406'!Y16*0.985</f>
        <v>1050198.7464153366</v>
      </c>
      <c r="AA37" s="686">
        <f>C37+E37+G37+I37+K37+M37+O37+Q37+S37+U37+W37+Y37</f>
        <v>9785662.1281387694</v>
      </c>
    </row>
    <row r="38" spans="1:28" ht="15.75" thickTop="1">
      <c r="A38" s="9">
        <v>5999</v>
      </c>
      <c r="B38" s="801" t="s">
        <v>110</v>
      </c>
      <c r="C38" s="686">
        <f>'0406'!C36*0.985</f>
        <v>385245.01086541003</v>
      </c>
      <c r="E38" s="686">
        <f>'0406'!E36*0.985</f>
        <v>287293.06368146342</v>
      </c>
      <c r="G38" s="686">
        <f>'0406'!G36*0.985</f>
        <v>533382.51939697517</v>
      </c>
      <c r="H38" s="371"/>
      <c r="I38" s="686">
        <f>'0406'!I36*0.985</f>
        <v>433429.16240250005</v>
      </c>
      <c r="J38" s="371"/>
      <c r="K38" s="686">
        <f>'0406'!K36*0.985</f>
        <v>346653.59229866322</v>
      </c>
      <c r="M38" s="686">
        <f>'0406'!M36*0.985</f>
        <v>592493.46861648501</v>
      </c>
      <c r="O38" s="686">
        <f>'0406'!O36*0.985</f>
        <v>339739.85327121679</v>
      </c>
      <c r="Q38" s="686">
        <f>'0406'!Q36*0.985</f>
        <v>396155.82259593846</v>
      </c>
      <c r="S38" s="686">
        <f>'0406'!S36*0.985</f>
        <v>480824.80261919071</v>
      </c>
      <c r="U38" s="686">
        <f>'0406'!U36*0.985</f>
        <v>340379.58425466</v>
      </c>
      <c r="W38" s="686">
        <f>'0406'!W36*0.985</f>
        <v>317531.14732846012</v>
      </c>
      <c r="Y38" s="686">
        <f>'0406'!Y36*0.985</f>
        <v>556956.60547476995</v>
      </c>
      <c r="AA38" s="686">
        <f t="shared" ref="AA38:AA42" si="4">C38+E38+G38+I38+K38+M38+O38+Q38+S38+U38+W38+Y38</f>
        <v>5010084.632805733</v>
      </c>
    </row>
    <row r="39" spans="1:28">
      <c r="A39" s="63">
        <v>6799</v>
      </c>
      <c r="B39" s="63" t="s">
        <v>135</v>
      </c>
      <c r="C39" s="686">
        <f>('0406'!C145-'0406'!C142+'0406'!C148+'0406'!C150)*0.985</f>
        <v>265913.23948962049</v>
      </c>
      <c r="E39" s="686">
        <f>('0406'!E145-'0406'!E142+'0406'!E148+'0406'!E150)*0.985</f>
        <v>256191.23159885526</v>
      </c>
      <c r="G39" s="686">
        <f>('0406'!G145-'0406'!G142+'0406'!G148+'0406'!G150)*0.985</f>
        <v>288440.01218513364</v>
      </c>
      <c r="H39" s="371"/>
      <c r="I39" s="686">
        <f>('0406'!I145-'0406'!I142+'0406'!I148+'0406'!I150)*0.985</f>
        <v>288171.85140201577</v>
      </c>
      <c r="J39" s="371"/>
      <c r="K39" s="686">
        <f>('0406'!K145-'0406'!K142+'0406'!K148+'0406'!K150)*0.985</f>
        <v>287001.03835230548</v>
      </c>
      <c r="M39" s="686">
        <f>('0406'!M145-'0406'!M142+'0406'!M148+'0406'!M150)*0.985</f>
        <v>299159.04245925427</v>
      </c>
      <c r="N39" s="191"/>
      <c r="O39" s="686">
        <f>('0406'!O145-'0406'!O142+'0406'!O148+'0406'!O150)*0.985</f>
        <v>349624.45029671711</v>
      </c>
      <c r="Q39" s="686">
        <f>('0406'!Q145-'0406'!Q142+'0406'!Q148+'0406'!Q150)*0.985</f>
        <v>382103.7002607825</v>
      </c>
      <c r="S39" s="686">
        <f>('0406'!S145-'0406'!S142+'0406'!S148+'0406'!S150)*0.985</f>
        <v>357617.82736063137</v>
      </c>
      <c r="U39" s="686">
        <f>('0406'!U145-'0406'!U142+'0406'!U148+'0406'!U150)*0.985</f>
        <v>357271.64869623224</v>
      </c>
      <c r="W39" s="686">
        <f>('0406'!W145-'0406'!W142+'0406'!W148+'0406'!W150)*0.985</f>
        <v>358951.30308365042</v>
      </c>
      <c r="Y39" s="686">
        <f>('0406'!Y145-'0406'!Y142+'0406'!Y148+'0406'!Y150)*0.985</f>
        <v>368740.53599192161</v>
      </c>
      <c r="AA39" s="686">
        <f t="shared" si="4"/>
        <v>3859185.8811771204</v>
      </c>
    </row>
    <row r="40" spans="1:28" ht="15.75" thickBot="1">
      <c r="B40" s="232" t="s">
        <v>206</v>
      </c>
      <c r="C40" s="686">
        <f>C37-C38-C39</f>
        <v>84836.322127114516</v>
      </c>
      <c r="E40" s="686">
        <f>E37-E38-E39</f>
        <v>29120.559460282704</v>
      </c>
      <c r="G40" s="686">
        <f>G37-G38-G39</f>
        <v>128001.57210036973</v>
      </c>
      <c r="I40" s="686">
        <f>I37-I38-I39</f>
        <v>117088.07119548414</v>
      </c>
      <c r="K40" s="686">
        <f>K37-K38-K39</f>
        <v>133412.11491737334</v>
      </c>
      <c r="M40" s="686">
        <f>M37-M38-M39</f>
        <v>196037.51393157942</v>
      </c>
      <c r="O40" s="686">
        <f>O37-O38-O39</f>
        <v>-736.30504619603744</v>
      </c>
      <c r="Q40" s="686">
        <f>Q37-Q38-Q39</f>
        <v>76836.746248977724</v>
      </c>
      <c r="S40" s="686">
        <f>S37-S38-S39</f>
        <v>22963.630316271679</v>
      </c>
      <c r="U40" s="686">
        <f>U37-U38-U39</f>
        <v>-14378.162933495536</v>
      </c>
      <c r="W40" s="686">
        <f>W37-W38-W39</f>
        <v>18707.946889511077</v>
      </c>
      <c r="Y40" s="686">
        <f>Y37-Y38-Y39</f>
        <v>124501.60494864505</v>
      </c>
      <c r="AA40" s="686">
        <f t="shared" si="4"/>
        <v>916391.61415591766</v>
      </c>
    </row>
    <row r="41" spans="1:28">
      <c r="A41" s="63">
        <v>6798</v>
      </c>
      <c r="B41" s="63" t="s">
        <v>205</v>
      </c>
      <c r="C41" s="686">
        <f>('0406'!C144-'0406'!C142)*0.985</f>
        <v>1148.51</v>
      </c>
      <c r="E41" s="686">
        <f>('0406'!E144-'0406'!E142)*0.985</f>
        <v>1148.51</v>
      </c>
      <c r="G41" s="686">
        <f>('0406'!G144-'0406'!G142)*0.985</f>
        <v>1148.51</v>
      </c>
      <c r="H41" s="371"/>
      <c r="I41" s="686">
        <f>('0406'!I144-'0406'!I142)*0.985</f>
        <v>1148.51</v>
      </c>
      <c r="J41" s="371"/>
      <c r="K41" s="686">
        <f>('0406'!K144-'0406'!K142)*0.985</f>
        <v>1148.51</v>
      </c>
      <c r="M41" s="686">
        <f>('0406'!M144-'0406'!M142)*0.985</f>
        <v>1148.51</v>
      </c>
      <c r="O41" s="686">
        <f>('0406'!O144-'0406'!O142)*0.985</f>
        <v>1148.51</v>
      </c>
      <c r="Q41" s="686">
        <f>('0406'!Q144-'0406'!Q142)*0.985</f>
        <v>1148.5986499999965</v>
      </c>
      <c r="S41" s="686">
        <f>('0406'!S144-'0406'!S142)*0.985</f>
        <v>1148.51</v>
      </c>
      <c r="U41" s="686">
        <f>('0406'!U144-'0406'!U142)*0.985</f>
        <v>1148.51</v>
      </c>
      <c r="W41" s="686">
        <f>('0406'!W144-'0406'!W142)*0.985</f>
        <v>1148.51</v>
      </c>
      <c r="Y41" s="686">
        <f>('0406'!Y144-'0406'!Y142)*0.985</f>
        <v>1148.51</v>
      </c>
      <c r="AA41" s="686">
        <f t="shared" si="4"/>
        <v>13782.208649999999</v>
      </c>
    </row>
    <row r="42" spans="1:28" ht="15.75" thickBot="1">
      <c r="A42" s="4">
        <v>6299</v>
      </c>
      <c r="B42" s="4" t="s">
        <v>112</v>
      </c>
      <c r="C42" s="686">
        <f>'0406'!C93*0.985</f>
        <v>108847.71600228309</v>
      </c>
      <c r="E42" s="686">
        <f>'0406'!E93*0.985</f>
        <v>108847.71600228309</v>
      </c>
      <c r="G42" s="686">
        <f>'0406'!G93*0.985</f>
        <v>108847.71600228309</v>
      </c>
      <c r="I42" s="686">
        <f>'0406'!I93*0.985</f>
        <v>108847.71600228309</v>
      </c>
      <c r="K42" s="686">
        <f>'0406'!K93*0.985</f>
        <v>108847.71600228309</v>
      </c>
      <c r="M42" s="686">
        <f>'0406'!M93*0.985</f>
        <v>108847.71600228309</v>
      </c>
      <c r="O42" s="686">
        <f>'0406'!O93*0.985</f>
        <v>108847.71600228309</v>
      </c>
      <c r="Q42" s="686">
        <f>'0406'!Q93*0.985</f>
        <v>108847.71600228309</v>
      </c>
      <c r="S42" s="686">
        <f>'0406'!S93*0.985</f>
        <v>108847.71600228309</v>
      </c>
      <c r="U42" s="686">
        <f>'0406'!U93*0.985</f>
        <v>108847.71600228309</v>
      </c>
      <c r="W42" s="686">
        <f>'0406'!W93*0.985</f>
        <v>108847.71600228309</v>
      </c>
      <c r="Y42" s="686">
        <f>'0406'!Y93*0.985</f>
        <v>108847.71600228309</v>
      </c>
      <c r="AA42" s="686">
        <f t="shared" si="4"/>
        <v>1306172.5920273976</v>
      </c>
    </row>
    <row r="45" spans="1:28">
      <c r="B45" s="1">
        <v>409</v>
      </c>
      <c r="C45" s="1001" t="s">
        <v>64</v>
      </c>
      <c r="D45" s="1003"/>
      <c r="E45" s="1004" t="s">
        <v>65</v>
      </c>
      <c r="F45" s="1004"/>
      <c r="G45" s="1001" t="s">
        <v>81</v>
      </c>
      <c r="H45" s="1003"/>
      <c r="I45" s="1001" t="s">
        <v>82</v>
      </c>
      <c r="J45" s="1003"/>
      <c r="K45" s="1001" t="s">
        <v>83</v>
      </c>
      <c r="L45" s="1003"/>
      <c r="M45" s="1001" t="s">
        <v>84</v>
      </c>
      <c r="N45" s="1002"/>
      <c r="O45" s="1001" t="s">
        <v>85</v>
      </c>
      <c r="P45" s="1003"/>
      <c r="Q45" s="1001" t="s">
        <v>86</v>
      </c>
      <c r="R45" s="1003"/>
      <c r="S45" s="1004" t="s">
        <v>87</v>
      </c>
      <c r="T45" s="1004"/>
      <c r="U45" s="1001" t="s">
        <v>123</v>
      </c>
      <c r="V45" s="1003"/>
      <c r="W45" s="1001" t="s">
        <v>124</v>
      </c>
      <c r="X45" s="1003"/>
      <c r="Y45" s="1004" t="s">
        <v>125</v>
      </c>
      <c r="Z45" s="1004"/>
      <c r="AA45" s="997" t="s">
        <v>120</v>
      </c>
      <c r="AB45" s="997"/>
    </row>
    <row r="46" spans="1:28" ht="15.75" thickBot="1">
      <c r="A46" s="55">
        <v>5199</v>
      </c>
      <c r="B46" s="55" t="s">
        <v>71</v>
      </c>
      <c r="C46" s="686">
        <f>'0409'!C16*0.985</f>
        <v>1113257.2823749792</v>
      </c>
      <c r="E46" s="686">
        <f>'0409'!E16*0.985</f>
        <v>866115.79527362937</v>
      </c>
      <c r="G46" s="686">
        <f>'0409'!G16*0.985</f>
        <v>1436693.42</v>
      </c>
      <c r="I46" s="686">
        <f>'0409'!I16*0.985</f>
        <v>1268592.1011421962</v>
      </c>
      <c r="K46" s="686">
        <f>'0409'!K16*0.985</f>
        <v>1160256.7090823054</v>
      </c>
      <c r="M46" s="686">
        <f>'0409'!M16*0.985</f>
        <v>1645227.9494681819</v>
      </c>
      <c r="O46" s="686">
        <f>'0409'!O16*0.985</f>
        <v>1041611.1244071345</v>
      </c>
      <c r="Q46" s="686">
        <f>'0409'!Q16*0.985</f>
        <v>1293409.1966221686</v>
      </c>
      <c r="S46" s="686">
        <f>'0409'!S16*0.985</f>
        <v>1302953.6197837803</v>
      </c>
      <c r="U46" s="686">
        <f>'0409'!U16*0.985</f>
        <v>1033511.3185431552</v>
      </c>
      <c r="W46" s="686">
        <f>'0409'!W16*0.985</f>
        <v>1051537.3365080061</v>
      </c>
      <c r="Y46" s="686">
        <f>'0409'!Y16*0.985</f>
        <v>1588519.0544864365</v>
      </c>
      <c r="AA46" s="686">
        <f>C46+E46+G46+I46+K46+M46+O46+Q46+S46+U46+W46+Y46</f>
        <v>14801684.907691972</v>
      </c>
    </row>
    <row r="47" spans="1:28" ht="15.75" thickTop="1">
      <c r="A47" s="9">
        <v>5999</v>
      </c>
      <c r="B47" s="801" t="s">
        <v>110</v>
      </c>
      <c r="C47" s="686">
        <f>'0409'!C36*0.985</f>
        <v>552867.16497093986</v>
      </c>
      <c r="E47" s="686">
        <f>'0409'!E36*0.985</f>
        <v>356046.61869840691</v>
      </c>
      <c r="G47" s="686">
        <f>'0409'!G36*0.985</f>
        <v>707099.41264</v>
      </c>
      <c r="H47" s="371"/>
      <c r="I47" s="686">
        <f>'0409'!I36*0.985</f>
        <v>531532.62195835181</v>
      </c>
      <c r="J47" s="371"/>
      <c r="K47" s="686">
        <f>'0409'!K36*0.985</f>
        <v>439867.51707128552</v>
      </c>
      <c r="M47" s="686">
        <f>'0409'!M36*0.985</f>
        <v>812495.28865244146</v>
      </c>
      <c r="O47" s="686">
        <f>'0409'!O36*0.985</f>
        <v>438972.85560028505</v>
      </c>
      <c r="Q47" s="686">
        <f>'0409'!Q36*0.985</f>
        <v>517739.26956852968</v>
      </c>
      <c r="S47" s="686">
        <f>'0409'!S36*0.985</f>
        <v>564946.34881429037</v>
      </c>
      <c r="U47" s="686">
        <f>'0409'!U36*0.985</f>
        <v>430807.06530507846</v>
      </c>
      <c r="W47" s="686">
        <f>'0409'!W36*0.985</f>
        <v>413500.42324764637</v>
      </c>
      <c r="Y47" s="686">
        <f>'0409'!Y36*0.985</f>
        <v>741608.09272882005</v>
      </c>
      <c r="AA47" s="686">
        <f t="shared" ref="AA47:AA51" si="5">C47+E47+G47+I47+K47+M47+O47+Q47+S47+U47+W47+Y47</f>
        <v>6507482.6792560741</v>
      </c>
    </row>
    <row r="48" spans="1:28">
      <c r="A48" s="63">
        <v>6799</v>
      </c>
      <c r="B48" s="63" t="s">
        <v>135</v>
      </c>
      <c r="C48" s="686">
        <f>('0409'!C145-'0409'!C142+'0409'!C148+'0409'!C150)*0.985</f>
        <v>486092.87412771111</v>
      </c>
      <c r="E48" s="686">
        <f>('0409'!E145-'0409'!E142+'0409'!E148+'0409'!E150)*0.985</f>
        <v>498532.72623564885</v>
      </c>
      <c r="G48" s="686">
        <f>('0409'!G145-'0409'!G142+'0409'!G148+'0409'!G150)*0.985</f>
        <v>516802.94857601216</v>
      </c>
      <c r="H48" s="371"/>
      <c r="I48" s="686">
        <f>('0409'!I145-'0409'!I142+'0409'!I148+'0409'!I150)*0.985</f>
        <v>459322.47917850432</v>
      </c>
      <c r="J48" s="371"/>
      <c r="K48" s="686">
        <f>('0409'!K145-'0409'!K142+'0409'!K148+'0409'!K150)*0.985</f>
        <v>457263.66943785019</v>
      </c>
      <c r="M48" s="686">
        <f>('0409'!M145-'0409'!M142+'0409'!M148+'0409'!M150)*0.985</f>
        <v>449395.64022305311</v>
      </c>
      <c r="N48" s="191"/>
      <c r="O48" s="686">
        <f>('0409'!O145-'0409'!O142+'0409'!O148+'0409'!O150)*0.985</f>
        <v>425481.30004642851</v>
      </c>
      <c r="Q48" s="686">
        <f>('0409'!Q145-'0409'!Q142+'0409'!Q148+'0409'!Q150)*0.985</f>
        <v>473690.10308734735</v>
      </c>
      <c r="S48" s="686">
        <f>('0409'!S145-'0409'!S142+'0409'!S148+'0409'!S150)*0.985</f>
        <v>453798.34846579289</v>
      </c>
      <c r="U48" s="686">
        <f>('0409'!U145-'0409'!U142+'0409'!U148+'0409'!U150)*0.985</f>
        <v>436240.74334521854</v>
      </c>
      <c r="W48" s="686">
        <f>('0409'!W145-'0409'!W142+'0409'!W148+'0409'!W150)*0.985</f>
        <v>438579.42783396418</v>
      </c>
      <c r="Y48" s="686">
        <f>('0409'!Y145-'0409'!Y142+'0409'!Y148+'0409'!Y150)*0.985</f>
        <v>469749.26227125037</v>
      </c>
      <c r="AA48" s="686">
        <f t="shared" si="5"/>
        <v>5564949.5228287829</v>
      </c>
    </row>
    <row r="49" spans="1:28" ht="15.75" thickBot="1">
      <c r="B49" s="232" t="s">
        <v>206</v>
      </c>
      <c r="C49" s="686">
        <f>C46-C47-C48</f>
        <v>74297.243276328256</v>
      </c>
      <c r="E49" s="686">
        <f>E46-E47-E48</f>
        <v>11536.45033957361</v>
      </c>
      <c r="G49" s="686">
        <f>G46-G47-G48</f>
        <v>212791.05878398777</v>
      </c>
      <c r="I49" s="686">
        <f>I46-I47-I48</f>
        <v>277737.00000534009</v>
      </c>
      <c r="K49" s="686">
        <f>K46-K47-K48</f>
        <v>263125.52257316973</v>
      </c>
      <c r="M49" s="686">
        <f>M46-M47-M48</f>
        <v>383337.02059268736</v>
      </c>
      <c r="O49" s="686">
        <f>O46-O47-O48</f>
        <v>177156.96876042086</v>
      </c>
      <c r="Q49" s="686">
        <f>Q46-Q47-Q48</f>
        <v>301979.82396629162</v>
      </c>
      <c r="S49" s="686">
        <f>S46-S47-S48</f>
        <v>284208.92250369705</v>
      </c>
      <c r="U49" s="686">
        <f>U46-U47-U48</f>
        <v>166463.50989285827</v>
      </c>
      <c r="W49" s="686">
        <f>W46-W47-W48</f>
        <v>199457.48542639561</v>
      </c>
      <c r="Y49" s="686">
        <f>Y46-Y47-Y48</f>
        <v>377161.69948636612</v>
      </c>
      <c r="AA49" s="686">
        <f t="shared" si="5"/>
        <v>2729252.7056071162</v>
      </c>
    </row>
    <row r="50" spans="1:28">
      <c r="A50" s="63">
        <v>6798</v>
      </c>
      <c r="B50" s="63" t="s">
        <v>205</v>
      </c>
      <c r="C50" s="686">
        <f>('0409'!C144-'0409'!C142)*0.985</f>
        <v>67273.904300000009</v>
      </c>
      <c r="E50" s="686">
        <f>('0409'!E144-'0409'!E142)*0.985</f>
        <v>67273.904300000009</v>
      </c>
      <c r="G50" s="686">
        <f>('0409'!G144-'0409'!G142)*0.985</f>
        <v>67273.904300000009</v>
      </c>
      <c r="H50" s="371"/>
      <c r="I50" s="686">
        <f>('0409'!I144-'0409'!I142)*0.985</f>
        <v>326.00545000000113</v>
      </c>
      <c r="J50" s="371"/>
      <c r="K50" s="686">
        <f>('0409'!K144-'0409'!K142)*0.985</f>
        <v>326.00545000000113</v>
      </c>
      <c r="M50" s="686">
        <f>('0409'!M144-'0409'!M142)*0.985</f>
        <v>326.00545000000113</v>
      </c>
      <c r="O50" s="686">
        <f>('0409'!O144-'0409'!O142)*0.985</f>
        <v>326.00545000000113</v>
      </c>
      <c r="Q50" s="686">
        <f>('0409'!Q144-'0409'!Q142)*0.985</f>
        <v>326.00545000000113</v>
      </c>
      <c r="S50" s="686">
        <f>('0409'!S144-'0409'!S142)*0.985</f>
        <v>326.00545000000113</v>
      </c>
      <c r="U50" s="686">
        <f>('0409'!U144-'0409'!U142)*0.985</f>
        <v>326.00545000000113</v>
      </c>
      <c r="W50" s="686">
        <f>('0409'!W144-'0409'!W142)*0.985</f>
        <v>326.00545000000113</v>
      </c>
      <c r="Y50" s="686">
        <f>('0409'!Y144-'0409'!Y142)*0.985</f>
        <v>326.00545000000113</v>
      </c>
      <c r="AA50" s="686">
        <f t="shared" si="5"/>
        <v>204755.76195000001</v>
      </c>
    </row>
    <row r="51" spans="1:28" ht="15.75" thickBot="1">
      <c r="A51" s="4">
        <v>6299</v>
      </c>
      <c r="B51" s="4" t="s">
        <v>112</v>
      </c>
      <c r="C51" s="686">
        <f>'0409'!C93*0.985</f>
        <v>116016.3188675799</v>
      </c>
      <c r="E51" s="686">
        <f>'0409'!E93*0.985</f>
        <v>116016.3188675799</v>
      </c>
      <c r="G51" s="686">
        <f>'0409'!G93*0.985</f>
        <v>116016.3188675799</v>
      </c>
      <c r="I51" s="686">
        <f>'0409'!I93*0.985</f>
        <v>116016.3188675799</v>
      </c>
      <c r="K51" s="686">
        <f>'0409'!K93*0.985</f>
        <v>116016.3188675799</v>
      </c>
      <c r="M51" s="686">
        <f>'0409'!M93*0.985</f>
        <v>116016.3188675799</v>
      </c>
      <c r="O51" s="686">
        <f>'0409'!O93*0.985</f>
        <v>116016.3188675799</v>
      </c>
      <c r="Q51" s="686">
        <f>'0409'!Q93*0.985</f>
        <v>116016.3188675799</v>
      </c>
      <c r="S51" s="686">
        <f>'0409'!S93*0.985</f>
        <v>116016.3188675799</v>
      </c>
      <c r="U51" s="686">
        <f>'0409'!U93*0.985</f>
        <v>116016.3188675799</v>
      </c>
      <c r="W51" s="686">
        <f>'0409'!W93*0.985</f>
        <v>116016.3188675799</v>
      </c>
      <c r="Y51" s="686">
        <f>'0409'!Y93*0.985</f>
        <v>116016.3188675799</v>
      </c>
      <c r="AA51" s="686">
        <f t="shared" si="5"/>
        <v>1392195.8264109585</v>
      </c>
    </row>
    <row r="54" spans="1:28">
      <c r="B54" s="1">
        <v>410</v>
      </c>
      <c r="C54" s="1001" t="s">
        <v>64</v>
      </c>
      <c r="D54" s="1003"/>
      <c r="E54" s="1004" t="s">
        <v>65</v>
      </c>
      <c r="F54" s="1004"/>
      <c r="G54" s="1001" t="s">
        <v>81</v>
      </c>
      <c r="H54" s="1003"/>
      <c r="I54" s="1001" t="s">
        <v>82</v>
      </c>
      <c r="J54" s="1003"/>
      <c r="K54" s="1001" t="s">
        <v>83</v>
      </c>
      <c r="L54" s="1003"/>
      <c r="M54" s="1001" t="s">
        <v>84</v>
      </c>
      <c r="N54" s="1002"/>
      <c r="O54" s="1001" t="s">
        <v>85</v>
      </c>
      <c r="P54" s="1003"/>
      <c r="Q54" s="1001" t="s">
        <v>86</v>
      </c>
      <c r="R54" s="1003"/>
      <c r="S54" s="1004" t="s">
        <v>87</v>
      </c>
      <c r="T54" s="1004"/>
      <c r="U54" s="1001" t="s">
        <v>123</v>
      </c>
      <c r="V54" s="1003"/>
      <c r="W54" s="1001" t="s">
        <v>124</v>
      </c>
      <c r="X54" s="1003"/>
      <c r="Y54" s="1004" t="s">
        <v>125</v>
      </c>
      <c r="Z54" s="1004"/>
      <c r="AA54" s="997" t="s">
        <v>120</v>
      </c>
      <c r="AB54" s="997"/>
    </row>
    <row r="55" spans="1:28" ht="15.75" thickBot="1">
      <c r="A55" s="55">
        <v>5199</v>
      </c>
      <c r="B55" s="55" t="s">
        <v>71</v>
      </c>
      <c r="C55" s="686">
        <f>'410-sahara'!C16*0.985</f>
        <v>1118261.635</v>
      </c>
      <c r="E55" s="686">
        <f>'410-sahara'!E16*0.985</f>
        <v>870009.5113647657</v>
      </c>
      <c r="G55" s="686">
        <f>'410-sahara'!G16*0.985</f>
        <v>1443152.0649999999</v>
      </c>
      <c r="I55" s="686">
        <f>'410-sahara'!I16*0.985</f>
        <v>1274295.1924658548</v>
      </c>
      <c r="K55" s="686">
        <f>'410-sahara'!K16*0.985</f>
        <v>1165472.7670766911</v>
      </c>
      <c r="M55" s="686">
        <f>'410-sahara'!M16*0.985</f>
        <v>1652624.2474867536</v>
      </c>
      <c r="O55" s="686">
        <f>'410-sahara'!O16*0.985</f>
        <v>1046293.7984998376</v>
      </c>
      <c r="Q55" s="686">
        <f>'410-sahara'!Q16*0.985</f>
        <v>1299223.855849941</v>
      </c>
      <c r="S55" s="686">
        <f>'410-sahara'!S16*0.985</f>
        <v>1308811.1851999999</v>
      </c>
      <c r="U55" s="686">
        <f>'410-sahara'!U16*0.985</f>
        <v>1038157.5790932423</v>
      </c>
      <c r="W55" s="686">
        <f>'410-sahara'!W16*0.985</f>
        <v>1056264.6349476955</v>
      </c>
      <c r="Y55" s="686">
        <f>'410-sahara'!Y16*0.985</f>
        <v>1595660.4116089887</v>
      </c>
      <c r="AA55" s="686">
        <f>C55+E55+G55+I55+K55+M55+O55+Q55+S55+U55+W55+Y55</f>
        <v>14868226.883593768</v>
      </c>
    </row>
    <row r="56" spans="1:28" ht="15.75" thickTop="1">
      <c r="A56" s="9">
        <v>5999</v>
      </c>
      <c r="B56" s="801" t="s">
        <v>110</v>
      </c>
      <c r="C56" s="686">
        <f>'410-sahara'!C36*0.985</f>
        <v>586662.65139400004</v>
      </c>
      <c r="E56" s="686">
        <f>'410-sahara'!E36*0.985</f>
        <v>394360.55864823883</v>
      </c>
      <c r="G56" s="686">
        <f>'410-sahara'!G36*0.985</f>
        <v>726151.73869499995</v>
      </c>
      <c r="H56" s="371"/>
      <c r="I56" s="686">
        <f>'410-sahara'!I36*0.985</f>
        <v>592283.79641963611</v>
      </c>
      <c r="J56" s="371"/>
      <c r="K56" s="686">
        <f>'410-sahara'!K36*0.985</f>
        <v>483451.25922999613</v>
      </c>
      <c r="M56" s="686">
        <f>'410-sahara'!M36*0.985</f>
        <v>870683.44115127297</v>
      </c>
      <c r="O56" s="686">
        <f>'410-sahara'!O36*0.985</f>
        <v>474635.85823982628</v>
      </c>
      <c r="Q56" s="686">
        <f>'410-sahara'!Q36*0.985</f>
        <v>594121.474509008</v>
      </c>
      <c r="S56" s="686">
        <f>'410-sahara'!S36*0.985</f>
        <v>671666.38800759998</v>
      </c>
      <c r="U56" s="686">
        <f>'410-sahara'!U36*0.985</f>
        <v>456101.2429798427</v>
      </c>
      <c r="W56" s="686">
        <f>'410-sahara'!W36*0.985</f>
        <v>482853.56170760217</v>
      </c>
      <c r="Y56" s="686">
        <f>'410-sahara'!Y36*0.985</f>
        <v>849456.72105830384</v>
      </c>
      <c r="AA56" s="686">
        <f t="shared" ref="AA56:AA60" si="6">C56+E56+G56+I56+K56+M56+O56+Q56+S56+U56+W56+Y56</f>
        <v>7182428.692040327</v>
      </c>
    </row>
    <row r="57" spans="1:28">
      <c r="A57" s="63">
        <v>6799</v>
      </c>
      <c r="B57" s="63" t="s">
        <v>135</v>
      </c>
      <c r="C57" s="686">
        <f>('410-sahara'!C145-'410-sahara'!C142+'410-sahara'!C148+'410-sahara'!C150)*0.985</f>
        <v>512961.88587652176</v>
      </c>
      <c r="E57" s="686">
        <f>('410-sahara'!E145-'410-sahara'!E142+'410-sahara'!E148+'410-sahara'!E150)*0.985</f>
        <v>514245.6983047736</v>
      </c>
      <c r="G57" s="686">
        <f>('410-sahara'!G145-'410-sahara'!G142+'410-sahara'!G148+'410-sahara'!G150)*0.985</f>
        <v>532904.12345580815</v>
      </c>
      <c r="H57" s="371"/>
      <c r="I57" s="686">
        <f>('410-sahara'!I145-'410-sahara'!I142+'410-sahara'!I148+'410-sahara'!I150)*0.985</f>
        <v>536559.90725345712</v>
      </c>
      <c r="J57" s="371"/>
      <c r="K57" s="686">
        <f>('410-sahara'!K145-'410-sahara'!K142+'410-sahara'!K148+'410-sahara'!K150)*0.985</f>
        <v>544216.63296878652</v>
      </c>
      <c r="M57" s="686">
        <f>('410-sahara'!M145-'410-sahara'!M142+'410-sahara'!M148+'410-sahara'!M150)*0.985</f>
        <v>530418.4232753074</v>
      </c>
      <c r="N57" s="191"/>
      <c r="O57" s="686">
        <f>('410-sahara'!O145-'410-sahara'!O142+'410-sahara'!O148+'410-sahara'!O150)*0.985</f>
        <v>508898.22275777702</v>
      </c>
      <c r="Q57" s="686">
        <f>('410-sahara'!Q145-'410-sahara'!Q142+'410-sahara'!Q148+'410-sahara'!Q150)*0.985</f>
        <v>546478.63606293872</v>
      </c>
      <c r="S57" s="686">
        <f>('410-sahara'!S145-'410-sahara'!S142+'410-sahara'!S148+'410-sahara'!S150)*0.985</f>
        <v>527876.04100840015</v>
      </c>
      <c r="U57" s="686">
        <f>('410-sahara'!U145-'410-sahara'!U142+'410-sahara'!U148+'410-sahara'!U150)*0.985</f>
        <v>529162.76085561235</v>
      </c>
      <c r="W57" s="686">
        <f>('410-sahara'!W145-'410-sahara'!W142+'410-sahara'!W148+'410-sahara'!W150)*0.985</f>
        <v>614988.88073845149</v>
      </c>
      <c r="Y57" s="686">
        <f>('410-sahara'!Y145-'410-sahara'!Y142+'410-sahara'!Y148+'410-sahara'!Y150)*0.985</f>
        <v>536711.66082974011</v>
      </c>
      <c r="AA57" s="686">
        <f t="shared" si="6"/>
        <v>6435422.8733875733</v>
      </c>
    </row>
    <row r="58" spans="1:28" ht="15.75" thickBot="1">
      <c r="B58" s="232" t="s">
        <v>206</v>
      </c>
      <c r="C58" s="686">
        <f>C55-C56-C57</f>
        <v>18637.097729478206</v>
      </c>
      <c r="E58" s="686">
        <f>E55-E56-E57</f>
        <v>-38596.745588246733</v>
      </c>
      <c r="G58" s="686">
        <f>G55-G56-G57</f>
        <v>184096.20284919185</v>
      </c>
      <c r="I58" s="686">
        <f>I55-I56-I57</f>
        <v>145451.48879276158</v>
      </c>
      <c r="K58" s="686">
        <f>K55-K56-K57</f>
        <v>137804.8748779085</v>
      </c>
      <c r="M58" s="686">
        <f>M55-M56-M57</f>
        <v>251522.38306017325</v>
      </c>
      <c r="O58" s="686">
        <f>O55-O56-O57</f>
        <v>62759.717502234329</v>
      </c>
      <c r="Q58" s="686">
        <f>Q55-Q56-Q57</f>
        <v>158623.74527799431</v>
      </c>
      <c r="S58" s="686">
        <f>S55-S56-S57</f>
        <v>109268.75618399982</v>
      </c>
      <c r="U58" s="686">
        <f>U55-U56-U57</f>
        <v>52893.575257787248</v>
      </c>
      <c r="W58" s="686">
        <f>W55-W56-W57</f>
        <v>-41577.807498358074</v>
      </c>
      <c r="Y58" s="686">
        <f>Y55-Y56-Y57</f>
        <v>209492.0297209447</v>
      </c>
      <c r="AA58" s="686">
        <f t="shared" si="6"/>
        <v>1250375.318165869</v>
      </c>
    </row>
    <row r="59" spans="1:28">
      <c r="A59" s="63">
        <v>6798</v>
      </c>
      <c r="B59" s="63" t="s">
        <v>205</v>
      </c>
      <c r="C59" s="686">
        <f>('410-sahara'!C144-'410-sahara'!C142)*0.985</f>
        <v>81773.783950000012</v>
      </c>
      <c r="E59" s="686">
        <f>('410-sahara'!E144-'410-sahara'!E142)*0.985</f>
        <v>81773.783950000012</v>
      </c>
      <c r="G59" s="686">
        <f>('410-sahara'!G144-'410-sahara'!G142)*0.985</f>
        <v>79506.875400000019</v>
      </c>
      <c r="H59" s="371"/>
      <c r="I59" s="686">
        <f>('410-sahara'!I144-'410-sahara'!I142)*0.985</f>
        <v>79506.875400000019</v>
      </c>
      <c r="J59" s="371"/>
      <c r="K59" s="686">
        <f>('410-sahara'!K144-'410-sahara'!K142)*0.985</f>
        <v>79506.875400000019</v>
      </c>
      <c r="M59" s="686">
        <f>('410-sahara'!M144-'410-sahara'!M142)*0.985</f>
        <v>79506.875400000019</v>
      </c>
      <c r="O59" s="686">
        <f>('410-sahara'!O144-'410-sahara'!O142)*0.985</f>
        <v>79506.875400000019</v>
      </c>
      <c r="Q59" s="686">
        <f>('410-sahara'!Q144-'410-sahara'!Q142)*0.985</f>
        <v>79506.875400000019</v>
      </c>
      <c r="S59" s="686">
        <f>('410-sahara'!S144-'410-sahara'!S142)*0.985</f>
        <v>79506.875400000019</v>
      </c>
      <c r="U59" s="686">
        <f>('410-sahara'!U144-'410-sahara'!U142)*0.985</f>
        <v>79506.875400000019</v>
      </c>
      <c r="W59" s="686">
        <f>('410-sahara'!W144-'410-sahara'!W142)*0.985</f>
        <v>79506.875400000019</v>
      </c>
      <c r="Y59" s="686">
        <f>('410-sahara'!Y144-'410-sahara'!Y142)*0.985</f>
        <v>79506.875400000019</v>
      </c>
      <c r="AA59" s="686">
        <f t="shared" si="6"/>
        <v>958616.32190000021</v>
      </c>
    </row>
    <row r="60" spans="1:28" ht="15.75" thickBot="1">
      <c r="A60" s="4">
        <v>6299</v>
      </c>
      <c r="B60" s="4" t="s">
        <v>112</v>
      </c>
      <c r="C60" s="686">
        <f>'410-sahara'!C93*0.985</f>
        <v>117442.04834703197</v>
      </c>
      <c r="E60" s="686">
        <f>'410-sahara'!E93*0.985</f>
        <v>117442.04834703197</v>
      </c>
      <c r="G60" s="686">
        <f>'410-sahara'!G93*0.985</f>
        <v>117442.04834703197</v>
      </c>
      <c r="I60" s="686">
        <f>'410-sahara'!I93*0.985</f>
        <v>117442.04834703197</v>
      </c>
      <c r="K60" s="686">
        <f>'410-sahara'!K93*0.985</f>
        <v>117442.04834703197</v>
      </c>
      <c r="M60" s="686">
        <f>'410-sahara'!M93*0.985</f>
        <v>117442.04834703197</v>
      </c>
      <c r="O60" s="686">
        <f>'410-sahara'!O93*0.985</f>
        <v>117442.04834703197</v>
      </c>
      <c r="Q60" s="686">
        <f>'410-sahara'!Q93*0.985</f>
        <v>117442.04834703197</v>
      </c>
      <c r="S60" s="686">
        <f>'410-sahara'!S93*0.985</f>
        <v>117442.04834703197</v>
      </c>
      <c r="U60" s="686">
        <f>'410-sahara'!U93*0.985</f>
        <v>117442.04834703197</v>
      </c>
      <c r="W60" s="686">
        <f>'410-sahara'!W93*0.985</f>
        <v>117442.04834703197</v>
      </c>
      <c r="Y60" s="686">
        <f>'410-sahara'!Y93*0.985</f>
        <v>117442.04834703197</v>
      </c>
      <c r="AA60" s="686">
        <f t="shared" si="6"/>
        <v>1409304.5801643834</v>
      </c>
    </row>
    <row r="63" spans="1:28">
      <c r="B63" s="1">
        <v>414</v>
      </c>
      <c r="C63" s="1001" t="s">
        <v>64</v>
      </c>
      <c r="D63" s="1003"/>
      <c r="E63" s="1004" t="s">
        <v>65</v>
      </c>
      <c r="F63" s="1004"/>
      <c r="G63" s="1001" t="s">
        <v>81</v>
      </c>
      <c r="H63" s="1003"/>
      <c r="I63" s="1001" t="s">
        <v>82</v>
      </c>
      <c r="J63" s="1003"/>
      <c r="K63" s="1001" t="s">
        <v>83</v>
      </c>
      <c r="L63" s="1003"/>
      <c r="M63" s="1001" t="s">
        <v>84</v>
      </c>
      <c r="N63" s="1002"/>
      <c r="O63" s="1001" t="s">
        <v>85</v>
      </c>
      <c r="P63" s="1003"/>
      <c r="Q63" s="1001" t="s">
        <v>86</v>
      </c>
      <c r="R63" s="1003"/>
      <c r="S63" s="1004" t="s">
        <v>87</v>
      </c>
      <c r="T63" s="1004"/>
      <c r="U63" s="1001" t="s">
        <v>123</v>
      </c>
      <c r="V63" s="1003"/>
      <c r="W63" s="1001" t="s">
        <v>124</v>
      </c>
      <c r="X63" s="1003"/>
      <c r="Y63" s="1004" t="s">
        <v>125</v>
      </c>
      <c r="Z63" s="1004"/>
      <c r="AA63" s="997" t="s">
        <v>120</v>
      </c>
      <c r="AB63" s="997"/>
    </row>
    <row r="64" spans="1:28" ht="15.75" thickBot="1">
      <c r="A64" s="55">
        <v>5199</v>
      </c>
      <c r="B64" s="55" t="s">
        <v>71</v>
      </c>
      <c r="C64" s="686">
        <f>'414-Al ghurair'!C16*0.985</f>
        <v>769569.76476492325</v>
      </c>
      <c r="E64" s="686">
        <f>'414-Al ghurair'!E16*0.985</f>
        <v>598726.40348325484</v>
      </c>
      <c r="G64" s="686">
        <f>'414-Al ghurair'!G16*0.985</f>
        <v>993153.9434766788</v>
      </c>
      <c r="I64" s="686">
        <f>'414-Al ghurair'!I16*0.985</f>
        <v>876949.23744483339</v>
      </c>
      <c r="K64" s="686">
        <f>'414-Al ghurair'!K16*0.985</f>
        <v>802059.41322972486</v>
      </c>
      <c r="M64" s="686">
        <f>'414-Al ghurair'!M16*0.985</f>
        <v>1137309.1432699452</v>
      </c>
      <c r="O64" s="686">
        <f>'414-Al ghurair'!O16*0.985</f>
        <v>720042.38434124074</v>
      </c>
      <c r="Q64" s="686">
        <f>'414-Al ghurair'!Q16*0.985</f>
        <v>894104.73836365575</v>
      </c>
      <c r="S64" s="686">
        <f>'414-Al ghurair'!S16*0.985</f>
        <v>900702.58380656259</v>
      </c>
      <c r="U64" s="686">
        <f>'414-Al ghurair'!U16*0.985</f>
        <v>714443.17040204606</v>
      </c>
      <c r="W64" s="686">
        <f>'414-Al ghurair'!W16*0.985</f>
        <v>726904.15190603444</v>
      </c>
      <c r="Y64" s="686">
        <f>'414-Al ghurair'!Y16*0.985</f>
        <v>1098107.5573812944</v>
      </c>
      <c r="AA64" s="686">
        <f>C64+E64+G64+I64+K64+M64+O64+Q64+S64+U64+W64+Y64</f>
        <v>10232072.491870193</v>
      </c>
    </row>
    <row r="65" spans="1:28" ht="15.75" thickTop="1">
      <c r="A65" s="9">
        <v>5999</v>
      </c>
      <c r="B65" s="801" t="s">
        <v>110</v>
      </c>
      <c r="C65" s="686">
        <f>'414-Al ghurair'!C36*0.985</f>
        <v>410328.43461970415</v>
      </c>
      <c r="E65" s="686">
        <f>'414-Al ghurair'!E36*0.985</f>
        <v>271370.81077791448</v>
      </c>
      <c r="G65" s="686">
        <f>'414-Al ghurair'!G36*0.985</f>
        <v>509635.72300353623</v>
      </c>
      <c r="H65" s="371"/>
      <c r="I65" s="686">
        <f>'414-Al ghurair'!I36*0.985</f>
        <v>396002.63578259782</v>
      </c>
      <c r="J65" s="371"/>
      <c r="K65" s="686">
        <f>'414-Al ghurair'!K36*0.985</f>
        <v>328029.63812831155</v>
      </c>
      <c r="M65" s="686">
        <f>'414-Al ghurair'!M36*0.985</f>
        <v>589387.61712815845</v>
      </c>
      <c r="O65" s="686">
        <f>'414-Al ghurair'!O36*0.985</f>
        <v>331871.27646600967</v>
      </c>
      <c r="Q65" s="686">
        <f>'414-Al ghurair'!Q36*0.985</f>
        <v>423059.29124600918</v>
      </c>
      <c r="S65" s="686">
        <f>'414-Al ghurair'!S36*0.985</f>
        <v>446806.16130967444</v>
      </c>
      <c r="U65" s="686">
        <f>'414-Al ghurair'!U36*0.985</f>
        <v>316288.85290290532</v>
      </c>
      <c r="W65" s="686">
        <f>'414-Al ghurair'!W36*0.985</f>
        <v>329798.78288938658</v>
      </c>
      <c r="Y65" s="686">
        <f>'414-Al ghurair'!Y36*0.985</f>
        <v>581705.51238913345</v>
      </c>
      <c r="AA65" s="686">
        <f t="shared" ref="AA65:AA69" si="7">C65+E65+G65+I65+K65+M65+O65+Q65+S65+U65+W65+Y65</f>
        <v>4934284.7366433414</v>
      </c>
    </row>
    <row r="66" spans="1:28">
      <c r="A66" s="63">
        <v>6799</v>
      </c>
      <c r="B66" s="63" t="s">
        <v>135</v>
      </c>
      <c r="C66" s="686">
        <f>('414-Al ghurair'!C145-'414-Al ghurair'!C142+'414-Al ghurair'!C148+'414-Al ghurair'!C150)*0.985</f>
        <v>371786.65240488987</v>
      </c>
      <c r="E66" s="686">
        <f>('414-Al ghurair'!E145-'414-Al ghurair'!E142+'414-Al ghurair'!E148+'414-Al ghurair'!E150)*0.985</f>
        <v>386022.133060869</v>
      </c>
      <c r="G66" s="686">
        <f>('414-Al ghurair'!G145-'414-Al ghurair'!G142+'414-Al ghurair'!G148+'414-Al ghurair'!G150)*0.985</f>
        <v>400395.1157439152</v>
      </c>
      <c r="H66" s="371"/>
      <c r="I66" s="686">
        <f>('414-Al ghurair'!I145-'414-Al ghurair'!I142+'414-Al ghurair'!I148+'414-Al ghurair'!I150)*0.985</f>
        <v>400356.30233206996</v>
      </c>
      <c r="J66" s="371"/>
      <c r="K66" s="686">
        <f>('414-Al ghurair'!K145-'414-Al ghurair'!K142+'414-Al ghurair'!K148+'414-Al ghurair'!K150)*0.985</f>
        <v>396232.84456476383</v>
      </c>
      <c r="M66" s="686">
        <f>('414-Al ghurair'!M145-'414-Al ghurair'!M142+'414-Al ghurair'!M148+'414-Al ghurair'!M150)*0.985</f>
        <v>383962.23097807437</v>
      </c>
      <c r="N66" s="191"/>
      <c r="O66" s="686">
        <f>('414-Al ghurair'!O145-'414-Al ghurair'!O142+'414-Al ghurair'!O148+'414-Al ghurair'!O150)*0.985</f>
        <v>367920.36733872036</v>
      </c>
      <c r="Q66" s="686">
        <f>('414-Al ghurair'!Q145-'414-Al ghurair'!Q142+'414-Al ghurair'!Q148+'414-Al ghurair'!Q150)*0.985</f>
        <v>410820.02820917201</v>
      </c>
      <c r="S66" s="686">
        <f>('414-Al ghurair'!S145-'414-Al ghurair'!S142+'414-Al ghurair'!S148+'414-Al ghurair'!S150)*0.985</f>
        <v>396972.70205661608</v>
      </c>
      <c r="U66" s="686">
        <f>('414-Al ghurair'!U145-'414-Al ghurair'!U142+'414-Al ghurair'!U148+'414-Al ghurair'!U150)*0.985</f>
        <v>387709.33531765925</v>
      </c>
      <c r="W66" s="686">
        <f>('414-Al ghurair'!W145-'414-Al ghurair'!W142+'414-Al ghurair'!W148+'414-Al ghurair'!W150)*0.985</f>
        <v>384423.78219902399</v>
      </c>
      <c r="Y66" s="686">
        <f>('414-Al ghurair'!Y145-'414-Al ghurair'!Y142+'414-Al ghurair'!Y148+'414-Al ghurair'!Y150)*0.985</f>
        <v>404493.51436660049</v>
      </c>
      <c r="AA66" s="686">
        <f t="shared" si="7"/>
        <v>4691095.0085723745</v>
      </c>
    </row>
    <row r="67" spans="1:28" ht="15.75" thickBot="1">
      <c r="B67" s="232" t="s">
        <v>206</v>
      </c>
      <c r="C67" s="686">
        <f>C64-C65-C66</f>
        <v>-12545.322259670764</v>
      </c>
      <c r="E67" s="686">
        <f>E64-E65-E66</f>
        <v>-58666.540355528647</v>
      </c>
      <c r="G67" s="686">
        <f>G64-G65-G66</f>
        <v>83123.104729227372</v>
      </c>
      <c r="I67" s="686">
        <f>I64-I65-I66</f>
        <v>80590.29933016561</v>
      </c>
      <c r="K67" s="686">
        <f>K64-K65-K66</f>
        <v>77796.930536649481</v>
      </c>
      <c r="M67" s="686">
        <f>M64-M65-M66</f>
        <v>163959.29516371235</v>
      </c>
      <c r="O67" s="686">
        <f>O64-O65-O66</f>
        <v>20250.740536510712</v>
      </c>
      <c r="Q67" s="686">
        <f>Q64-Q65-Q66</f>
        <v>60225.418908474559</v>
      </c>
      <c r="S67" s="686">
        <f>S64-S65-S66</f>
        <v>56923.720440272067</v>
      </c>
      <c r="U67" s="686">
        <f>U64-U65-U66</f>
        <v>10444.982181481493</v>
      </c>
      <c r="W67" s="686">
        <f>W64-W65-W66</f>
        <v>12681.586817623873</v>
      </c>
      <c r="Y67" s="686">
        <f>Y64-Y65-Y66</f>
        <v>111908.5306255605</v>
      </c>
      <c r="AA67" s="686">
        <f t="shared" si="7"/>
        <v>606692.7466544786</v>
      </c>
    </row>
    <row r="68" spans="1:28">
      <c r="A68" s="63">
        <v>6798</v>
      </c>
      <c r="B68" s="63" t="s">
        <v>205</v>
      </c>
      <c r="C68" s="686">
        <f>('414-Al ghurair'!C144-'414-Al ghurair'!C142)*0.985</f>
        <v>67663.59</v>
      </c>
      <c r="E68" s="686">
        <f>('414-Al ghurair'!E144-'414-Al ghurair'!E142)*0.985</f>
        <v>67663.59</v>
      </c>
      <c r="G68" s="686">
        <f>('414-Al ghurair'!G144-'414-Al ghurair'!G142)*0.985</f>
        <v>67663.59</v>
      </c>
      <c r="H68" s="371"/>
      <c r="I68" s="686">
        <f>('414-Al ghurair'!I144-'414-Al ghurair'!I142)*0.985</f>
        <v>67663.59</v>
      </c>
      <c r="J68" s="371"/>
      <c r="K68" s="686">
        <f>('414-Al ghurair'!K144-'414-Al ghurair'!K142)*0.985</f>
        <v>67663.59</v>
      </c>
      <c r="M68" s="686">
        <f>('414-Al ghurair'!M144-'414-Al ghurair'!M142)*0.985</f>
        <v>67663.59</v>
      </c>
      <c r="O68" s="686">
        <f>('414-Al ghurair'!O144-'414-Al ghurair'!O142)*0.985</f>
        <v>67663.59</v>
      </c>
      <c r="Q68" s="686">
        <f>('414-Al ghurair'!Q144-'414-Al ghurair'!Q142)*0.985</f>
        <v>67663.59</v>
      </c>
      <c r="S68" s="686">
        <f>('414-Al ghurair'!S144-'414-Al ghurair'!S142)*0.985</f>
        <v>67663.59</v>
      </c>
      <c r="U68" s="686">
        <f>('414-Al ghurair'!U144-'414-Al ghurair'!U142)*0.985</f>
        <v>67663.59</v>
      </c>
      <c r="W68" s="686">
        <f>('414-Al ghurair'!W144-'414-Al ghurair'!W142)*0.985</f>
        <v>67663.59</v>
      </c>
      <c r="Y68" s="686">
        <f>('414-Al ghurair'!Y144-'414-Al ghurair'!Y142)*0.985</f>
        <v>67663.59</v>
      </c>
      <c r="AA68" s="686">
        <f t="shared" si="7"/>
        <v>811963.07999999973</v>
      </c>
    </row>
    <row r="69" spans="1:28" ht="15.75" thickBot="1">
      <c r="A69" s="4">
        <v>6299</v>
      </c>
      <c r="B69" s="4" t="s">
        <v>112</v>
      </c>
      <c r="C69" s="686">
        <f>'414-Al ghurair'!C93*0.985</f>
        <v>103755.22035045661</v>
      </c>
      <c r="E69" s="686">
        <f>'414-Al ghurair'!E93*0.985</f>
        <v>103755.22035045661</v>
      </c>
      <c r="G69" s="686">
        <f>'414-Al ghurair'!G93*0.985</f>
        <v>103755.22035045661</v>
      </c>
      <c r="I69" s="686">
        <f>'414-Al ghurair'!I93*0.985</f>
        <v>103755.22035045661</v>
      </c>
      <c r="K69" s="686">
        <f>'414-Al ghurair'!K93*0.985</f>
        <v>103755.22035045661</v>
      </c>
      <c r="M69" s="686">
        <f>'414-Al ghurair'!M93*0.985</f>
        <v>103755.22035045661</v>
      </c>
      <c r="O69" s="686">
        <f>'414-Al ghurair'!O93*0.985</f>
        <v>103755.22035045661</v>
      </c>
      <c r="Q69" s="686">
        <f>'414-Al ghurair'!Q93*0.985</f>
        <v>103755.22035045661</v>
      </c>
      <c r="S69" s="686">
        <f>'414-Al ghurair'!S93*0.985</f>
        <v>103755.22035045661</v>
      </c>
      <c r="U69" s="686">
        <f>'414-Al ghurair'!U93*0.985</f>
        <v>103755.22035045661</v>
      </c>
      <c r="W69" s="686">
        <f>'414-Al ghurair'!W93*0.985</f>
        <v>103755.22035045661</v>
      </c>
      <c r="Y69" s="686">
        <f>'414-Al ghurair'!Y93*0.985</f>
        <v>103755.22035045661</v>
      </c>
      <c r="AA69" s="686">
        <f t="shared" si="7"/>
        <v>1245062.6442054796</v>
      </c>
    </row>
    <row r="72" spans="1:28">
      <c r="B72" s="1">
        <v>415</v>
      </c>
      <c r="C72" s="1001" t="s">
        <v>64</v>
      </c>
      <c r="D72" s="1003"/>
      <c r="E72" s="1004" t="s">
        <v>65</v>
      </c>
      <c r="F72" s="1004"/>
      <c r="G72" s="1001" t="s">
        <v>81</v>
      </c>
      <c r="H72" s="1003"/>
      <c r="I72" s="1001" t="s">
        <v>82</v>
      </c>
      <c r="J72" s="1003"/>
      <c r="K72" s="1001" t="s">
        <v>83</v>
      </c>
      <c r="L72" s="1003"/>
      <c r="M72" s="1001" t="s">
        <v>84</v>
      </c>
      <c r="N72" s="1002"/>
      <c r="O72" s="1001" t="s">
        <v>85</v>
      </c>
      <c r="P72" s="1003"/>
      <c r="Q72" s="1001" t="s">
        <v>86</v>
      </c>
      <c r="R72" s="1003"/>
      <c r="S72" s="1004" t="s">
        <v>87</v>
      </c>
      <c r="T72" s="1004"/>
      <c r="U72" s="1001" t="s">
        <v>123</v>
      </c>
      <c r="V72" s="1003"/>
      <c r="W72" s="1001" t="s">
        <v>124</v>
      </c>
      <c r="X72" s="1003"/>
      <c r="Y72" s="1004" t="s">
        <v>125</v>
      </c>
      <c r="Z72" s="1004"/>
      <c r="AA72" s="997" t="s">
        <v>120</v>
      </c>
      <c r="AB72" s="997"/>
    </row>
    <row r="73" spans="1:28" ht="15.75" thickBot="1">
      <c r="A73" s="55">
        <v>5199</v>
      </c>
      <c r="B73" s="55" t="s">
        <v>71</v>
      </c>
      <c r="C73" s="686">
        <f>'415'!C16*0.985</f>
        <v>806522.66794055072</v>
      </c>
      <c r="E73" s="686">
        <f>'415'!E16*0.985</f>
        <v>627475.81624554889</v>
      </c>
      <c r="G73" s="686">
        <f>'415'!G16*0.985</f>
        <v>1040842.8252286741</v>
      </c>
      <c r="I73" s="686">
        <f>'415'!I16*0.985</f>
        <v>919058.24658858299</v>
      </c>
      <c r="K73" s="686">
        <f>'415'!K16*0.985</f>
        <v>840572.39177330281</v>
      </c>
      <c r="M73" s="686">
        <f>'415'!M16*0.985</f>
        <v>1191920.0136240397</v>
      </c>
      <c r="O73" s="686">
        <f>'415'!O16*0.985</f>
        <v>754617.1009285507</v>
      </c>
      <c r="Q73" s="686">
        <f>'415'!Q16*0.985</f>
        <v>937037.51371211733</v>
      </c>
      <c r="S73" s="686">
        <f>'415'!S16*0.985</f>
        <v>943952.17194443336</v>
      </c>
      <c r="U73" s="686">
        <f>'415'!U16*0.985</f>
        <v>748749.02610106685</v>
      </c>
      <c r="W73" s="686">
        <f>'415'!W16*0.985</f>
        <v>761808.35419307521</v>
      </c>
      <c r="Y73" s="686">
        <f>'415'!Y16*0.985</f>
        <v>1150836.0611534421</v>
      </c>
      <c r="AA73" s="686">
        <f>C73+E73+G73+I73+K73+M73+O73+Q73+S73+U73+W73+Y73</f>
        <v>10723392.189433385</v>
      </c>
    </row>
    <row r="74" spans="1:28" ht="15.75" thickTop="1">
      <c r="A74" s="9">
        <v>5999</v>
      </c>
      <c r="B74" s="801" t="s">
        <v>110</v>
      </c>
      <c r="C74" s="686">
        <f>'415'!C36*0.985</f>
        <v>438089.55869171908</v>
      </c>
      <c r="E74" s="686">
        <f>'415'!E36*0.985</f>
        <v>284394.29475923366</v>
      </c>
      <c r="G74" s="686">
        <f>'415'!G36*0.985</f>
        <v>575733.83235145686</v>
      </c>
      <c r="H74" s="371"/>
      <c r="I74" s="686">
        <f>'415'!I36*0.985</f>
        <v>457379.22767782008</v>
      </c>
      <c r="J74" s="371"/>
      <c r="K74" s="686">
        <f>'415'!K36*0.985</f>
        <v>346043.28921471414</v>
      </c>
      <c r="M74" s="686">
        <f>'415'!M36*0.985</f>
        <v>642711.82934471976</v>
      </c>
      <c r="O74" s="686">
        <f>'415'!O36*0.985</f>
        <v>372853.1361486112</v>
      </c>
      <c r="Q74" s="686">
        <f>'415'!Q36*0.985</f>
        <v>488250.59089264192</v>
      </c>
      <c r="S74" s="686">
        <f>'415'!S36*0.985</f>
        <v>427852.4791080227</v>
      </c>
      <c r="U74" s="686">
        <f>'415'!U36*0.985</f>
        <v>374597.13795314351</v>
      </c>
      <c r="W74" s="686">
        <f>'415'!W36*0.985</f>
        <v>355378.98556023097</v>
      </c>
      <c r="Y74" s="686">
        <f>'415'!Y36*0.985</f>
        <v>612507.61813974648</v>
      </c>
      <c r="AA74" s="686">
        <f t="shared" ref="AA74:AA78" si="8">C74+E74+G74+I74+K74+M74+O74+Q74+S74+U74+W74+Y74</f>
        <v>5375791.9798420593</v>
      </c>
    </row>
    <row r="75" spans="1:28">
      <c r="A75" s="63">
        <v>6799</v>
      </c>
      <c r="B75" s="63" t="s">
        <v>135</v>
      </c>
      <c r="C75" s="686">
        <f>('415'!C145-'415'!C142+'415'!C148+'415'!C150)*0.985</f>
        <v>305551.68170657556</v>
      </c>
      <c r="E75" s="686">
        <f>('415'!E145-'415'!E142+'415'!E148+'415'!E150)*0.985</f>
        <v>305244.46520979865</v>
      </c>
      <c r="G75" s="686">
        <f>('415'!G145-'415'!G142+'415'!G148+'415'!G150)*0.985</f>
        <v>329294.44198360952</v>
      </c>
      <c r="H75" s="371"/>
      <c r="I75" s="686">
        <f>('415'!I145-'415'!I142+'415'!I148+'415'!I150)*0.985</f>
        <v>333854.48505009833</v>
      </c>
      <c r="J75" s="371"/>
      <c r="K75" s="686">
        <f>('415'!K145-'415'!K142+'415'!K148+'415'!K150)*0.985</f>
        <v>336742.11082767835</v>
      </c>
      <c r="M75" s="686">
        <f>('415'!M145-'415'!M142+'415'!M148+'415'!M150)*0.985</f>
        <v>340057.47584795859</v>
      </c>
      <c r="N75" s="191"/>
      <c r="O75" s="686">
        <f>('415'!O145-'415'!O142+'415'!O148+'415'!O150)*0.985</f>
        <v>298575.99321022467</v>
      </c>
      <c r="Q75" s="686">
        <f>('415'!Q145-'415'!Q142+'415'!Q148+'415'!Q150)*0.985</f>
        <v>341152.04324614315</v>
      </c>
      <c r="S75" s="686">
        <f>('415'!S145-'415'!S142+'415'!S148+'415'!S150)*0.985</f>
        <v>333169.86685005191</v>
      </c>
      <c r="U75" s="686">
        <f>('415'!U145-'415'!U142+'415'!U148+'415'!U150)*0.985</f>
        <v>308893.09424831369</v>
      </c>
      <c r="W75" s="686">
        <f>('415'!W145-'415'!W142+'415'!W148+'415'!W150)*0.985</f>
        <v>312791.49588695681</v>
      </c>
      <c r="Y75" s="686">
        <f>('415'!Y145-'415'!Y142+'415'!Y148+'415'!Y150)*0.985</f>
        <v>343957.89482773602</v>
      </c>
      <c r="AA75" s="686">
        <f t="shared" si="8"/>
        <v>3889285.0488951458</v>
      </c>
    </row>
    <row r="76" spans="1:28" ht="15.75" thickBot="1">
      <c r="B76" s="232" t="s">
        <v>206</v>
      </c>
      <c r="C76" s="686">
        <f>C73-C74-C75</f>
        <v>62881.427542256075</v>
      </c>
      <c r="E76" s="686">
        <f>E73-E74-E75</f>
        <v>37837.056276516581</v>
      </c>
      <c r="G76" s="686">
        <f>G73-G74-G75</f>
        <v>135814.55089360772</v>
      </c>
      <c r="I76" s="686">
        <f>I73-I74-I75</f>
        <v>127824.53386066458</v>
      </c>
      <c r="K76" s="686">
        <f>K73-K74-K75</f>
        <v>157786.99173091032</v>
      </c>
      <c r="M76" s="686">
        <f>M73-M74-M75</f>
        <v>209150.70843136136</v>
      </c>
      <c r="O76" s="686">
        <f>O73-O74-O75</f>
        <v>83187.971569714835</v>
      </c>
      <c r="Q76" s="686">
        <f>Q73-Q74-Q75</f>
        <v>107634.87957333226</v>
      </c>
      <c r="S76" s="686">
        <f>S73-S74-S75</f>
        <v>182929.82598635874</v>
      </c>
      <c r="U76" s="686">
        <f>U73-U74-U75</f>
        <v>65258.793899609649</v>
      </c>
      <c r="W76" s="686">
        <f>W73-W74-W75</f>
        <v>93637.872745887435</v>
      </c>
      <c r="Y76" s="686">
        <f>Y73-Y74-Y75</f>
        <v>194370.54818595963</v>
      </c>
      <c r="AA76" s="686">
        <f t="shared" si="8"/>
        <v>1458315.1606961791</v>
      </c>
    </row>
    <row r="77" spans="1:28">
      <c r="A77" s="63">
        <v>6798</v>
      </c>
      <c r="B77" s="63" t="s">
        <v>205</v>
      </c>
      <c r="C77" s="686">
        <f>('415'!C144-'415'!C142)*0.985</f>
        <v>62188.959999999999</v>
      </c>
      <c r="E77" s="686">
        <f>('415'!E144-'415'!E142)*0.985</f>
        <v>62188.959999999999</v>
      </c>
      <c r="G77" s="686">
        <f>('415'!G144-'415'!G142)*0.985</f>
        <v>62188.959999999999</v>
      </c>
      <c r="H77" s="371"/>
      <c r="I77" s="686">
        <f>('415'!I144-'415'!I142)*0.985</f>
        <v>62188.959999999999</v>
      </c>
      <c r="J77" s="371"/>
      <c r="K77" s="686">
        <f>('415'!K144-'415'!K142)*0.985</f>
        <v>62188.959999999999</v>
      </c>
      <c r="M77" s="686">
        <f>('415'!M144-'415'!M142)*0.985</f>
        <v>62188.959999999999</v>
      </c>
      <c r="O77" s="686">
        <f>('415'!O144-'415'!O142)*0.985</f>
        <v>62188.959999999999</v>
      </c>
      <c r="Q77" s="686">
        <f>('415'!Q144-'415'!Q142)*0.985</f>
        <v>62188.959999999999</v>
      </c>
      <c r="S77" s="686">
        <f>('415'!S144-'415'!S142)*0.985</f>
        <v>62188.959999999999</v>
      </c>
      <c r="U77" s="686">
        <f>('415'!U144-'415'!U142)*0.985</f>
        <v>62188.959999999999</v>
      </c>
      <c r="W77" s="686">
        <f>('415'!W144-'415'!W142)*0.985</f>
        <v>62188.959999999999</v>
      </c>
      <c r="Y77" s="686">
        <f>('415'!Y144-'415'!Y142)*0.985</f>
        <v>62188.959999999999</v>
      </c>
      <c r="AA77" s="686">
        <f t="shared" si="8"/>
        <v>746267.5199999999</v>
      </c>
    </row>
    <row r="78" spans="1:28" ht="15.75" thickBot="1">
      <c r="A78" s="4">
        <v>6299</v>
      </c>
      <c r="B78" s="4" t="s">
        <v>112</v>
      </c>
      <c r="C78" s="686">
        <f>'415'!C93*0.985</f>
        <v>102932.74535045662</v>
      </c>
      <c r="E78" s="686">
        <f>'415'!E93*0.985</f>
        <v>102932.74535045662</v>
      </c>
      <c r="G78" s="686">
        <f>'415'!G93*0.985</f>
        <v>102932.74535045662</v>
      </c>
      <c r="I78" s="686">
        <f>'415'!I93*0.985</f>
        <v>102932.74535045662</v>
      </c>
      <c r="K78" s="686">
        <f>'415'!K93*0.985</f>
        <v>102932.74535045662</v>
      </c>
      <c r="M78" s="686">
        <f>'415'!M93*0.985</f>
        <v>102932.74535045662</v>
      </c>
      <c r="O78" s="686">
        <f>'415'!O93*0.985</f>
        <v>102932.74535045662</v>
      </c>
      <c r="Q78" s="686">
        <f>'415'!Q93*0.985</f>
        <v>102932.74535045662</v>
      </c>
      <c r="S78" s="686">
        <f>'415'!S93*0.985</f>
        <v>102932.74535045662</v>
      </c>
      <c r="U78" s="686">
        <f>'415'!U93*0.985</f>
        <v>102932.74535045662</v>
      </c>
      <c r="W78" s="686">
        <f>'415'!W93*0.985</f>
        <v>102932.74535045662</v>
      </c>
      <c r="Y78" s="686">
        <f>'415'!Y93*0.985</f>
        <v>102932.74535045662</v>
      </c>
      <c r="AA78" s="686">
        <f t="shared" si="8"/>
        <v>1235192.9442054792</v>
      </c>
    </row>
    <row r="81" spans="1:28">
      <c r="B81" s="1">
        <v>417</v>
      </c>
      <c r="C81" s="1001" t="s">
        <v>64</v>
      </c>
      <c r="D81" s="1003"/>
      <c r="E81" s="1004" t="s">
        <v>65</v>
      </c>
      <c r="F81" s="1004"/>
      <c r="G81" s="1001" t="s">
        <v>81</v>
      </c>
      <c r="H81" s="1003"/>
      <c r="I81" s="1001" t="s">
        <v>82</v>
      </c>
      <c r="J81" s="1003"/>
      <c r="K81" s="1001" t="s">
        <v>83</v>
      </c>
      <c r="L81" s="1003"/>
      <c r="M81" s="1001" t="s">
        <v>84</v>
      </c>
      <c r="N81" s="1002"/>
      <c r="O81" s="1001" t="s">
        <v>85</v>
      </c>
      <c r="P81" s="1003"/>
      <c r="Q81" s="1001" t="s">
        <v>86</v>
      </c>
      <c r="R81" s="1003"/>
      <c r="S81" s="1004" t="s">
        <v>87</v>
      </c>
      <c r="T81" s="1004"/>
      <c r="U81" s="1001" t="s">
        <v>123</v>
      </c>
      <c r="V81" s="1003"/>
      <c r="W81" s="1001" t="s">
        <v>124</v>
      </c>
      <c r="X81" s="1003"/>
      <c r="Y81" s="1004" t="s">
        <v>125</v>
      </c>
      <c r="Z81" s="1004"/>
      <c r="AA81" s="997" t="s">
        <v>120</v>
      </c>
      <c r="AB81" s="997"/>
    </row>
    <row r="82" spans="1:28" ht="15.75" thickBot="1">
      <c r="A82" s="55">
        <v>5199</v>
      </c>
      <c r="B82" s="55" t="s">
        <v>71</v>
      </c>
      <c r="C82" s="686">
        <f>Rak_417!C16*0.985</f>
        <v>658936.24785000004</v>
      </c>
      <c r="E82" s="686">
        <f>Rak_417!E16*0.985</f>
        <v>512653.36595000001</v>
      </c>
      <c r="G82" s="686">
        <f>Rak_417!G16*0.985</f>
        <v>850377.92377686664</v>
      </c>
      <c r="I82" s="686">
        <f>Rak_417!I16*0.985</f>
        <v>750878.83071327617</v>
      </c>
      <c r="K82" s="686">
        <f>Rak_417!K16*0.985</f>
        <v>686755.18337102956</v>
      </c>
      <c r="M82" s="686">
        <f>Rak_417!M16*0.985</f>
        <v>973809.34174285398</v>
      </c>
      <c r="O82" s="686">
        <f>Rak_417!O16*0.985</f>
        <v>616528.9397975693</v>
      </c>
      <c r="Q82" s="686">
        <f>Rak_417!Q16*0.985</f>
        <v>765568.05321349495</v>
      </c>
      <c r="S82" s="686">
        <f>Rak_417!S16*0.985</f>
        <v>771217.39100849885</v>
      </c>
      <c r="U82" s="686">
        <f>Rak_417!U16*0.985</f>
        <v>611734.67003136617</v>
      </c>
      <c r="W82" s="686">
        <f>Rak_417!W16*0.985</f>
        <v>622404.2582147338</v>
      </c>
      <c r="Y82" s="686">
        <f>Rak_417!Y16*0.985</f>
        <v>940243.38408270793</v>
      </c>
      <c r="AA82" s="686">
        <f>C82+E82+G82+I82+K82+M82+O82+Q82+S82+U82+W82+Y82</f>
        <v>8761107.5897523966</v>
      </c>
    </row>
    <row r="83" spans="1:28" ht="15.75" thickTop="1">
      <c r="A83" s="9">
        <v>5999</v>
      </c>
      <c r="B83" s="801" t="s">
        <v>110</v>
      </c>
      <c r="C83" s="686">
        <f>Rak_417!C36*0.985</f>
        <v>370897.88941562508</v>
      </c>
      <c r="E83" s="686">
        <f>Rak_417!E36*0.985</f>
        <v>247601.49907087503</v>
      </c>
      <c r="G83" s="686">
        <f>Rak_417!G36*0.985</f>
        <v>511663.53335940762</v>
      </c>
      <c r="H83" s="371"/>
      <c r="I83" s="686">
        <f>Rak_417!I36*0.985</f>
        <v>392955.87846304342</v>
      </c>
      <c r="J83" s="371"/>
      <c r="K83" s="686">
        <f>Rak_417!K36*0.985</f>
        <v>309011.38044361485</v>
      </c>
      <c r="M83" s="686">
        <f>Rak_417!M36*0.985</f>
        <v>564471.3826058096</v>
      </c>
      <c r="O83" s="686">
        <f>Rak_417!O36*0.985</f>
        <v>295501.95926905598</v>
      </c>
      <c r="Q83" s="686">
        <f>Rak_417!Q36*0.985</f>
        <v>378666.5387034305</v>
      </c>
      <c r="S83" s="686">
        <f>Rak_417!S36*0.985</f>
        <v>409068.58897360525</v>
      </c>
      <c r="U83" s="686">
        <f>Rak_417!U36*0.985</f>
        <v>287578.0245137327</v>
      </c>
      <c r="W83" s="686">
        <f>Rak_417!W36*0.985</f>
        <v>282195.37897127442</v>
      </c>
      <c r="Y83" s="686">
        <f>Rak_417!Y36*0.985</f>
        <v>498951.3409174683</v>
      </c>
      <c r="AA83" s="686">
        <f t="shared" ref="AA83:AA87" si="9">C83+E83+G83+I83+K83+M83+O83+Q83+S83+U83+W83+Y83</f>
        <v>4548563.3947069431</v>
      </c>
    </row>
    <row r="84" spans="1:28">
      <c r="A84" s="63">
        <v>6799</v>
      </c>
      <c r="B84" s="63" t="s">
        <v>135</v>
      </c>
      <c r="C84" s="686">
        <f>(Rak_417!C145-Rak_417!C142+Rak_417!C148+Rak_417!C150)*0.985</f>
        <v>364496.91505112482</v>
      </c>
      <c r="E84" s="686">
        <f>(Rak_417!E145-Rak_417!E142+Rak_417!E148+Rak_417!E150)*0.985</f>
        <v>359282.99590288854</v>
      </c>
      <c r="G84" s="686">
        <f>(Rak_417!G145-Rak_417!G142+Rak_417!G148+Rak_417!G150)*0.985</f>
        <v>377330.41049574176</v>
      </c>
      <c r="H84" s="686">
        <f>(Rak_417!H145-Rak_417!H142+Rak_417!H148+Rak_417!H150)*0.985</f>
        <v>0.44704517127788562</v>
      </c>
      <c r="I84" s="686">
        <f>(Rak_417!I145-Rak_417!I142+Rak_417!I148+Rak_417!I150)*0.985</f>
        <v>380823.06081220479</v>
      </c>
      <c r="J84" s="686">
        <f>(Rak_417!J145-Rak_417!J142+Rak_417!J148+Rak_417!J150)*0.985</f>
        <v>0.50857418044384561</v>
      </c>
      <c r="K84" s="686">
        <f>(Rak_417!K145-Rak_417!K142+Rak_417!K148+Rak_417!K150)*0.985</f>
        <v>378920.46747944015</v>
      </c>
      <c r="L84" s="686">
        <f>(Rak_417!L145-Rak_417!L142+Rak_417!L148+Rak_417!L150)*0.985</f>
        <v>0.54986992510948085</v>
      </c>
      <c r="M84" s="686">
        <f>(Rak_417!M145-Rak_417!M142+Rak_417!M148+Rak_417!M150)*0.985</f>
        <v>379866.74368699756</v>
      </c>
      <c r="N84" s="686">
        <f>(Rak_417!N145-Rak_417!N142+Rak_417!N148+Rak_417!N150)*0.985</f>
        <v>0.38529499259216399</v>
      </c>
      <c r="O84" s="686">
        <f>(Rak_417!O145-Rak_417!O142+Rak_417!O148+Rak_417!O150)*0.985</f>
        <v>355880.32470815512</v>
      </c>
      <c r="P84" s="686">
        <f>(Rak_417!P145-Rak_417!P142+Rak_417!P148+Rak_417!P150)*0.985</f>
        <v>0.5816713262955443</v>
      </c>
      <c r="Q84" s="686">
        <f>(Rak_417!Q145-Rak_417!Q142+Rak_417!Q148+Rak_417!Q150)*0.985</f>
        <v>385303.63028806722</v>
      </c>
      <c r="R84" s="686">
        <f>(Rak_417!R145-Rak_417!R142+Rak_417!R148+Rak_417!R150)*0.985</f>
        <v>0.50107861222252281</v>
      </c>
      <c r="S84" s="686">
        <f>(Rak_417!S145-Rak_417!S142+Rak_417!S148+Rak_417!S150)*0.985</f>
        <v>372197.46069246461</v>
      </c>
      <c r="T84" s="686">
        <f>(Rak_417!T145-Rak_417!T142+Rak_417!T148+Rak_417!T150)*0.985</f>
        <v>0.48232165711820868</v>
      </c>
      <c r="U84" s="686">
        <f>(Rak_417!U145-Rak_417!U142+Rak_417!U148+Rak_417!U150)*0.985</f>
        <v>357496.81847244484</v>
      </c>
      <c r="V84" s="686">
        <f>(Rak_417!V145-Rak_417!V142+Rak_417!V148+Rak_417!V150)*0.985</f>
        <v>0.58856210367633977</v>
      </c>
      <c r="W84" s="686">
        <f>(Rak_417!W145-Rak_417!W142+Rak_417!W148+Rak_417!W150)*0.985</f>
        <v>363690.27359580796</v>
      </c>
      <c r="Y84" s="686">
        <f>(Rak_417!Y145-Rak_417!Y142+Rak_417!Y148+Rak_417!Y150)*0.985</f>
        <v>383899.92421658046</v>
      </c>
      <c r="AA84" s="686">
        <f t="shared" si="9"/>
        <v>4459189.0254019182</v>
      </c>
    </row>
    <row r="85" spans="1:28" ht="15.75" thickBot="1">
      <c r="B85" s="232" t="s">
        <v>206</v>
      </c>
      <c r="C85" s="686">
        <f>C82-C83-C84</f>
        <v>-76458.556616749847</v>
      </c>
      <c r="E85" s="686">
        <f>E82-E83-E84</f>
        <v>-94231.129023763526</v>
      </c>
      <c r="G85" s="686">
        <f>G82-G83-G84</f>
        <v>-38616.020078282745</v>
      </c>
      <c r="I85" s="686">
        <f>I82-I83-I84</f>
        <v>-22900.10856197204</v>
      </c>
      <c r="K85" s="686">
        <f>K82-K83-K84</f>
        <v>-1176.6645520254388</v>
      </c>
      <c r="M85" s="686">
        <f>M82-M83-M84</f>
        <v>29471.215450046817</v>
      </c>
      <c r="O85" s="686">
        <f>O82-O83-O84</f>
        <v>-34853.344179641805</v>
      </c>
      <c r="Q85" s="686">
        <f>Q82-Q83-Q84</f>
        <v>1597.8842219972285</v>
      </c>
      <c r="S85" s="686">
        <f>S82-S83-S84</f>
        <v>-10048.65865757101</v>
      </c>
      <c r="U85" s="686">
        <f>U82-U83-U84</f>
        <v>-33340.172954811365</v>
      </c>
      <c r="W85" s="686">
        <f>W82-W83-W84</f>
        <v>-23481.39435234858</v>
      </c>
      <c r="Y85" s="686">
        <f>Y82-Y83-Y84</f>
        <v>57392.118948659161</v>
      </c>
      <c r="AA85" s="686">
        <f t="shared" si="9"/>
        <v>-246644.83035646315</v>
      </c>
    </row>
    <row r="86" spans="1:28">
      <c r="A86" s="63">
        <v>6798</v>
      </c>
      <c r="B86" s="63" t="s">
        <v>205</v>
      </c>
      <c r="C86" s="686">
        <f>(Rak_417!C144-Rak_417!C142)*0.985</f>
        <v>60151.9012</v>
      </c>
      <c r="E86" s="686">
        <f>(Rak_417!E144-Rak_417!E142)*0.985</f>
        <v>60151.9012</v>
      </c>
      <c r="G86" s="686">
        <f>(Rak_417!G144-Rak_417!G142)*0.985</f>
        <v>52453.958749999998</v>
      </c>
      <c r="H86" s="371"/>
      <c r="I86" s="686">
        <f>(Rak_417!I144-Rak_417!I142)*0.985</f>
        <v>52453.958749999998</v>
      </c>
      <c r="J86" s="371"/>
      <c r="K86" s="686">
        <f>(Rak_417!K144-Rak_417!K142)*0.985</f>
        <v>51129.68535</v>
      </c>
      <c r="M86" s="686">
        <f>(Rak_417!M144-Rak_417!M142)*0.985</f>
        <v>51129.68535</v>
      </c>
      <c r="O86" s="686">
        <f>(Rak_417!O144-Rak_417!O142)*0.985</f>
        <v>51129.68535</v>
      </c>
      <c r="Q86" s="686">
        <f>(Rak_417!Q144-Rak_417!Q142)*0.985</f>
        <v>51129.68535</v>
      </c>
      <c r="S86" s="686">
        <f>(Rak_417!S144-Rak_417!S142)*0.985</f>
        <v>51129.68535</v>
      </c>
      <c r="U86" s="686">
        <f>(Rak_417!U144-Rak_417!U142)*0.985</f>
        <v>51129.68535</v>
      </c>
      <c r="W86" s="686">
        <f>(Rak_417!W144-Rak_417!W142)*0.985</f>
        <v>51129.68535</v>
      </c>
      <c r="Y86" s="686">
        <f>(Rak_417!Y144-Rak_417!Y142)*0.985</f>
        <v>51129.68535</v>
      </c>
      <c r="AA86" s="686">
        <f t="shared" si="9"/>
        <v>634249.20270000002</v>
      </c>
    </row>
    <row r="87" spans="1:28" ht="15.75" thickBot="1">
      <c r="A87" s="4">
        <v>6299</v>
      </c>
      <c r="B87" s="4" t="s">
        <v>112</v>
      </c>
      <c r="C87" s="686">
        <f>Rak_417!C93*0.985</f>
        <v>109373.0460522831</v>
      </c>
      <c r="E87" s="686">
        <f>Rak_417!E93*0.985</f>
        <v>109373.0460522831</v>
      </c>
      <c r="G87" s="686">
        <f>Rak_417!G93*0.985</f>
        <v>109373.0460522831</v>
      </c>
      <c r="I87" s="686">
        <f>Rak_417!I93*0.985</f>
        <v>109373.0460522831</v>
      </c>
      <c r="K87" s="686">
        <f>Rak_417!K93*0.985</f>
        <v>109373.0460522831</v>
      </c>
      <c r="M87" s="686">
        <f>Rak_417!M93*0.985</f>
        <v>109373.0460522831</v>
      </c>
      <c r="O87" s="686">
        <f>Rak_417!O93*0.985</f>
        <v>109373.0460522831</v>
      </c>
      <c r="Q87" s="686">
        <f>Rak_417!Q93*0.985</f>
        <v>109373.0460522831</v>
      </c>
      <c r="S87" s="686">
        <f>Rak_417!S93*0.985</f>
        <v>109373.0460522831</v>
      </c>
      <c r="U87" s="686">
        <f>Rak_417!U93*0.985</f>
        <v>109373.0460522831</v>
      </c>
      <c r="W87" s="686">
        <f>Rak_417!W93*0.985</f>
        <v>109373.0460522831</v>
      </c>
      <c r="Y87" s="686">
        <f>Rak_417!Y93*0.985</f>
        <v>109373.0460522831</v>
      </c>
      <c r="AA87" s="686">
        <f t="shared" si="9"/>
        <v>1312476.5526273975</v>
      </c>
    </row>
    <row r="90" spans="1:28">
      <c r="B90" s="1">
        <v>418</v>
      </c>
      <c r="C90" s="1001" t="s">
        <v>64</v>
      </c>
      <c r="D90" s="1003"/>
      <c r="E90" s="1004" t="s">
        <v>65</v>
      </c>
      <c r="F90" s="1004"/>
      <c r="G90" s="1001" t="s">
        <v>81</v>
      </c>
      <c r="H90" s="1003"/>
      <c r="I90" s="1001" t="s">
        <v>82</v>
      </c>
      <c r="J90" s="1003"/>
      <c r="K90" s="1001" t="s">
        <v>83</v>
      </c>
      <c r="L90" s="1003"/>
      <c r="M90" s="1001" t="s">
        <v>84</v>
      </c>
      <c r="N90" s="1002"/>
      <c r="O90" s="1001" t="s">
        <v>85</v>
      </c>
      <c r="P90" s="1003"/>
      <c r="Q90" s="1001" t="s">
        <v>86</v>
      </c>
      <c r="R90" s="1003"/>
      <c r="S90" s="1004" t="s">
        <v>87</v>
      </c>
      <c r="T90" s="1004"/>
      <c r="U90" s="1001" t="s">
        <v>123</v>
      </c>
      <c r="V90" s="1003"/>
      <c r="W90" s="1001" t="s">
        <v>124</v>
      </c>
      <c r="X90" s="1003"/>
      <c r="Y90" s="1004" t="s">
        <v>125</v>
      </c>
      <c r="Z90" s="1004"/>
      <c r="AA90" s="997" t="s">
        <v>120</v>
      </c>
      <c r="AB90" s="997"/>
    </row>
    <row r="91" spans="1:28" ht="15.75" thickBot="1">
      <c r="A91" s="55">
        <v>5199</v>
      </c>
      <c r="B91" s="55" t="s">
        <v>71</v>
      </c>
      <c r="C91" s="686">
        <f>'Al Foah_418'!C16*0.985</f>
        <v>423548.27625000005</v>
      </c>
      <c r="E91" s="686">
        <f>'Al Foah_418'!E16*0.985</f>
        <v>329521.17937868566</v>
      </c>
      <c r="G91" s="686">
        <f>'Al Foah_418'!G16*0.985</f>
        <v>546602.34934532829</v>
      </c>
      <c r="I91" s="686">
        <f>'Al Foah_418'!I16*0.985</f>
        <v>482646.74030889309</v>
      </c>
      <c r="K91" s="686">
        <f>'Al Foah_418'!K16*0.985</f>
        <v>441429.61165838531</v>
      </c>
      <c r="M91" s="686">
        <f>'Al Foah_418'!M16*0.985</f>
        <v>625941.07764107408</v>
      </c>
      <c r="O91" s="686">
        <f>'Al Foah_418'!O16*0.985</f>
        <v>396289.88183983171</v>
      </c>
      <c r="Q91" s="686">
        <f>'Al Foah_418'!Q16*0.985</f>
        <v>492088.6170370843</v>
      </c>
      <c r="S91" s="686">
        <f>'Al Foah_418'!S16*0.985</f>
        <v>495719.87465167488</v>
      </c>
      <c r="U91" s="686">
        <f>'Al Foah_418'!U16*0.985</f>
        <v>393208.24126059044</v>
      </c>
      <c r="W91" s="686">
        <f>'Al Foah_418'!W16*0.985</f>
        <v>400066.39432937338</v>
      </c>
      <c r="Y91" s="686">
        <f>'Al Foah_418'!Y16*0.985</f>
        <v>604365.69238933327</v>
      </c>
      <c r="AA91" s="686">
        <f>C91+E91+G91+I91+K91+M91+O91+Q91+S91+U91+W91+Y91</f>
        <v>5631427.9360902552</v>
      </c>
    </row>
    <row r="92" spans="1:28" ht="15.75" thickTop="1">
      <c r="A92" s="9">
        <v>5999</v>
      </c>
      <c r="B92" s="801" t="s">
        <v>110</v>
      </c>
      <c r="C92" s="686">
        <f>'Al Foah_418'!C36*0.985</f>
        <v>221761.99847875003</v>
      </c>
      <c r="E92" s="686">
        <f>'Al Foah_418'!E36*0.985</f>
        <v>156637.00173312423</v>
      </c>
      <c r="G92" s="686">
        <f>'Al Foah_418'!G36*0.985</f>
        <v>310716.38442814641</v>
      </c>
      <c r="H92" s="371"/>
      <c r="I92" s="686">
        <f>'Al Foah_418'!I36*0.985</f>
        <v>218885.22335992855</v>
      </c>
      <c r="J92" s="371"/>
      <c r="K92" s="686">
        <f>'Al Foah_418'!K36*0.985</f>
        <v>191252.84296458331</v>
      </c>
      <c r="M92" s="686">
        <f>'Al Foah_418'!M36*0.985</f>
        <v>329804.22737802553</v>
      </c>
      <c r="O92" s="686">
        <f>'Al Foah_418'!O36*0.985</f>
        <v>167084.29025456915</v>
      </c>
      <c r="Q92" s="686">
        <f>'Al Foah_418'!Q36*0.985</f>
        <v>215239.76678350216</v>
      </c>
      <c r="S92" s="686">
        <f>'Al Foah_418'!S36*0.985</f>
        <v>260846.18810438548</v>
      </c>
      <c r="U92" s="686">
        <f>'Al Foah_418'!U36*0.985</f>
        <v>196929.01227854734</v>
      </c>
      <c r="W92" s="686">
        <f>'Al Foah_418'!W36*0.985</f>
        <v>195358.63051443535</v>
      </c>
      <c r="Y92" s="686">
        <f>'Al Foah_418'!Y36*0.985</f>
        <v>318021.73105831142</v>
      </c>
      <c r="AA92" s="686">
        <f t="shared" ref="AA92:AA96" si="10">C92+E92+G92+I92+K92+M92+O92+Q92+S92+U92+W92+Y92</f>
        <v>2782537.2973363092</v>
      </c>
    </row>
    <row r="93" spans="1:28">
      <c r="A93" s="63">
        <v>6799</v>
      </c>
      <c r="B93" s="63" t="s">
        <v>135</v>
      </c>
      <c r="C93" s="686">
        <f>('Al Foah_418'!C145-'Al Foah_418'!C142+'Al Foah_418'!C148+'Al Foah_418'!C150)*0.985</f>
        <v>202805.71354948945</v>
      </c>
      <c r="E93" s="686">
        <f>('Al Foah_418'!E145-'Al Foah_418'!E142+'Al Foah_418'!E148+'Al Foah_418'!E150)*0.985</f>
        <v>202599.73035403568</v>
      </c>
      <c r="G93" s="686">
        <f>('Al Foah_418'!G145-'Al Foah_418'!G142+'Al Foah_418'!G148+'Al Foah_418'!G150)*0.985</f>
        <v>214528.74266667868</v>
      </c>
      <c r="H93" s="371"/>
      <c r="I93" s="686">
        <f>('Al Foah_418'!I145-'Al Foah_418'!I142+'Al Foah_418'!I148+'Al Foah_418'!I150)*0.985</f>
        <v>234068.88115958835</v>
      </c>
      <c r="J93" s="371"/>
      <c r="K93" s="686">
        <f>('Al Foah_418'!K145-'Al Foah_418'!K142+'Al Foah_418'!K148+'Al Foah_418'!K150)*0.985</f>
        <v>230183.83148165952</v>
      </c>
      <c r="M93" s="686">
        <f>('Al Foah_418'!M145-'Al Foah_418'!M142+'Al Foah_418'!M148+'Al Foah_418'!M150)*0.985</f>
        <v>230199.57619156162</v>
      </c>
      <c r="N93" s="191"/>
      <c r="O93" s="686">
        <f>('Al Foah_418'!O145-'Al Foah_418'!O142+'Al Foah_418'!O148+'Al Foah_418'!O150)*0.985</f>
        <v>212741.70723537408</v>
      </c>
      <c r="Q93" s="686">
        <f>('Al Foah_418'!Q145-'Al Foah_418'!Q142+'Al Foah_418'!Q148+'Al Foah_418'!Q150)*0.985</f>
        <v>243978.58062311355</v>
      </c>
      <c r="S93" s="686">
        <f>('Al Foah_418'!S145-'Al Foah_418'!S142+'Al Foah_418'!S148+'Al Foah_418'!S150)*0.985</f>
        <v>223890.46052819648</v>
      </c>
      <c r="U93" s="686">
        <f>('Al Foah_418'!U145-'Al Foah_418'!U142+'Al Foah_418'!U148+'Al Foah_418'!U150)*0.985</f>
        <v>206007.45776490876</v>
      </c>
      <c r="W93" s="686">
        <f>('Al Foah_418'!W145-'Al Foah_418'!W142+'Al Foah_418'!W148+'Al Foah_418'!W150)*0.985</f>
        <v>209662.66600216011</v>
      </c>
      <c r="Y93" s="686">
        <f>('Al Foah_418'!Y145-'Al Foah_418'!Y142+'Al Foah_418'!Y148+'Al Foah_418'!Y150)*0.985</f>
        <v>223136.88256081007</v>
      </c>
      <c r="AA93" s="686">
        <f t="shared" si="10"/>
        <v>2633804.2301175762</v>
      </c>
    </row>
    <row r="94" spans="1:28" ht="15.75" thickBot="1">
      <c r="B94" s="232" t="s">
        <v>206</v>
      </c>
      <c r="C94" s="686">
        <f>C91-C92-C93</f>
        <v>-1019.4357782394218</v>
      </c>
      <c r="E94" s="686">
        <f>E91-E92-E93</f>
        <v>-29715.55270847425</v>
      </c>
      <c r="G94" s="686">
        <f>G91-G92-G93</f>
        <v>21357.222250503197</v>
      </c>
      <c r="I94" s="686">
        <f>I91-I92-I93</f>
        <v>29692.635789376218</v>
      </c>
      <c r="K94" s="686">
        <f>K91-K92-K93</f>
        <v>19992.937212142482</v>
      </c>
      <c r="M94" s="686">
        <f>M91-M92-M93</f>
        <v>65937.274071486929</v>
      </c>
      <c r="O94" s="686">
        <f>O91-O92-O93</f>
        <v>16463.884349888482</v>
      </c>
      <c r="Q94" s="686">
        <f>Q91-Q92-Q93</f>
        <v>32870.269630468567</v>
      </c>
      <c r="S94" s="686">
        <f>S91-S92-S93</f>
        <v>10983.226019092923</v>
      </c>
      <c r="U94" s="686">
        <f>U91-U92-U93</f>
        <v>-9728.2287828656554</v>
      </c>
      <c r="W94" s="686">
        <f>W91-W92-W93</f>
        <v>-4954.902187222091</v>
      </c>
      <c r="Y94" s="686">
        <f>Y91-Y92-Y93</f>
        <v>63207.078770211781</v>
      </c>
      <c r="AA94" s="686">
        <f t="shared" si="10"/>
        <v>215086.40863636916</v>
      </c>
    </row>
    <row r="95" spans="1:28">
      <c r="A95" s="63">
        <v>6798</v>
      </c>
      <c r="B95" s="63" t="s">
        <v>205</v>
      </c>
      <c r="C95" s="686">
        <f>('Al Foah_418'!C144-'Al Foah_418'!C142)*0.985</f>
        <v>43784.235000000001</v>
      </c>
      <c r="E95" s="686">
        <f>('Al Foah_418'!E144-'Al Foah_418'!E142)*0.985</f>
        <v>43783.25</v>
      </c>
      <c r="G95" s="686">
        <f>('Al Foah_418'!G144-'Al Foah_418'!G142)*0.985</f>
        <v>43784.235000000001</v>
      </c>
      <c r="H95" s="371"/>
      <c r="I95" s="686">
        <f>('Al Foah_418'!I144-'Al Foah_418'!I142)*0.985</f>
        <v>43783.25</v>
      </c>
      <c r="J95" s="371"/>
      <c r="K95" s="686">
        <f>('Al Foah_418'!K144-'Al Foah_418'!K142)*0.985</f>
        <v>43784.235000000001</v>
      </c>
      <c r="M95" s="686">
        <f>('Al Foah_418'!M144-'Al Foah_418'!M142)*0.985</f>
        <v>43782.264999999999</v>
      </c>
      <c r="O95" s="686">
        <f>('Al Foah_418'!O144-'Al Foah_418'!O142)*0.985</f>
        <v>43785.22</v>
      </c>
      <c r="Q95" s="686">
        <f>('Al Foah_418'!Q144-'Al Foah_418'!Q142)*0.985</f>
        <v>43784.382749999997</v>
      </c>
      <c r="S95" s="686">
        <f>('Al Foah_418'!S144-'Al Foah_418'!S142)*0.985</f>
        <v>43784.382749999997</v>
      </c>
      <c r="U95" s="686">
        <f>('Al Foah_418'!U144-'Al Foah_418'!U142)*0.985</f>
        <v>43783.25</v>
      </c>
      <c r="W95" s="686">
        <f>('Al Foah_418'!W144-'Al Foah_418'!W142)*0.985</f>
        <v>43783.25</v>
      </c>
      <c r="Y95" s="686">
        <f>('Al Foah_418'!Y144-'Al Foah_418'!Y142)*0.985</f>
        <v>43783.25</v>
      </c>
      <c r="AA95" s="686">
        <f t="shared" si="10"/>
        <v>525405.20550000004</v>
      </c>
    </row>
    <row r="96" spans="1:28" ht="15.75" thickBot="1">
      <c r="A96" s="4">
        <v>6299</v>
      </c>
      <c r="B96" s="4" t="s">
        <v>112</v>
      </c>
      <c r="C96" s="686">
        <f>'Al Foah_418'!C93*0.985</f>
        <v>59208.599173515984</v>
      </c>
      <c r="E96" s="686">
        <f>'Al Foah_418'!E93*0.985</f>
        <v>59208.599173515984</v>
      </c>
      <c r="G96" s="686">
        <f>'Al Foah_418'!G93*0.985</f>
        <v>59208.599173515984</v>
      </c>
      <c r="I96" s="686">
        <f>'Al Foah_418'!I93*0.985</f>
        <v>59208.599173515984</v>
      </c>
      <c r="K96" s="686">
        <f>'Al Foah_418'!K93*0.985</f>
        <v>59208.599173515984</v>
      </c>
      <c r="M96" s="686">
        <f>'Al Foah_418'!M93*0.985</f>
        <v>59208.599173515984</v>
      </c>
      <c r="O96" s="686">
        <f>'Al Foah_418'!O93*0.985</f>
        <v>59208.599173515984</v>
      </c>
      <c r="Q96" s="686">
        <f>'Al Foah_418'!Q93*0.985</f>
        <v>59208.599173515984</v>
      </c>
      <c r="S96" s="686">
        <f>'Al Foah_418'!S93*0.985</f>
        <v>59208.599173515984</v>
      </c>
      <c r="U96" s="686">
        <f>'Al Foah_418'!U93*0.985</f>
        <v>59208.599173515984</v>
      </c>
      <c r="W96" s="686">
        <f>'Al Foah_418'!W93*0.985</f>
        <v>59208.599173515984</v>
      </c>
      <c r="Y96" s="686">
        <f>'Al Foah_418'!Y93*0.985</f>
        <v>59208.599173515984</v>
      </c>
      <c r="AA96" s="686">
        <f t="shared" si="10"/>
        <v>710503.19008219196</v>
      </c>
    </row>
    <row r="99" spans="1:28">
      <c r="B99" s="1">
        <v>419</v>
      </c>
      <c r="C99" s="1001" t="s">
        <v>64</v>
      </c>
      <c r="D99" s="1003"/>
      <c r="E99" s="1004" t="s">
        <v>65</v>
      </c>
      <c r="F99" s="1004"/>
      <c r="G99" s="1001" t="s">
        <v>81</v>
      </c>
      <c r="H99" s="1003"/>
      <c r="I99" s="1001" t="s">
        <v>82</v>
      </c>
      <c r="J99" s="1003"/>
      <c r="K99" s="1001" t="s">
        <v>83</v>
      </c>
      <c r="L99" s="1003"/>
      <c r="M99" s="1001" t="s">
        <v>84</v>
      </c>
      <c r="N99" s="1002"/>
      <c r="O99" s="1001" t="s">
        <v>85</v>
      </c>
      <c r="P99" s="1003"/>
      <c r="Q99" s="1001" t="s">
        <v>86</v>
      </c>
      <c r="R99" s="1003"/>
      <c r="S99" s="1004" t="s">
        <v>87</v>
      </c>
      <c r="T99" s="1004"/>
      <c r="U99" s="1001" t="s">
        <v>123</v>
      </c>
      <c r="V99" s="1003"/>
      <c r="W99" s="1001" t="s">
        <v>124</v>
      </c>
      <c r="X99" s="1003"/>
      <c r="Y99" s="1004" t="s">
        <v>125</v>
      </c>
      <c r="Z99" s="1004"/>
      <c r="AA99" s="997" t="s">
        <v>120</v>
      </c>
      <c r="AB99" s="997"/>
    </row>
    <row r="100" spans="1:28" ht="15.75" thickBot="1">
      <c r="A100" s="55">
        <v>5199</v>
      </c>
      <c r="B100" s="803" t="s">
        <v>71</v>
      </c>
      <c r="C100" s="686">
        <f>'Wafi _419'!C16*0.985</f>
        <v>730121.46417250077</v>
      </c>
      <c r="E100" s="686">
        <f>'Wafi _419'!E16*0.985</f>
        <v>568035.56787793152</v>
      </c>
      <c r="G100" s="686">
        <f>'Wafi _419'!G16*0.985</f>
        <v>942244.67301074695</v>
      </c>
      <c r="I100" s="686">
        <f>'Wafi _419'!I16*0.985</f>
        <v>831996.64353206847</v>
      </c>
      <c r="K100" s="686">
        <f>'Wafi _419'!K16*0.985</f>
        <v>760945.68673641118</v>
      </c>
      <c r="M100" s="686">
        <f>'Wafi _419'!M16*0.985</f>
        <v>1079010.4483310515</v>
      </c>
      <c r="O100" s="686">
        <f>'Wafi _419'!O16*0.985</f>
        <v>683132.86720934766</v>
      </c>
      <c r="Q100" s="686">
        <f>'Wafi _419'!Q16*0.985</f>
        <v>848272.75003072806</v>
      </c>
      <c r="S100" s="686">
        <f>'Wafi _419'!S16*0.985</f>
        <v>854532.38859206275</v>
      </c>
      <c r="U100" s="686">
        <f>'Wafi _419'!U16*0.985</f>
        <v>677820.67010042269</v>
      </c>
      <c r="W100" s="686">
        <f>'Wafi _419'!W16*0.985</f>
        <v>689642.89919163124</v>
      </c>
      <c r="Y100" s="686">
        <f>'Wafi _419'!Y16*0.985</f>
        <v>1041818.343602717</v>
      </c>
      <c r="AA100" s="686">
        <f>C100+E100+G100+I100+K100+M100+O100+Q100+S100+U100+W100+Y100</f>
        <v>9707574.402387619</v>
      </c>
    </row>
    <row r="101" spans="1:28" ht="15.75" thickTop="1">
      <c r="A101" s="9">
        <v>5999</v>
      </c>
      <c r="B101" s="801" t="s">
        <v>110</v>
      </c>
      <c r="C101" s="686">
        <f>'Wafi _419'!C36*0.985</f>
        <v>382099.77576221788</v>
      </c>
      <c r="E101" s="686">
        <f>'Wafi _419'!E36*0.985</f>
        <v>250693.13187737999</v>
      </c>
      <c r="G101" s="686">
        <f>'Wafi _419'!G36*0.985</f>
        <v>451487.22390484676</v>
      </c>
      <c r="H101" s="371"/>
      <c r="I101" s="686">
        <f>'Wafi _419'!I36*0.985</f>
        <v>385460.69595534774</v>
      </c>
      <c r="J101" s="371"/>
      <c r="K101" s="686">
        <f>'Wafi _419'!K36*0.985</f>
        <v>338486.60775433481</v>
      </c>
      <c r="M101" s="686">
        <f>'Wafi _419'!M36*0.985</f>
        <v>536946.04699986498</v>
      </c>
      <c r="O101" s="686">
        <f>'Wafi _419'!O36*0.985</f>
        <v>292285.55073199619</v>
      </c>
      <c r="Q101" s="686">
        <f>'Wafi _419'!Q36*0.985</f>
        <v>399273.75161445455</v>
      </c>
      <c r="S101" s="686">
        <f>'Wafi _419'!S36*0.985</f>
        <v>448961.20724969212</v>
      </c>
      <c r="U101" s="686">
        <f>'Wafi _419'!U36*0.985</f>
        <v>309196.91143177269</v>
      </c>
      <c r="W101" s="686">
        <f>'Wafi _419'!W36*0.985</f>
        <v>340929.84220066579</v>
      </c>
      <c r="Y101" s="686">
        <f>'Wafi _419'!Y36*0.985</f>
        <v>548138.51690066897</v>
      </c>
      <c r="AA101" s="686">
        <f t="shared" ref="AA101:AA105" si="11">C101+E101+G101+I101+K101+M101+O101+Q101+S101+U101+W101+Y101</f>
        <v>4683959.2623832421</v>
      </c>
    </row>
    <row r="102" spans="1:28">
      <c r="A102" s="63">
        <v>6799</v>
      </c>
      <c r="B102" s="63" t="s">
        <v>135</v>
      </c>
      <c r="C102" s="686">
        <f>('Wafi _419'!C145-'Wafi _419'!C142+'Wafi _419'!C148+'Wafi _419'!C150)*0.985</f>
        <v>295583.78295474499</v>
      </c>
      <c r="E102" s="686">
        <f>('Wafi _419'!E145-'Wafi _419'!E142+'Wafi _419'!E148+'Wafi _419'!E150)*0.985</f>
        <v>313839.26170618553</v>
      </c>
      <c r="G102" s="686">
        <f>('Wafi _419'!G145-'Wafi _419'!G142+'Wafi _419'!G148+'Wafi _419'!G150)*0.985</f>
        <v>332423.18420591863</v>
      </c>
      <c r="H102" s="371"/>
      <c r="I102" s="686">
        <f>('Wafi _419'!I145-'Wafi _419'!I142+'Wafi _419'!I148+'Wafi _419'!I150)*0.985</f>
        <v>327510.75957103894</v>
      </c>
      <c r="J102" s="371"/>
      <c r="K102" s="686">
        <f>('Wafi _419'!K145-'Wafi _419'!K142+'Wafi _419'!K148+'Wafi _419'!K150)*0.985</f>
        <v>329632.00492994703</v>
      </c>
      <c r="M102" s="686">
        <f>('Wafi _419'!M145-'Wafi _419'!M142+'Wafi _419'!M148+'Wafi _419'!M150)*0.985</f>
        <v>328940.4961180375</v>
      </c>
      <c r="N102" s="191"/>
      <c r="O102" s="686">
        <f>('Wafi _419'!O145-'Wafi _419'!O142+'Wafi _419'!O148+'Wafi _419'!O150)*0.985</f>
        <v>292018.98046880501</v>
      </c>
      <c r="Q102" s="686">
        <f>('Wafi _419'!Q145-'Wafi _419'!Q142+'Wafi _419'!Q148+'Wafi _419'!Q150)*0.985</f>
        <v>347360.83536226588</v>
      </c>
      <c r="S102" s="686">
        <f>('Wafi _419'!S145-'Wafi _419'!S142+'Wafi _419'!S148+'Wafi _419'!S150)*0.985</f>
        <v>320313.55943085719</v>
      </c>
      <c r="U102" s="686">
        <f>('Wafi _419'!U145-'Wafi _419'!U142+'Wafi _419'!U148+'Wafi _419'!U150)*0.985</f>
        <v>304959.3354824069</v>
      </c>
      <c r="W102" s="686">
        <f>('Wafi _419'!W145-'Wafi _419'!W142+'Wafi _419'!W148+'Wafi _419'!W150)*0.985</f>
        <v>297121.07887643029</v>
      </c>
      <c r="Y102" s="686">
        <f>('Wafi _419'!Y145-'Wafi _419'!Y142+'Wafi _419'!Y148+'Wafi _419'!Y150)*0.985</f>
        <v>335393.36337058642</v>
      </c>
      <c r="AA102" s="686">
        <f t="shared" si="11"/>
        <v>3825096.6424772236</v>
      </c>
    </row>
    <row r="103" spans="1:28" ht="15.75" thickBot="1">
      <c r="B103" s="232" t="s">
        <v>206</v>
      </c>
      <c r="C103" s="686">
        <f>C100-C101-C102</f>
        <v>52437.905455537897</v>
      </c>
      <c r="E103" s="686">
        <f>E100-E101-E102</f>
        <v>3503.1742943660356</v>
      </c>
      <c r="G103" s="686">
        <f>G100-G101-G102</f>
        <v>158334.26489998156</v>
      </c>
      <c r="I103" s="686">
        <f>I100-I101-I102</f>
        <v>119025.18800568179</v>
      </c>
      <c r="K103" s="686">
        <f>K100-K101-K102</f>
        <v>92827.074052129348</v>
      </c>
      <c r="M103" s="686">
        <f>M100-M101-M102</f>
        <v>213123.90521314903</v>
      </c>
      <c r="O103" s="686">
        <f>O100-O101-O102</f>
        <v>98828.336008546466</v>
      </c>
      <c r="Q103" s="686">
        <f>Q100-Q101-Q102</f>
        <v>101638.16305400763</v>
      </c>
      <c r="S103" s="686">
        <f>S100-S101-S102</f>
        <v>85257.621911513445</v>
      </c>
      <c r="U103" s="686">
        <f>U100-U101-U102</f>
        <v>63664.423186243104</v>
      </c>
      <c r="W103" s="686">
        <f>W100-W101-W102</f>
        <v>51591.978114535159</v>
      </c>
      <c r="Y103" s="686">
        <f>Y100-Y101-Y102</f>
        <v>158286.46333146165</v>
      </c>
      <c r="AA103" s="686">
        <f t="shared" si="11"/>
        <v>1198518.4975271528</v>
      </c>
    </row>
    <row r="104" spans="1:28">
      <c r="A104" s="63">
        <v>6798</v>
      </c>
      <c r="B104" s="63" t="s">
        <v>205</v>
      </c>
      <c r="C104" s="686">
        <f>('Wafi _419'!C144-'Wafi _419'!C142)*0.985</f>
        <v>38805.06</v>
      </c>
      <c r="E104" s="686">
        <f>('Wafi _419'!E144-'Wafi _419'!E142)*0.985</f>
        <v>38806.044999999998</v>
      </c>
      <c r="G104" s="686">
        <f>('Wafi _419'!G144-'Wafi _419'!G142)*0.985</f>
        <v>38805.06</v>
      </c>
      <c r="H104" s="371"/>
      <c r="I104" s="686">
        <f>('Wafi _419'!I144-'Wafi _419'!I142)*0.985</f>
        <v>38806.044999999998</v>
      </c>
      <c r="J104" s="371"/>
      <c r="K104" s="686">
        <f>('Wafi _419'!K144-'Wafi _419'!K142)*0.985</f>
        <v>38804.074999999997</v>
      </c>
      <c r="M104" s="686">
        <f>('Wafi _419'!M144-'Wafi _419'!M142)*0.985</f>
        <v>38806.044999999998</v>
      </c>
      <c r="O104" s="686">
        <f>('Wafi _419'!O144-'Wafi _419'!O142)*0.985</f>
        <v>38805.06</v>
      </c>
      <c r="Q104" s="686">
        <f>('Wafi _419'!Q144-'Wafi _419'!Q142)*0.985</f>
        <v>38806.636000000006</v>
      </c>
      <c r="S104" s="686">
        <f>('Wafi _419'!S144-'Wafi _419'!S142)*0.985</f>
        <v>38806.636000000006</v>
      </c>
      <c r="U104" s="686">
        <f>('Wafi _419'!U144-'Wafi _419'!U142)*0.985</f>
        <v>38805.06</v>
      </c>
      <c r="W104" s="686">
        <f>('Wafi _419'!W144-'Wafi _419'!W142)*0.985</f>
        <v>38805.06</v>
      </c>
      <c r="Y104" s="686">
        <f>('Wafi _419'!Y144-'Wafi _419'!Y142)*0.985</f>
        <v>38805.06</v>
      </c>
      <c r="AA104" s="686">
        <f t="shared" si="11"/>
        <v>465665.84199999995</v>
      </c>
    </row>
    <row r="105" spans="1:28" ht="15.75" thickBot="1">
      <c r="A105" s="4">
        <v>6299</v>
      </c>
      <c r="B105" s="4" t="s">
        <v>112</v>
      </c>
      <c r="C105" s="686">
        <f>'Wafi _419'!C93*0.985</f>
        <v>111710.78266894976</v>
      </c>
      <c r="E105" s="686">
        <f>'Wafi _419'!E93*0.985</f>
        <v>111710.78266894976</v>
      </c>
      <c r="G105" s="686">
        <f>'Wafi _419'!G93*0.985</f>
        <v>111710.78266894976</v>
      </c>
      <c r="I105" s="686">
        <f>'Wafi _419'!I93*0.985</f>
        <v>111710.78266894976</v>
      </c>
      <c r="K105" s="686">
        <f>'Wafi _419'!K93*0.985</f>
        <v>111710.78266894976</v>
      </c>
      <c r="M105" s="686">
        <f>'Wafi _419'!M93*0.985</f>
        <v>111710.78266894976</v>
      </c>
      <c r="O105" s="686">
        <f>'Wafi _419'!O93*0.985</f>
        <v>111710.78266894976</v>
      </c>
      <c r="Q105" s="686">
        <f>'Wafi _419'!Q93*0.985</f>
        <v>111710.78266894976</v>
      </c>
      <c r="S105" s="686">
        <f>'Wafi _419'!S93*0.985</f>
        <v>111710.78266894976</v>
      </c>
      <c r="U105" s="686">
        <f>'Wafi _419'!U93*0.985</f>
        <v>111710.78266894976</v>
      </c>
      <c r="W105" s="686">
        <f>'Wafi _419'!W93*0.985</f>
        <v>111710.78266894976</v>
      </c>
      <c r="Y105" s="686">
        <f>'Wafi _419'!Y93*0.985</f>
        <v>111710.78266894976</v>
      </c>
      <c r="AA105" s="686">
        <f t="shared" si="11"/>
        <v>1340529.3920273974</v>
      </c>
    </row>
    <row r="108" spans="1:28">
      <c r="B108" s="1" t="s">
        <v>216</v>
      </c>
      <c r="C108" s="1001" t="s">
        <v>64</v>
      </c>
      <c r="D108" s="1003"/>
      <c r="E108" s="1004" t="s">
        <v>65</v>
      </c>
      <c r="F108" s="1004"/>
      <c r="G108" s="1001" t="s">
        <v>81</v>
      </c>
      <c r="H108" s="1003"/>
      <c r="I108" s="1001" t="s">
        <v>82</v>
      </c>
      <c r="J108" s="1003"/>
      <c r="K108" s="1001" t="s">
        <v>83</v>
      </c>
      <c r="L108" s="1003"/>
      <c r="M108" s="1001" t="s">
        <v>84</v>
      </c>
      <c r="N108" s="1002"/>
      <c r="O108" s="1001" t="s">
        <v>85</v>
      </c>
      <c r="P108" s="1003"/>
      <c r="Q108" s="1001" t="s">
        <v>86</v>
      </c>
      <c r="R108" s="1003"/>
      <c r="S108" s="1004" t="s">
        <v>87</v>
      </c>
      <c r="T108" s="1004"/>
      <c r="U108" s="1001" t="s">
        <v>123</v>
      </c>
      <c r="V108" s="1003"/>
      <c r="W108" s="1001" t="s">
        <v>124</v>
      </c>
      <c r="X108" s="1003"/>
      <c r="Y108" s="1004" t="s">
        <v>125</v>
      </c>
      <c r="Z108" s="1004"/>
      <c r="AA108" s="997" t="s">
        <v>120</v>
      </c>
      <c r="AB108" s="997"/>
    </row>
    <row r="109" spans="1:28" ht="15.75" thickBot="1">
      <c r="A109" s="55">
        <v>5199</v>
      </c>
      <c r="B109" s="803" t="s">
        <v>71</v>
      </c>
      <c r="C109" s="686">
        <f>D.C.!C16*0.985</f>
        <v>0</v>
      </c>
      <c r="E109" s="686">
        <f>D.C.!E16*0.985</f>
        <v>0</v>
      </c>
      <c r="G109" s="686">
        <f>D.C.!G16*0.985</f>
        <v>0</v>
      </c>
      <c r="I109" s="686">
        <f>D.C.!I16*0.985</f>
        <v>0</v>
      </c>
      <c r="K109" s="686">
        <f>D.C.!K16*0.985</f>
        <v>0</v>
      </c>
      <c r="M109" s="686">
        <f>D.C.!M16*0.985</f>
        <v>0</v>
      </c>
      <c r="O109" s="686">
        <f>D.C.!O16*0.985</f>
        <v>0</v>
      </c>
      <c r="Q109" s="686">
        <f>D.C.!Q16*0.985</f>
        <v>0</v>
      </c>
      <c r="S109" s="686">
        <f>D.C.!S16*0.985</f>
        <v>4.7301000449806456E-10</v>
      </c>
      <c r="U109" s="686">
        <f>D.C.!U16*0.985</f>
        <v>0</v>
      </c>
      <c r="W109" s="686">
        <f>D.C.!W16*0.985</f>
        <v>0</v>
      </c>
      <c r="Y109" s="686">
        <f>D.C.!Y16*0.985</f>
        <v>0</v>
      </c>
      <c r="AA109" s="686">
        <f>C109+E109+G109+I109+K109+M109+O109+Q109+S109+U109+W109+Y109</f>
        <v>4.7301000449806456E-10</v>
      </c>
    </row>
    <row r="110" spans="1:28" ht="15.75" thickTop="1">
      <c r="A110" s="9">
        <v>5999</v>
      </c>
      <c r="B110" s="801" t="s">
        <v>110</v>
      </c>
      <c r="C110" s="686">
        <f>D.C.!C36*0.985</f>
        <v>1477.5</v>
      </c>
      <c r="E110" s="686">
        <f>D.C.!E36*0.985</f>
        <v>1477.5</v>
      </c>
      <c r="G110" s="686">
        <f>D.C.!G36*0.985</f>
        <v>1477.5</v>
      </c>
      <c r="H110" s="371"/>
      <c r="I110" s="686">
        <f>D.C.!I36*0.985</f>
        <v>1477.5</v>
      </c>
      <c r="J110" s="371"/>
      <c r="K110" s="686">
        <f>D.C.!K36*0.985</f>
        <v>1477.5</v>
      </c>
      <c r="M110" s="686">
        <f>D.C.!M36*0.985</f>
        <v>1477.5</v>
      </c>
      <c r="O110" s="686">
        <f>D.C.!O36*0.985</f>
        <v>1477.5</v>
      </c>
      <c r="Q110" s="686">
        <f>D.C.!Q36*0.985</f>
        <v>1477.5</v>
      </c>
      <c r="S110" s="686">
        <f>D.C.!S36*0.985</f>
        <v>1477.5</v>
      </c>
      <c r="U110" s="686">
        <f>D.C.!U36*0.985</f>
        <v>1477.5</v>
      </c>
      <c r="W110" s="686">
        <f>D.C.!W36*0.985</f>
        <v>1477.5</v>
      </c>
      <c r="Y110" s="686">
        <f>D.C.!Y36*0.985</f>
        <v>1477.5</v>
      </c>
      <c r="AA110" s="686">
        <f t="shared" ref="AA110:AA114" si="12">C110+E110+G110+I110+K110+M110+O110+Q110+S110+U110+W110+Y110</f>
        <v>17730</v>
      </c>
    </row>
    <row r="111" spans="1:28">
      <c r="A111" s="63">
        <v>6799</v>
      </c>
      <c r="B111" s="63" t="s">
        <v>135</v>
      </c>
      <c r="C111" s="686">
        <f>(D.C.!C145+D.C.!C148+D.C.!C150)*0.985</f>
        <v>33402.757564999993</v>
      </c>
      <c r="E111" s="686">
        <f>(D.C.!E145+D.C.!E148+D.C.!E150)*0.985</f>
        <v>30131.749865000002</v>
      </c>
      <c r="G111" s="686">
        <f>(D.C.!G145+D.C.!G148+D.C.!G150)*0.985</f>
        <v>53511.463614999993</v>
      </c>
      <c r="H111" s="371"/>
      <c r="I111" s="686">
        <f>(D.C.!I145+D.C.!I148+D.C.!I150)*0.985</f>
        <v>42668.061564999996</v>
      </c>
      <c r="J111" s="371"/>
      <c r="K111" s="686">
        <f>(D.C.!K145+D.C.!K148+D.C.!K150)*0.985</f>
        <v>16674.985215000001</v>
      </c>
      <c r="M111" s="686">
        <f>(D.C.!M145+D.C.!M148+D.C.!M150)*0.985</f>
        <v>64206.672415000001</v>
      </c>
      <c r="N111" s="191"/>
      <c r="O111" s="686">
        <f>(D.C.!O145+D.C.!O148+D.C.!O150)*0.985</f>
        <v>21180.463865000002</v>
      </c>
      <c r="Q111" s="686">
        <f>(D.C.!Q145+D.C.!Q148+D.C.!Q150)*0.985</f>
        <v>41977.576564999996</v>
      </c>
      <c r="S111" s="686">
        <f>(D.C.!S145+D.C.!S148+D.C.!S150)*0.985</f>
        <v>41436.811565000047</v>
      </c>
      <c r="U111" s="686">
        <f>(D.C.!U145+D.C.!U148+D.C.!U150)*0.985</f>
        <v>41436.811564999996</v>
      </c>
      <c r="W111" s="686">
        <f>(D.C.!W145+D.C.!W148+D.C.!W150)*0.985</f>
        <v>41436.811564999996</v>
      </c>
      <c r="Y111" s="686">
        <f>(D.C.!Y145+D.C.!Y148+D.C.!Y150)*0.985</f>
        <v>41436.811564999996</v>
      </c>
      <c r="AA111" s="686">
        <f t="shared" si="12"/>
        <v>469500.97692999995</v>
      </c>
    </row>
    <row r="112" spans="1:28" ht="15.75" thickBot="1">
      <c r="B112" s="232" t="s">
        <v>206</v>
      </c>
      <c r="C112" s="686">
        <f>C109-C110-C111</f>
        <v>-34880.257564999993</v>
      </c>
      <c r="E112" s="686">
        <f>E109-E110-E111</f>
        <v>-31609.249865000002</v>
      </c>
      <c r="G112" s="686">
        <f>G109-G110-G111</f>
        <v>-54988.963614999993</v>
      </c>
      <c r="I112" s="686">
        <f>I109-I110-I111</f>
        <v>-44145.561564999996</v>
      </c>
      <c r="K112" s="686">
        <f>K109-K110-K111</f>
        <v>-18152.485215000001</v>
      </c>
      <c r="M112" s="686">
        <f>M109-M110-M111</f>
        <v>-65684.172415000008</v>
      </c>
      <c r="O112" s="686">
        <f>O109-O110-O111</f>
        <v>-22657.963865000002</v>
      </c>
      <c r="Q112" s="686">
        <f>Q109-Q110-Q111</f>
        <v>-43455.076564999996</v>
      </c>
      <c r="S112" s="686">
        <f>S109-S110-S111</f>
        <v>-42914.311564999574</v>
      </c>
      <c r="U112" s="686">
        <f>U109-U110-U111</f>
        <v>-42914.311564999996</v>
      </c>
      <c r="W112" s="686">
        <f>W109-W110-W111</f>
        <v>-42914.311564999996</v>
      </c>
      <c r="Y112" s="686">
        <f>Y109-Y110-Y111</f>
        <v>-42914.311564999996</v>
      </c>
      <c r="AA112" s="686">
        <f t="shared" si="12"/>
        <v>-487230.97692999954</v>
      </c>
    </row>
    <row r="113" spans="1:27">
      <c r="A113" s="63">
        <v>6798</v>
      </c>
      <c r="B113" s="63" t="s">
        <v>205</v>
      </c>
      <c r="C113" s="686">
        <f>D.C.!C144*0.985</f>
        <v>7407.0128500000001</v>
      </c>
      <c r="E113" s="686">
        <f>D.C.!E144*0.985</f>
        <v>7407.0128500000001</v>
      </c>
      <c r="G113" s="686">
        <f>D.C.!G144*0.985</f>
        <v>7407.0128500000001</v>
      </c>
      <c r="H113" s="371"/>
      <c r="I113" s="686">
        <f>D.C.!I144*0.985</f>
        <v>7407.0128500000001</v>
      </c>
      <c r="J113" s="371"/>
      <c r="K113" s="686">
        <f>D.C.!K144*0.985</f>
        <v>7407.0128500000001</v>
      </c>
      <c r="M113" s="686">
        <f>D.C.!M144*0.985</f>
        <v>7407.0128500000001</v>
      </c>
      <c r="O113" s="686">
        <f>D.C.!O144*0.985</f>
        <v>7407.0128500000001</v>
      </c>
      <c r="Q113" s="686">
        <f>D.C.!Q144*0.985</f>
        <v>7407.0128500000001</v>
      </c>
      <c r="S113" s="686">
        <f>D.C.!S144*0.985</f>
        <v>7407.0128500000001</v>
      </c>
      <c r="U113" s="686">
        <f>D.C.!U144*0.985</f>
        <v>7407.0128500000001</v>
      </c>
      <c r="W113" s="686">
        <f>D.C.!W144*0.985</f>
        <v>7407.0128500000001</v>
      </c>
      <c r="Y113" s="686">
        <f>D.C.!Y144*0.985</f>
        <v>7407.0128500000001</v>
      </c>
      <c r="AA113" s="686">
        <f t="shared" si="12"/>
        <v>88884.154200000004</v>
      </c>
    </row>
    <row r="114" spans="1:27" ht="15.75" thickBot="1">
      <c r="A114" s="4">
        <v>6299</v>
      </c>
      <c r="B114" s="4" t="s">
        <v>112</v>
      </c>
      <c r="C114" s="686">
        <f>D.C.!C93*0.985</f>
        <v>0</v>
      </c>
      <c r="E114" s="686">
        <f>D.C.!E93*0.985</f>
        <v>0</v>
      </c>
      <c r="G114" s="686">
        <f>D.C.!G93*0.985</f>
        <v>0</v>
      </c>
      <c r="I114" s="686">
        <f>D.C.!I93*0.985</f>
        <v>0</v>
      </c>
      <c r="K114" s="686">
        <f>D.C.!K93*0.985</f>
        <v>0</v>
      </c>
      <c r="M114" s="686">
        <f>D.C.!M93*0.985</f>
        <v>0</v>
      </c>
      <c r="O114" s="686">
        <f>D.C.!O93*0.985</f>
        <v>0</v>
      </c>
      <c r="Q114" s="686">
        <f>D.C.!Q93*0.985</f>
        <v>0</v>
      </c>
      <c r="S114" s="686">
        <f>D.C.!S93*0.985</f>
        <v>0</v>
      </c>
      <c r="U114" s="686">
        <f>D.C.!U93*0.985</f>
        <v>0</v>
      </c>
      <c r="W114" s="686">
        <f>D.C.!W93*0.985</f>
        <v>0</v>
      </c>
      <c r="Y114" s="686">
        <f>D.C.!Y93*0.985</f>
        <v>0</v>
      </c>
      <c r="AA114" s="686">
        <f t="shared" si="12"/>
        <v>0</v>
      </c>
    </row>
    <row r="115" spans="1:27" ht="15.75" thickTop="1"/>
    <row r="117" spans="1:27" ht="15.75" thickBot="1">
      <c r="A117" s="55">
        <v>5199</v>
      </c>
      <c r="B117" s="55" t="s">
        <v>71</v>
      </c>
      <c r="C117" s="804">
        <f>C2+C10+C19+C28+C37+C46+C55+C64+C73+C82+C91+C100+C109</f>
        <v>10757476.38099556</v>
      </c>
      <c r="D117" s="804"/>
      <c r="E117" s="804">
        <f>E2+E10+E19+E28+E37+E46+E55+E64+E73+E82+E91+E100+E109</f>
        <v>8369333.2173470939</v>
      </c>
      <c r="F117" s="804"/>
      <c r="G117" s="804">
        <f>G2+G10+G19+G28+G37+G46+G55+G64+G73+G82+G91+G100+G109</f>
        <v>13882862.154114369</v>
      </c>
      <c r="H117" s="804"/>
      <c r="I117" s="804">
        <f>I2+I10+I19+I28+I37+I46+I55+I64+I73+I82+I91+I100+I109</f>
        <v>12258487.726398949</v>
      </c>
      <c r="J117" s="804"/>
      <c r="K117" s="804">
        <f>K2+K10+K19+K28+K37+K46+K55+K64+K73+K82+K91+K100+K109</f>
        <v>11211635.637352368</v>
      </c>
      <c r="L117" s="804"/>
      <c r="M117" s="804">
        <f>M2+M10+M19+M28+M37+M46+M55+M64+M73+M82+M91+M100+M109</f>
        <v>15897944.404307775</v>
      </c>
      <c r="N117" s="804"/>
      <c r="O117" s="804">
        <f>O2+O10+O19+O28+O37+O46+O55+O64+O73+O82+O91+O100+O109</f>
        <v>10065156.212260967</v>
      </c>
      <c r="P117" s="804"/>
      <c r="Q117" s="804">
        <f>Q2+Q10+Q19+Q28+Q37+Q46+Q55+Q64+Q73+Q82+Q91+Q100+Q109</f>
        <v>12498296.964014905</v>
      </c>
      <c r="R117" s="804"/>
      <c r="S117" s="804">
        <f>S2+S10+S19+S28+S37+S46+S55+S64+S73+S82+S91+S100+S109</f>
        <v>12590525.687750025</v>
      </c>
      <c r="T117" s="804"/>
      <c r="U117" s="804">
        <f>U2+U10+U19+U28+U37+U46+U55+U64+U73+U82+U91+U100+U109</f>
        <v>9986887.0421498604</v>
      </c>
      <c r="V117" s="804"/>
      <c r="W117" s="804">
        <f>W2+W10+W19+W28+W37+W46+W55+W64+W73+W82+W91+W100+W109</f>
        <v>10161073.625310311</v>
      </c>
      <c r="X117" s="804"/>
      <c r="Y117" s="804">
        <f>Y2+Y10+Y19+Y28+Y37+Y46+Y55+Y64+Y73+Y82+Y91+Y100+Y109</f>
        <v>15349962.866223127</v>
      </c>
      <c r="Z117" s="804"/>
      <c r="AA117" s="804">
        <f>AA2+AA10+AA19+AA28+AA37+AA46+AA55+AA64+AA73+AA82+AA91+AA100+AA109</f>
        <v>143029641.91822529</v>
      </c>
    </row>
    <row r="118" spans="1:27" ht="15.75" thickTop="1">
      <c r="A118" s="9">
        <v>5999</v>
      </c>
      <c r="B118" s="801" t="s">
        <v>110</v>
      </c>
      <c r="C118" s="804">
        <f t="shared" ref="C118:E122" si="13">C3+C11+C20+C29+C38+C47+C56+C65+C74+C83+C92+C101+C110</f>
        <v>5713171.4069516482</v>
      </c>
      <c r="D118" s="804"/>
      <c r="E118" s="804">
        <f t="shared" si="13"/>
        <v>3838622.4925814345</v>
      </c>
      <c r="F118" s="804"/>
      <c r="G118" s="804">
        <f t="shared" ref="G118" si="14">G3+G11+G20+G29+G38+G47+G56+G65+G74+G83+G92+G101+G110</f>
        <v>7294223.0371719981</v>
      </c>
      <c r="H118" s="804"/>
      <c r="I118" s="804">
        <f t="shared" ref="I118" si="15">I3+I11+I20+I29+I38+I47+I56+I65+I74+I83+I92+I101+I110</f>
        <v>5783795.9601603523</v>
      </c>
      <c r="J118" s="804"/>
      <c r="K118" s="804">
        <f t="shared" ref="K118" si="16">K3+K11+K20+K29+K38+K47+K56+K65+K74+K83+K92+K101+K110</f>
        <v>4912865.8516979227</v>
      </c>
      <c r="L118" s="804"/>
      <c r="M118" s="804">
        <f t="shared" ref="M118" si="17">M3+M11+M20+M29+M38+M47+M56+M65+M74+M83+M92+M101+M110</f>
        <v>8457567.8896122836</v>
      </c>
      <c r="N118" s="804"/>
      <c r="O118" s="804">
        <f t="shared" ref="O118" si="18">O3+O11+O20+O29+O38+O47+O56+O65+O74+O83+O92+O101+O110</f>
        <v>4782841.2892086431</v>
      </c>
      <c r="P118" s="804"/>
      <c r="Q118" s="804">
        <f t="shared" ref="Q118" si="19">Q3+Q11+Q20+Q29+Q38+Q47+Q56+Q65+Q74+Q83+Q92+Q101+Q110</f>
        <v>5776782.2551147379</v>
      </c>
      <c r="R118" s="804"/>
      <c r="S118" s="804">
        <f t="shared" ref="S118" si="20">S3+S11+S20+S29+S38+S47+S56+S65+S74+S83+S92+S101+S110</f>
        <v>6341576.1719992906</v>
      </c>
      <c r="T118" s="804"/>
      <c r="U118" s="804">
        <f t="shared" ref="U118" si="21">U3+U11+U20+U29+U38+U47+U56+U65+U74+U83+U92+U101+U110</f>
        <v>4606704.7036026139</v>
      </c>
      <c r="V118" s="804"/>
      <c r="W118" s="804">
        <f t="shared" ref="W118" si="22">W3+W11+W20+W29+W38+W47+W56+W65+W74+W83+W92+W101+W110</f>
        <v>4608588.6290656487</v>
      </c>
      <c r="X118" s="804"/>
      <c r="Y118" s="804">
        <f t="shared" ref="Y118" si="23">Y3+Y11+Y20+Y29+Y38+Y47+Y56+Y65+Y74+Y83+Y92+Y101+Y110</f>
        <v>7979301.2751508225</v>
      </c>
      <c r="Z118" s="804"/>
      <c r="AA118" s="804">
        <f t="shared" ref="AA118" si="24">AA3+AA11+AA20+AA29+AA38+AA47+AA56+AA65+AA74+AA83+AA92+AA101+AA110</f>
        <v>70096040.962317392</v>
      </c>
    </row>
    <row r="119" spans="1:27">
      <c r="A119" s="63">
        <v>6799</v>
      </c>
      <c r="B119" s="63" t="s">
        <v>135</v>
      </c>
      <c r="C119" s="804">
        <f t="shared" si="13"/>
        <v>4608738.9392263098</v>
      </c>
      <c r="D119" s="804"/>
      <c r="E119" s="804">
        <f t="shared" si="13"/>
        <v>4663043.5320934942</v>
      </c>
      <c r="F119" s="804"/>
      <c r="G119" s="804">
        <f t="shared" ref="G119" si="25">G4+G12+G21+G30+G39+G48+G57+G66+G75+G84+G93+G102+G111</f>
        <v>4902817.7018130654</v>
      </c>
      <c r="H119" s="804"/>
      <c r="I119" s="804">
        <f t="shared" ref="I119" si="26">I4+I12+I21+I30+I39+I48+I57+I66+I75+I84+I93+I102+I111</f>
        <v>4876674.3994922498</v>
      </c>
      <c r="J119" s="804"/>
      <c r="K119" s="804">
        <f t="shared" ref="K119" si="27">K4+K12+K21+K30+K39+K48+K57+K66+K75+K84+K93+K102+K111</f>
        <v>4844826.3660205491</v>
      </c>
      <c r="L119" s="804"/>
      <c r="M119" s="804">
        <f t="shared" ref="M119" si="28">M4+M12+M21+M30+M39+M48+M57+M66+M75+M84+M93+M102+M111</f>
        <v>4844568.9811464725</v>
      </c>
      <c r="N119" s="804"/>
      <c r="O119" s="804">
        <f t="shared" ref="O119" si="29">O4+O12+O21+O30+O39+O48+O57+O66+O75+O84+O93+O102+O111</f>
        <v>4564908.8557067737</v>
      </c>
      <c r="P119" s="804"/>
      <c r="Q119" s="804">
        <f t="shared" ref="Q119" si="30">Q4+Q12+Q21+Q30+Q39+Q48+Q57+Q66+Q75+Q84+Q93+Q102+Q111</f>
        <v>5119770.8936599772</v>
      </c>
      <c r="R119" s="804"/>
      <c r="S119" s="804">
        <f t="shared" ref="S119" si="31">S4+S12+S21+S30+S39+S48+S57+S66+S75+S84+S93+S102+S111</f>
        <v>4879122.8772814739</v>
      </c>
      <c r="T119" s="804"/>
      <c r="U119" s="804">
        <f t="shared" ref="U119" si="32">U4+U12+U21+U30+U39+U48+U57+U66+U75+U84+U93+U102+U111</f>
        <v>4746887.0429611569</v>
      </c>
      <c r="V119" s="804"/>
      <c r="W119" s="804">
        <f t="shared" ref="W119" si="33">W4+W12+W21+W30+W39+W48+W57+W66+W75+W84+W93+W102+W111</f>
        <v>4838897.4992444003</v>
      </c>
      <c r="X119" s="804"/>
      <c r="Y119" s="804">
        <f t="shared" ref="Y119" si="34">Y4+Y12+Y21+Y30+Y39+Y48+Y57+Y66+Y75+Y84+Y93+Y102+Y111</f>
        <v>5015336.0507078925</v>
      </c>
      <c r="Z119" s="804"/>
      <c r="AA119" s="804">
        <f t="shared" ref="AA119" si="35">AA4+AA12+AA21+AA30+AA39+AA48+AA57+AA66+AA75+AA84+AA93+AA102+AA111</f>
        <v>57905593.139353812</v>
      </c>
    </row>
    <row r="120" spans="1:27" ht="15.75" thickBot="1">
      <c r="B120" s="232" t="s">
        <v>206</v>
      </c>
      <c r="C120" s="804">
        <f t="shared" si="13"/>
        <v>435566.03481760196</v>
      </c>
      <c r="D120" s="804"/>
      <c r="E120" s="804">
        <f t="shared" si="13"/>
        <v>-132332.80732783492</v>
      </c>
      <c r="F120" s="804"/>
      <c r="G120" s="804">
        <f t="shared" ref="G120" si="36">G5+G13+G22+G31+G40+G49+G58+G67+G76+G85+G94+G103+G112</f>
        <v>1685821.4151293056</v>
      </c>
      <c r="H120" s="804"/>
      <c r="I120" s="804">
        <f t="shared" ref="I120" si="37">I5+I13+I22+I31+I40+I49+I58+I67+I76+I85+I94+I103+I112</f>
        <v>1598017.3667463481</v>
      </c>
      <c r="J120" s="804"/>
      <c r="K120" s="804">
        <f t="shared" ref="K120" si="38">K5+K13+K22+K31+K40+K49+K58+K67+K76+K85+K94+K103+K112</f>
        <v>1453943.4196338947</v>
      </c>
      <c r="L120" s="804"/>
      <c r="M120" s="804">
        <f t="shared" ref="M120" si="39">M5+M13+M22+M31+M40+M49+M58+M67+M76+M85+M94+M103+M112</f>
        <v>2595807.5335490187</v>
      </c>
      <c r="N120" s="804"/>
      <c r="O120" s="804">
        <f t="shared" ref="O120" si="40">O5+O13+O22+O31+O40+O49+O58+O67+O76+O85+O94+O103+O112</f>
        <v>717406.06734554982</v>
      </c>
      <c r="P120" s="804"/>
      <c r="Q120" s="804">
        <f t="shared" ref="Q120" si="41">Q5+Q13+Q22+Q31+Q40+Q49+Q58+Q67+Q76+Q85+Q94+Q103+Q112</f>
        <v>1601743.8152401883</v>
      </c>
      <c r="R120" s="804"/>
      <c r="S120" s="804">
        <f t="shared" ref="S120" si="42">S5+S13+S22+S31+S40+S49+S58+S67+S76+S85+S94+S103+S112</f>
        <v>1369826.6384692616</v>
      </c>
      <c r="T120" s="804"/>
      <c r="U120" s="804">
        <f t="shared" ref="U120" si="43">U5+U13+U22+U31+U40+U49+U58+U67+U76+U85+U94+U103+U112</f>
        <v>633295.29558608949</v>
      </c>
      <c r="V120" s="804"/>
      <c r="W120" s="804">
        <f t="shared" ref="W120" si="44">W5+W13+W22+W31+W40+W49+W58+W67+W76+W85+W94+W103+W112</f>
        <v>713587.49700026202</v>
      </c>
      <c r="X120" s="804"/>
      <c r="Y120" s="804">
        <f t="shared" ref="Y120" si="45">Y5+Y13+Y22+Y31+Y40+Y49+Y58+Y67+Y76+Y85+Y94+Y103+Y112</f>
        <v>2355325.5403644121</v>
      </c>
      <c r="Z120" s="804"/>
      <c r="AA120" s="804">
        <f t="shared" ref="AA120" si="46">AA5+AA13+AA22+AA31+AA40+AA49+AA58+AA67+AA76+AA85+AA94+AA103+AA112</f>
        <v>15028007.816554094</v>
      </c>
    </row>
    <row r="121" spans="1:27" ht="15.75" thickTop="1">
      <c r="A121" s="63">
        <v>6798</v>
      </c>
      <c r="B121" s="63" t="s">
        <v>205</v>
      </c>
      <c r="C121" s="804">
        <f t="shared" si="13"/>
        <v>457205.00719999999</v>
      </c>
      <c r="D121" s="804"/>
      <c r="E121" s="804">
        <f t="shared" si="13"/>
        <v>457205.00719999999</v>
      </c>
      <c r="F121" s="804"/>
      <c r="G121" s="804">
        <f t="shared" ref="G121" si="47">G6+G14+G23+G32+G41+G50+G59+G68+G77+G86+G95+G104+G113</f>
        <v>447240.15619999997</v>
      </c>
      <c r="H121" s="804"/>
      <c r="I121" s="804">
        <f t="shared" ref="I121" si="48">I6+I14+I23+I32+I41+I50+I59+I68+I77+I86+I95+I104+I113</f>
        <v>380292.25734999997</v>
      </c>
      <c r="J121" s="804"/>
      <c r="K121" s="804">
        <f t="shared" ref="K121" si="49">K6+K14+K23+K32+K41+K50+K59+K68+K77+K86+K95+K104+K113</f>
        <v>378966.99894999998</v>
      </c>
      <c r="L121" s="804"/>
      <c r="M121" s="804">
        <f t="shared" ref="M121" si="50">M6+M14+M23+M32+M41+M50+M59+M68+M77+M86+M95+M104+M113</f>
        <v>378666.14055000001</v>
      </c>
      <c r="N121" s="804"/>
      <c r="O121" s="804">
        <f t="shared" ref="O121" si="51">O6+O14+O23+O32+O41+O50+O59+O68+O77+O86+O95+O104+O113</f>
        <v>378668.11054999998</v>
      </c>
      <c r="P121" s="804"/>
      <c r="Q121" s="804">
        <f t="shared" ref="Q121" si="52">Q6+Q14+Q23+Q32+Q41+Q50+Q59+Q68+Q77+Q86+Q95+Q104+Q113</f>
        <v>378668.93794999999</v>
      </c>
      <c r="R121" s="804"/>
      <c r="S121" s="804">
        <f t="shared" ref="S121" si="53">S6+S14+S23+S32+S41+S50+S59+S68+S77+S86+S95+S104+S113</f>
        <v>378668.8493</v>
      </c>
      <c r="T121" s="804"/>
      <c r="U121" s="804">
        <f t="shared" ref="U121" si="54">U6+U14+U23+U32+U41+U50+U59+U68+U77+U86+U95+U104+U113</f>
        <v>378666.14055000001</v>
      </c>
      <c r="V121" s="804"/>
      <c r="W121" s="804">
        <f t="shared" ref="W121" si="55">W6+W14+W23+W32+W41+W50+W59+W68+W77+W86+W95+W104+W113</f>
        <v>378666.14055000001</v>
      </c>
      <c r="X121" s="804"/>
      <c r="Y121" s="804">
        <f t="shared" ref="Y121" si="56">Y6+Y14+Y23+Y32+Y41+Y50+Y59+Y68+Y77+Y86+Y95+Y104+Y113</f>
        <v>378666.14055000001</v>
      </c>
      <c r="Z121" s="804"/>
      <c r="AA121" s="804">
        <f t="shared" ref="AA121" si="57">AA6+AA14+AA23+AA32+AA41+AA50+AA59+AA68+AA77+AA86+AA95+AA104+AA113</f>
        <v>4771579.8869000003</v>
      </c>
    </row>
    <row r="122" spans="1:27" ht="15.75" thickBot="1">
      <c r="A122" s="4">
        <v>6299</v>
      </c>
      <c r="B122" s="4" t="s">
        <v>112</v>
      </c>
      <c r="C122" s="804">
        <f t="shared" si="13"/>
        <v>1316154.6392383564</v>
      </c>
      <c r="D122" s="804"/>
      <c r="E122" s="804">
        <f t="shared" si="13"/>
        <v>1316154.6392383564</v>
      </c>
      <c r="F122" s="804"/>
      <c r="G122" s="804">
        <f t="shared" ref="G122" si="58">G7+G15+G24+G33+G42+G51+G60+G69+G78+G87+G96+G105+G114</f>
        <v>1316154.6392383564</v>
      </c>
      <c r="H122" s="804"/>
      <c r="I122" s="804">
        <f t="shared" ref="I122" si="59">I7+I15+I24+I33+I42+I51+I60+I69+I78+I87+I96+I105+I114</f>
        <v>1316154.6392383564</v>
      </c>
      <c r="J122" s="804"/>
      <c r="K122" s="804">
        <f t="shared" ref="K122" si="60">K7+K15+K24+K33+K42+K51+K60+K69+K78+K87+K96+K105+K114</f>
        <v>1316154.6392383564</v>
      </c>
      <c r="L122" s="804"/>
      <c r="M122" s="804">
        <f t="shared" ref="M122" si="61">M7+M15+M24+M33+M42+M51+M60+M69+M78+M87+M96+M105+M114</f>
        <v>1316154.6392383564</v>
      </c>
      <c r="N122" s="804"/>
      <c r="O122" s="804">
        <f t="shared" ref="O122" si="62">O7+O15+O24+O33+O42+O51+O60+O69+O78+O87+O96+O105+O114</f>
        <v>1316154.6392383564</v>
      </c>
      <c r="P122" s="804"/>
      <c r="Q122" s="804">
        <f t="shared" ref="Q122" si="63">Q7+Q15+Q24+Q33+Q42+Q51+Q60+Q69+Q78+Q87+Q96+Q105+Q114</f>
        <v>1316154.6392383564</v>
      </c>
      <c r="R122" s="804"/>
      <c r="S122" s="804">
        <f t="shared" ref="S122" si="64">S7+S15+S24+S33+S42+S51+S60+S69+S78+S87+S96+S105+S114</f>
        <v>1316154.6392383564</v>
      </c>
      <c r="T122" s="804"/>
      <c r="U122" s="804">
        <f t="shared" ref="U122" si="65">U7+U15+U24+U33+U42+U51+U60+U69+U78+U87+U96+U105+U114</f>
        <v>1316154.6392383564</v>
      </c>
      <c r="V122" s="804"/>
      <c r="W122" s="804">
        <f t="shared" ref="W122" si="66">W7+W15+W24+W33+W42+W51+W60+W69+W78+W87+W96+W105+W114</f>
        <v>1316154.6392383564</v>
      </c>
      <c r="X122" s="804"/>
      <c r="Y122" s="804">
        <f t="shared" ref="Y122" si="67">Y7+Y15+Y24+Y33+Y42+Y51+Y60+Y69+Y78+Y87+Y96+Y105+Y114</f>
        <v>1316154.6392383564</v>
      </c>
      <c r="Z122" s="804"/>
      <c r="AA122" s="804">
        <f t="shared" ref="AA122" si="68">AA7+AA15+AA24+AA33+AA42+AA51+AA60+AA69+AA78+AA87+AA96+AA105+AA114</f>
        <v>15793855.670860274</v>
      </c>
    </row>
    <row r="123" spans="1:27" ht="15.75" thickTop="1"/>
  </sheetData>
  <autoFilter ref="A1:AB114">
    <filterColumn colId="2" showButton="0"/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customSheetViews>
    <customSheetView guid="{E19D3675-E478-4A54-8E7A-94A199F67811}" topLeftCell="A5">
      <selection activeCell="H24" sqref="H24"/>
      <pageMargins left="0.7" right="0.7" top="0.75" bottom="0.75" header="0.3" footer="0.3"/>
      <pageSetup orientation="portrait" r:id="rId1"/>
    </customSheetView>
    <customSheetView guid="{BFB0E08A-7D07-48F2-93C4-BE631A8642F6}">
      <selection activeCell="F16" sqref="F16"/>
      <pageMargins left="0.7" right="0.7" top="0.75" bottom="0.75" header="0.3" footer="0.3"/>
      <pageSetup orientation="portrait" r:id="rId2"/>
    </customSheetView>
    <customSheetView guid="{D65E0E17-9A53-4B36-ADDE-FDFBD878E6A1}">
      <pageMargins left="0.7" right="0.7" top="0.75" bottom="0.75" header="0.3" footer="0.3"/>
      <pageSetup orientation="portrait" r:id="rId3"/>
    </customSheetView>
    <customSheetView guid="{F3E5B7E7-D3C6-4CDC-BAA7-D62F15A870E4}">
      <pageMargins left="0.7" right="0.7" top="0.75" bottom="0.75" header="0.3" footer="0.3"/>
      <pageSetup orientation="portrait" r:id="rId4"/>
    </customSheetView>
    <customSheetView guid="{A8167CC1-C909-4D11-B8D5-4313083C8125}">
      <selection activeCell="F16" sqref="F16"/>
      <pageMargins left="0.7" right="0.7" top="0.75" bottom="0.75" header="0.3" footer="0.3"/>
      <pageSetup orientation="portrait" r:id="rId5"/>
    </customSheetView>
    <customSheetView guid="{AA4262F8-9AB3-4147-94E2-8DEF81F7E83C}">
      <selection activeCell="E1" sqref="E1"/>
      <pageMargins left="0.7" right="0.7" top="0.75" bottom="0.75" header="0.3" footer="0.3"/>
      <pageSetup orientation="portrait" r:id="rId6"/>
    </customSheetView>
  </customSheetViews>
  <mergeCells count="169">
    <mergeCell ref="W108:X108"/>
    <mergeCell ref="Y108:Z108"/>
    <mergeCell ref="AA108:AB108"/>
    <mergeCell ref="M108:N108"/>
    <mergeCell ref="O108:P108"/>
    <mergeCell ref="Q108:R108"/>
    <mergeCell ref="S108:T108"/>
    <mergeCell ref="U108:V108"/>
    <mergeCell ref="C108:D108"/>
    <mergeCell ref="E108:F108"/>
    <mergeCell ref="G108:H108"/>
    <mergeCell ref="I108:J108"/>
    <mergeCell ref="K108:L108"/>
    <mergeCell ref="W90:X90"/>
    <mergeCell ref="Y90:Z90"/>
    <mergeCell ref="AA90:AB90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U99:V99"/>
    <mergeCell ref="W99:X99"/>
    <mergeCell ref="Y99:Z99"/>
    <mergeCell ref="AA99:AB99"/>
    <mergeCell ref="M90:N90"/>
    <mergeCell ref="O90:P90"/>
    <mergeCell ref="Q90:R90"/>
    <mergeCell ref="S90:T90"/>
    <mergeCell ref="U90:V90"/>
    <mergeCell ref="C90:D90"/>
    <mergeCell ref="E90:F90"/>
    <mergeCell ref="G90:H90"/>
    <mergeCell ref="I90:J90"/>
    <mergeCell ref="K90:L90"/>
    <mergeCell ref="W72:X72"/>
    <mergeCell ref="Y72:Z72"/>
    <mergeCell ref="AA72:AB72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U81:V81"/>
    <mergeCell ref="W81:X81"/>
    <mergeCell ref="Y81:Z81"/>
    <mergeCell ref="AA81:AB81"/>
    <mergeCell ref="M72:N72"/>
    <mergeCell ref="O72:P72"/>
    <mergeCell ref="Q72:R72"/>
    <mergeCell ref="S72:T72"/>
    <mergeCell ref="U72:V72"/>
    <mergeCell ref="C72:D72"/>
    <mergeCell ref="E72:F72"/>
    <mergeCell ref="G72:H72"/>
    <mergeCell ref="I72:J72"/>
    <mergeCell ref="K72:L72"/>
    <mergeCell ref="W45:X45"/>
    <mergeCell ref="Y45:Z45"/>
    <mergeCell ref="AA45:AB45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U54:V54"/>
    <mergeCell ref="W54:X54"/>
    <mergeCell ref="Y54:Z54"/>
    <mergeCell ref="AA54:AB54"/>
    <mergeCell ref="M45:N45"/>
    <mergeCell ref="O45:P45"/>
    <mergeCell ref="Q45:R45"/>
    <mergeCell ref="S45:T45"/>
    <mergeCell ref="U45:V45"/>
    <mergeCell ref="C45:D45"/>
    <mergeCell ref="E45:F45"/>
    <mergeCell ref="G45:H45"/>
    <mergeCell ref="I45:J45"/>
    <mergeCell ref="K45:L45"/>
    <mergeCell ref="W27:X27"/>
    <mergeCell ref="Y27:Z27"/>
    <mergeCell ref="AA27:AB27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U36:V36"/>
    <mergeCell ref="W36:X36"/>
    <mergeCell ref="Y36:Z36"/>
    <mergeCell ref="AA36:AB36"/>
    <mergeCell ref="M27:N27"/>
    <mergeCell ref="O27:P27"/>
    <mergeCell ref="Q27:R27"/>
    <mergeCell ref="S27:T27"/>
    <mergeCell ref="U27:V27"/>
    <mergeCell ref="C27:D27"/>
    <mergeCell ref="E27:F27"/>
    <mergeCell ref="G27:H27"/>
    <mergeCell ref="I27:J27"/>
    <mergeCell ref="K27:L27"/>
    <mergeCell ref="Y9:Z9"/>
    <mergeCell ref="M9:N9"/>
    <mergeCell ref="AA9:AB9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O9:P9"/>
    <mergeCell ref="Q9:R9"/>
    <mergeCell ref="S9:T9"/>
    <mergeCell ref="U9:V9"/>
    <mergeCell ref="W9:X9"/>
    <mergeCell ref="C9:D9"/>
    <mergeCell ref="E9:F9"/>
    <mergeCell ref="G9:H9"/>
    <mergeCell ref="I9:J9"/>
    <mergeCell ref="K9:L9"/>
    <mergeCell ref="S1:T1"/>
    <mergeCell ref="U1:V1"/>
    <mergeCell ref="W1:X1"/>
    <mergeCell ref="Y1:Z1"/>
    <mergeCell ref="AA1:AB1"/>
    <mergeCell ref="C1:D1"/>
    <mergeCell ref="E1:F1"/>
    <mergeCell ref="G1:H1"/>
    <mergeCell ref="I1:J1"/>
    <mergeCell ref="K1:L1"/>
    <mergeCell ref="M1:N1"/>
    <mergeCell ref="O1:P1"/>
    <mergeCell ref="Q1:R1"/>
    <mergeCell ref="U63:V63"/>
    <mergeCell ref="W63:X63"/>
    <mergeCell ref="Y63:Z63"/>
    <mergeCell ref="AA63:AB63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</mergeCell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Q176"/>
  <sheetViews>
    <sheetView zoomScale="83" zoomScaleNormal="83"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C142" sqref="C142"/>
    </sheetView>
  </sheetViews>
  <sheetFormatPr defaultColWidth="9.140625" defaultRowHeight="15"/>
  <cols>
    <col min="1" max="1" width="6.42578125" style="213" bestFit="1" customWidth="1"/>
    <col min="2" max="2" width="36.5703125" style="213" customWidth="1"/>
    <col min="3" max="3" width="14.5703125" style="32" bestFit="1" customWidth="1"/>
    <col min="4" max="4" width="8.140625" style="218" customWidth="1"/>
    <col min="5" max="5" width="14" style="269" bestFit="1" customWidth="1"/>
    <col min="6" max="6" width="9.42578125" style="218" customWidth="1"/>
    <col min="7" max="7" width="14" style="32" bestFit="1" customWidth="1"/>
    <col min="8" max="8" width="7.85546875" style="218" customWidth="1"/>
    <col min="9" max="9" width="14" style="32" bestFit="1" customWidth="1"/>
    <col min="10" max="10" width="7.5703125" style="218" customWidth="1"/>
    <col min="11" max="11" width="14" style="269" bestFit="1" customWidth="1"/>
    <col min="12" max="12" width="7.5703125" style="218" customWidth="1"/>
    <col min="13" max="13" width="14" style="32" bestFit="1" customWidth="1"/>
    <col min="14" max="14" width="7.5703125" style="218" customWidth="1"/>
    <col min="15" max="15" width="14.5703125" style="32" bestFit="1" customWidth="1"/>
    <col min="16" max="16" width="7.5703125" style="218" customWidth="1"/>
    <col min="17" max="17" width="14.28515625" style="32" bestFit="1" customWidth="1"/>
    <col min="18" max="18" width="7.140625" style="218" bestFit="1" customWidth="1"/>
    <col min="19" max="19" width="14" style="32" bestFit="1" customWidth="1"/>
    <col min="20" max="20" width="7.85546875" style="218" bestFit="1" customWidth="1"/>
    <col min="21" max="21" width="13.42578125" style="269" bestFit="1" customWidth="1"/>
    <col min="22" max="22" width="7.140625" style="218" bestFit="1" customWidth="1"/>
    <col min="23" max="23" width="13.42578125" style="213" bestFit="1" customWidth="1"/>
    <col min="24" max="24" width="7.140625" style="218" bestFit="1" customWidth="1"/>
    <col min="25" max="25" width="13.42578125" style="269" bestFit="1" customWidth="1"/>
    <col min="26" max="26" width="7.140625" style="218" bestFit="1" customWidth="1"/>
    <col min="27" max="27" width="13.28515625" style="213" bestFit="1" customWidth="1"/>
    <col min="28" max="28" width="7.140625" style="363" bestFit="1" customWidth="1"/>
    <col min="29" max="29" width="11.5703125" style="213" bestFit="1" customWidth="1"/>
    <col min="30" max="30" width="7.140625" style="363" bestFit="1" customWidth="1"/>
    <col min="31" max="31" width="28.140625" style="665" hidden="1" customWidth="1"/>
    <col min="32" max="32" width="41" style="718" hidden="1" customWidth="1"/>
    <col min="33" max="33" width="17.42578125" style="718" hidden="1" customWidth="1"/>
    <col min="34" max="34" width="9.140625" style="213" hidden="1" customWidth="1"/>
    <col min="35" max="41" width="9.140625" style="213" customWidth="1"/>
    <col min="42" max="42" width="9.140625" style="213"/>
    <col min="43" max="43" width="12.7109375" style="213" bestFit="1" customWidth="1"/>
    <col min="44" max="16384" width="9.140625" style="213"/>
  </cols>
  <sheetData>
    <row r="1" spans="1:33" s="1" customFormat="1">
      <c r="A1" s="995" t="s">
        <v>362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646"/>
      <c r="AF1" s="548"/>
      <c r="AG1" s="548"/>
    </row>
    <row r="2" spans="1:33" s="1" customFormat="1">
      <c r="A2" s="43"/>
      <c r="B2" s="43" t="s">
        <v>350</v>
      </c>
      <c r="C2" s="290" t="s">
        <v>64</v>
      </c>
      <c r="D2" s="108"/>
      <c r="E2" s="1001" t="s">
        <v>65</v>
      </c>
      <c r="F2" s="1002"/>
      <c r="G2" s="290" t="s">
        <v>81</v>
      </c>
      <c r="H2" s="108"/>
      <c r="I2" s="1001" t="s">
        <v>82</v>
      </c>
      <c r="J2" s="1002"/>
      <c r="K2" s="1001" t="s">
        <v>83</v>
      </c>
      <c r="L2" s="1003"/>
      <c r="M2" s="1001" t="s">
        <v>84</v>
      </c>
      <c r="N2" s="1002"/>
      <c r="O2" s="1001" t="s">
        <v>85</v>
      </c>
      <c r="P2" s="1003"/>
      <c r="Q2" s="1001" t="s">
        <v>86</v>
      </c>
      <c r="R2" s="1002"/>
      <c r="S2" s="1005" t="s">
        <v>87</v>
      </c>
      <c r="T2" s="1005"/>
      <c r="U2" s="1001" t="s">
        <v>123</v>
      </c>
      <c r="V2" s="1003"/>
      <c r="W2" s="1001" t="s">
        <v>124</v>
      </c>
      <c r="X2" s="1002"/>
      <c r="Y2" s="1004" t="s">
        <v>125</v>
      </c>
      <c r="Z2" s="1004"/>
      <c r="AA2" s="997" t="s">
        <v>120</v>
      </c>
      <c r="AB2" s="997"/>
      <c r="AC2" s="998" t="s">
        <v>121</v>
      </c>
      <c r="AD2" s="998"/>
      <c r="AE2" s="655"/>
      <c r="AF2" s="556"/>
      <c r="AG2" s="556"/>
    </row>
    <row r="3" spans="1:33" s="1" customFormat="1" ht="15.75" thickBot="1">
      <c r="A3" s="65"/>
      <c r="B3" s="12" t="s">
        <v>69</v>
      </c>
      <c r="C3" s="291" t="s">
        <v>115</v>
      </c>
      <c r="D3" s="101" t="s">
        <v>80</v>
      </c>
      <c r="E3" s="73" t="s">
        <v>115</v>
      </c>
      <c r="F3" s="101" t="s">
        <v>80</v>
      </c>
      <c r="G3" s="291" t="s">
        <v>115</v>
      </c>
      <c r="H3" s="101" t="s">
        <v>80</v>
      </c>
      <c r="I3" s="70" t="s">
        <v>115</v>
      </c>
      <c r="J3" s="101" t="s">
        <v>80</v>
      </c>
      <c r="K3" s="73" t="s">
        <v>115</v>
      </c>
      <c r="L3" s="101" t="s">
        <v>80</v>
      </c>
      <c r="M3" s="70" t="s">
        <v>115</v>
      </c>
      <c r="N3" s="101" t="s">
        <v>80</v>
      </c>
      <c r="O3" s="70" t="s">
        <v>115</v>
      </c>
      <c r="P3" s="101" t="s">
        <v>80</v>
      </c>
      <c r="Q3" s="70" t="s">
        <v>115</v>
      </c>
      <c r="R3" s="101" t="s">
        <v>80</v>
      </c>
      <c r="S3" s="70" t="s">
        <v>115</v>
      </c>
      <c r="T3" s="101" t="s">
        <v>80</v>
      </c>
      <c r="U3" s="73" t="s">
        <v>115</v>
      </c>
      <c r="V3" s="101" t="s">
        <v>80</v>
      </c>
      <c r="W3" s="66" t="s">
        <v>115</v>
      </c>
      <c r="X3" s="101" t="s">
        <v>80</v>
      </c>
      <c r="Y3" s="73" t="s">
        <v>115</v>
      </c>
      <c r="Z3" s="101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648" t="s">
        <v>183</v>
      </c>
      <c r="AF3" s="550" t="s">
        <v>181</v>
      </c>
      <c r="AG3" s="550" t="s">
        <v>225</v>
      </c>
    </row>
    <row r="4" spans="1:33" s="1" customFormat="1">
      <c r="C4" s="292"/>
      <c r="D4" s="102"/>
      <c r="E4" s="74"/>
      <c r="F4" s="102"/>
      <c r="G4" s="704"/>
      <c r="H4" s="102"/>
      <c r="I4" s="26"/>
      <c r="J4" s="102"/>
      <c r="K4" s="74"/>
      <c r="L4" s="102"/>
      <c r="M4" s="26"/>
      <c r="N4" s="102"/>
      <c r="O4" s="26"/>
      <c r="P4" s="102"/>
      <c r="Q4" s="26"/>
      <c r="R4" s="102"/>
      <c r="S4" s="26"/>
      <c r="T4" s="102"/>
      <c r="U4" s="74"/>
      <c r="V4" s="102"/>
      <c r="W4" s="5"/>
      <c r="X4" s="102"/>
      <c r="Y4" s="74"/>
      <c r="Z4" s="102"/>
      <c r="AA4" s="142"/>
      <c r="AB4" s="143"/>
      <c r="AC4" s="126"/>
      <c r="AD4" s="127"/>
      <c r="AE4" s="656"/>
      <c r="AF4" s="557"/>
      <c r="AG4" s="557"/>
    </row>
    <row r="5" spans="1:33" s="5" customFormat="1">
      <c r="A5" s="6">
        <v>5004</v>
      </c>
      <c r="B5" s="16" t="s">
        <v>71</v>
      </c>
      <c r="C5" s="854">
        <f>1024406.65+C9</f>
        <v>1321484.5786346826</v>
      </c>
      <c r="D5" s="22"/>
      <c r="E5" s="855">
        <f>796989.873587673+E9</f>
        <v>932478.15209757746</v>
      </c>
      <c r="F5" s="22"/>
      <c r="G5" s="856">
        <f>1322028.94554109+G9</f>
        <v>1731857.9186588265</v>
      </c>
      <c r="H5" s="22"/>
      <c r="I5" s="857">
        <f>1167343.97853144+I9</f>
        <v>1482526.8527349294</v>
      </c>
      <c r="J5" s="22"/>
      <c r="K5" s="858">
        <f>1067654.98671989+K9</f>
        <v>1259832.8843294701</v>
      </c>
      <c r="L5" s="22"/>
      <c r="M5" s="859">
        <f>1513919.98924959+M9</f>
        <v>1983235.1859169633</v>
      </c>
      <c r="N5" s="22"/>
      <c r="O5" s="860">
        <f>958478.67328928+O9</f>
        <v>1246022.2752760639</v>
      </c>
      <c r="P5" s="22"/>
      <c r="Q5" s="861">
        <f>1190180.38666223+Q9</f>
        <v>1523430.8949276553</v>
      </c>
      <c r="R5" s="22"/>
      <c r="S5" s="862">
        <f>1198963.05596645+S9</f>
        <v>1474724.5588387325</v>
      </c>
      <c r="T5" s="22"/>
      <c r="U5" s="863">
        <f>951025.3243412+U9</f>
        <v>1245843.1748869722</v>
      </c>
      <c r="V5" s="22"/>
      <c r="W5" s="864">
        <f>967612.66041969+W9</f>
        <v>1132106.8126910373</v>
      </c>
      <c r="X5" s="22"/>
      <c r="Y5" s="865">
        <f>1461737.11106005+Y9</f>
        <v>1871023.5021568653</v>
      </c>
      <c r="Z5" s="22"/>
      <c r="AA5" s="144">
        <f t="shared" ref="AA5:AA11" si="0">C5+E5+G5+I5+K5+M5+O5+Q5+S5+U5+W5+Y5</f>
        <v>17204566.791149773</v>
      </c>
      <c r="AB5" s="185"/>
      <c r="AC5" s="128">
        <f>AA5/12</f>
        <v>1433713.8992624811</v>
      </c>
      <c r="AD5" s="185"/>
      <c r="AE5" s="657"/>
      <c r="AF5" s="558"/>
      <c r="AG5" s="558"/>
    </row>
    <row r="6" spans="1:33" s="1" customFormat="1">
      <c r="A6" s="5">
        <v>5005</v>
      </c>
      <c r="B6" s="17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si="0"/>
        <v>0</v>
      </c>
      <c r="AB6" s="68">
        <f>AA6/AA$5</f>
        <v>0</v>
      </c>
      <c r="AC6" s="128">
        <f t="shared" ref="AC6:AC11" si="1">AA6/12</f>
        <v>0</v>
      </c>
      <c r="AD6" s="68">
        <f>AC6/AC$5</f>
        <v>0</v>
      </c>
      <c r="AE6" s="658"/>
      <c r="AF6" s="393"/>
      <c r="AG6" s="393"/>
    </row>
    <row r="7" spans="1:33" s="1" customFormat="1">
      <c r="A7" s="14">
        <v>5051</v>
      </c>
      <c r="B7" s="241" t="s">
        <v>118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68">
        <f t="shared" ref="AB7:AB11" si="2">AA7/AA$5</f>
        <v>0</v>
      </c>
      <c r="AC7" s="128">
        <f t="shared" si="1"/>
        <v>0</v>
      </c>
      <c r="AD7" s="68">
        <f t="shared" ref="AD7:AD11" si="3">AC7/AC$5</f>
        <v>0</v>
      </c>
      <c r="AE7" s="658"/>
      <c r="AF7" s="393"/>
      <c r="AG7" s="393"/>
    </row>
    <row r="8" spans="1:33" s="1" customFormat="1">
      <c r="A8" s="1">
        <v>5052</v>
      </c>
      <c r="B8" s="1" t="s">
        <v>90</v>
      </c>
      <c r="C8" s="31"/>
      <c r="D8" s="702">
        <f t="shared" ref="D8:D11" si="4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5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6">Y8/Y$5</f>
        <v>0</v>
      </c>
      <c r="AA8" s="144">
        <f t="shared" si="0"/>
        <v>0</v>
      </c>
      <c r="AB8" s="68">
        <f t="shared" si="2"/>
        <v>0</v>
      </c>
      <c r="AC8" s="128">
        <f t="shared" si="1"/>
        <v>0</v>
      </c>
      <c r="AD8" s="68">
        <f t="shared" si="3"/>
        <v>0</v>
      </c>
      <c r="AE8" s="658" t="s">
        <v>261</v>
      </c>
      <c r="AF8" s="393"/>
      <c r="AG8" s="393"/>
    </row>
    <row r="9" spans="1:33" s="1" customFormat="1">
      <c r="A9" s="1">
        <v>5101</v>
      </c>
      <c r="B9" s="20" t="s">
        <v>46</v>
      </c>
      <c r="C9" s="1">
        <v>297077.9286346825</v>
      </c>
      <c r="D9" s="702">
        <v>0.29734742007678</v>
      </c>
      <c r="E9" s="1">
        <v>135488.27850990446</v>
      </c>
      <c r="F9" s="702">
        <v>0.17430710832087104</v>
      </c>
      <c r="G9" s="1">
        <v>409828.9731177364</v>
      </c>
      <c r="H9" s="702">
        <v>0.31785413870276485</v>
      </c>
      <c r="I9" s="371">
        <v>315182.87420348945</v>
      </c>
      <c r="J9" s="702">
        <v>0.2768407014507952</v>
      </c>
      <c r="K9" s="371">
        <v>192177.89760957999</v>
      </c>
      <c r="L9" s="702">
        <v>0.18456046763386347</v>
      </c>
      <c r="M9" s="33">
        <v>469315.19666737312</v>
      </c>
      <c r="N9" s="702">
        <v>0.3178541387027648</v>
      </c>
      <c r="O9" s="371">
        <v>287543.60198678396</v>
      </c>
      <c r="P9" s="702">
        <v>0.30760077938977243</v>
      </c>
      <c r="Q9" s="371">
        <v>333250.50826542551</v>
      </c>
      <c r="R9" s="702">
        <v>0.28709406076378763</v>
      </c>
      <c r="S9" s="371">
        <v>275761.50287228252</v>
      </c>
      <c r="T9" s="22">
        <v>0.23582726419882558</v>
      </c>
      <c r="U9" s="1">
        <v>294817.85054577212</v>
      </c>
      <c r="V9" s="22">
        <v>0.31785413870276491</v>
      </c>
      <c r="W9" s="1">
        <v>164494.15227134735</v>
      </c>
      <c r="X9" s="22">
        <v>0.1743071083208711</v>
      </c>
      <c r="Y9" s="1">
        <v>409286.39109681523</v>
      </c>
      <c r="Z9" s="22">
        <v>0.28709406076378763</v>
      </c>
      <c r="AA9" s="144">
        <f t="shared" si="0"/>
        <v>3584225.1557811927</v>
      </c>
      <c r="AB9" s="677">
        <f t="shared" si="2"/>
        <v>0.20832986958003263</v>
      </c>
      <c r="AC9" s="128">
        <f t="shared" si="1"/>
        <v>298685.42964843271</v>
      </c>
      <c r="AD9" s="68">
        <f t="shared" si="3"/>
        <v>0.20832986958003261</v>
      </c>
      <c r="AE9" s="658"/>
      <c r="AF9" s="393"/>
      <c r="AG9" s="393"/>
    </row>
    <row r="10" spans="1:33" s="1" customFormat="1">
      <c r="A10" s="1">
        <v>5102</v>
      </c>
      <c r="B10" s="1" t="s">
        <v>220</v>
      </c>
      <c r="C10" s="31"/>
      <c r="D10" s="702">
        <f t="shared" si="4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5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6"/>
        <v>0</v>
      </c>
      <c r="AA10" s="144">
        <f t="shared" si="0"/>
        <v>0</v>
      </c>
      <c r="AB10" s="68">
        <f t="shared" si="2"/>
        <v>0</v>
      </c>
      <c r="AC10" s="128">
        <f t="shared" si="1"/>
        <v>0</v>
      </c>
      <c r="AD10" s="68">
        <f t="shared" si="3"/>
        <v>0</v>
      </c>
      <c r="AE10" s="658"/>
      <c r="AF10" s="393"/>
      <c r="AG10" s="393"/>
    </row>
    <row r="11" spans="1:33" s="1" customFormat="1">
      <c r="A11" s="1">
        <v>5103</v>
      </c>
      <c r="B11" s="1" t="s">
        <v>63</v>
      </c>
      <c r="C11" s="26"/>
      <c r="D11" s="702">
        <f t="shared" si="4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5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6"/>
        <v>0</v>
      </c>
      <c r="AA11" s="144">
        <f t="shared" si="0"/>
        <v>0</v>
      </c>
      <c r="AB11" s="68">
        <f t="shared" si="2"/>
        <v>0</v>
      </c>
      <c r="AC11" s="128">
        <f t="shared" si="1"/>
        <v>0</v>
      </c>
      <c r="AD11" s="68">
        <f t="shared" si="3"/>
        <v>0</v>
      </c>
      <c r="AE11" s="658"/>
      <c r="AF11" s="393"/>
      <c r="AG11" s="393"/>
    </row>
    <row r="12" spans="1:33" s="1" customFormat="1" ht="15.75" thickBot="1">
      <c r="A12" s="7">
        <v>5149</v>
      </c>
      <c r="B12" s="242" t="s">
        <v>66</v>
      </c>
      <c r="C12" s="76">
        <f>C5+C6-C7-C8-C9-C10-C11</f>
        <v>1024406.6500000001</v>
      </c>
      <c r="D12" s="156">
        <v>1</v>
      </c>
      <c r="E12" s="76">
        <f>E5+E6-E7-E8-E9-E10-E11</f>
        <v>796989.87358767306</v>
      </c>
      <c r="F12" s="156">
        <v>1</v>
      </c>
      <c r="G12" s="28">
        <f>G5+G6-G7-G8-G9-G10-G11</f>
        <v>1322028.9455410901</v>
      </c>
      <c r="H12" s="156">
        <v>1</v>
      </c>
      <c r="I12" s="76">
        <f>I5+I6-I7-I8-I9-I10-I11</f>
        <v>1167343.97853144</v>
      </c>
      <c r="J12" s="156">
        <v>1</v>
      </c>
      <c r="K12" s="76">
        <f>K5+K6-K7-K8-K9-K10-K11</f>
        <v>1067654.98671989</v>
      </c>
      <c r="L12" s="156">
        <v>1</v>
      </c>
      <c r="M12" s="375">
        <f>M5+M6-M7-M8-M9-M10-M11</f>
        <v>1513919.9892495901</v>
      </c>
      <c r="N12" s="156">
        <v>1</v>
      </c>
      <c r="O12" s="76">
        <f>O5+O6-O7-O8-O9-O10-O11</f>
        <v>958478.67328927992</v>
      </c>
      <c r="P12" s="156">
        <v>1</v>
      </c>
      <c r="Q12" s="76">
        <f>Q5+Q6-Q7-Q8-Q9-Q10-Q11</f>
        <v>1190180.3866622299</v>
      </c>
      <c r="R12" s="156">
        <v>1</v>
      </c>
      <c r="S12" s="76">
        <f>S5+S6-S7-S8-S9-S10-S11</f>
        <v>1198963.0559664499</v>
      </c>
      <c r="T12" s="156">
        <v>1</v>
      </c>
      <c r="U12" s="76">
        <f>U5+U6-U7-U8-U9-U10-U11</f>
        <v>951025.32434120006</v>
      </c>
      <c r="V12" s="156">
        <v>1</v>
      </c>
      <c r="W12" s="76">
        <f>W5+W6-W7-W8-W9-W10-W11</f>
        <v>967612.66041968996</v>
      </c>
      <c r="X12" s="156">
        <v>1</v>
      </c>
      <c r="Y12" s="76">
        <f>Y5+Y6-Y7-Y8-Y9-Y10-Y11</f>
        <v>1461737.1110600501</v>
      </c>
      <c r="Z12" s="156">
        <v>1</v>
      </c>
      <c r="AA12" s="158">
        <f>AA5+AA6-AA7-AA8-AA9-AA10-AA11</f>
        <v>13620341.63536858</v>
      </c>
      <c r="AB12" s="156">
        <v>1</v>
      </c>
      <c r="AC12" s="186">
        <f>AC5+AC6-AC7-AC8-AC9-AC10-AC11</f>
        <v>1135028.4696140485</v>
      </c>
      <c r="AD12" s="156">
        <v>1</v>
      </c>
      <c r="AE12" s="659"/>
      <c r="AF12" s="559"/>
      <c r="AG12" s="559"/>
    </row>
    <row r="13" spans="1:33" s="1" customFormat="1" ht="15.75" thickTop="1">
      <c r="A13" s="1">
        <v>5151</v>
      </c>
      <c r="B13" s="20" t="s">
        <v>47</v>
      </c>
      <c r="C13" s="292"/>
      <c r="D13" s="102"/>
      <c r="E13" s="61"/>
      <c r="F13" s="102"/>
      <c r="G13" s="704"/>
      <c r="H13" s="102"/>
      <c r="I13" s="26"/>
      <c r="J13" s="102"/>
      <c r="K13" s="61"/>
      <c r="L13" s="102"/>
      <c r="M13" s="26"/>
      <c r="N13" s="102"/>
      <c r="O13" s="26"/>
      <c r="P13" s="102"/>
      <c r="Q13" s="26"/>
      <c r="R13" s="102"/>
      <c r="S13" s="26"/>
      <c r="T13" s="102"/>
      <c r="U13" s="61"/>
      <c r="V13" s="102"/>
      <c r="W13" s="51"/>
      <c r="X13" s="102"/>
      <c r="Y13" s="61"/>
      <c r="Z13" s="102"/>
      <c r="AA13" s="144">
        <f>C13+E13+G13+I13+K13+M13+O13+Q13+S13+U13+W13+Y13</f>
        <v>0</v>
      </c>
      <c r="AB13" s="102"/>
      <c r="AC13" s="128">
        <f t="shared" ref="AC13:AC14" si="16">AA13/12</f>
        <v>0</v>
      </c>
      <c r="AD13" s="102"/>
      <c r="AE13" s="658"/>
      <c r="AF13" s="393"/>
      <c r="AG13" s="393"/>
    </row>
    <row r="14" spans="1:33" s="1" customFormat="1">
      <c r="A14" s="1">
        <v>5152</v>
      </c>
      <c r="B14" s="20" t="s">
        <v>48</v>
      </c>
      <c r="C14" s="292"/>
      <c r="D14" s="102"/>
      <c r="E14" s="61"/>
      <c r="F14" s="102"/>
      <c r="G14" s="704"/>
      <c r="H14" s="102"/>
      <c r="I14" s="26"/>
      <c r="J14" s="102"/>
      <c r="K14" s="61"/>
      <c r="L14" s="102"/>
      <c r="M14" s="26"/>
      <c r="N14" s="102"/>
      <c r="O14" s="26"/>
      <c r="P14" s="102"/>
      <c r="Q14" s="26"/>
      <c r="R14" s="102"/>
      <c r="S14" s="26"/>
      <c r="T14" s="102"/>
      <c r="U14" s="61"/>
      <c r="V14" s="102"/>
      <c r="W14" s="51"/>
      <c r="X14" s="102"/>
      <c r="Y14" s="61"/>
      <c r="Z14" s="102"/>
      <c r="AA14" s="144">
        <f>C14+E14+G14+I14+K14+M14+O14+Q14+S14+U14+W14+Y14</f>
        <v>0</v>
      </c>
      <c r="AB14" s="102"/>
      <c r="AC14" s="128">
        <f t="shared" si="16"/>
        <v>0</v>
      </c>
      <c r="AD14" s="102"/>
      <c r="AE14" s="658"/>
      <c r="AF14" s="393"/>
      <c r="AG14" s="393"/>
    </row>
    <row r="15" spans="1:33" s="1" customFormat="1" ht="15.75" thickBot="1">
      <c r="A15" s="53">
        <v>5198</v>
      </c>
      <c r="B15" s="243" t="s">
        <v>106</v>
      </c>
      <c r="C15" s="293">
        <f>C13+C14</f>
        <v>0</v>
      </c>
      <c r="D15" s="103"/>
      <c r="E15" s="77">
        <f>E13+E14</f>
        <v>0</v>
      </c>
      <c r="F15" s="103"/>
      <c r="G15" s="293">
        <f>G13+G14</f>
        <v>0</v>
      </c>
      <c r="H15" s="103"/>
      <c r="I15" s="288">
        <f>I13+I14</f>
        <v>0</v>
      </c>
      <c r="J15" s="103"/>
      <c r="K15" s="77">
        <f>K13+K14</f>
        <v>0</v>
      </c>
      <c r="L15" s="103"/>
      <c r="M15" s="288">
        <f>M13+M14</f>
        <v>0</v>
      </c>
      <c r="N15" s="103"/>
      <c r="O15" s="288">
        <f>O13+O14</f>
        <v>0</v>
      </c>
      <c r="P15" s="103"/>
      <c r="Q15" s="288">
        <f>Q13+Q14</f>
        <v>0</v>
      </c>
      <c r="R15" s="103"/>
      <c r="S15" s="288">
        <f>S13+S14</f>
        <v>0</v>
      </c>
      <c r="T15" s="103"/>
      <c r="U15" s="77">
        <f>U13+U14</f>
        <v>0</v>
      </c>
      <c r="V15" s="103"/>
      <c r="W15" s="54">
        <f>W13+W14</f>
        <v>0</v>
      </c>
      <c r="X15" s="103"/>
      <c r="Y15" s="77">
        <f>Y13+Y14</f>
        <v>0</v>
      </c>
      <c r="Z15" s="103"/>
      <c r="AA15" s="158">
        <f>AA13+AA14</f>
        <v>0</v>
      </c>
      <c r="AB15" s="103"/>
      <c r="AC15" s="135">
        <f>AC13+AC14</f>
        <v>0</v>
      </c>
      <c r="AD15" s="103"/>
      <c r="AE15" s="660"/>
      <c r="AF15" s="560"/>
      <c r="AG15" s="560"/>
    </row>
    <row r="16" spans="1:33" s="1" customFormat="1" ht="16.5" thickTop="1" thickBot="1">
      <c r="A16" s="55">
        <v>5199</v>
      </c>
      <c r="B16" s="244" t="s">
        <v>70</v>
      </c>
      <c r="C16" s="294">
        <f>C12+C15</f>
        <v>1024406.6500000001</v>
      </c>
      <c r="D16" s="57">
        <f>C16/C12</f>
        <v>1</v>
      </c>
      <c r="E16" s="78">
        <f>E12+E15</f>
        <v>796989.87358767306</v>
      </c>
      <c r="F16" s="57">
        <f>E16/E12</f>
        <v>1</v>
      </c>
      <c r="G16" s="294">
        <f>G12+G15</f>
        <v>1322028.9455410901</v>
      </c>
      <c r="H16" s="57">
        <f>G16/G12</f>
        <v>1</v>
      </c>
      <c r="I16" s="289">
        <f>I12+I15</f>
        <v>1167343.97853144</v>
      </c>
      <c r="J16" s="57">
        <f>I16/I12</f>
        <v>1</v>
      </c>
      <c r="K16" s="78">
        <f>K12+K15</f>
        <v>1067654.98671989</v>
      </c>
      <c r="L16" s="57">
        <f>K16/K12</f>
        <v>1</v>
      </c>
      <c r="M16" s="289">
        <f>M12+M15</f>
        <v>1513919.9892495901</v>
      </c>
      <c r="N16" s="57">
        <f>M16/M12</f>
        <v>1</v>
      </c>
      <c r="O16" s="289">
        <f>O12+O15</f>
        <v>958478.67328927992</v>
      </c>
      <c r="P16" s="57">
        <f>O16/O12</f>
        <v>1</v>
      </c>
      <c r="Q16" s="289">
        <f>Q12+Q15</f>
        <v>1190180.3866622299</v>
      </c>
      <c r="R16" s="57">
        <f>Q16/Q12</f>
        <v>1</v>
      </c>
      <c r="S16" s="289">
        <f>S12+S15</f>
        <v>1198963.0559664499</v>
      </c>
      <c r="T16" s="57">
        <f>S16/S12</f>
        <v>1</v>
      </c>
      <c r="U16" s="78">
        <f>U12+U15</f>
        <v>951025.32434120006</v>
      </c>
      <c r="V16" s="57">
        <f>U16/U12</f>
        <v>1</v>
      </c>
      <c r="W16" s="56">
        <f>W12+W15</f>
        <v>967612.66041968996</v>
      </c>
      <c r="X16" s="57">
        <f>W16/W12</f>
        <v>1</v>
      </c>
      <c r="Y16" s="78">
        <f>Y12+Y15</f>
        <v>1461737.1110600501</v>
      </c>
      <c r="Z16" s="57">
        <f>Y16/Y12</f>
        <v>1</v>
      </c>
      <c r="AA16" s="174">
        <f>AA12+AA15</f>
        <v>13620341.63536858</v>
      </c>
      <c r="AB16" s="57">
        <f>AA16/AA12</f>
        <v>1</v>
      </c>
      <c r="AC16" s="135">
        <f>AC12+AC15</f>
        <v>1135028.4696140485</v>
      </c>
      <c r="AD16" s="57">
        <f>AC16/AC12</f>
        <v>1</v>
      </c>
      <c r="AE16" s="661"/>
      <c r="AF16" s="561"/>
      <c r="AG16" s="561"/>
    </row>
    <row r="17" spans="1:33" s="1" customFormat="1" ht="15.75" thickTop="1">
      <c r="A17" s="13">
        <v>5502</v>
      </c>
      <c r="B17" s="17" t="s">
        <v>49</v>
      </c>
      <c r="C17" s="704">
        <f>C12*54.87%</f>
        <v>562091.92885500006</v>
      </c>
      <c r="D17" s="677">
        <f>C17/C12</f>
        <v>0.54869999999999997</v>
      </c>
      <c r="E17" s="704">
        <f>E12*45.03%</f>
        <v>358884.5400765292</v>
      </c>
      <c r="F17" s="702">
        <f>E17/E12</f>
        <v>0.45030000000000003</v>
      </c>
      <c r="G17" s="704">
        <f>G12*53.32%</f>
        <v>704905.83376250928</v>
      </c>
      <c r="H17" s="702">
        <f>G17/G12</f>
        <v>0.53320000000000001</v>
      </c>
      <c r="I17" s="704">
        <f>I12*47.9%</f>
        <v>559157.76571655972</v>
      </c>
      <c r="J17" s="702">
        <f>I17/I12</f>
        <v>0.47899999999999998</v>
      </c>
      <c r="K17" s="704">
        <f>K12*39.81%</f>
        <v>425033.45021318825</v>
      </c>
      <c r="L17" s="702">
        <f>K17/K12</f>
        <v>0.39810000000000001</v>
      </c>
      <c r="M17" s="704">
        <f>M12*52.66%</f>
        <v>797230.26633883407</v>
      </c>
      <c r="N17" s="702">
        <f>M17/M12</f>
        <v>0.52659999999999996</v>
      </c>
      <c r="O17" s="704">
        <f>O12*47.7%</f>
        <v>457194.32715898653</v>
      </c>
      <c r="P17" s="702">
        <f>O17/O12</f>
        <v>0.47700000000000004</v>
      </c>
      <c r="Q17" s="704">
        <f>Q12*46.8%</f>
        <v>557004.42095792352</v>
      </c>
      <c r="R17" s="702">
        <f>Q17/Q12</f>
        <v>0.46799999999999992</v>
      </c>
      <c r="S17" s="704">
        <f>S12*45.92%</f>
        <v>550563.83529979375</v>
      </c>
      <c r="T17" s="702">
        <f>S17/S12</f>
        <v>0.45919999999999994</v>
      </c>
      <c r="U17" s="704">
        <f>U12*45.2%</f>
        <v>429863.44660222245</v>
      </c>
      <c r="V17" s="702">
        <f>U17/U12</f>
        <v>0.45200000000000001</v>
      </c>
      <c r="W17" s="82">
        <f>W12*45.13%</f>
        <v>436683.59364740609</v>
      </c>
      <c r="X17" s="702">
        <f>W17/W12</f>
        <v>0.45130000000000003</v>
      </c>
      <c r="Y17" s="82">
        <f>Y12*51.46%</f>
        <v>752209.91735150188</v>
      </c>
      <c r="Z17" s="702">
        <f>Y17/Y12</f>
        <v>0.51460000000000006</v>
      </c>
      <c r="AA17" s="144">
        <f>C17+E17+G17+I17+K17+M17+O17+Q17+S17+U17+W17+Y17</f>
        <v>6590823.3259804556</v>
      </c>
      <c r="AB17" s="68">
        <f>AA17/AA12</f>
        <v>0.48389559545744104</v>
      </c>
      <c r="AC17" s="128">
        <f t="shared" ref="AC17:AC20" si="17">AA17/12</f>
        <v>549235.27716503793</v>
      </c>
      <c r="AD17" s="68">
        <f>AC17/AC12</f>
        <v>0.48389559545744099</v>
      </c>
      <c r="AE17" s="658" t="s">
        <v>246</v>
      </c>
      <c r="AF17" s="393"/>
      <c r="AG17" s="393"/>
    </row>
    <row r="18" spans="1:33" s="1" customFormat="1">
      <c r="A18" s="3">
        <v>5503</v>
      </c>
      <c r="B18" s="238" t="s">
        <v>50</v>
      </c>
      <c r="C18" s="292"/>
      <c r="D18" s="102"/>
      <c r="E18" s="61"/>
      <c r="F18" s="102"/>
      <c r="G18" s="704"/>
      <c r="H18" s="102"/>
      <c r="I18" s="26"/>
      <c r="J18" s="102"/>
      <c r="K18" s="61"/>
      <c r="L18" s="102"/>
      <c r="M18" s="26"/>
      <c r="N18" s="102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17"/>
        <v>0</v>
      </c>
      <c r="AD18" s="102"/>
      <c r="AE18" s="658"/>
      <c r="AF18" s="393"/>
      <c r="AG18" s="393"/>
    </row>
    <row r="19" spans="1:33" s="1" customFormat="1">
      <c r="A19" s="187">
        <v>5504</v>
      </c>
      <c r="B19" s="758" t="s">
        <v>51</v>
      </c>
      <c r="C19" s="26"/>
      <c r="D19" s="677">
        <f>C19/C12</f>
        <v>0</v>
      </c>
      <c r="E19" s="26"/>
      <c r="F19" s="677">
        <f>E19/E12</f>
        <v>0</v>
      </c>
      <c r="G19" s="33"/>
      <c r="H19" s="677">
        <f>G19/G12</f>
        <v>0</v>
      </c>
      <c r="I19" s="26"/>
      <c r="J19" s="677">
        <f>I19/I12</f>
        <v>0</v>
      </c>
      <c r="K19" s="26"/>
      <c r="L19" s="677">
        <f>K19/K12</f>
        <v>0</v>
      </c>
      <c r="M19" s="26"/>
      <c r="N19" s="677">
        <f>M19/M12</f>
        <v>0</v>
      </c>
      <c r="O19" s="33"/>
      <c r="P19" s="677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7"/>
        <v>0</v>
      </c>
      <c r="AD19" s="68">
        <f>AC19/AC12</f>
        <v>0</v>
      </c>
      <c r="AE19" s="658"/>
      <c r="AF19" s="393"/>
      <c r="AG19" s="393"/>
    </row>
    <row r="20" spans="1:33" s="1" customFormat="1">
      <c r="A20" s="3">
        <v>5505</v>
      </c>
      <c r="B20" s="238" t="s">
        <v>52</v>
      </c>
      <c r="C20" s="292"/>
      <c r="D20" s="102"/>
      <c r="E20" s="61"/>
      <c r="F20" s="102"/>
      <c r="G20" s="704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7"/>
        <v>0</v>
      </c>
      <c r="AD20" s="102"/>
      <c r="AE20" s="658"/>
      <c r="AF20" s="393"/>
      <c r="AG20" s="393"/>
    </row>
    <row r="21" spans="1:33" s="1" customFormat="1" ht="15.75" thickBot="1">
      <c r="A21" s="8">
        <v>5599</v>
      </c>
      <c r="B21" s="245" t="s">
        <v>107</v>
      </c>
      <c r="C21" s="45">
        <f>SUM(C17:C20)</f>
        <v>562091.92885500006</v>
      </c>
      <c r="D21" s="89">
        <f>C21/C12</f>
        <v>0.54869999999999997</v>
      </c>
      <c r="E21" s="76">
        <f>SUM(E17:E20)</f>
        <v>358884.5400765292</v>
      </c>
      <c r="F21" s="89">
        <f>E21/E12</f>
        <v>0.45030000000000003</v>
      </c>
      <c r="G21" s="45">
        <f>SUM(G17:G20)</f>
        <v>704905.83376250928</v>
      </c>
      <c r="H21" s="89">
        <f>G21/G12</f>
        <v>0.53320000000000001</v>
      </c>
      <c r="I21" s="28">
        <f>SUM(I17:I20)</f>
        <v>559157.76571655972</v>
      </c>
      <c r="J21" s="89">
        <f>I21/I12</f>
        <v>0.47899999999999998</v>
      </c>
      <c r="K21" s="76">
        <f>SUM(K17:K20)</f>
        <v>425033.45021318825</v>
      </c>
      <c r="L21" s="89">
        <f>K21/K12</f>
        <v>0.39810000000000001</v>
      </c>
      <c r="M21" s="376">
        <f>SUM(M17:M20)</f>
        <v>797230.26633883407</v>
      </c>
      <c r="N21" s="89">
        <f>M21/M12</f>
        <v>0.52659999999999996</v>
      </c>
      <c r="O21" s="28">
        <f>SUM(O17:O20)</f>
        <v>457194.32715898653</v>
      </c>
      <c r="P21" s="89">
        <f>O21/O12</f>
        <v>0.47700000000000004</v>
      </c>
      <c r="Q21" s="28">
        <f>SUM(Q17:Q20)</f>
        <v>557004.42095792352</v>
      </c>
      <c r="R21" s="89">
        <f>Q21/Q12</f>
        <v>0.46799999999999992</v>
      </c>
      <c r="S21" s="28">
        <f>SUM(S17:S20)</f>
        <v>550563.83529979375</v>
      </c>
      <c r="T21" s="89">
        <f>S21/S12</f>
        <v>0.45919999999999994</v>
      </c>
      <c r="U21" s="76">
        <f>SUM(U17:U20)</f>
        <v>429863.44660222245</v>
      </c>
      <c r="V21" s="89">
        <f>U21/U12</f>
        <v>0.45200000000000001</v>
      </c>
      <c r="W21" s="52">
        <f>SUM(W17:W20)</f>
        <v>436683.59364740609</v>
      </c>
      <c r="X21" s="89">
        <f>W21/W12</f>
        <v>0.45130000000000003</v>
      </c>
      <c r="Y21" s="76">
        <f>SUM(Y17:Y20)</f>
        <v>752209.91735150188</v>
      </c>
      <c r="Z21" s="89">
        <f>Y21/Y12</f>
        <v>0.51460000000000006</v>
      </c>
      <c r="AA21" s="150">
        <f>SUM(AA17:AA20)</f>
        <v>6590823.3259804556</v>
      </c>
      <c r="AB21" s="89">
        <f>AA21/AA12</f>
        <v>0.48389559545744104</v>
      </c>
      <c r="AC21" s="135">
        <f>SUM(AC17:AC20)</f>
        <v>549235.27716503793</v>
      </c>
      <c r="AD21" s="89">
        <f>AC21/AC12</f>
        <v>0.48389559545744099</v>
      </c>
      <c r="AE21" s="662"/>
      <c r="AF21" s="562"/>
      <c r="AG21" s="562"/>
    </row>
    <row r="22" spans="1:33" s="1" customFormat="1" ht="15.75" thickTop="1">
      <c r="A22" s="187">
        <v>5601</v>
      </c>
      <c r="B22" s="3" t="s">
        <v>53</v>
      </c>
      <c r="C22" s="26"/>
      <c r="D22" s="68">
        <f>C22/C12</f>
        <v>0</v>
      </c>
      <c r="E22" s="26"/>
      <c r="F22" s="68">
        <f>E22/E12</f>
        <v>0</v>
      </c>
      <c r="G22" s="26"/>
      <c r="H22" s="68">
        <f>G22/G12</f>
        <v>0</v>
      </c>
      <c r="I22" s="26"/>
      <c r="J22" s="68">
        <f>I22/I12</f>
        <v>0</v>
      </c>
      <c r="K22" s="26"/>
      <c r="L22" s="68">
        <f>K22/K12</f>
        <v>0</v>
      </c>
      <c r="M22" s="26"/>
      <c r="N22" s="68">
        <f>M22/M12</f>
        <v>0</v>
      </c>
      <c r="O22" s="26"/>
      <c r="P22" s="68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18">C22+E22+G22+I22+K22+M22+O22+Q22+S22+U22+W22+Y22</f>
        <v>0</v>
      </c>
      <c r="AB22" s="68">
        <f>AA22/AA12</f>
        <v>0</v>
      </c>
      <c r="AC22" s="128">
        <f t="shared" ref="AC22:AC34" si="19">AA22/12</f>
        <v>0</v>
      </c>
      <c r="AD22" s="68">
        <f>AC22/AC12</f>
        <v>0</v>
      </c>
      <c r="AE22" s="658"/>
      <c r="AF22" s="393"/>
      <c r="AG22" s="393"/>
    </row>
    <row r="23" spans="1:33" s="1" customFormat="1">
      <c r="A23" s="3">
        <v>5602</v>
      </c>
      <c r="B23" s="3" t="s">
        <v>54</v>
      </c>
      <c r="C23" s="26"/>
      <c r="D23" s="68">
        <f>C23/C12</f>
        <v>0</v>
      </c>
      <c r="E23" s="26"/>
      <c r="F23" s="68">
        <f>E23/E12</f>
        <v>0</v>
      </c>
      <c r="G23" s="26"/>
      <c r="H23" s="68">
        <f>G23/G12</f>
        <v>0</v>
      </c>
      <c r="I23" s="26"/>
      <c r="J23" s="68">
        <f>I23/I12</f>
        <v>0</v>
      </c>
      <c r="K23" s="26"/>
      <c r="L23" s="68">
        <f>K23/K12</f>
        <v>0</v>
      </c>
      <c r="M23" s="26"/>
      <c r="N23" s="68">
        <f>M23/M12</f>
        <v>0</v>
      </c>
      <c r="O23" s="26"/>
      <c r="P23" s="68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18"/>
        <v>0</v>
      </c>
      <c r="AB23" s="68">
        <f>AA23/AA12</f>
        <v>0</v>
      </c>
      <c r="AC23" s="128">
        <f t="shared" si="19"/>
        <v>0</v>
      </c>
      <c r="AD23" s="68">
        <f>AC23/AC12</f>
        <v>0</v>
      </c>
      <c r="AE23" s="658"/>
      <c r="AF23" s="393"/>
      <c r="AG23" s="393"/>
    </row>
    <row r="24" spans="1:33" s="1" customFormat="1">
      <c r="A24" s="3">
        <v>5603</v>
      </c>
      <c r="B24" s="3" t="s">
        <v>55</v>
      </c>
      <c r="C24" s="26"/>
      <c r="D24" s="68">
        <f>C24/C12</f>
        <v>0</v>
      </c>
      <c r="E24" s="26"/>
      <c r="F24" s="68">
        <f>E24/E12</f>
        <v>0</v>
      </c>
      <c r="G24" s="26"/>
      <c r="H24" s="68">
        <f>G24/G12</f>
        <v>0</v>
      </c>
      <c r="I24" s="26"/>
      <c r="J24" s="68">
        <f>I24/I12</f>
        <v>0</v>
      </c>
      <c r="K24" s="26"/>
      <c r="L24" s="68">
        <f>K24/K12</f>
        <v>0</v>
      </c>
      <c r="M24" s="26"/>
      <c r="N24" s="68">
        <f>M24/M12</f>
        <v>0</v>
      </c>
      <c r="O24" s="26"/>
      <c r="P24" s="68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18"/>
        <v>0</v>
      </c>
      <c r="AB24" s="68">
        <f>AA24/AA12</f>
        <v>0</v>
      </c>
      <c r="AC24" s="128">
        <f t="shared" si="19"/>
        <v>0</v>
      </c>
      <c r="AD24" s="68">
        <f>AC24/AC12</f>
        <v>0</v>
      </c>
      <c r="AE24" s="658"/>
      <c r="AF24" s="393"/>
      <c r="AG24" s="393"/>
    </row>
    <row r="25" spans="1:33" s="1" customFormat="1">
      <c r="A25" s="187">
        <v>5604</v>
      </c>
      <c r="B25" s="187" t="s">
        <v>56</v>
      </c>
      <c r="C25" s="26">
        <v>250</v>
      </c>
      <c r="D25" s="702">
        <f>C25/C12</f>
        <v>2.4404371057138292E-4</v>
      </c>
      <c r="E25" s="26">
        <v>250</v>
      </c>
      <c r="F25" s="702">
        <f>E25/E12</f>
        <v>3.1368027158816677E-4</v>
      </c>
      <c r="G25" s="26">
        <v>250</v>
      </c>
      <c r="H25" s="702">
        <f>G25/G12</f>
        <v>1.8910327254421656E-4</v>
      </c>
      <c r="I25" s="26">
        <v>250</v>
      </c>
      <c r="J25" s="702">
        <f>I25/I12</f>
        <v>2.141613822469953E-4</v>
      </c>
      <c r="K25" s="26">
        <v>250</v>
      </c>
      <c r="L25" s="702">
        <f>K25/K12</f>
        <v>2.3415804085556152E-4</v>
      </c>
      <c r="M25" s="26">
        <v>250</v>
      </c>
      <c r="N25" s="702">
        <f>M25/M12</f>
        <v>1.6513422226753104E-4</v>
      </c>
      <c r="O25" s="26">
        <v>250</v>
      </c>
      <c r="P25" s="702">
        <f>O25/O12</f>
        <v>2.608300079771802E-4</v>
      </c>
      <c r="Q25" s="26">
        <v>250</v>
      </c>
      <c r="R25" s="702">
        <f>Q25/Q12</f>
        <v>2.1005219276138966E-4</v>
      </c>
      <c r="S25" s="26">
        <v>250</v>
      </c>
      <c r="T25" s="702">
        <f>S25/S12</f>
        <v>2.085135140369126E-4</v>
      </c>
      <c r="U25" s="26">
        <v>250</v>
      </c>
      <c r="V25" s="702">
        <f>U25/U12</f>
        <v>2.6287417758636604E-4</v>
      </c>
      <c r="W25" s="26">
        <v>250</v>
      </c>
      <c r="X25" s="702">
        <f>W25/W12</f>
        <v>2.5836784720403058E-4</v>
      </c>
      <c r="Y25" s="26">
        <v>250</v>
      </c>
      <c r="Z25" s="702">
        <f>Y25/Y12</f>
        <v>1.71029385590888E-4</v>
      </c>
      <c r="AA25" s="144">
        <f t="shared" si="18"/>
        <v>3000</v>
      </c>
      <c r="AB25" s="68">
        <f>AA25/AA12</f>
        <v>2.2025879234994805E-4</v>
      </c>
      <c r="AC25" s="128">
        <f t="shared" si="19"/>
        <v>250</v>
      </c>
      <c r="AD25" s="68">
        <f>AC25/AC12</f>
        <v>2.2025879234994803E-4</v>
      </c>
      <c r="AE25" s="658" t="s">
        <v>247</v>
      </c>
      <c r="AF25" s="393" t="s">
        <v>248</v>
      </c>
      <c r="AG25" s="393"/>
    </row>
    <row r="26" spans="1:33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8"/>
        <v>0</v>
      </c>
      <c r="AB26" s="68">
        <f>AA26/AA12</f>
        <v>0</v>
      </c>
      <c r="AC26" s="128">
        <f t="shared" si="19"/>
        <v>0</v>
      </c>
      <c r="AD26" s="68">
        <f>AC26/AC12</f>
        <v>0</v>
      </c>
      <c r="AE26" s="658"/>
      <c r="AF26" s="393"/>
      <c r="AG26" s="393"/>
    </row>
    <row r="27" spans="1:33" s="1" customFormat="1">
      <c r="A27" s="187">
        <v>5606</v>
      </c>
      <c r="B27" s="187" t="s">
        <v>77</v>
      </c>
      <c r="C27" s="26">
        <f>C16*0.3%</f>
        <v>3073.2199500000006</v>
      </c>
      <c r="D27" s="702">
        <f>C27/C12</f>
        <v>3.0000000000000001E-3</v>
      </c>
      <c r="E27" s="26">
        <f>E16*0.3%</f>
        <v>2390.9696207630191</v>
      </c>
      <c r="F27" s="702">
        <f>E27/E12</f>
        <v>2.9999999999999996E-3</v>
      </c>
      <c r="G27" s="26">
        <f>G16*0.3%</f>
        <v>3966.0868366232703</v>
      </c>
      <c r="H27" s="702">
        <f>G27/G12</f>
        <v>3.0000000000000001E-3</v>
      </c>
      <c r="I27" s="26">
        <f>I16*0.3%</f>
        <v>3502.0319355943202</v>
      </c>
      <c r="J27" s="702">
        <f>I27/I12</f>
        <v>3.0000000000000001E-3</v>
      </c>
      <c r="K27" s="26">
        <f>K16*0.3%</f>
        <v>3202.9649601596702</v>
      </c>
      <c r="L27" s="702">
        <f>K27/K12</f>
        <v>3.0000000000000001E-3</v>
      </c>
      <c r="M27" s="26">
        <f>M16*0.3%</f>
        <v>4541.7599677487706</v>
      </c>
      <c r="N27" s="702">
        <f>M27/M12</f>
        <v>3.0000000000000001E-3</v>
      </c>
      <c r="O27" s="26">
        <f>O16*0.3%</f>
        <v>2875.4360198678396</v>
      </c>
      <c r="P27" s="702">
        <f>O27/O12</f>
        <v>2.9999999999999996E-3</v>
      </c>
      <c r="Q27" s="26">
        <f>Q16*0.3%</f>
        <v>3570.5411599866898</v>
      </c>
      <c r="R27" s="702">
        <f>Q27/Q12</f>
        <v>3.0000000000000001E-3</v>
      </c>
      <c r="S27" s="26">
        <f>S16*0.3%</f>
        <v>3596.8891678993496</v>
      </c>
      <c r="T27" s="702">
        <f>S27/S12</f>
        <v>3.0000000000000001E-3</v>
      </c>
      <c r="U27" s="26">
        <f>U16*0.3%</f>
        <v>2853.0759730236005</v>
      </c>
      <c r="V27" s="702">
        <f>U27/U12</f>
        <v>3.0000000000000005E-3</v>
      </c>
      <c r="W27" s="26">
        <f>W16*0.3%</f>
        <v>2902.8379812590701</v>
      </c>
      <c r="X27" s="702">
        <f>W27/W12</f>
        <v>3.0000000000000005E-3</v>
      </c>
      <c r="Y27" s="26">
        <f>Y16*0.3%</f>
        <v>4385.2113331801502</v>
      </c>
      <c r="Z27" s="702">
        <f>Y27/Y12</f>
        <v>3.0000000000000001E-3</v>
      </c>
      <c r="AA27" s="144">
        <f t="shared" si="18"/>
        <v>40861.024906105755</v>
      </c>
      <c r="AB27" s="702">
        <f>AA27/AA12</f>
        <v>3.0000000000000009E-3</v>
      </c>
      <c r="AC27" s="128">
        <f t="shared" si="19"/>
        <v>3405.0854088421461</v>
      </c>
      <c r="AD27" s="702">
        <f>AC27/AC12</f>
        <v>3.0000000000000005E-3</v>
      </c>
      <c r="AE27" s="645"/>
      <c r="AF27" s="226"/>
      <c r="AG27" s="226"/>
    </row>
    <row r="28" spans="1:33" s="1" customFormat="1">
      <c r="A28" s="3">
        <v>5607</v>
      </c>
      <c r="B28" s="238" t="s">
        <v>57</v>
      </c>
      <c r="C28" s="26"/>
      <c r="D28" s="68">
        <f>C28/C12</f>
        <v>0</v>
      </c>
      <c r="E28" s="26"/>
      <c r="F28" s="68">
        <f>E28/E12</f>
        <v>0</v>
      </c>
      <c r="G28" s="26"/>
      <c r="H28" s="68">
        <f>G28/G12</f>
        <v>0</v>
      </c>
      <c r="I28" s="26"/>
      <c r="J28" s="68">
        <f>I28/I12</f>
        <v>0</v>
      </c>
      <c r="K28" s="26"/>
      <c r="L28" s="68">
        <f>K28/K12</f>
        <v>0</v>
      </c>
      <c r="M28" s="26"/>
      <c r="N28" s="68">
        <f>M28/M12</f>
        <v>0</v>
      </c>
      <c r="O28" s="26"/>
      <c r="P28" s="68">
        <f>O28/O12</f>
        <v>0</v>
      </c>
      <c r="Q28" s="26"/>
      <c r="R28" s="68">
        <f>Q28/Q12</f>
        <v>0</v>
      </c>
      <c r="S28" s="26"/>
      <c r="T28" s="68">
        <f>S28/S12</f>
        <v>0</v>
      </c>
      <c r="U28" s="26"/>
      <c r="V28" s="68">
        <f>U28/U12</f>
        <v>0</v>
      </c>
      <c r="W28" s="26"/>
      <c r="X28" s="68">
        <f>W28/W12</f>
        <v>0</v>
      </c>
      <c r="Y28" s="26"/>
      <c r="Z28" s="68">
        <f>Y28/Y12</f>
        <v>0</v>
      </c>
      <c r="AA28" s="144">
        <f t="shared" si="18"/>
        <v>0</v>
      </c>
      <c r="AB28" s="68">
        <f>AA28/AA12</f>
        <v>0</v>
      </c>
      <c r="AC28" s="128">
        <f t="shared" si="19"/>
        <v>0</v>
      </c>
      <c r="AD28" s="68">
        <f>AC28/AC12</f>
        <v>0</v>
      </c>
      <c r="AE28" s="658"/>
      <c r="AF28" s="393"/>
      <c r="AG28" s="393"/>
    </row>
    <row r="29" spans="1:33" s="1" customFormat="1">
      <c r="A29" s="3">
        <v>5608</v>
      </c>
      <c r="B29" s="238" t="s">
        <v>58</v>
      </c>
      <c r="C29" s="26"/>
      <c r="D29" s="68">
        <f>C29/C12</f>
        <v>0</v>
      </c>
      <c r="E29" s="26"/>
      <c r="F29" s="68">
        <f>E29/E12</f>
        <v>0</v>
      </c>
      <c r="G29" s="26"/>
      <c r="H29" s="68">
        <f>G29/G12</f>
        <v>0</v>
      </c>
      <c r="I29" s="26"/>
      <c r="J29" s="68">
        <f>I29/I12</f>
        <v>0</v>
      </c>
      <c r="K29" s="26"/>
      <c r="L29" s="68">
        <f>K29/K12</f>
        <v>0</v>
      </c>
      <c r="M29" s="26"/>
      <c r="N29" s="68">
        <f>M29/M12</f>
        <v>0</v>
      </c>
      <c r="O29" s="26"/>
      <c r="P29" s="68">
        <f>O29/O12</f>
        <v>0</v>
      </c>
      <c r="Q29" s="26"/>
      <c r="R29" s="68">
        <f>Q29/Q12</f>
        <v>0</v>
      </c>
      <c r="S29" s="26"/>
      <c r="T29" s="68">
        <f>S29/S12</f>
        <v>0</v>
      </c>
      <c r="U29" s="26"/>
      <c r="V29" s="68">
        <f>U29/U12</f>
        <v>0</v>
      </c>
      <c r="W29" s="26"/>
      <c r="X29" s="68">
        <f>W29/W12</f>
        <v>0</v>
      </c>
      <c r="Y29" s="26"/>
      <c r="Z29" s="68">
        <f>Y29/Y12</f>
        <v>0</v>
      </c>
      <c r="AA29" s="144">
        <f t="shared" si="18"/>
        <v>0</v>
      </c>
      <c r="AB29" s="68">
        <f>AA29/AA12</f>
        <v>0</v>
      </c>
      <c r="AC29" s="128">
        <f t="shared" si="19"/>
        <v>0</v>
      </c>
      <c r="AD29" s="68">
        <f>AC29/AC12</f>
        <v>0</v>
      </c>
      <c r="AE29" s="658"/>
      <c r="AF29" s="393"/>
      <c r="AG29" s="393"/>
    </row>
    <row r="30" spans="1:33" s="1" customFormat="1">
      <c r="A30" s="3">
        <v>5609</v>
      </c>
      <c r="B30" s="238" t="s">
        <v>59</v>
      </c>
      <c r="C30" s="26"/>
      <c r="D30" s="68">
        <f>C30/C12</f>
        <v>0</v>
      </c>
      <c r="E30" s="26"/>
      <c r="F30" s="68">
        <f>E30/E12</f>
        <v>0</v>
      </c>
      <c r="G30" s="26"/>
      <c r="H30" s="68">
        <f>G30/G12</f>
        <v>0</v>
      </c>
      <c r="I30" s="26"/>
      <c r="J30" s="68">
        <f>I30/I12</f>
        <v>0</v>
      </c>
      <c r="K30" s="26"/>
      <c r="L30" s="68">
        <f>K30/K12</f>
        <v>0</v>
      </c>
      <c r="M30" s="26"/>
      <c r="N30" s="68">
        <f>M30/M12</f>
        <v>0</v>
      </c>
      <c r="O30" s="26"/>
      <c r="P30" s="68">
        <f>O30/O12</f>
        <v>0</v>
      </c>
      <c r="Q30" s="26"/>
      <c r="R30" s="68">
        <f>Q30/Q12</f>
        <v>0</v>
      </c>
      <c r="S30" s="26"/>
      <c r="T30" s="68">
        <f>S30/S12</f>
        <v>0</v>
      </c>
      <c r="U30" s="26"/>
      <c r="V30" s="68">
        <f>U30/U12</f>
        <v>0</v>
      </c>
      <c r="W30" s="26"/>
      <c r="X30" s="68">
        <f>W30/W12</f>
        <v>0</v>
      </c>
      <c r="Y30" s="26"/>
      <c r="Z30" s="68">
        <f>Y30/Y12</f>
        <v>0</v>
      </c>
      <c r="AA30" s="144">
        <f t="shared" si="18"/>
        <v>0</v>
      </c>
      <c r="AB30" s="68">
        <f>AA30/AA12</f>
        <v>0</v>
      </c>
      <c r="AC30" s="128">
        <f t="shared" si="19"/>
        <v>0</v>
      </c>
      <c r="AD30" s="68">
        <f>AC30/AC12</f>
        <v>0</v>
      </c>
      <c r="AE30" s="658"/>
      <c r="AF30" s="393"/>
      <c r="AG30" s="393"/>
    </row>
    <row r="31" spans="1:33" s="1" customFormat="1">
      <c r="A31" s="3">
        <v>5610</v>
      </c>
      <c r="B31" s="238" t="s">
        <v>60</v>
      </c>
      <c r="C31" s="26"/>
      <c r="D31" s="68">
        <f>C31/C12</f>
        <v>0</v>
      </c>
      <c r="E31" s="26"/>
      <c r="F31" s="68">
        <f>E31/E12</f>
        <v>0</v>
      </c>
      <c r="G31" s="26"/>
      <c r="H31" s="68">
        <f>G31/G12</f>
        <v>0</v>
      </c>
      <c r="I31" s="26"/>
      <c r="J31" s="68">
        <f>I31/I12</f>
        <v>0</v>
      </c>
      <c r="K31" s="26"/>
      <c r="L31" s="68">
        <f>K31/K12</f>
        <v>0</v>
      </c>
      <c r="M31" s="26"/>
      <c r="N31" s="68">
        <f>M31/M12</f>
        <v>0</v>
      </c>
      <c r="O31" s="26"/>
      <c r="P31" s="68">
        <f>O31/O12</f>
        <v>0</v>
      </c>
      <c r="Q31" s="26"/>
      <c r="R31" s="68">
        <f>Q31/Q12</f>
        <v>0</v>
      </c>
      <c r="S31" s="26"/>
      <c r="T31" s="68">
        <f>S31/S12</f>
        <v>0</v>
      </c>
      <c r="U31" s="26"/>
      <c r="V31" s="68">
        <f>U31/U12</f>
        <v>0</v>
      </c>
      <c r="W31" s="26"/>
      <c r="X31" s="68">
        <f>W31/W12</f>
        <v>0</v>
      </c>
      <c r="Y31" s="26"/>
      <c r="Z31" s="68">
        <f>Y31/Y12</f>
        <v>0</v>
      </c>
      <c r="AA31" s="144">
        <f t="shared" si="18"/>
        <v>0</v>
      </c>
      <c r="AB31" s="68">
        <f>AA31/AA12</f>
        <v>0</v>
      </c>
      <c r="AC31" s="128">
        <f t="shared" si="19"/>
        <v>0</v>
      </c>
      <c r="AD31" s="68">
        <f>AC31/AC12</f>
        <v>0</v>
      </c>
      <c r="AE31" s="658"/>
      <c r="AF31" s="393"/>
      <c r="AG31" s="393"/>
    </row>
    <row r="32" spans="1:33" s="1" customFormat="1">
      <c r="A32" s="3">
        <v>5611</v>
      </c>
      <c r="B32" s="238" t="s">
        <v>108</v>
      </c>
      <c r="C32" s="26"/>
      <c r="D32" s="68">
        <f>C32/C12</f>
        <v>0</v>
      </c>
      <c r="E32" s="26"/>
      <c r="F32" s="68">
        <f>E32/E12</f>
        <v>0</v>
      </c>
      <c r="G32" s="26"/>
      <c r="H32" s="68">
        <f>G32/G12</f>
        <v>0</v>
      </c>
      <c r="I32" s="26"/>
      <c r="J32" s="68">
        <f>I32/I12</f>
        <v>0</v>
      </c>
      <c r="K32" s="26"/>
      <c r="L32" s="68">
        <f>K32/K12</f>
        <v>0</v>
      </c>
      <c r="M32" s="26"/>
      <c r="N32" s="68">
        <f>M32/M12</f>
        <v>0</v>
      </c>
      <c r="O32" s="26"/>
      <c r="P32" s="68">
        <f>O32/O12</f>
        <v>0</v>
      </c>
      <c r="Q32" s="26"/>
      <c r="R32" s="68">
        <f>Q32/Q12</f>
        <v>0</v>
      </c>
      <c r="S32" s="26"/>
      <c r="T32" s="68">
        <f>S32/S12</f>
        <v>0</v>
      </c>
      <c r="U32" s="26"/>
      <c r="V32" s="68">
        <f>U32/U12</f>
        <v>0</v>
      </c>
      <c r="W32" s="26"/>
      <c r="X32" s="68">
        <f>W32/W12</f>
        <v>0</v>
      </c>
      <c r="Y32" s="26"/>
      <c r="Z32" s="68">
        <f>Y32/Y12</f>
        <v>0</v>
      </c>
      <c r="AA32" s="144">
        <f t="shared" si="18"/>
        <v>0</v>
      </c>
      <c r="AB32" s="68">
        <f>AA32/AA12</f>
        <v>0</v>
      </c>
      <c r="AC32" s="128">
        <f t="shared" si="19"/>
        <v>0</v>
      </c>
      <c r="AD32" s="68">
        <f>AC32/AC12</f>
        <v>0</v>
      </c>
      <c r="AE32" s="658"/>
      <c r="AF32" s="393"/>
      <c r="AG32" s="393"/>
    </row>
    <row r="33" spans="1:36" s="1" customFormat="1">
      <c r="A33" s="3">
        <v>5612</v>
      </c>
      <c r="B33" s="238" t="s">
        <v>61</v>
      </c>
      <c r="C33" s="26"/>
      <c r="D33" s="68">
        <f>C33/C12</f>
        <v>0</v>
      </c>
      <c r="E33" s="26"/>
      <c r="F33" s="68">
        <f>E33/E12</f>
        <v>0</v>
      </c>
      <c r="G33" s="26"/>
      <c r="H33" s="68">
        <f>G33/G12</f>
        <v>0</v>
      </c>
      <c r="I33" s="26"/>
      <c r="J33" s="68">
        <f>I33/I12</f>
        <v>0</v>
      </c>
      <c r="K33" s="26"/>
      <c r="L33" s="68">
        <f>K33/K12</f>
        <v>0</v>
      </c>
      <c r="M33" s="26"/>
      <c r="N33" s="68">
        <f>M33/M12</f>
        <v>0</v>
      </c>
      <c r="O33" s="26"/>
      <c r="P33" s="68">
        <f>O33/O12</f>
        <v>0</v>
      </c>
      <c r="Q33" s="26"/>
      <c r="R33" s="68">
        <f>Q33/Q12</f>
        <v>0</v>
      </c>
      <c r="S33" s="26"/>
      <c r="T33" s="68">
        <f>S33/S12</f>
        <v>0</v>
      </c>
      <c r="U33" s="26"/>
      <c r="V33" s="68">
        <f>U33/U12</f>
        <v>0</v>
      </c>
      <c r="W33" s="26"/>
      <c r="X33" s="68">
        <f>W33/W12</f>
        <v>0</v>
      </c>
      <c r="Y33" s="26"/>
      <c r="Z33" s="68">
        <f>Y33/Y12</f>
        <v>0</v>
      </c>
      <c r="AA33" s="144">
        <f t="shared" si="18"/>
        <v>0</v>
      </c>
      <c r="AB33" s="68">
        <f>AA33/AA12</f>
        <v>0</v>
      </c>
      <c r="AC33" s="128">
        <f t="shared" si="19"/>
        <v>0</v>
      </c>
      <c r="AD33" s="68">
        <f>AC33/AC12</f>
        <v>0</v>
      </c>
      <c r="AE33" s="658"/>
      <c r="AF33" s="393"/>
      <c r="AG33" s="393"/>
    </row>
    <row r="34" spans="1:36" s="1" customFormat="1">
      <c r="A34" s="3">
        <v>5613</v>
      </c>
      <c r="B34" s="238" t="s">
        <v>62</v>
      </c>
      <c r="C34" s="26"/>
      <c r="D34" s="68">
        <f>C34/C12</f>
        <v>0</v>
      </c>
      <c r="E34" s="26"/>
      <c r="F34" s="68">
        <f>E34/E12</f>
        <v>0</v>
      </c>
      <c r="G34" s="26"/>
      <c r="H34" s="68">
        <f>G34/G12</f>
        <v>0</v>
      </c>
      <c r="I34" s="26"/>
      <c r="J34" s="68">
        <f>I34/I12</f>
        <v>0</v>
      </c>
      <c r="K34" s="26"/>
      <c r="L34" s="68">
        <f>K34/K12</f>
        <v>0</v>
      </c>
      <c r="M34" s="26"/>
      <c r="N34" s="68">
        <f>M34/M12</f>
        <v>0</v>
      </c>
      <c r="O34" s="26"/>
      <c r="P34" s="68">
        <f>O34/O12</f>
        <v>0</v>
      </c>
      <c r="Q34" s="26"/>
      <c r="R34" s="68">
        <f>Q34/Q12</f>
        <v>0</v>
      </c>
      <c r="S34" s="26"/>
      <c r="T34" s="68">
        <f>S34/S12</f>
        <v>0</v>
      </c>
      <c r="U34" s="26"/>
      <c r="V34" s="68">
        <f>U34/U12</f>
        <v>0</v>
      </c>
      <c r="W34" s="26"/>
      <c r="X34" s="68">
        <f>W34/W12</f>
        <v>0</v>
      </c>
      <c r="Y34" s="26"/>
      <c r="Z34" s="68">
        <f>Y34/Y12</f>
        <v>0</v>
      </c>
      <c r="AA34" s="144">
        <f t="shared" si="18"/>
        <v>0</v>
      </c>
      <c r="AB34" s="68">
        <f>AA34/AA12</f>
        <v>0</v>
      </c>
      <c r="AC34" s="128">
        <f t="shared" si="19"/>
        <v>0</v>
      </c>
      <c r="AD34" s="68">
        <f>AC34/AC12</f>
        <v>0</v>
      </c>
      <c r="AE34" s="658"/>
      <c r="AF34" s="393"/>
      <c r="AG34" s="393"/>
    </row>
    <row r="35" spans="1:36" s="1" customFormat="1">
      <c r="A35" s="9">
        <v>5699</v>
      </c>
      <c r="B35" s="239" t="s">
        <v>109</v>
      </c>
      <c r="C35" s="47">
        <f>SUM(C22:C34)</f>
        <v>3323.2199500000006</v>
      </c>
      <c r="D35" s="87">
        <f>C35/C12</f>
        <v>3.2440437105713833E-3</v>
      </c>
      <c r="E35" s="79">
        <f>SUM(E22:E34)</f>
        <v>2640.9696207630191</v>
      </c>
      <c r="F35" s="87">
        <f>E35/E12</f>
        <v>3.3136802715881667E-3</v>
      </c>
      <c r="G35" s="47">
        <f>SUM(G22:G34)</f>
        <v>4216.0868366232698</v>
      </c>
      <c r="H35" s="87">
        <f>G35/G12</f>
        <v>3.1891032725442164E-3</v>
      </c>
      <c r="I35" s="29">
        <f>SUM(I22:I34)</f>
        <v>3752.0319355943202</v>
      </c>
      <c r="J35" s="87">
        <f>I35/I12</f>
        <v>3.2141613822469954E-3</v>
      </c>
      <c r="K35" s="79">
        <f>SUM(K22:K34)</f>
        <v>3452.9649601596702</v>
      </c>
      <c r="L35" s="87">
        <f>K35/K12</f>
        <v>3.2341580408555616E-3</v>
      </c>
      <c r="M35" s="29">
        <f>SUM(M22:M34)</f>
        <v>4791.7599677487706</v>
      </c>
      <c r="N35" s="87">
        <f>M35/M12</f>
        <v>3.1651342222675312E-3</v>
      </c>
      <c r="O35" s="29">
        <f>SUM(O22:O34)</f>
        <v>3125.4360198678396</v>
      </c>
      <c r="P35" s="87">
        <f>O35/O12</f>
        <v>3.2608300079771803E-3</v>
      </c>
      <c r="Q35" s="29">
        <f>SUM(Q22:Q34)</f>
        <v>3820.5411599866898</v>
      </c>
      <c r="R35" s="87">
        <f>Q35/Q12</f>
        <v>3.2100521927613899E-3</v>
      </c>
      <c r="S35" s="29">
        <f>SUM(S22:S34)</f>
        <v>3846.8891678993496</v>
      </c>
      <c r="T35" s="87">
        <f>S35/S12</f>
        <v>3.2085135140369125E-3</v>
      </c>
      <c r="U35" s="79">
        <f>SUM(U22:U34)</f>
        <v>3103.0759730236005</v>
      </c>
      <c r="V35" s="87">
        <f>U35/U12</f>
        <v>3.2628741775863664E-3</v>
      </c>
      <c r="W35" s="58">
        <f>SUM(W22:W34)</f>
        <v>3152.8379812590701</v>
      </c>
      <c r="X35" s="87">
        <f>W35/W12</f>
        <v>3.2583678472040307E-3</v>
      </c>
      <c r="Y35" s="79">
        <f>SUM(Y22:Y34)</f>
        <v>4635.2113331801502</v>
      </c>
      <c r="Z35" s="87">
        <f>Y35/Y12</f>
        <v>3.1710293855908879E-3</v>
      </c>
      <c r="AA35" s="165">
        <f>SUM(AA22:AA34)</f>
        <v>43861.024906105755</v>
      </c>
      <c r="AB35" s="87">
        <f>AA35/AA12</f>
        <v>3.2202587923499493E-3</v>
      </c>
      <c r="AC35" s="173">
        <f>SUM(AC22:AC34)</f>
        <v>3655.0854088421461</v>
      </c>
      <c r="AD35" s="87">
        <f>AC35/AC12</f>
        <v>3.2202587923499484E-3</v>
      </c>
      <c r="AE35" s="663"/>
      <c r="AF35" s="563"/>
      <c r="AG35" s="563"/>
    </row>
    <row r="36" spans="1:36" s="1" customFormat="1">
      <c r="A36" s="9">
        <v>5999</v>
      </c>
      <c r="B36" s="239" t="s">
        <v>110</v>
      </c>
      <c r="C36" s="47">
        <f>C21+C35</f>
        <v>565415.14880500012</v>
      </c>
      <c r="D36" s="87">
        <f>C36/C12</f>
        <v>0.55194404371057137</v>
      </c>
      <c r="E36" s="79">
        <f>E21+E35</f>
        <v>361525.50969729223</v>
      </c>
      <c r="F36" s="87">
        <f>E36/E12</f>
        <v>0.45361368027158822</v>
      </c>
      <c r="G36" s="47">
        <f>G21+G35</f>
        <v>709121.92059913254</v>
      </c>
      <c r="H36" s="87">
        <f>G36/G12</f>
        <v>0.53638910327254419</v>
      </c>
      <c r="I36" s="29">
        <f>I21+I35</f>
        <v>562909.797652154</v>
      </c>
      <c r="J36" s="87">
        <f>I36/I12</f>
        <v>0.48221416138224693</v>
      </c>
      <c r="K36" s="79">
        <f>K21+K35</f>
        <v>428486.41517334792</v>
      </c>
      <c r="L36" s="87">
        <f>K36/K12</f>
        <v>0.40133415804085559</v>
      </c>
      <c r="M36" s="378">
        <f>M21+M35</f>
        <v>802022.02630658285</v>
      </c>
      <c r="N36" s="87">
        <f>M36/M12</f>
        <v>0.52976513422226745</v>
      </c>
      <c r="O36" s="29">
        <f>O21+O35</f>
        <v>460319.76317885437</v>
      </c>
      <c r="P36" s="87">
        <f>O36/O12</f>
        <v>0.4802608300079772</v>
      </c>
      <c r="Q36" s="29">
        <f>Q21+Q35</f>
        <v>560824.96211791015</v>
      </c>
      <c r="R36" s="87">
        <f>Q36/Q12</f>
        <v>0.4712100521927613</v>
      </c>
      <c r="S36" s="29">
        <f>S21+S35</f>
        <v>554410.72446769313</v>
      </c>
      <c r="T36" s="87">
        <f>S36/S12</f>
        <v>0.46240851351403689</v>
      </c>
      <c r="U36" s="79">
        <f>U21+U35</f>
        <v>432966.52257524605</v>
      </c>
      <c r="V36" s="87">
        <f>U36/U12</f>
        <v>0.45526287417758637</v>
      </c>
      <c r="W36" s="58">
        <f>W21+W35</f>
        <v>439836.43162866513</v>
      </c>
      <c r="X36" s="87">
        <f>W36/W12</f>
        <v>0.45455836784720399</v>
      </c>
      <c r="Y36" s="79">
        <f>Y21+Y35</f>
        <v>756845.12868468207</v>
      </c>
      <c r="Z36" s="87">
        <f>Y36/Y12</f>
        <v>0.51777102938559094</v>
      </c>
      <c r="AA36" s="165">
        <f>AA21+AA35</f>
        <v>6634684.350886561</v>
      </c>
      <c r="AB36" s="87">
        <f>AA36/AA12</f>
        <v>0.48711585424979098</v>
      </c>
      <c r="AC36" s="173">
        <f>AC21+AC35</f>
        <v>552890.36257388012</v>
      </c>
      <c r="AD36" s="87">
        <f>AC36/AC12</f>
        <v>0.48711585424979092</v>
      </c>
      <c r="AE36" s="663"/>
      <c r="AF36" s="563"/>
      <c r="AG36" s="563"/>
    </row>
    <row r="37" spans="1:36" s="1" customFormat="1" ht="15.75" thickBot="1">
      <c r="A37" s="10"/>
      <c r="B37" s="240" t="s">
        <v>68</v>
      </c>
      <c r="C37" s="46">
        <f>(C16-C36)</f>
        <v>458991.50119500002</v>
      </c>
      <c r="D37" s="88">
        <f>C37/C12</f>
        <v>0.44805595628942857</v>
      </c>
      <c r="E37" s="80">
        <f>(E16-E36)</f>
        <v>435464.36389038083</v>
      </c>
      <c r="F37" s="88">
        <f>E37/E12</f>
        <v>0.54638631972841178</v>
      </c>
      <c r="G37" s="46">
        <f>(G16-G36)</f>
        <v>612907.02494195756</v>
      </c>
      <c r="H37" s="88">
        <f>G37/G12</f>
        <v>0.46361089672745576</v>
      </c>
      <c r="I37" s="30">
        <f>(I16-I36)</f>
        <v>604434.18087928602</v>
      </c>
      <c r="J37" s="88">
        <f>I37/I12</f>
        <v>0.51778583861775307</v>
      </c>
      <c r="K37" s="80">
        <f>(K16-K36)</f>
        <v>639168.57154654211</v>
      </c>
      <c r="L37" s="88">
        <f>K37/K12</f>
        <v>0.59866584195914441</v>
      </c>
      <c r="M37" s="30">
        <f>(M16-M36)</f>
        <v>711897.96294300724</v>
      </c>
      <c r="N37" s="88">
        <f>M37/M12</f>
        <v>0.47023486577773249</v>
      </c>
      <c r="O37" s="30">
        <f>(O16-O36)</f>
        <v>498158.91011042555</v>
      </c>
      <c r="P37" s="88">
        <f>O37/O12</f>
        <v>0.51973916999202285</v>
      </c>
      <c r="Q37" s="30">
        <f>(Q16-Q36)</f>
        <v>629355.42454431974</v>
      </c>
      <c r="R37" s="88">
        <f>Q37/Q12</f>
        <v>0.52878994780723876</v>
      </c>
      <c r="S37" s="30">
        <f>(S16-S36)</f>
        <v>644552.33149875677</v>
      </c>
      <c r="T37" s="88">
        <f>S37/S12</f>
        <v>0.53759148648596311</v>
      </c>
      <c r="U37" s="80">
        <f>(U16-U36)</f>
        <v>518058.80176595401</v>
      </c>
      <c r="V37" s="88">
        <f>U37/U12</f>
        <v>0.54473712582241363</v>
      </c>
      <c r="W37" s="59">
        <f>(W16-W36)</f>
        <v>527776.22879102477</v>
      </c>
      <c r="X37" s="88">
        <f>W37/W12</f>
        <v>0.54544163215279595</v>
      </c>
      <c r="Y37" s="80">
        <f>(Y16-Y36)</f>
        <v>704891.98237536801</v>
      </c>
      <c r="Z37" s="88">
        <f>Y37/Y12</f>
        <v>0.482228970614409</v>
      </c>
      <c r="AA37" s="150">
        <f>(AA16-AA36)</f>
        <v>6985657.284482019</v>
      </c>
      <c r="AB37" s="88">
        <f>AA37/AA12</f>
        <v>0.51288414575020902</v>
      </c>
      <c r="AC37" s="135">
        <f>(AC16-AC36)</f>
        <v>582138.10704016837</v>
      </c>
      <c r="AD37" s="88">
        <f>AC37/AC12</f>
        <v>0.51288414575020902</v>
      </c>
      <c r="AE37" s="664"/>
      <c r="AF37" s="564"/>
      <c r="AG37" s="564"/>
    </row>
    <row r="38" spans="1:36" s="1" customFormat="1" ht="15.75" thickTop="1">
      <c r="A38" s="2">
        <v>6002</v>
      </c>
      <c r="B38" s="228" t="s">
        <v>45</v>
      </c>
      <c r="C38" s="292"/>
      <c r="D38" s="68">
        <f>C38/C12</f>
        <v>0</v>
      </c>
      <c r="E38" s="61"/>
      <c r="F38" s="68">
        <f>E38/E12</f>
        <v>0</v>
      </c>
      <c r="G38" s="704"/>
      <c r="H38" s="68">
        <f>G38/G12</f>
        <v>0</v>
      </c>
      <c r="I38" s="26"/>
      <c r="J38" s="68">
        <f>I38/I12</f>
        <v>0</v>
      </c>
      <c r="K38" s="61"/>
      <c r="L38" s="68">
        <f>K38/K12</f>
        <v>0</v>
      </c>
      <c r="M38" s="26"/>
      <c r="N38" s="68">
        <f>M38/M12</f>
        <v>0</v>
      </c>
      <c r="O38" s="26"/>
      <c r="P38" s="68">
        <f>O38/O12</f>
        <v>0</v>
      </c>
      <c r="Q38" s="26"/>
      <c r="R38" s="68">
        <f>Q38/Q12</f>
        <v>0</v>
      </c>
      <c r="S38" s="26"/>
      <c r="T38" s="68">
        <f>S38/S12</f>
        <v>0</v>
      </c>
      <c r="U38" s="61"/>
      <c r="V38" s="68">
        <f>U38/U12</f>
        <v>0</v>
      </c>
      <c r="W38" s="51"/>
      <c r="X38" s="68">
        <f>W38/W12</f>
        <v>0</v>
      </c>
      <c r="Y38" s="61"/>
      <c r="Z38" s="68">
        <f>Y38/Y12</f>
        <v>0</v>
      </c>
      <c r="AA38" s="144">
        <f>C38+E38+G38+I38+K38+M38+O38+Q38+S38+U38+W38+Y38</f>
        <v>0</v>
      </c>
      <c r="AB38" s="68">
        <f>AA38/AA12</f>
        <v>0</v>
      </c>
      <c r="AC38" s="128">
        <f t="shared" ref="AC38:AC40" si="20">AA38/12</f>
        <v>0</v>
      </c>
      <c r="AD38" s="68">
        <f>AC38/AC12</f>
        <v>0</v>
      </c>
      <c r="AE38" s="658"/>
      <c r="AF38" s="393"/>
      <c r="AG38" s="393"/>
    </row>
    <row r="39" spans="1:36" s="1" customFormat="1">
      <c r="A39" s="2">
        <v>6003</v>
      </c>
      <c r="B39" s="2" t="s">
        <v>0</v>
      </c>
      <c r="C39" s="26"/>
      <c r="D39" s="68">
        <f>C39/C12</f>
        <v>0</v>
      </c>
      <c r="E39" s="26"/>
      <c r="F39" s="68">
        <f>E39/E12</f>
        <v>0</v>
      </c>
      <c r="G39" s="26">
        <v>0</v>
      </c>
      <c r="H39" s="68">
        <f>G39/G12</f>
        <v>0</v>
      </c>
      <c r="I39" s="26"/>
      <c r="J39" s="68">
        <f>I39/I12</f>
        <v>0</v>
      </c>
      <c r="K39" s="26">
        <v>0</v>
      </c>
      <c r="L39" s="68">
        <f>K39/K12</f>
        <v>0</v>
      </c>
      <c r="M39" s="26"/>
      <c r="N39" s="68">
        <f>M39/M12</f>
        <v>0</v>
      </c>
      <c r="O39" s="26"/>
      <c r="P39" s="68">
        <f>O39/O12</f>
        <v>0</v>
      </c>
      <c r="Q39" s="26"/>
      <c r="R39" s="68">
        <f>Q39/Q12</f>
        <v>0</v>
      </c>
      <c r="S39" s="26">
        <v>0</v>
      </c>
      <c r="T39" s="68">
        <f>S39/S12</f>
        <v>0</v>
      </c>
      <c r="U39" s="26"/>
      <c r="V39" s="68">
        <f>U39/U12</f>
        <v>0</v>
      </c>
      <c r="W39" s="26"/>
      <c r="X39" s="68">
        <f>W39/W12</f>
        <v>0</v>
      </c>
      <c r="Y39" s="26"/>
      <c r="Z39" s="68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si="20"/>
        <v>0</v>
      </c>
      <c r="AD39" s="68">
        <f>AC39/AC12</f>
        <v>0</v>
      </c>
      <c r="AE39" s="658"/>
      <c r="AF39" s="393"/>
      <c r="AG39" s="393"/>
    </row>
    <row r="40" spans="1:36" s="1" customFormat="1">
      <c r="A40" s="2">
        <v>6004</v>
      </c>
      <c r="B40" s="228" t="s">
        <v>1</v>
      </c>
      <c r="C40" s="292"/>
      <c r="D40" s="68">
        <f>C40/C12</f>
        <v>0</v>
      </c>
      <c r="E40" s="61"/>
      <c r="F40" s="68">
        <f>E40/E12</f>
        <v>0</v>
      </c>
      <c r="G40" s="704"/>
      <c r="H40" s="68">
        <f>G40/G12</f>
        <v>0</v>
      </c>
      <c r="I40" s="26"/>
      <c r="J40" s="68">
        <f>I40/I12</f>
        <v>0</v>
      </c>
      <c r="K40" s="61"/>
      <c r="L40" s="68">
        <f>K40/K12</f>
        <v>0</v>
      </c>
      <c r="M40" s="26"/>
      <c r="N40" s="68">
        <f>M40/M12</f>
        <v>0</v>
      </c>
      <c r="O40" s="26"/>
      <c r="P40" s="68">
        <f>O40/O12</f>
        <v>0</v>
      </c>
      <c r="Q40" s="26"/>
      <c r="R40" s="68">
        <f>Q40/Q12</f>
        <v>0</v>
      </c>
      <c r="S40" s="26"/>
      <c r="T40" s="68">
        <f>S40/S12</f>
        <v>0</v>
      </c>
      <c r="U40" s="61"/>
      <c r="V40" s="68">
        <f>U40/U12</f>
        <v>0</v>
      </c>
      <c r="W40" s="51"/>
      <c r="X40" s="68">
        <f>W40/W12</f>
        <v>0</v>
      </c>
      <c r="Y40" s="61"/>
      <c r="Z40" s="68">
        <f>Y40/Y12</f>
        <v>0</v>
      </c>
      <c r="AA40" s="144">
        <f>C40+E40+G40+I40+K40+M40+O40+Q40+S40+U40+W40+Y40</f>
        <v>0</v>
      </c>
      <c r="AB40" s="68">
        <f>AA40/AA12</f>
        <v>0</v>
      </c>
      <c r="AC40" s="128">
        <f t="shared" si="20"/>
        <v>0</v>
      </c>
      <c r="AD40" s="68">
        <f>AC40/AC12</f>
        <v>0</v>
      </c>
      <c r="AE40" s="658"/>
      <c r="AF40" s="393"/>
      <c r="AG40" s="393"/>
    </row>
    <row r="41" spans="1:36" s="1" customFormat="1" ht="15.75" thickBot="1">
      <c r="A41" s="4">
        <v>6099</v>
      </c>
      <c r="B41" s="229" t="s">
        <v>111</v>
      </c>
      <c r="C41" s="45">
        <f>SUM(C38:C40)</f>
        <v>0</v>
      </c>
      <c r="D41" s="89">
        <f>C41/C12</f>
        <v>0</v>
      </c>
      <c r="E41" s="76">
        <f>SUM(E38:E40)</f>
        <v>0</v>
      </c>
      <c r="F41" s="89">
        <f>E41/E12</f>
        <v>0</v>
      </c>
      <c r="G41" s="45">
        <f>SUM(G38:G40)</f>
        <v>0</v>
      </c>
      <c r="H41" s="89">
        <f>G41/G12</f>
        <v>0</v>
      </c>
      <c r="I41" s="28">
        <f>SUM(I38:I40)</f>
        <v>0</v>
      </c>
      <c r="J41" s="89">
        <f>I41/I12</f>
        <v>0</v>
      </c>
      <c r="K41" s="76">
        <f>SUM(K38:K40)</f>
        <v>0</v>
      </c>
      <c r="L41" s="89">
        <f>K41/K12</f>
        <v>0</v>
      </c>
      <c r="M41" s="28">
        <f>SUM(M38:M40)</f>
        <v>0</v>
      </c>
      <c r="N41" s="89">
        <f>M41/M12</f>
        <v>0</v>
      </c>
      <c r="O41" s="28">
        <f>SUM(O38:O40)</f>
        <v>0</v>
      </c>
      <c r="P41" s="89">
        <f>O41/O12</f>
        <v>0</v>
      </c>
      <c r="Q41" s="28">
        <f>SUM(Q38:Q40)</f>
        <v>0</v>
      </c>
      <c r="R41" s="89">
        <f>Q41/Q12</f>
        <v>0</v>
      </c>
      <c r="S41" s="28">
        <f>SUM(S38:S40)</f>
        <v>0</v>
      </c>
      <c r="T41" s="89">
        <f>S41/S12</f>
        <v>0</v>
      </c>
      <c r="U41" s="76">
        <f>SUM(U38:U40)</f>
        <v>0</v>
      </c>
      <c r="V41" s="89">
        <f>U41/U12</f>
        <v>0</v>
      </c>
      <c r="W41" s="52">
        <f>SUM(W38:W40)</f>
        <v>0</v>
      </c>
      <c r="X41" s="89">
        <f>W41/W12</f>
        <v>0</v>
      </c>
      <c r="Y41" s="76">
        <f>SUM(Y38:Y40)</f>
        <v>0</v>
      </c>
      <c r="Z41" s="89">
        <f>Y41/Y12</f>
        <v>0</v>
      </c>
      <c r="AA41" s="148">
        <f>SUM(AA38:AA40)</f>
        <v>0</v>
      </c>
      <c r="AB41" s="89">
        <f>AA41/AA12</f>
        <v>0</v>
      </c>
      <c r="AC41" s="132">
        <f>SUM(AC38:AC40)</f>
        <v>0</v>
      </c>
      <c r="AD41" s="89">
        <f>AC41/AC12</f>
        <v>0</v>
      </c>
      <c r="AE41" s="662"/>
      <c r="AF41" s="562"/>
      <c r="AG41" s="562"/>
    </row>
    <row r="42" spans="1:36" s="1" customFormat="1" ht="15.75" thickTop="1">
      <c r="A42" s="757">
        <v>6101</v>
      </c>
      <c r="B42" s="227" t="s">
        <v>2</v>
      </c>
      <c r="C42" s="704">
        <v>193622.57</v>
      </c>
      <c r="D42" s="68">
        <f>C42/C12</f>
        <v>0.18900948173266932</v>
      </c>
      <c r="E42" s="704">
        <v>193622.57</v>
      </c>
      <c r="F42" s="68">
        <f>E42/E12</f>
        <v>0.24294232137279534</v>
      </c>
      <c r="G42" s="704">
        <v>193622.57</v>
      </c>
      <c r="H42" s="68">
        <f>G42/G12</f>
        <v>0.14645864650168661</v>
      </c>
      <c r="I42" s="704">
        <v>193622.57</v>
      </c>
      <c r="J42" s="68">
        <f>I42/I12</f>
        <v>0.16586590890166242</v>
      </c>
      <c r="K42" s="704">
        <v>193622.57</v>
      </c>
      <c r="L42" s="68">
        <f>K42/K12</f>
        <v>0.18135312662647529</v>
      </c>
      <c r="M42" s="704">
        <v>193622.57</v>
      </c>
      <c r="N42" s="68">
        <f>M42/M12</f>
        <v>0.12789485004156234</v>
      </c>
      <c r="O42" s="371">
        <v>193622.57</v>
      </c>
      <c r="P42" s="68">
        <f>O42/O12</f>
        <v>0.20201030591064856</v>
      </c>
      <c r="Q42" s="704">
        <v>193622.57</v>
      </c>
      <c r="R42" s="68">
        <f>Q42/Q12</f>
        <v>0.16268338158638265</v>
      </c>
      <c r="S42" s="704">
        <v>193622.57</v>
      </c>
      <c r="T42" s="68">
        <f>S42/S12</f>
        <v>0.16149168987023238</v>
      </c>
      <c r="U42" s="704">
        <v>193610.66666666666</v>
      </c>
      <c r="V42" s="68">
        <f>U42/U12</f>
        <v>0.20358097908779221</v>
      </c>
      <c r="W42" s="704">
        <v>193610.66666666666</v>
      </c>
      <c r="X42" s="68">
        <f>W42/W12</f>
        <v>0.20009108456961533</v>
      </c>
      <c r="Y42" s="704">
        <v>193610.66666666666</v>
      </c>
      <c r="Z42" s="68">
        <f>Y42/Y12</f>
        <v>0.13245245345536888</v>
      </c>
      <c r="AA42" s="144">
        <f t="shared" ref="AA42:AA75" si="21">C42+E42+G42+I42+K42+M42+O42+Q42+S42+U42+W42+Y42</f>
        <v>2323435.1300000004</v>
      </c>
      <c r="AB42" s="68">
        <f>AA42/AA12</f>
        <v>0.17058567194574822</v>
      </c>
      <c r="AC42" s="128">
        <f>AA42/12</f>
        <v>193619.59416666671</v>
      </c>
      <c r="AD42" s="68">
        <f>AC42/AC12</f>
        <v>0.1705856719457482</v>
      </c>
      <c r="AE42" s="658" t="s">
        <v>197</v>
      </c>
      <c r="AF42" s="393" t="s">
        <v>277</v>
      </c>
      <c r="AG42" s="393"/>
    </row>
    <row r="43" spans="1:36" s="1" customFormat="1">
      <c r="A43" s="188">
        <v>6102</v>
      </c>
      <c r="B43" s="227" t="s">
        <v>3</v>
      </c>
      <c r="C43" s="31">
        <v>7150</v>
      </c>
      <c r="D43" s="68">
        <f>C43/C12</f>
        <v>6.9796501223415514E-3</v>
      </c>
      <c r="E43" s="31">
        <v>7150</v>
      </c>
      <c r="F43" s="68">
        <f>E43/E12</f>
        <v>8.9712557674215699E-3</v>
      </c>
      <c r="G43" s="31">
        <v>7150</v>
      </c>
      <c r="H43" s="68">
        <f>G43/G12</f>
        <v>5.4083535947645938E-3</v>
      </c>
      <c r="I43" s="31">
        <v>7150</v>
      </c>
      <c r="J43" s="68">
        <f>I43/I12</f>
        <v>6.1250155322640654E-3</v>
      </c>
      <c r="K43" s="31">
        <v>7150</v>
      </c>
      <c r="L43" s="68">
        <f>K43/K12</f>
        <v>6.6969199684690593E-3</v>
      </c>
      <c r="M43" s="31">
        <v>7150</v>
      </c>
      <c r="N43" s="68">
        <f>M43/M12</f>
        <v>4.7228387568513872E-3</v>
      </c>
      <c r="O43" s="31">
        <v>7150</v>
      </c>
      <c r="P43" s="68">
        <f>O43/O12</f>
        <v>7.4597382281473548E-3</v>
      </c>
      <c r="Q43" s="31">
        <v>7150</v>
      </c>
      <c r="R43" s="68">
        <f>Q43/Q12</f>
        <v>6.0074927129757441E-3</v>
      </c>
      <c r="S43" s="31">
        <v>7150</v>
      </c>
      <c r="T43" s="68">
        <f>S43/S12</f>
        <v>5.9634865014557012E-3</v>
      </c>
      <c r="U43" s="31">
        <v>7150</v>
      </c>
      <c r="V43" s="68">
        <f>U43/U12</f>
        <v>7.5182014789700689E-3</v>
      </c>
      <c r="W43" s="31">
        <v>7150</v>
      </c>
      <c r="X43" s="68">
        <f>W43/W12</f>
        <v>7.3893204300352752E-3</v>
      </c>
      <c r="Y43" s="31">
        <v>7150</v>
      </c>
      <c r="Z43" s="68">
        <f>Y43/Y12</f>
        <v>4.8914404278993968E-3</v>
      </c>
      <c r="AA43" s="144">
        <f t="shared" si="21"/>
        <v>85800</v>
      </c>
      <c r="AB43" s="68">
        <f>AA43/AA12</f>
        <v>6.2994014612085146E-3</v>
      </c>
      <c r="AC43" s="128">
        <f>AA43/12</f>
        <v>7150</v>
      </c>
      <c r="AD43" s="68">
        <f>AC43/AC12</f>
        <v>6.2994014612085137E-3</v>
      </c>
      <c r="AE43" s="645" t="s">
        <v>272</v>
      </c>
      <c r="AF43" s="694" t="s">
        <v>278</v>
      </c>
      <c r="AG43" s="393"/>
      <c r="AJ43" s="1" t="s">
        <v>343</v>
      </c>
    </row>
    <row r="44" spans="1:36" s="1" customFormat="1">
      <c r="A44" s="188">
        <v>6103</v>
      </c>
      <c r="B44" s="227" t="s">
        <v>4</v>
      </c>
      <c r="C44" s="704"/>
      <c r="D44" s="68">
        <f>C44/C12</f>
        <v>0</v>
      </c>
      <c r="E44" s="114"/>
      <c r="F44" s="68">
        <f>E44/E12</f>
        <v>0</v>
      </c>
      <c r="G44" s="33"/>
      <c r="H44" s="68">
        <f>G44/G12</f>
        <v>0</v>
      </c>
      <c r="I44" s="292">
        <v>0</v>
      </c>
      <c r="J44" s="68">
        <f>I44/I12</f>
        <v>0</v>
      </c>
      <c r="K44" s="114">
        <v>0</v>
      </c>
      <c r="L44" s="68">
        <f>K44/K12</f>
        <v>0</v>
      </c>
      <c r="M44" s="421"/>
      <c r="N44" s="68">
        <f>M44/M12</f>
        <v>0</v>
      </c>
      <c r="P44" s="68">
        <f>O44/O12</f>
        <v>0</v>
      </c>
      <c r="Q44" s="292">
        <v>0</v>
      </c>
      <c r="R44" s="68">
        <f>Q44/Q12</f>
        <v>0</v>
      </c>
      <c r="S44" s="292"/>
      <c r="T44" s="68">
        <f>S44/S12</f>
        <v>0</v>
      </c>
      <c r="U44" s="114">
        <v>0</v>
      </c>
      <c r="V44" s="68">
        <f>U44/U12</f>
        <v>0</v>
      </c>
      <c r="W44" s="114"/>
      <c r="X44" s="68">
        <f>W44/W12</f>
        <v>0</v>
      </c>
      <c r="Y44" s="114"/>
      <c r="Z44" s="68">
        <f>Y44/Y12</f>
        <v>0</v>
      </c>
      <c r="AA44" s="144">
        <f t="shared" si="21"/>
        <v>0</v>
      </c>
      <c r="AB44" s="68">
        <f>AA44/AA12</f>
        <v>0</v>
      </c>
      <c r="AC44" s="128">
        <f t="shared" ref="AC44:AC75" si="22">AA44/12</f>
        <v>0</v>
      </c>
      <c r="AD44" s="68">
        <f>AC44/AC12</f>
        <v>0</v>
      </c>
      <c r="AE44" s="658"/>
      <c r="AF44" s="393"/>
      <c r="AG44" s="393"/>
    </row>
    <row r="45" spans="1:36" s="1" customFormat="1">
      <c r="A45" s="188">
        <v>6104</v>
      </c>
      <c r="B45" s="227" t="s">
        <v>5</v>
      </c>
      <c r="C45" s="432">
        <v>3000</v>
      </c>
      <c r="D45" s="702">
        <f>C45/C12</f>
        <v>2.9285245268565949E-3</v>
      </c>
      <c r="E45" s="432">
        <v>3000</v>
      </c>
      <c r="F45" s="702">
        <f>E45/E12</f>
        <v>3.7641632590580012E-3</v>
      </c>
      <c r="G45" s="432">
        <v>3000</v>
      </c>
      <c r="H45" s="702">
        <f>G45/$G$12</f>
        <v>2.2692392705305989E-3</v>
      </c>
      <c r="I45" s="432">
        <v>3000</v>
      </c>
      <c r="J45" s="702">
        <f>I45/I12</f>
        <v>2.5699365869639437E-3</v>
      </c>
      <c r="K45" s="432">
        <v>3000</v>
      </c>
      <c r="L45" s="702">
        <f>K45/K12</f>
        <v>2.8098964902667383E-3</v>
      </c>
      <c r="M45" s="432">
        <v>3000</v>
      </c>
      <c r="N45" s="702">
        <f>M45/M12</f>
        <v>1.9816106672103724E-3</v>
      </c>
      <c r="O45" s="432">
        <v>3000</v>
      </c>
      <c r="P45" s="702">
        <f>O45/O12</f>
        <v>3.1299600957261629E-3</v>
      </c>
      <c r="Q45" s="432">
        <v>3000</v>
      </c>
      <c r="R45" s="702">
        <f>Q45/Q12</f>
        <v>2.5206263131366761E-3</v>
      </c>
      <c r="S45" s="432">
        <v>3000</v>
      </c>
      <c r="T45" s="702">
        <f>S45/S12</f>
        <v>2.5021621684429515E-3</v>
      </c>
      <c r="U45" s="432">
        <v>3000</v>
      </c>
      <c r="V45" s="702">
        <f>U45/U12</f>
        <v>3.1544901310363925E-3</v>
      </c>
      <c r="W45" s="432">
        <v>3000</v>
      </c>
      <c r="X45" s="702">
        <f>W45/W12</f>
        <v>3.1004141664483674E-3</v>
      </c>
      <c r="Y45" s="432">
        <v>3000</v>
      </c>
      <c r="Z45" s="702">
        <f>Y45/Y12</f>
        <v>2.0523526270906562E-3</v>
      </c>
      <c r="AA45" s="144">
        <f t="shared" si="21"/>
        <v>36000</v>
      </c>
      <c r="AB45" s="68">
        <f>AA45/AA12</f>
        <v>2.6431055081993769E-3</v>
      </c>
      <c r="AC45" s="128">
        <f t="shared" si="22"/>
        <v>3000</v>
      </c>
      <c r="AD45" s="68">
        <f>AC45/AC12</f>
        <v>2.6431055081993764E-3</v>
      </c>
      <c r="AE45" s="645" t="s">
        <v>279</v>
      </c>
      <c r="AF45" s="694" t="s">
        <v>280</v>
      </c>
      <c r="AG45" s="393"/>
      <c r="AJ45" s="1" t="s">
        <v>340</v>
      </c>
    </row>
    <row r="46" spans="1:36" s="1" customFormat="1">
      <c r="A46" s="188">
        <v>6105</v>
      </c>
      <c r="B46" s="227" t="s">
        <v>39</v>
      </c>
      <c r="C46" s="436">
        <f>C12*0.24%</f>
        <v>2458.5759600000001</v>
      </c>
      <c r="D46" s="702">
        <f>C46/C$12</f>
        <v>2.3999999999999998E-3</v>
      </c>
      <c r="E46" s="436">
        <f>E12*0.24%</f>
        <v>1912.7756966104153</v>
      </c>
      <c r="F46" s="702">
        <f>E46/E$12</f>
        <v>2.3999999999999998E-3</v>
      </c>
      <c r="G46" s="436">
        <f>G12*0.24%</f>
        <v>3172.869469298616</v>
      </c>
      <c r="H46" s="702">
        <f>G46/$G$12</f>
        <v>2.3999999999999998E-3</v>
      </c>
      <c r="I46" s="436">
        <f>I12*0.24%</f>
        <v>2801.6255484754556</v>
      </c>
      <c r="J46" s="226">
        <v>2.282921148507532E-3</v>
      </c>
      <c r="K46" s="436">
        <f>K12*0.24%</f>
        <v>2562.3719681277357</v>
      </c>
      <c r="L46" s="226">
        <v>1.4480363095715567E-3</v>
      </c>
      <c r="M46" s="436">
        <f>M12*0.24%</f>
        <v>3633.4079741990158</v>
      </c>
      <c r="N46" s="702">
        <v>1.4265472348621291E-3</v>
      </c>
      <c r="O46" s="436">
        <f>O12*0.24%</f>
        <v>2300.3488158942714</v>
      </c>
      <c r="P46" s="702">
        <f>O46/O$12</f>
        <v>2.3999999999999998E-3</v>
      </c>
      <c r="Q46" s="436">
        <f>Q12*0.24%</f>
        <v>2856.4329279893514</v>
      </c>
      <c r="R46" s="702">
        <f>Q46/Q$12</f>
        <v>2.3999999999999998E-3</v>
      </c>
      <c r="S46" s="436">
        <f>S12*0.24%</f>
        <v>2877.5113343194794</v>
      </c>
      <c r="T46" s="702">
        <f>S46/S$12</f>
        <v>2.3999999999999998E-3</v>
      </c>
      <c r="U46" s="436">
        <f>U12*0.24%</f>
        <v>2282.4607784188797</v>
      </c>
      <c r="V46" s="702">
        <f>U46/U12</f>
        <v>2.3999999999999994E-3</v>
      </c>
      <c r="W46" s="436">
        <f>W12*0.24%</f>
        <v>2322.2703850072558</v>
      </c>
      <c r="X46" s="702">
        <f>W46/W12</f>
        <v>2.3999999999999998E-3</v>
      </c>
      <c r="Y46" s="436">
        <f>Y16*0.24%</f>
        <v>3508.1690665441197</v>
      </c>
      <c r="Z46" s="702">
        <f>Y46/Y12</f>
        <v>2.3999999999999998E-3</v>
      </c>
      <c r="AA46" s="144">
        <f t="shared" si="21"/>
        <v>32688.819924884599</v>
      </c>
      <c r="AB46" s="68">
        <f>AA46/AA12</f>
        <v>2.4000000000000007E-3</v>
      </c>
      <c r="AC46" s="128">
        <f t="shared" si="22"/>
        <v>2724.0683270737168</v>
      </c>
      <c r="AD46" s="68">
        <f>AC46/AC12</f>
        <v>2.4000000000000002E-3</v>
      </c>
      <c r="AE46" s="645" t="s">
        <v>271</v>
      </c>
      <c r="AF46" s="694" t="s">
        <v>273</v>
      </c>
      <c r="AG46" s="393"/>
    </row>
    <row r="47" spans="1:36" s="1" customFormat="1">
      <c r="A47" s="188">
        <v>6106</v>
      </c>
      <c r="B47" s="227" t="s">
        <v>6</v>
      </c>
      <c r="C47" s="432">
        <v>250</v>
      </c>
      <c r="D47" s="702">
        <f>C47/C12</f>
        <v>2.4404371057138292E-4</v>
      </c>
      <c r="E47" s="432">
        <v>250</v>
      </c>
      <c r="F47" s="702">
        <f>E47/E12</f>
        <v>3.1368027158816677E-4</v>
      </c>
      <c r="G47" s="432">
        <v>250</v>
      </c>
      <c r="H47" s="702">
        <f>G47/G12</f>
        <v>1.8910327254421656E-4</v>
      </c>
      <c r="I47" s="432">
        <v>250</v>
      </c>
      <c r="J47" s="702">
        <f>I47/I12</f>
        <v>2.141613822469953E-4</v>
      </c>
      <c r="K47" s="432">
        <v>250</v>
      </c>
      <c r="L47" s="702">
        <f>K47/K12</f>
        <v>2.3415804085556152E-4</v>
      </c>
      <c r="M47" s="432">
        <v>250</v>
      </c>
      <c r="N47" s="702">
        <f>M47/M12</f>
        <v>1.6513422226753104E-4</v>
      </c>
      <c r="O47" s="432">
        <v>250</v>
      </c>
      <c r="P47" s="702">
        <f>O47/O12</f>
        <v>2.608300079771802E-4</v>
      </c>
      <c r="Q47" s="432">
        <v>250</v>
      </c>
      <c r="R47" s="702">
        <f>Q47/Q12</f>
        <v>2.1005219276138966E-4</v>
      </c>
      <c r="S47" s="432">
        <v>250</v>
      </c>
      <c r="T47" s="702">
        <f>S47/S12</f>
        <v>2.085135140369126E-4</v>
      </c>
      <c r="U47" s="432">
        <v>250</v>
      </c>
      <c r="V47" s="702">
        <f>U47/U12</f>
        <v>2.6287417758636604E-4</v>
      </c>
      <c r="W47" s="432">
        <v>250</v>
      </c>
      <c r="X47" s="702">
        <f>W47/W12</f>
        <v>2.5836784720403058E-4</v>
      </c>
      <c r="Y47" s="432">
        <v>250</v>
      </c>
      <c r="Z47" s="702">
        <f>Y47/Y12</f>
        <v>1.71029385590888E-4</v>
      </c>
      <c r="AA47" s="144">
        <f t="shared" si="21"/>
        <v>3000</v>
      </c>
      <c r="AB47" s="68">
        <f>AA47/AA12</f>
        <v>2.2025879234994805E-4</v>
      </c>
      <c r="AC47" s="128">
        <f t="shared" si="22"/>
        <v>250</v>
      </c>
      <c r="AD47" s="68">
        <f>AC47/AC12</f>
        <v>2.2025879234994803E-4</v>
      </c>
      <c r="AE47" s="658" t="s">
        <v>274</v>
      </c>
      <c r="AF47" s="393"/>
      <c r="AG47" s="393"/>
    </row>
    <row r="48" spans="1:36" s="1" customFormat="1">
      <c r="A48" s="188">
        <v>6107</v>
      </c>
      <c r="B48" s="227" t="s">
        <v>7</v>
      </c>
      <c r="C48" s="31"/>
      <c r="D48" s="68">
        <f>C48/C12</f>
        <v>0</v>
      </c>
      <c r="E48" s="31">
        <v>0</v>
      </c>
      <c r="F48" s="68">
        <f>E48/E12</f>
        <v>0</v>
      </c>
      <c r="G48" s="33"/>
      <c r="H48" s="68">
        <f>G48/G12</f>
        <v>0</v>
      </c>
      <c r="I48" s="31">
        <v>0</v>
      </c>
      <c r="J48" s="68">
        <f>I48/I12</f>
        <v>0</v>
      </c>
      <c r="K48" s="31">
        <v>0</v>
      </c>
      <c r="L48" s="68">
        <f>K48/K12</f>
        <v>0</v>
      </c>
      <c r="M48" s="31">
        <v>0</v>
      </c>
      <c r="N48" s="68">
        <f>M48/M12</f>
        <v>0</v>
      </c>
      <c r="P48" s="68">
        <f>O48/O12</f>
        <v>0</v>
      </c>
      <c r="Q48" s="31"/>
      <c r="R48" s="68">
        <f>Q48/Q12</f>
        <v>0</v>
      </c>
      <c r="S48" s="31"/>
      <c r="T48" s="68">
        <f>S48/S12</f>
        <v>0</v>
      </c>
      <c r="U48" s="31"/>
      <c r="V48" s="68">
        <f>U48/U12</f>
        <v>0</v>
      </c>
      <c r="W48" s="31"/>
      <c r="X48" s="68">
        <f>W48/W12</f>
        <v>0</v>
      </c>
      <c r="Y48" s="31"/>
      <c r="Z48" s="68">
        <f>Y48/Y12</f>
        <v>0</v>
      </c>
      <c r="AA48" s="144">
        <f t="shared" si="21"/>
        <v>0</v>
      </c>
      <c r="AB48" s="68">
        <f>AA48/AA12</f>
        <v>0</v>
      </c>
      <c r="AC48" s="128">
        <f t="shared" si="22"/>
        <v>0</v>
      </c>
      <c r="AD48" s="68">
        <f>AC48/AC12</f>
        <v>0</v>
      </c>
      <c r="AE48" s="658"/>
      <c r="AF48" s="393"/>
      <c r="AG48" s="393"/>
    </row>
    <row r="49" spans="1:33" s="1" customFormat="1">
      <c r="A49" s="188">
        <v>6108</v>
      </c>
      <c r="B49" s="227" t="s">
        <v>8</v>
      </c>
      <c r="C49" s="31"/>
      <c r="D49" s="68">
        <f>C49/C12</f>
        <v>0</v>
      </c>
      <c r="E49" s="31">
        <v>0</v>
      </c>
      <c r="F49" s="68">
        <f>E49/E12</f>
        <v>0</v>
      </c>
      <c r="G49" s="33"/>
      <c r="H49" s="68">
        <f>G49/G12</f>
        <v>0</v>
      </c>
      <c r="I49" s="31">
        <v>0</v>
      </c>
      <c r="J49" s="68">
        <f>I49/I12</f>
        <v>0</v>
      </c>
      <c r="K49" s="31">
        <v>0</v>
      </c>
      <c r="L49" s="68">
        <f>K49/K12</f>
        <v>0</v>
      </c>
      <c r="M49" s="31"/>
      <c r="N49" s="68">
        <f>M49/M12</f>
        <v>0</v>
      </c>
      <c r="P49" s="68">
        <f>O49/O12</f>
        <v>0</v>
      </c>
      <c r="Q49" s="31"/>
      <c r="R49" s="68">
        <f>Q49/Q12</f>
        <v>0</v>
      </c>
      <c r="S49" s="31"/>
      <c r="T49" s="68">
        <f>S49/S12</f>
        <v>0</v>
      </c>
      <c r="U49" s="31"/>
      <c r="V49" s="68">
        <f>U49/U12</f>
        <v>0</v>
      </c>
      <c r="W49" s="31"/>
      <c r="X49" s="68">
        <f>W49/W12</f>
        <v>0</v>
      </c>
      <c r="Y49" s="31"/>
      <c r="Z49" s="68">
        <f>Y49/Y12</f>
        <v>0</v>
      </c>
      <c r="AA49" s="144">
        <f t="shared" si="21"/>
        <v>0</v>
      </c>
      <c r="AB49" s="68">
        <f>AA49/AA12</f>
        <v>0</v>
      </c>
      <c r="AC49" s="128">
        <f t="shared" si="22"/>
        <v>0</v>
      </c>
      <c r="AD49" s="68">
        <f>AC49/AC12</f>
        <v>0</v>
      </c>
      <c r="AE49" s="658"/>
      <c r="AF49" s="393"/>
      <c r="AG49" s="393"/>
    </row>
    <row r="50" spans="1:33" s="1" customFormat="1">
      <c r="A50" s="188">
        <v>6109</v>
      </c>
      <c r="B50" s="227" t="s">
        <v>79</v>
      </c>
      <c r="C50" s="295"/>
      <c r="D50" s="68">
        <f>C50/C12</f>
        <v>0</v>
      </c>
      <c r="E50" s="295"/>
      <c r="F50" s="68">
        <f>E50/E12</f>
        <v>0</v>
      </c>
      <c r="G50" s="33"/>
      <c r="H50" s="68">
        <f>G50/G12</f>
        <v>0</v>
      </c>
      <c r="I50" s="295"/>
      <c r="J50" s="68">
        <f>I50/I12</f>
        <v>0</v>
      </c>
      <c r="K50" s="295"/>
      <c r="L50" s="68">
        <f>K50/K12</f>
        <v>0</v>
      </c>
      <c r="M50" s="295"/>
      <c r="N50" s="68">
        <f>M50/M12</f>
        <v>0</v>
      </c>
      <c r="P50" s="68">
        <f>O50/O12</f>
        <v>0</v>
      </c>
      <c r="Q50" s="295"/>
      <c r="R50" s="68">
        <f>Q50/Q12</f>
        <v>0</v>
      </c>
      <c r="S50" s="295"/>
      <c r="T50" s="68">
        <f>S50/S12</f>
        <v>0</v>
      </c>
      <c r="U50" s="295"/>
      <c r="V50" s="68">
        <f>U50/U12</f>
        <v>0</v>
      </c>
      <c r="W50" s="295"/>
      <c r="X50" s="68">
        <f>W50/W12</f>
        <v>0</v>
      </c>
      <c r="Y50" s="295"/>
      <c r="Z50" s="68">
        <f>Y50/Y12</f>
        <v>0</v>
      </c>
      <c r="AA50" s="144">
        <f t="shared" si="21"/>
        <v>0</v>
      </c>
      <c r="AB50" s="68">
        <f>AA50/AA12</f>
        <v>0</v>
      </c>
      <c r="AC50" s="128">
        <f t="shared" si="22"/>
        <v>0</v>
      </c>
      <c r="AD50" s="68">
        <f>AC50/AC12</f>
        <v>0</v>
      </c>
      <c r="AE50" s="658"/>
      <c r="AF50" s="393"/>
      <c r="AG50" s="393"/>
    </row>
    <row r="51" spans="1:33" s="1" customFormat="1">
      <c r="A51" s="188">
        <v>6110</v>
      </c>
      <c r="B51" s="188" t="s">
        <v>9</v>
      </c>
      <c r="C51" s="432">
        <v>250</v>
      </c>
      <c r="D51" s="702">
        <f>C51/C12</f>
        <v>2.4404371057138292E-4</v>
      </c>
      <c r="E51" s="432">
        <v>250</v>
      </c>
      <c r="F51" s="702">
        <f>E51/E12</f>
        <v>3.1368027158816677E-4</v>
      </c>
      <c r="G51" s="432">
        <v>250</v>
      </c>
      <c r="H51" s="702">
        <f>G51/G12</f>
        <v>1.8910327254421656E-4</v>
      </c>
      <c r="I51" s="432">
        <v>250</v>
      </c>
      <c r="J51" s="702">
        <f>I51/I12</f>
        <v>2.141613822469953E-4</v>
      </c>
      <c r="K51" s="432">
        <v>250</v>
      </c>
      <c r="L51" s="702">
        <f>K51/K12</f>
        <v>2.3415804085556152E-4</v>
      </c>
      <c r="M51" s="432">
        <v>250</v>
      </c>
      <c r="N51" s="702">
        <f>M51/M12</f>
        <v>1.6513422226753104E-4</v>
      </c>
      <c r="O51" s="432">
        <v>250</v>
      </c>
      <c r="P51" s="702">
        <f>O51/O12</f>
        <v>2.608300079771802E-4</v>
      </c>
      <c r="Q51" s="432">
        <v>250</v>
      </c>
      <c r="R51" s="702">
        <f>Q51/Q12</f>
        <v>2.1005219276138966E-4</v>
      </c>
      <c r="S51" s="432">
        <v>250</v>
      </c>
      <c r="T51" s="702">
        <f>S51/S12</f>
        <v>2.085135140369126E-4</v>
      </c>
      <c r="U51" s="432">
        <v>250</v>
      </c>
      <c r="V51" s="702">
        <f>U51/U12</f>
        <v>2.6287417758636604E-4</v>
      </c>
      <c r="W51" s="432">
        <v>250</v>
      </c>
      <c r="X51" s="702">
        <f>W51/W12</f>
        <v>2.5836784720403058E-4</v>
      </c>
      <c r="Y51" s="432">
        <v>250</v>
      </c>
      <c r="Z51" s="702">
        <f>Y51/Y12</f>
        <v>1.71029385590888E-4</v>
      </c>
      <c r="AA51" s="144">
        <f t="shared" si="21"/>
        <v>3000</v>
      </c>
      <c r="AB51" s="702">
        <f>AA51/AA12</f>
        <v>2.2025879234994805E-4</v>
      </c>
      <c r="AC51" s="128">
        <f t="shared" si="22"/>
        <v>250</v>
      </c>
      <c r="AD51" s="702">
        <f>AC51/AC12</f>
        <v>2.2025879234994803E-4</v>
      </c>
      <c r="AE51" s="645"/>
      <c r="AF51" s="694"/>
      <c r="AG51" s="226"/>
    </row>
    <row r="52" spans="1:33" s="1" customFormat="1">
      <c r="A52" s="757">
        <v>6111</v>
      </c>
      <c r="B52" s="227" t="s">
        <v>10</v>
      </c>
      <c r="C52" s="704">
        <f>56491.5*1.05</f>
        <v>59316.075000000004</v>
      </c>
      <c r="D52" s="68">
        <f>C52/C12</f>
        <v>5.7902860158121773E-2</v>
      </c>
      <c r="E52" s="704">
        <f>56491.5*1.05</f>
        <v>59316.075000000004</v>
      </c>
      <c r="F52" s="68">
        <f>E52/E12</f>
        <v>7.4425130062176284E-2</v>
      </c>
      <c r="G52" s="704">
        <f>56491.5*1.05</f>
        <v>59316.075000000004</v>
      </c>
      <c r="H52" s="68">
        <f>G52/G12</f>
        <v>4.4867455587912768E-2</v>
      </c>
      <c r="I52" s="704">
        <f>56491.5*1.05</f>
        <v>59316.075000000004</v>
      </c>
      <c r="J52" s="68">
        <f>I52/I12</f>
        <v>5.0812850445865768E-2</v>
      </c>
      <c r="K52" s="704">
        <f>56491.5*1.05</f>
        <v>59316.075000000004</v>
      </c>
      <c r="L52" s="68">
        <f>K52/K12</f>
        <v>5.5557343652966211E-2</v>
      </c>
      <c r="M52" s="704">
        <f>56491.5*1.05</f>
        <v>59316.075000000004</v>
      </c>
      <c r="N52" s="68">
        <f>M52/M12</f>
        <v>3.9180455652350163E-2</v>
      </c>
      <c r="O52" s="704">
        <f>56491.5*1.05</f>
        <v>59316.075000000004</v>
      </c>
      <c r="P52" s="68">
        <f>O52/O12</f>
        <v>6.1885649261700086E-2</v>
      </c>
      <c r="Q52" s="704">
        <f>56491.5*1.05</f>
        <v>59316.075000000004</v>
      </c>
      <c r="R52" s="68">
        <f>Q52/Q12</f>
        <v>4.9837886478996188E-2</v>
      </c>
      <c r="S52" s="704">
        <f>56491.5*1.05</f>
        <v>59316.075000000004</v>
      </c>
      <c r="T52" s="68">
        <f>S52/S12</f>
        <v>4.9472812948508249E-2</v>
      </c>
      <c r="U52" s="704">
        <f>56491.5*1.05</f>
        <v>59316.075000000004</v>
      </c>
      <c r="V52" s="68">
        <f>U52/U12</f>
        <v>6.2370657733104837E-2</v>
      </c>
      <c r="W52" s="704">
        <f>56491.5*1.05</f>
        <v>59316.075000000004</v>
      </c>
      <c r="X52" s="68">
        <f>W52/W12</f>
        <v>6.1301466409371279E-2</v>
      </c>
      <c r="Y52" s="704">
        <f>56491.5*1.05</f>
        <v>59316.075000000004</v>
      </c>
      <c r="Z52" s="68">
        <f>Y52/Y12</f>
        <v>4.0579167451652132E-2</v>
      </c>
      <c r="AA52" s="144">
        <f t="shared" si="21"/>
        <v>711792.89999999991</v>
      </c>
      <c r="AB52" s="68">
        <f>AA52/AA12</f>
        <v>5.2259548185755775E-2</v>
      </c>
      <c r="AC52" s="128">
        <f t="shared" si="22"/>
        <v>59316.07499999999</v>
      </c>
      <c r="AD52" s="68">
        <f>AC52/AC12</f>
        <v>5.2259548185755768E-2</v>
      </c>
      <c r="AE52" s="658" t="s">
        <v>197</v>
      </c>
      <c r="AF52" s="393" t="s">
        <v>277</v>
      </c>
      <c r="AG52" s="393"/>
    </row>
    <row r="53" spans="1:33" s="1" customFormat="1">
      <c r="A53" s="188">
        <v>6112</v>
      </c>
      <c r="B53" s="188" t="s">
        <v>11</v>
      </c>
      <c r="C53" s="705">
        <v>2650</v>
      </c>
      <c r="D53" s="702">
        <f>C53/C12</f>
        <v>2.5868633320566591E-3</v>
      </c>
      <c r="E53" s="705">
        <v>2650</v>
      </c>
      <c r="F53" s="702">
        <f>E53/E12</f>
        <v>3.3250108788345678E-3</v>
      </c>
      <c r="G53" s="705">
        <v>2650</v>
      </c>
      <c r="H53" s="702">
        <f>G53/G12</f>
        <v>2.0044946889686958E-3</v>
      </c>
      <c r="I53" s="705">
        <v>2650</v>
      </c>
      <c r="J53" s="702">
        <f>I53/I12</f>
        <v>2.2701106518181503E-3</v>
      </c>
      <c r="K53" s="705">
        <v>2650</v>
      </c>
      <c r="L53" s="702">
        <f>K53/K12</f>
        <v>2.482075233068952E-3</v>
      </c>
      <c r="M53" s="705">
        <v>2650</v>
      </c>
      <c r="N53" s="702">
        <f>M53/M12</f>
        <v>1.750422756035829E-3</v>
      </c>
      <c r="O53" s="705">
        <v>2650</v>
      </c>
      <c r="P53" s="702">
        <f>O53/O12</f>
        <v>2.7647980845581102E-3</v>
      </c>
      <c r="Q53" s="705">
        <v>2650</v>
      </c>
      <c r="R53" s="702">
        <f>Q53/Q12</f>
        <v>2.2265532432707304E-3</v>
      </c>
      <c r="S53" s="705">
        <v>2650</v>
      </c>
      <c r="T53" s="702">
        <f>S53/S12</f>
        <v>2.2102432487912738E-3</v>
      </c>
      <c r="U53" s="705">
        <v>2650</v>
      </c>
      <c r="V53" s="702">
        <f>U53/U12</f>
        <v>2.7864662824154804E-3</v>
      </c>
      <c r="W53" s="705">
        <v>2650</v>
      </c>
      <c r="X53" s="702">
        <f>W53/W12</f>
        <v>2.7386991803627241E-3</v>
      </c>
      <c r="Y53" s="705">
        <v>2650</v>
      </c>
      <c r="Z53" s="702">
        <f>Y53/Y12</f>
        <v>1.8129114872634129E-3</v>
      </c>
      <c r="AA53" s="144">
        <f t="shared" si="21"/>
        <v>31800</v>
      </c>
      <c r="AB53" s="702">
        <f>AA53/AA12</f>
        <v>2.3347431989094495E-3</v>
      </c>
      <c r="AC53" s="128">
        <f t="shared" si="22"/>
        <v>2650</v>
      </c>
      <c r="AD53" s="702">
        <f>AC53/AC12</f>
        <v>2.334743198909449E-3</v>
      </c>
      <c r="AE53" s="645"/>
      <c r="AF53" s="694"/>
      <c r="AG53" s="226"/>
    </row>
    <row r="54" spans="1:33" s="1" customFormat="1">
      <c r="A54" s="188">
        <v>6113</v>
      </c>
      <c r="B54" s="227" t="s">
        <v>12</v>
      </c>
      <c r="C54" s="704"/>
      <c r="D54" s="68">
        <f>C54/C12</f>
        <v>0</v>
      </c>
      <c r="E54" s="61"/>
      <c r="F54" s="68">
        <f>E54/E12</f>
        <v>0</v>
      </c>
      <c r="G54" s="33"/>
      <c r="H54" s="68">
        <f>G54/G12</f>
        <v>0</v>
      </c>
      <c r="I54" s="26"/>
      <c r="J54" s="68">
        <f>I54/I12</f>
        <v>0</v>
      </c>
      <c r="K54" s="61"/>
      <c r="L54" s="68">
        <f>K54/K12</f>
        <v>0</v>
      </c>
      <c r="M54" s="420"/>
      <c r="N54" s="68">
        <f>M54/M12</f>
        <v>0</v>
      </c>
      <c r="P54" s="68">
        <f>O54/O12</f>
        <v>0</v>
      </c>
      <c r="Q54" s="26">
        <v>0</v>
      </c>
      <c r="R54" s="68">
        <f>Q54/Q12</f>
        <v>0</v>
      </c>
      <c r="S54" s="26"/>
      <c r="T54" s="68">
        <f>S54/S12</f>
        <v>0</v>
      </c>
      <c r="U54" s="61"/>
      <c r="V54" s="68">
        <f>U54/U12</f>
        <v>0</v>
      </c>
      <c r="W54" s="51">
        <v>0</v>
      </c>
      <c r="X54" s="68">
        <f>W54/W12</f>
        <v>0</v>
      </c>
      <c r="Y54" s="61"/>
      <c r="Z54" s="68">
        <f>Y54/Y12</f>
        <v>0</v>
      </c>
      <c r="AA54" s="144">
        <f t="shared" si="21"/>
        <v>0</v>
      </c>
      <c r="AB54" s="68">
        <f>AA54/AA12</f>
        <v>0</v>
      </c>
      <c r="AC54" s="128">
        <f t="shared" si="22"/>
        <v>0</v>
      </c>
      <c r="AD54" s="68">
        <f>AC54/AC12</f>
        <v>0</v>
      </c>
      <c r="AE54" s="658"/>
      <c r="AF54" s="393"/>
      <c r="AG54" s="393"/>
    </row>
    <row r="55" spans="1:33" s="1" customFormat="1">
      <c r="A55" s="188">
        <v>6114</v>
      </c>
      <c r="B55" s="227" t="s">
        <v>88</v>
      </c>
      <c r="C55" s="31">
        <v>2500</v>
      </c>
      <c r="D55" s="68">
        <f>C55/C12</f>
        <v>2.4404371057138293E-3</v>
      </c>
      <c r="E55" s="31">
        <v>2500</v>
      </c>
      <c r="F55" s="68">
        <f>E55/E12</f>
        <v>3.1368027158816679E-3</v>
      </c>
      <c r="G55" s="31">
        <v>2500</v>
      </c>
      <c r="H55" s="68">
        <f>G55/G12</f>
        <v>1.8910327254421657E-3</v>
      </c>
      <c r="I55" s="31">
        <v>2500</v>
      </c>
      <c r="J55" s="68">
        <f>I55/I12</f>
        <v>2.1416138224699529E-3</v>
      </c>
      <c r="K55" s="31">
        <v>2500</v>
      </c>
      <c r="L55" s="68">
        <f>K55/K12</f>
        <v>2.3415804085556153E-3</v>
      </c>
      <c r="M55" s="31">
        <v>2500</v>
      </c>
      <c r="N55" s="68">
        <f>M55/M12</f>
        <v>1.6513422226753104E-3</v>
      </c>
      <c r="O55" s="31">
        <v>2500</v>
      </c>
      <c r="P55" s="68">
        <f>O55/O12</f>
        <v>2.608300079771802E-3</v>
      </c>
      <c r="Q55" s="31">
        <v>2500</v>
      </c>
      <c r="R55" s="68">
        <f>Q55/Q12</f>
        <v>2.1005219276138964E-3</v>
      </c>
      <c r="S55" s="31">
        <v>2500</v>
      </c>
      <c r="T55" s="68">
        <f>S55/S12</f>
        <v>2.0851351403691262E-3</v>
      </c>
      <c r="U55" s="31">
        <v>2500</v>
      </c>
      <c r="V55" s="68">
        <f>U55/U12</f>
        <v>2.6287417758636606E-3</v>
      </c>
      <c r="W55" s="31">
        <v>2500</v>
      </c>
      <c r="X55" s="68">
        <f>W55/W12</f>
        <v>2.583678472040306E-3</v>
      </c>
      <c r="Y55" s="31">
        <v>2500</v>
      </c>
      <c r="Z55" s="68">
        <f>Y55/Y12</f>
        <v>1.7102938559088801E-3</v>
      </c>
      <c r="AA55" s="144">
        <f t="shared" si="21"/>
        <v>30000</v>
      </c>
      <c r="AB55" s="68">
        <f>AA55/AA12</f>
        <v>2.2025879234994807E-3</v>
      </c>
      <c r="AC55" s="128">
        <f t="shared" si="22"/>
        <v>2500</v>
      </c>
      <c r="AD55" s="68">
        <f>AC55/AC12</f>
        <v>2.2025879234994802E-3</v>
      </c>
      <c r="AE55" s="665" t="s">
        <v>281</v>
      </c>
      <c r="AF55" s="393" t="s">
        <v>282</v>
      </c>
      <c r="AG55" s="393"/>
    </row>
    <row r="56" spans="1:33" s="1" customFormat="1">
      <c r="A56" s="188">
        <v>6115</v>
      </c>
      <c r="B56" s="227" t="s">
        <v>13</v>
      </c>
      <c r="C56" s="437">
        <v>300</v>
      </c>
      <c r="D56" s="24">
        <f>C56/C12</f>
        <v>2.9285245268565949E-4</v>
      </c>
      <c r="E56" s="437">
        <v>300</v>
      </c>
      <c r="F56" s="24">
        <f>E56/E12</f>
        <v>3.7641632590580015E-4</v>
      </c>
      <c r="G56" s="437">
        <v>300</v>
      </c>
      <c r="H56" s="24">
        <f>G56/G12</f>
        <v>2.2692392705305988E-4</v>
      </c>
      <c r="I56" s="437">
        <v>300</v>
      </c>
      <c r="J56" s="24">
        <f>I56/I12</f>
        <v>2.5699365869639437E-4</v>
      </c>
      <c r="K56" s="437">
        <v>300</v>
      </c>
      <c r="L56" s="24">
        <f>K56/K12</f>
        <v>2.8098964902667381E-4</v>
      </c>
      <c r="M56" s="437">
        <v>300</v>
      </c>
      <c r="N56" s="24">
        <f>M56/M12</f>
        <v>1.9816106672103723E-4</v>
      </c>
      <c r="O56" s="437">
        <v>300</v>
      </c>
      <c r="P56" s="24">
        <f>O56/O12</f>
        <v>3.1299600957261626E-4</v>
      </c>
      <c r="Q56" s="437">
        <v>300</v>
      </c>
      <c r="R56" s="24">
        <f>Q56/Q12</f>
        <v>2.5206263131366758E-4</v>
      </c>
      <c r="S56" s="437">
        <v>300</v>
      </c>
      <c r="T56" s="24">
        <f>S56/S12</f>
        <v>2.5021621684429512E-4</v>
      </c>
      <c r="U56" s="437">
        <v>300</v>
      </c>
      <c r="V56" s="24">
        <f>U56/U12</f>
        <v>3.1544901310363925E-4</v>
      </c>
      <c r="W56" s="437">
        <v>300</v>
      </c>
      <c r="X56" s="24">
        <f>W56/W12</f>
        <v>3.1004141664483674E-4</v>
      </c>
      <c r="Y56" s="437">
        <v>300</v>
      </c>
      <c r="Z56" s="24">
        <f>Y56/Y12</f>
        <v>2.0523526270906561E-4</v>
      </c>
      <c r="AA56" s="144">
        <f t="shared" si="21"/>
        <v>3600</v>
      </c>
      <c r="AB56" s="702">
        <f>AA56/AA12</f>
        <v>2.6431055081993764E-4</v>
      </c>
      <c r="AC56" s="128">
        <f t="shared" si="22"/>
        <v>300</v>
      </c>
      <c r="AD56" s="702">
        <f>AC56/AC12</f>
        <v>2.6431055081993764E-4</v>
      </c>
      <c r="AE56" s="645"/>
      <c r="AF56" s="694"/>
      <c r="AG56" s="226"/>
    </row>
    <row r="57" spans="1:33" s="1" customFormat="1">
      <c r="A57" s="188">
        <v>6116</v>
      </c>
      <c r="B57" s="227" t="s">
        <v>14</v>
      </c>
      <c r="C57" s="1">
        <f>702.16+250</f>
        <v>952.16</v>
      </c>
      <c r="D57" s="68">
        <f>C57/C12</f>
        <v>9.2947463783059185E-4</v>
      </c>
      <c r="E57" s="1">
        <f>702.16+250</f>
        <v>952.16</v>
      </c>
      <c r="F57" s="68">
        <f>E57/E12</f>
        <v>1.1946952295815555E-3</v>
      </c>
      <c r="G57" s="1">
        <f>702.16+250</f>
        <v>952.16</v>
      </c>
      <c r="H57" s="68">
        <f>G57/G12</f>
        <v>7.2022628794280493E-4</v>
      </c>
      <c r="I57" s="1">
        <f>702.16+250</f>
        <v>952.16</v>
      </c>
      <c r="J57" s="68">
        <f>I57/I12</f>
        <v>8.1566360688119612E-4</v>
      </c>
      <c r="K57" s="1">
        <f>702.16+250</f>
        <v>952.16</v>
      </c>
      <c r="L57" s="68">
        <f>K57/K12</f>
        <v>8.9182368072412575E-4</v>
      </c>
      <c r="M57" s="1">
        <f>702.16+250</f>
        <v>952.16</v>
      </c>
      <c r="N57" s="68">
        <f>M57/M12</f>
        <v>6.2893680429700939E-4</v>
      </c>
      <c r="O57" s="1">
        <f>702.16+250</f>
        <v>952.16</v>
      </c>
      <c r="P57" s="68">
        <f>O57/O12</f>
        <v>9.9340760158220763E-4</v>
      </c>
      <c r="Q57" s="1">
        <f>702.16+250</f>
        <v>952.16</v>
      </c>
      <c r="R57" s="68">
        <f>Q57/Q12</f>
        <v>8.0001318343873916E-4</v>
      </c>
      <c r="S57" s="1">
        <f>702.16+250</f>
        <v>952.16</v>
      </c>
      <c r="T57" s="68">
        <f>S57/S12</f>
        <v>7.9415291010154687E-4</v>
      </c>
      <c r="U57" s="1">
        <f>702.16+250</f>
        <v>952.16</v>
      </c>
      <c r="V57" s="68">
        <f>U57/U12</f>
        <v>1.0011931077225371E-3</v>
      </c>
      <c r="W57" s="1">
        <f>702.16+250</f>
        <v>952.16</v>
      </c>
      <c r="X57" s="68">
        <f>W57/W12</f>
        <v>9.8403011757515913E-4</v>
      </c>
      <c r="Y57" s="1">
        <f>702.16+250</f>
        <v>952.16</v>
      </c>
      <c r="Z57" s="68">
        <f>Y57/Y12</f>
        <v>6.5138935913687968E-4</v>
      </c>
      <c r="AA57" s="144">
        <f t="shared" si="21"/>
        <v>11425.92</v>
      </c>
      <c r="AB57" s="68">
        <f>AA57/AA12</f>
        <v>8.3888644689570616E-4</v>
      </c>
      <c r="AC57" s="128">
        <f t="shared" si="22"/>
        <v>952.16</v>
      </c>
      <c r="AD57" s="68">
        <f>AC57/AC12</f>
        <v>8.3888644689570605E-4</v>
      </c>
      <c r="AE57" s="658" t="s">
        <v>286</v>
      </c>
      <c r="AF57" s="393"/>
      <c r="AG57" s="393"/>
    </row>
    <row r="58" spans="1:33" s="1" customFormat="1">
      <c r="A58" s="188">
        <v>6117</v>
      </c>
      <c r="B58" s="227" t="s">
        <v>15</v>
      </c>
      <c r="C58" s="704"/>
      <c r="D58" s="68">
        <f>C58/C12</f>
        <v>0</v>
      </c>
      <c r="E58" s="61"/>
      <c r="F58" s="68">
        <f>E58/E12</f>
        <v>0</v>
      </c>
      <c r="G58" s="33"/>
      <c r="H58" s="68">
        <f>G58/G12</f>
        <v>0</v>
      </c>
      <c r="I58" s="26"/>
      <c r="J58" s="68">
        <f>I58/I12</f>
        <v>0</v>
      </c>
      <c r="K58" s="61">
        <v>0</v>
      </c>
      <c r="L58" s="68">
        <f>K58/K12</f>
        <v>0</v>
      </c>
      <c r="M58" s="26"/>
      <c r="N58" s="68">
        <f>M58/M12</f>
        <v>0</v>
      </c>
      <c r="P58" s="68">
        <f>O58/O12</f>
        <v>0</v>
      </c>
      <c r="Q58" s="26"/>
      <c r="R58" s="68">
        <f>Q58/Q12</f>
        <v>0</v>
      </c>
      <c r="S58" s="26"/>
      <c r="T58" s="68">
        <f>S58/S12</f>
        <v>0</v>
      </c>
      <c r="U58" s="61"/>
      <c r="V58" s="68">
        <f>U58/U12</f>
        <v>0</v>
      </c>
      <c r="W58" s="51"/>
      <c r="X58" s="68">
        <f>W58/W12</f>
        <v>0</v>
      </c>
      <c r="Y58" s="61"/>
      <c r="Z58" s="68">
        <f>Y58/Y12</f>
        <v>0</v>
      </c>
      <c r="AA58" s="144">
        <f t="shared" si="21"/>
        <v>0</v>
      </c>
      <c r="AB58" s="68">
        <f>AA58/AA12</f>
        <v>0</v>
      </c>
      <c r="AC58" s="128">
        <f t="shared" si="22"/>
        <v>0</v>
      </c>
      <c r="AD58" s="68">
        <f>AC58/AC12</f>
        <v>0</v>
      </c>
      <c r="AE58" s="658"/>
      <c r="AF58" s="393"/>
      <c r="AG58" s="393"/>
    </row>
    <row r="59" spans="1:33" s="1" customFormat="1">
      <c r="A59" s="188">
        <v>6118</v>
      </c>
      <c r="B59" s="227" t="s">
        <v>16</v>
      </c>
      <c r="C59" s="295">
        <f>16207*1.05</f>
        <v>17017.350000000002</v>
      </c>
      <c r="D59" s="68">
        <f>C59/C12</f>
        <v>1.6611908952367693E-2</v>
      </c>
      <c r="E59" s="295">
        <f>16207*1.05</f>
        <v>17017.350000000002</v>
      </c>
      <c r="F59" s="68">
        <f>E59/E12</f>
        <v>2.1352027878843563E-2</v>
      </c>
      <c r="G59" s="295">
        <f>16207*1.05</f>
        <v>17017.350000000002</v>
      </c>
      <c r="H59" s="68">
        <f>G59/G12</f>
        <v>1.2872146300121297E-2</v>
      </c>
      <c r="I59" s="295">
        <f>16207*1.05</f>
        <v>17017.350000000002</v>
      </c>
      <c r="J59" s="68">
        <f>I59/I12</f>
        <v>1.4577836792723623E-2</v>
      </c>
      <c r="K59" s="295">
        <f>16207*1.05</f>
        <v>17017.350000000002</v>
      </c>
      <c r="L59" s="68">
        <f>K59/K12</f>
        <v>1.5938997346213561E-2</v>
      </c>
      <c r="M59" s="295">
        <f>16207*1.05</f>
        <v>17017.350000000002</v>
      </c>
      <c r="N59" s="68">
        <f>M59/M12</f>
        <v>1.1240587429217479E-2</v>
      </c>
      <c r="O59" s="295">
        <f>16207*1.05</f>
        <v>17017.350000000002</v>
      </c>
      <c r="P59" s="68">
        <f>O59/O12</f>
        <v>1.7754542145001873E-2</v>
      </c>
      <c r="Q59" s="295">
        <f>16207*1.05</f>
        <v>17017.350000000002</v>
      </c>
      <c r="R59" s="68">
        <f>Q59/Q12</f>
        <v>1.429812672995214E-2</v>
      </c>
      <c r="S59" s="295">
        <f>16207*1.05</f>
        <v>17017.350000000002</v>
      </c>
      <c r="T59" s="68">
        <f>S59/S12</f>
        <v>1.4193389792384221E-2</v>
      </c>
      <c r="U59" s="295">
        <f>16207*1.05</f>
        <v>17017.350000000002</v>
      </c>
      <c r="V59" s="68">
        <f>U59/U12</f>
        <v>1.7893687543797387E-2</v>
      </c>
      <c r="W59" s="295">
        <f>16207*1.05</f>
        <v>17017.350000000002</v>
      </c>
      <c r="X59" s="68">
        <f>W59/W12</f>
        <v>1.7586944338470044E-2</v>
      </c>
      <c r="Y59" s="295">
        <f>16207*1.05</f>
        <v>17017.350000000002</v>
      </c>
      <c r="Z59" s="68">
        <f>Y59/Y12</f>
        <v>1.1641867659540395E-2</v>
      </c>
      <c r="AA59" s="144">
        <f t="shared" si="21"/>
        <v>204208.20000000004</v>
      </c>
      <c r="AB59" s="68">
        <f>AA59/AA12</f>
        <v>1.4992883839985557E-2</v>
      </c>
      <c r="AC59" s="128">
        <f t="shared" si="22"/>
        <v>17017.350000000002</v>
      </c>
      <c r="AD59" s="68">
        <f>AC59/AC12</f>
        <v>1.4992883839985554E-2</v>
      </c>
      <c r="AE59" s="658" t="s">
        <v>228</v>
      </c>
      <c r="AF59" s="393"/>
      <c r="AG59" s="393"/>
    </row>
    <row r="60" spans="1:33" s="1" customFormat="1">
      <c r="A60" s="188">
        <v>6119</v>
      </c>
      <c r="B60" s="227" t="s">
        <v>17</v>
      </c>
      <c r="C60" s="704"/>
      <c r="D60" s="68">
        <f>C60/C12</f>
        <v>0</v>
      </c>
      <c r="E60" s="61"/>
      <c r="F60" s="68">
        <f>E60/E12</f>
        <v>0</v>
      </c>
      <c r="G60" s="33"/>
      <c r="H60" s="68">
        <f>G60/G12</f>
        <v>0</v>
      </c>
      <c r="I60" s="26"/>
      <c r="J60" s="68">
        <f>I60/I12</f>
        <v>0</v>
      </c>
      <c r="K60" s="61">
        <v>0</v>
      </c>
      <c r="L60" s="68">
        <f>K60/K12</f>
        <v>0</v>
      </c>
      <c r="M60" s="26"/>
      <c r="N60" s="68">
        <f>M60/M12</f>
        <v>0</v>
      </c>
      <c r="P60" s="68">
        <f>O60/O12</f>
        <v>0</v>
      </c>
      <c r="Q60" s="26">
        <v>0</v>
      </c>
      <c r="R60" s="68">
        <f>Q60/Q12</f>
        <v>0</v>
      </c>
      <c r="S60" s="26"/>
      <c r="T60" s="68">
        <f>S60/S12</f>
        <v>0</v>
      </c>
      <c r="U60" s="61"/>
      <c r="V60" s="68">
        <f>U60/U12</f>
        <v>0</v>
      </c>
      <c r="W60" s="51"/>
      <c r="X60" s="68">
        <f>W60/W12</f>
        <v>0</v>
      </c>
      <c r="Y60" s="61"/>
      <c r="Z60" s="68">
        <f>Y60/Y12</f>
        <v>0</v>
      </c>
      <c r="AA60" s="144">
        <f t="shared" si="21"/>
        <v>0</v>
      </c>
      <c r="AB60" s="68">
        <f>AA60/AA12</f>
        <v>0</v>
      </c>
      <c r="AC60" s="128">
        <f t="shared" si="22"/>
        <v>0</v>
      </c>
      <c r="AD60" s="68">
        <f>AC60/AC12</f>
        <v>0</v>
      </c>
      <c r="AE60" s="658"/>
      <c r="AF60" s="393"/>
      <c r="AG60" s="393"/>
    </row>
    <row r="61" spans="1:33" s="1" customFormat="1">
      <c r="A61" s="188">
        <v>6120</v>
      </c>
      <c r="B61" s="227" t="s">
        <v>18</v>
      </c>
      <c r="C61" s="704"/>
      <c r="D61" s="68">
        <f>C61/C12</f>
        <v>0</v>
      </c>
      <c r="E61" s="61"/>
      <c r="F61" s="68">
        <f>E61/E12</f>
        <v>0</v>
      </c>
      <c r="G61" s="33"/>
      <c r="H61" s="68">
        <f>G61/G12</f>
        <v>0</v>
      </c>
      <c r="I61" s="26"/>
      <c r="J61" s="68">
        <f>I61/I12</f>
        <v>0</v>
      </c>
      <c r="K61" s="61">
        <v>0</v>
      </c>
      <c r="L61" s="68">
        <f>K61/K12</f>
        <v>0</v>
      </c>
      <c r="M61" s="26"/>
      <c r="N61" s="68">
        <f>M61/M12</f>
        <v>0</v>
      </c>
      <c r="P61" s="68">
        <f>O61/O12</f>
        <v>0</v>
      </c>
      <c r="Q61" s="26"/>
      <c r="R61" s="68">
        <f>Q61/Q12</f>
        <v>0</v>
      </c>
      <c r="S61" s="26"/>
      <c r="T61" s="68">
        <f>S61/S12</f>
        <v>0</v>
      </c>
      <c r="U61" s="61"/>
      <c r="V61" s="68">
        <f>U61/U12</f>
        <v>0</v>
      </c>
      <c r="W61" s="51"/>
      <c r="X61" s="68">
        <f>W61/W12</f>
        <v>0</v>
      </c>
      <c r="Y61" s="61"/>
      <c r="Z61" s="68">
        <f>Y61/Y12</f>
        <v>0</v>
      </c>
      <c r="AA61" s="144">
        <f t="shared" si="21"/>
        <v>0</v>
      </c>
      <c r="AB61" s="68">
        <f>AA61/AA12</f>
        <v>0</v>
      </c>
      <c r="AC61" s="128">
        <f t="shared" si="22"/>
        <v>0</v>
      </c>
      <c r="AD61" s="68">
        <f>AC61/AC12</f>
        <v>0</v>
      </c>
      <c r="AE61" s="658"/>
      <c r="AF61" s="393"/>
      <c r="AG61" s="393"/>
    </row>
    <row r="62" spans="1:33" s="1" customFormat="1">
      <c r="A62" s="188">
        <v>6121</v>
      </c>
      <c r="B62" s="188" t="s">
        <v>19</v>
      </c>
      <c r="C62" s="705">
        <v>250</v>
      </c>
      <c r="D62" s="702">
        <f>C62/C12</f>
        <v>2.4404371057138292E-4</v>
      </c>
      <c r="E62" s="705">
        <v>250</v>
      </c>
      <c r="F62" s="702">
        <f>E62/E12</f>
        <v>3.1368027158816677E-4</v>
      </c>
      <c r="G62" s="705">
        <v>250</v>
      </c>
      <c r="H62" s="702">
        <f>G62/G12</f>
        <v>1.8910327254421656E-4</v>
      </c>
      <c r="I62" s="705">
        <v>250</v>
      </c>
      <c r="J62" s="702">
        <f>I62/I12</f>
        <v>2.141613822469953E-4</v>
      </c>
      <c r="K62" s="705">
        <v>250</v>
      </c>
      <c r="L62" s="702">
        <f>K62/K12</f>
        <v>2.3415804085556152E-4</v>
      </c>
      <c r="M62" s="705">
        <v>500</v>
      </c>
      <c r="N62" s="702">
        <f>M62/M12</f>
        <v>3.3026844453506207E-4</v>
      </c>
      <c r="O62" s="705">
        <v>250</v>
      </c>
      <c r="P62" s="702">
        <f>O62/O12</f>
        <v>2.608300079771802E-4</v>
      </c>
      <c r="Q62" s="705">
        <v>250</v>
      </c>
      <c r="R62" s="702">
        <f>Q62/Q12</f>
        <v>2.1005219276138966E-4</v>
      </c>
      <c r="S62" s="705">
        <v>500</v>
      </c>
      <c r="T62" s="702">
        <f>S62/S12</f>
        <v>4.1702702807382521E-4</v>
      </c>
      <c r="U62" s="705">
        <v>250</v>
      </c>
      <c r="V62" s="702">
        <f>U62/U12</f>
        <v>2.6287417758636604E-4</v>
      </c>
      <c r="W62" s="705">
        <v>250</v>
      </c>
      <c r="X62" s="702">
        <f>W62/W12</f>
        <v>2.5836784720403058E-4</v>
      </c>
      <c r="Y62" s="705">
        <f>250+250</f>
        <v>500</v>
      </c>
      <c r="Z62" s="702">
        <f>Y62/Y12</f>
        <v>3.42058771181776E-4</v>
      </c>
      <c r="AA62" s="144">
        <f t="shared" si="21"/>
        <v>3750</v>
      </c>
      <c r="AB62" s="702">
        <f>AA62/AA12</f>
        <v>2.7532349043743508E-4</v>
      </c>
      <c r="AC62" s="128">
        <f t="shared" si="22"/>
        <v>312.5</v>
      </c>
      <c r="AD62" s="702">
        <f>AC62/AC12</f>
        <v>2.7532349043743503E-4</v>
      </c>
      <c r="AE62" s="645"/>
      <c r="AF62" s="226"/>
      <c r="AG62" s="226"/>
    </row>
    <row r="63" spans="1:33" s="1" customFormat="1">
      <c r="A63" s="188">
        <v>6122</v>
      </c>
      <c r="B63" s="227" t="s">
        <v>20</v>
      </c>
      <c r="C63" s="704"/>
      <c r="D63" s="68">
        <f>C63/C12</f>
        <v>0</v>
      </c>
      <c r="E63" s="61"/>
      <c r="F63" s="68">
        <f>E63/E12</f>
        <v>0</v>
      </c>
      <c r="G63" s="33"/>
      <c r="H63" s="68">
        <f>G63/G12</f>
        <v>0</v>
      </c>
      <c r="I63" s="26"/>
      <c r="J63" s="68">
        <f>I63/I12</f>
        <v>0</v>
      </c>
      <c r="K63" s="61">
        <v>0</v>
      </c>
      <c r="L63" s="68">
        <f>K63/K12</f>
        <v>0</v>
      </c>
      <c r="M63" s="26"/>
      <c r="N63" s="68">
        <f>M63/M12</f>
        <v>0</v>
      </c>
      <c r="P63" s="68">
        <f>O63/O12</f>
        <v>0</v>
      </c>
      <c r="Q63" s="26"/>
      <c r="R63" s="68">
        <f>Q63/Q12</f>
        <v>0</v>
      </c>
      <c r="S63" s="26"/>
      <c r="T63" s="68">
        <f>S63/S12</f>
        <v>0</v>
      </c>
      <c r="U63" s="61"/>
      <c r="V63" s="68">
        <f>U63/U12</f>
        <v>0</v>
      </c>
      <c r="W63" s="51"/>
      <c r="X63" s="68">
        <f>W63/W12</f>
        <v>0</v>
      </c>
      <c r="Y63" s="61"/>
      <c r="Z63" s="68">
        <f>Y63/Y12</f>
        <v>0</v>
      </c>
      <c r="AA63" s="144">
        <f t="shared" si="21"/>
        <v>0</v>
      </c>
      <c r="AB63" s="68">
        <f>AA63/AA12</f>
        <v>0</v>
      </c>
      <c r="AC63" s="128">
        <f t="shared" si="22"/>
        <v>0</v>
      </c>
      <c r="AD63" s="68">
        <f>AC63/AC12</f>
        <v>0</v>
      </c>
      <c r="AE63" s="658"/>
      <c r="AF63" s="393"/>
      <c r="AG63" s="393"/>
    </row>
    <row r="64" spans="1:33" s="1" customFormat="1">
      <c r="A64" s="188">
        <v>6123</v>
      </c>
      <c r="B64" s="227" t="s">
        <v>21</v>
      </c>
      <c r="C64" s="704"/>
      <c r="D64" s="68">
        <f>C64/C12</f>
        <v>0</v>
      </c>
      <c r="E64" s="778"/>
      <c r="F64" s="68">
        <f>E64/E12</f>
        <v>0</v>
      </c>
      <c r="G64" s="33"/>
      <c r="H64" s="68">
        <f>G64/G12</f>
        <v>0</v>
      </c>
      <c r="I64" s="26"/>
      <c r="J64" s="68">
        <f>I64/I12</f>
        <v>0</v>
      </c>
      <c r="K64" s="61">
        <v>0</v>
      </c>
      <c r="L64" s="68">
        <f>K64/K12</f>
        <v>0</v>
      </c>
      <c r="M64" s="26"/>
      <c r="N64" s="68">
        <f>M64/M12</f>
        <v>0</v>
      </c>
      <c r="P64" s="68">
        <f>O64/O12</f>
        <v>0</v>
      </c>
      <c r="Q64" s="26"/>
      <c r="R64" s="68">
        <f>Q64/Q12</f>
        <v>0</v>
      </c>
      <c r="S64" s="26"/>
      <c r="T64" s="68">
        <f>S64/S12</f>
        <v>0</v>
      </c>
      <c r="U64" s="61"/>
      <c r="V64" s="68">
        <f>U64/U12</f>
        <v>0</v>
      </c>
      <c r="W64" s="51"/>
      <c r="X64" s="68">
        <f>W64/W12</f>
        <v>0</v>
      </c>
      <c r="Y64" s="61"/>
      <c r="Z64" s="68">
        <f>Y64/Y12</f>
        <v>0</v>
      </c>
      <c r="AA64" s="144">
        <f t="shared" si="21"/>
        <v>0</v>
      </c>
      <c r="AB64" s="68">
        <f>AA64/AA12</f>
        <v>0</v>
      </c>
      <c r="AC64" s="128">
        <f t="shared" si="22"/>
        <v>0</v>
      </c>
      <c r="AD64" s="68">
        <f>AC64/AC12</f>
        <v>0</v>
      </c>
      <c r="AE64" s="658"/>
      <c r="AF64" s="393"/>
      <c r="AG64" s="393"/>
    </row>
    <row r="65" spans="1:33" s="1" customFormat="1">
      <c r="A65" s="188">
        <v>6124</v>
      </c>
      <c r="B65" s="227" t="s">
        <v>22</v>
      </c>
      <c r="C65" s="26">
        <v>2500</v>
      </c>
      <c r="D65" s="68">
        <f>C65/C12</f>
        <v>2.4404371057138293E-3</v>
      </c>
      <c r="E65" s="26">
        <v>2500</v>
      </c>
      <c r="F65" s="68">
        <f>E65/E12</f>
        <v>3.1368027158816679E-3</v>
      </c>
      <c r="G65" s="26">
        <v>2500</v>
      </c>
      <c r="H65" s="68">
        <f>G65/G12</f>
        <v>1.8910327254421657E-3</v>
      </c>
      <c r="I65" s="26">
        <v>2500</v>
      </c>
      <c r="J65" s="68">
        <f>I65/I12</f>
        <v>2.1416138224699529E-3</v>
      </c>
      <c r="K65" s="26">
        <v>2500</v>
      </c>
      <c r="L65" s="68">
        <f>K65/K12</f>
        <v>2.3415804085556153E-3</v>
      </c>
      <c r="M65" s="26">
        <v>2500</v>
      </c>
      <c r="N65" s="68">
        <f>M65/M12</f>
        <v>1.6513422226753104E-3</v>
      </c>
      <c r="O65" s="26">
        <v>2500</v>
      </c>
      <c r="P65" s="68">
        <f>O65/O12</f>
        <v>2.608300079771802E-3</v>
      </c>
      <c r="Q65" s="26">
        <v>2500</v>
      </c>
      <c r="R65" s="68">
        <f>Q65/Q12</f>
        <v>2.1005219276138964E-3</v>
      </c>
      <c r="S65" s="26">
        <v>2500</v>
      </c>
      <c r="T65" s="68">
        <f>S65/S12</f>
        <v>2.0851351403691262E-3</v>
      </c>
      <c r="U65" s="26">
        <v>2500</v>
      </c>
      <c r="V65" s="68">
        <f>U65/U12</f>
        <v>2.6287417758636606E-3</v>
      </c>
      <c r="W65" s="26">
        <v>2500</v>
      </c>
      <c r="X65" s="68">
        <f>W65/W12</f>
        <v>2.583678472040306E-3</v>
      </c>
      <c r="Y65" s="26">
        <v>2500</v>
      </c>
      <c r="Z65" s="68">
        <f>Y65/Y12</f>
        <v>1.7102938559088801E-3</v>
      </c>
      <c r="AA65" s="144">
        <f t="shared" si="21"/>
        <v>30000</v>
      </c>
      <c r="AB65" s="68">
        <f>AA65/AA12</f>
        <v>2.2025879234994807E-3</v>
      </c>
      <c r="AC65" s="128">
        <f t="shared" si="22"/>
        <v>2500</v>
      </c>
      <c r="AD65" s="68">
        <f>AC65/AC12</f>
        <v>2.2025879234994802E-3</v>
      </c>
      <c r="AE65" s="645" t="s">
        <v>294</v>
      </c>
      <c r="AF65" s="393"/>
      <c r="AG65" s="393"/>
    </row>
    <row r="66" spans="1:33" s="1" customFormat="1">
      <c r="A66" s="188">
        <v>6125</v>
      </c>
      <c r="B66" s="227" t="s">
        <v>78</v>
      </c>
      <c r="C66" s="705">
        <v>423.01184433164127</v>
      </c>
      <c r="D66" s="702">
        <f>C66/C12</f>
        <v>4.1293352042535178E-4</v>
      </c>
      <c r="E66" s="705">
        <v>423.01184433164127</v>
      </c>
      <c r="F66" s="702">
        <f>E66/E12</f>
        <v>5.3076188085984224E-4</v>
      </c>
      <c r="G66" s="705">
        <v>423.01184433164127</v>
      </c>
      <c r="H66" s="702">
        <f>G66/G12</f>
        <v>3.199716963523123E-4</v>
      </c>
      <c r="I66" s="705">
        <v>423.01184433164127</v>
      </c>
      <c r="J66" s="702">
        <f>I66/I12</f>
        <v>3.6237120515566037E-4</v>
      </c>
      <c r="K66" s="705">
        <v>423.01184433164127</v>
      </c>
      <c r="L66" s="702">
        <f>K66/K12</f>
        <v>3.9620649890957952E-4</v>
      </c>
      <c r="M66" s="705">
        <v>423.01184433164127</v>
      </c>
      <c r="N66" s="702">
        <f>M66/M12</f>
        <v>2.7941492769463792E-4</v>
      </c>
      <c r="O66" s="705">
        <v>423.01184433164127</v>
      </c>
      <c r="P66" s="702">
        <f>O66/O12</f>
        <v>4.4133673092585485E-4</v>
      </c>
      <c r="Q66" s="705">
        <v>423.01184433164127</v>
      </c>
      <c r="R66" s="702">
        <f>Q66/Q12</f>
        <v>3.5541826186360348E-4</v>
      </c>
      <c r="S66" s="705">
        <v>423.01184433164127</v>
      </c>
      <c r="T66" s="702">
        <f>S66/S12</f>
        <v>3.5281474456330393E-4</v>
      </c>
      <c r="U66" s="705">
        <v>423.01184433164127</v>
      </c>
      <c r="V66" s="702">
        <f>U66/U12</f>
        <v>4.4479556275188838E-4</v>
      </c>
      <c r="W66" s="705">
        <v>423.01184433164127</v>
      </c>
      <c r="X66" s="702">
        <f>W66/W12</f>
        <v>4.3717063824709067E-4</v>
      </c>
      <c r="Y66" s="705">
        <v>423.01184433164127</v>
      </c>
      <c r="Z66" s="702">
        <f>Y66/Y12</f>
        <v>2.8938982333483589E-4</v>
      </c>
      <c r="AA66" s="144">
        <f t="shared" si="21"/>
        <v>5076.1421319796964</v>
      </c>
      <c r="AB66" s="68">
        <f>AA66/AA12</f>
        <v>3.7268831192884618E-4</v>
      </c>
      <c r="AC66" s="128">
        <f t="shared" si="22"/>
        <v>423.01184433164138</v>
      </c>
      <c r="AD66" s="68">
        <f>AC66/AC12</f>
        <v>3.7268831192884618E-4</v>
      </c>
      <c r="AE66" s="658" t="s">
        <v>295</v>
      </c>
      <c r="AF66" s="393" t="s">
        <v>296</v>
      </c>
      <c r="AG66" s="393"/>
    </row>
    <row r="67" spans="1:33" s="1" customFormat="1">
      <c r="A67" s="188">
        <v>6126</v>
      </c>
      <c r="B67" s="227" t="s">
        <v>116</v>
      </c>
      <c r="C67" s="26"/>
      <c r="D67" s="702" t="e">
        <f>C67/C13</f>
        <v>#DIV/0!</v>
      </c>
      <c r="E67" s="26"/>
      <c r="F67" s="702" t="e">
        <f>E67/E13</f>
        <v>#DIV/0!</v>
      </c>
      <c r="G67" s="26"/>
      <c r="H67" s="702" t="e">
        <f>G67/G13</f>
        <v>#DIV/0!</v>
      </c>
      <c r="I67" s="26"/>
      <c r="J67" s="702" t="e">
        <f>I67/I13</f>
        <v>#DIV/0!</v>
      </c>
      <c r="K67" s="26"/>
      <c r="L67" s="702" t="e">
        <f>K67/K13</f>
        <v>#DIV/0!</v>
      </c>
      <c r="M67" s="26"/>
      <c r="N67" s="702" t="e">
        <f>M67/M13</f>
        <v>#DIV/0!</v>
      </c>
      <c r="O67" s="26"/>
      <c r="P67" s="702" t="e">
        <f>O67/O13</f>
        <v>#DIV/0!</v>
      </c>
      <c r="Q67" s="26"/>
      <c r="R67" s="702" t="e">
        <f>Q67/Q13</f>
        <v>#DIV/0!</v>
      </c>
      <c r="S67" s="26"/>
      <c r="T67" s="702" t="e">
        <f>S67/S13</f>
        <v>#DIV/0!</v>
      </c>
      <c r="U67" s="26"/>
      <c r="V67" s="702" t="e">
        <f>U67/U13</f>
        <v>#DIV/0!</v>
      </c>
      <c r="W67" s="26"/>
      <c r="X67" s="702" t="e">
        <f>W67/W13</f>
        <v>#DIV/0!</v>
      </c>
      <c r="Y67" s="26"/>
      <c r="Z67" s="702" t="e">
        <f>Y67/Y13</f>
        <v>#DIV/0!</v>
      </c>
      <c r="AA67" s="144">
        <f t="shared" si="21"/>
        <v>0</v>
      </c>
      <c r="AB67" s="68">
        <f>AA67/AA12</f>
        <v>0</v>
      </c>
      <c r="AC67" s="128">
        <f t="shared" si="22"/>
        <v>0</v>
      </c>
      <c r="AD67" s="68">
        <f>AC67/AC12</f>
        <v>0</v>
      </c>
      <c r="AE67" s="658"/>
      <c r="AF67" s="393"/>
      <c r="AG67" s="393"/>
    </row>
    <row r="68" spans="1:33" s="1" customFormat="1">
      <c r="A68" s="188">
        <v>6127</v>
      </c>
      <c r="B68" s="188" t="s">
        <v>76</v>
      </c>
      <c r="C68" s="705">
        <v>382</v>
      </c>
      <c r="D68" s="702">
        <f>C68/C$12</f>
        <v>3.7289878975307308E-4</v>
      </c>
      <c r="E68" s="705">
        <v>382</v>
      </c>
      <c r="F68" s="702">
        <f>E68/E$12</f>
        <v>4.7930345498671886E-4</v>
      </c>
      <c r="G68" s="705">
        <v>382</v>
      </c>
      <c r="H68" s="702">
        <f>G68/G$12</f>
        <v>2.8894980044756293E-4</v>
      </c>
      <c r="I68" s="705">
        <v>382</v>
      </c>
      <c r="J68" s="702">
        <f>I68/I$12</f>
        <v>3.2723859207340884E-4</v>
      </c>
      <c r="K68" s="705">
        <v>382</v>
      </c>
      <c r="L68" s="702">
        <f>K68/K$12</f>
        <v>3.5779348642729799E-4</v>
      </c>
      <c r="M68" s="705">
        <v>382</v>
      </c>
      <c r="N68" s="702">
        <f>M68/M$12</f>
        <v>2.5232509162478742E-4</v>
      </c>
      <c r="O68" s="705">
        <v>382</v>
      </c>
      <c r="P68" s="702">
        <f>O68/O$12</f>
        <v>3.9854825218913137E-4</v>
      </c>
      <c r="Q68" s="705">
        <v>382</v>
      </c>
      <c r="R68" s="702">
        <f>Q68/Q$12</f>
        <v>3.2095975053940341E-4</v>
      </c>
      <c r="S68" s="705">
        <v>382</v>
      </c>
      <c r="T68" s="702">
        <f>S68/S$12</f>
        <v>3.1860864944840246E-4</v>
      </c>
      <c r="U68" s="705">
        <v>382</v>
      </c>
      <c r="V68" s="702">
        <f>U68/U$12</f>
        <v>4.0167174335196731E-4</v>
      </c>
      <c r="W68" s="705">
        <v>382</v>
      </c>
      <c r="X68" s="702">
        <f>W68/W$12</f>
        <v>3.9478607052775876E-4</v>
      </c>
      <c r="Y68" s="705">
        <v>382</v>
      </c>
      <c r="Z68" s="702">
        <f>Y68/Y$12</f>
        <v>2.6133290118287688E-4</v>
      </c>
      <c r="AA68" s="144">
        <f t="shared" si="21"/>
        <v>4584</v>
      </c>
      <c r="AB68" s="702">
        <f>AA68/AA12</f>
        <v>3.3655543471072065E-4</v>
      </c>
      <c r="AC68" s="128">
        <f t="shared" si="22"/>
        <v>382</v>
      </c>
      <c r="AD68" s="702">
        <f>AC68/AC12</f>
        <v>3.3655543471072059E-4</v>
      </c>
      <c r="AE68" s="645"/>
      <c r="AF68" s="226"/>
      <c r="AG68" s="226"/>
    </row>
    <row r="69" spans="1:33" s="1" customFormat="1">
      <c r="A69" s="188">
        <v>6128</v>
      </c>
      <c r="B69" s="188" t="s">
        <v>232</v>
      </c>
      <c r="C69" s="678">
        <v>0</v>
      </c>
      <c r="D69" s="702">
        <f>C69/C$12</f>
        <v>0</v>
      </c>
      <c r="E69" s="678">
        <v>0</v>
      </c>
      <c r="F69" s="702">
        <f>E69/E$12</f>
        <v>0</v>
      </c>
      <c r="G69" s="678">
        <v>0</v>
      </c>
      <c r="H69" s="702">
        <f>G69/G$12</f>
        <v>0</v>
      </c>
      <c r="I69" s="678">
        <v>0</v>
      </c>
      <c r="J69" s="702">
        <f>I69/I$12</f>
        <v>0</v>
      </c>
      <c r="K69" s="678">
        <v>0</v>
      </c>
      <c r="L69" s="702">
        <f>K69/K$12</f>
        <v>0</v>
      </c>
      <c r="M69" s="678">
        <v>0</v>
      </c>
      <c r="N69" s="702">
        <f>M69/M$12</f>
        <v>0</v>
      </c>
      <c r="O69" s="678">
        <v>0</v>
      </c>
      <c r="P69" s="702">
        <f>O69/O$12</f>
        <v>0</v>
      </c>
      <c r="Q69" s="678">
        <v>0</v>
      </c>
      <c r="R69" s="702">
        <f>Q69/Q$12</f>
        <v>0</v>
      </c>
      <c r="S69" s="678">
        <v>0</v>
      </c>
      <c r="T69" s="702">
        <f>S69/S$12</f>
        <v>0</v>
      </c>
      <c r="U69" s="678">
        <v>0</v>
      </c>
      <c r="V69" s="702">
        <f>U69/U$12</f>
        <v>0</v>
      </c>
      <c r="W69" s="678">
        <v>0</v>
      </c>
      <c r="X69" s="702">
        <f>W69/W$12</f>
        <v>0</v>
      </c>
      <c r="Y69" s="678">
        <v>0</v>
      </c>
      <c r="Z69" s="702">
        <f>Y69/Y$12</f>
        <v>0</v>
      </c>
      <c r="AA69" s="166">
        <f t="shared" si="21"/>
        <v>0</v>
      </c>
      <c r="AB69" s="684">
        <f t="shared" ref="AB69:AB74" si="23">AA69/AA$12</f>
        <v>0</v>
      </c>
      <c r="AC69" s="168">
        <f t="shared" si="22"/>
        <v>0</v>
      </c>
      <c r="AD69" s="684">
        <f t="shared" ref="AD69:AD74" si="24">AC69/AC$12</f>
        <v>0</v>
      </c>
      <c r="AE69" s="658"/>
      <c r="AF69" s="393"/>
      <c r="AG69" s="393"/>
    </row>
    <row r="70" spans="1:33" s="1" customFormat="1">
      <c r="A70" s="2">
        <v>6131</v>
      </c>
      <c r="B70" s="188" t="s">
        <v>314</v>
      </c>
      <c r="C70" s="767">
        <v>676.8189509306261</v>
      </c>
      <c r="D70" s="702">
        <f t="shared" ref="D70:D75" si="25">C70/C$12</f>
        <v>6.6069363268056295E-4</v>
      </c>
      <c r="E70" s="767">
        <v>676.8189509306261</v>
      </c>
      <c r="F70" s="702">
        <f t="shared" ref="F70:F75" si="26">E70/E$12</f>
        <v>8.492190093757477E-4</v>
      </c>
      <c r="G70" s="767">
        <v>676.8189509306261</v>
      </c>
      <c r="H70" s="702">
        <f t="shared" ref="H70:H75" si="27">G70/G$12</f>
        <v>5.1195471416369965E-4</v>
      </c>
      <c r="I70" s="767">
        <v>676.8189509306261</v>
      </c>
      <c r="J70" s="702">
        <f t="shared" ref="J70:J75" si="28">I70/I$12</f>
        <v>5.7979392824905672E-4</v>
      </c>
      <c r="K70" s="767">
        <v>676.8189509306261</v>
      </c>
      <c r="L70" s="702">
        <f t="shared" ref="L70:L75" si="29">K70/K$12</f>
        <v>6.3393039825532737E-4</v>
      </c>
      <c r="M70" s="767">
        <v>676.8189509306261</v>
      </c>
      <c r="N70" s="702">
        <f t="shared" ref="N70:N75" si="30">M70/M$12</f>
        <v>4.4706388431142073E-4</v>
      </c>
      <c r="O70" s="767">
        <v>676.8189509306261</v>
      </c>
      <c r="P70" s="702">
        <f t="shared" ref="P70:P75" si="31">O70/O$12</f>
        <v>7.0613876948136787E-4</v>
      </c>
      <c r="Q70" s="767">
        <v>676.8189509306261</v>
      </c>
      <c r="R70" s="702">
        <f t="shared" ref="R70:R75" si="32">Q70/Q$12</f>
        <v>5.6866921898176561E-4</v>
      </c>
      <c r="S70" s="767">
        <v>676.8189509306261</v>
      </c>
      <c r="T70" s="702">
        <f t="shared" ref="T70:T75" si="33">S70/S$12</f>
        <v>5.6450359130128631E-4</v>
      </c>
      <c r="U70" s="767">
        <v>676.8189509306261</v>
      </c>
      <c r="V70" s="702">
        <f t="shared" ref="V70:V75" si="34">U70/U$12</f>
        <v>7.1167290040302156E-4</v>
      </c>
      <c r="W70" s="767">
        <v>676.8189509306261</v>
      </c>
      <c r="X70" s="702">
        <f t="shared" ref="X70:X75" si="35">W70/W$12</f>
        <v>6.9947302119534511E-4</v>
      </c>
      <c r="Y70" s="767">
        <v>676.8189509306261</v>
      </c>
      <c r="Z70" s="702">
        <f t="shared" ref="Z70:Z75" si="36">Y70/Y$12</f>
        <v>4.6302371733573748E-4</v>
      </c>
      <c r="AA70" s="144">
        <f t="shared" si="21"/>
        <v>8121.8274111675119</v>
      </c>
      <c r="AB70" s="702">
        <f t="shared" si="23"/>
        <v>5.9630129908615377E-4</v>
      </c>
      <c r="AC70" s="128">
        <f t="shared" si="22"/>
        <v>676.81895093062599</v>
      </c>
      <c r="AD70" s="702">
        <f t="shared" si="24"/>
        <v>5.9630129908615367E-4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766">
        <v>46.531302876480538</v>
      </c>
      <c r="D71" s="702">
        <f t="shared" si="25"/>
        <v>4.54226872467887E-5</v>
      </c>
      <c r="E71" s="766">
        <v>46.531302876480538</v>
      </c>
      <c r="F71" s="702">
        <f t="shared" si="26"/>
        <v>5.8383806894582644E-5</v>
      </c>
      <c r="G71" s="766">
        <v>46.531302876480538</v>
      </c>
      <c r="H71" s="702">
        <f t="shared" si="27"/>
        <v>3.5196886598754346E-5</v>
      </c>
      <c r="I71" s="766">
        <v>46.531302876480538</v>
      </c>
      <c r="J71" s="702">
        <f t="shared" si="28"/>
        <v>3.986083256712264E-5</v>
      </c>
      <c r="K71" s="766">
        <v>46.531302876480538</v>
      </c>
      <c r="L71" s="702">
        <f t="shared" si="29"/>
        <v>4.3582714880053751E-5</v>
      </c>
      <c r="M71" s="766">
        <v>46.531302876480538</v>
      </c>
      <c r="N71" s="702">
        <f t="shared" si="30"/>
        <v>3.0735642046410174E-5</v>
      </c>
      <c r="O71" s="766">
        <v>46.531302876480538</v>
      </c>
      <c r="P71" s="702">
        <f t="shared" si="31"/>
        <v>4.8547040401844028E-5</v>
      </c>
      <c r="Q71" s="766">
        <v>46.531302876480538</v>
      </c>
      <c r="R71" s="702">
        <f t="shared" si="32"/>
        <v>3.9096008804996384E-5</v>
      </c>
      <c r="S71" s="766">
        <v>46.531302876480538</v>
      </c>
      <c r="T71" s="702">
        <f t="shared" si="33"/>
        <v>3.8809621901963426E-5</v>
      </c>
      <c r="U71" s="766">
        <v>46.531302876480538</v>
      </c>
      <c r="V71" s="702">
        <f t="shared" si="34"/>
        <v>4.8927511902707724E-5</v>
      </c>
      <c r="W71" s="766">
        <v>46.531302876480538</v>
      </c>
      <c r="X71" s="702">
        <f t="shared" si="35"/>
        <v>4.8088770207179974E-5</v>
      </c>
      <c r="Y71" s="766">
        <v>46.531302876480538</v>
      </c>
      <c r="Z71" s="702">
        <f t="shared" si="36"/>
        <v>3.1832880566831945E-5</v>
      </c>
      <c r="AA71" s="144">
        <f t="shared" si="21"/>
        <v>558.37563451776646</v>
      </c>
      <c r="AB71" s="702">
        <f t="shared" si="23"/>
        <v>4.0995714312173067E-5</v>
      </c>
      <c r="AC71" s="128">
        <f t="shared" si="22"/>
        <v>46.531302876480538</v>
      </c>
      <c r="AD71" s="702">
        <f t="shared" si="24"/>
        <v>4.0995714312173067E-5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25"/>
        <v>9.7617484228553167E-5</v>
      </c>
      <c r="E72" s="676">
        <v>100</v>
      </c>
      <c r="F72" s="702">
        <f t="shared" si="26"/>
        <v>1.2547210863526672E-4</v>
      </c>
      <c r="G72" s="676">
        <v>100</v>
      </c>
      <c r="H72" s="702">
        <f t="shared" si="27"/>
        <v>7.5641309017686632E-5</v>
      </c>
      <c r="I72" s="676">
        <v>100</v>
      </c>
      <c r="J72" s="702">
        <f t="shared" si="28"/>
        <v>8.5664552898798114E-5</v>
      </c>
      <c r="K72" s="676">
        <v>100</v>
      </c>
      <c r="L72" s="702">
        <f t="shared" si="29"/>
        <v>9.3663216342224613E-5</v>
      </c>
      <c r="M72" s="676">
        <v>100</v>
      </c>
      <c r="N72" s="702">
        <f t="shared" si="30"/>
        <v>6.6053688907012409E-5</v>
      </c>
      <c r="O72" s="676">
        <v>100</v>
      </c>
      <c r="P72" s="702">
        <f t="shared" si="31"/>
        <v>1.0433200319087209E-4</v>
      </c>
      <c r="Q72" s="676">
        <v>100</v>
      </c>
      <c r="R72" s="702">
        <f t="shared" si="32"/>
        <v>8.4020877104555868E-5</v>
      </c>
      <c r="S72" s="676">
        <v>100</v>
      </c>
      <c r="T72" s="702">
        <f t="shared" si="33"/>
        <v>8.3405405614765047E-5</v>
      </c>
      <c r="U72" s="676">
        <v>100</v>
      </c>
      <c r="V72" s="702">
        <f t="shared" si="34"/>
        <v>1.0514967103454642E-4</v>
      </c>
      <c r="W72" s="676">
        <v>100</v>
      </c>
      <c r="X72" s="702">
        <f t="shared" si="35"/>
        <v>1.0334713888161224E-4</v>
      </c>
      <c r="Y72" s="676">
        <v>100</v>
      </c>
      <c r="Z72" s="702">
        <f t="shared" si="36"/>
        <v>6.8411754236355208E-5</v>
      </c>
      <c r="AA72" s="144">
        <f t="shared" si="21"/>
        <v>1200</v>
      </c>
      <c r="AB72" s="702">
        <f t="shared" si="23"/>
        <v>8.8103516939979219E-5</v>
      </c>
      <c r="AC72" s="128">
        <f t="shared" si="22"/>
        <v>100</v>
      </c>
      <c r="AD72" s="702">
        <f t="shared" si="24"/>
        <v>8.8103516939979206E-5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676">
        <v>118.44331641285957</v>
      </c>
      <c r="D73" s="702">
        <f t="shared" si="25"/>
        <v>1.1562138571909852E-4</v>
      </c>
      <c r="E73" s="676">
        <v>118.44331641285957</v>
      </c>
      <c r="F73" s="702">
        <f t="shared" si="26"/>
        <v>1.4861332664075586E-4</v>
      </c>
      <c r="G73" s="676">
        <v>118.44331641285957</v>
      </c>
      <c r="H73" s="702">
        <f t="shared" si="27"/>
        <v>8.9592074978647455E-5</v>
      </c>
      <c r="I73" s="676">
        <v>118.44331641285957</v>
      </c>
      <c r="J73" s="702">
        <f t="shared" si="28"/>
        <v>1.0146393744358493E-4</v>
      </c>
      <c r="K73" s="676">
        <v>118.44331641285957</v>
      </c>
      <c r="L73" s="702">
        <f t="shared" si="29"/>
        <v>1.1093781969468229E-4</v>
      </c>
      <c r="M73" s="676">
        <v>118.44331641285957</v>
      </c>
      <c r="N73" s="702">
        <f t="shared" si="30"/>
        <v>7.8236179754498641E-5</v>
      </c>
      <c r="O73" s="676">
        <v>118.44331641285957</v>
      </c>
      <c r="P73" s="702">
        <f t="shared" si="31"/>
        <v>1.2357428465923937E-4</v>
      </c>
      <c r="Q73" s="676">
        <v>118.44331641285957</v>
      </c>
      <c r="R73" s="702">
        <f t="shared" si="32"/>
        <v>9.9517113321808984E-5</v>
      </c>
      <c r="S73" s="676">
        <v>118.44331641285957</v>
      </c>
      <c r="T73" s="702">
        <f t="shared" si="33"/>
        <v>9.8788128477725112E-5</v>
      </c>
      <c r="U73" s="676">
        <v>118.44331641285957</v>
      </c>
      <c r="V73" s="702">
        <f t="shared" si="34"/>
        <v>1.2454275757052877E-4</v>
      </c>
      <c r="W73" s="676">
        <v>118.44331641285957</v>
      </c>
      <c r="X73" s="702">
        <f t="shared" si="35"/>
        <v>1.224077787091854E-4</v>
      </c>
      <c r="Y73" s="676">
        <v>118.44331641285957</v>
      </c>
      <c r="Z73" s="702">
        <f t="shared" si="36"/>
        <v>8.1029150533754054E-5</v>
      </c>
      <c r="AA73" s="144">
        <f t="shared" si="21"/>
        <v>1421.3197969543146</v>
      </c>
      <c r="AB73" s="702">
        <f t="shared" si="23"/>
        <v>1.043527273400769E-4</v>
      </c>
      <c r="AC73" s="128">
        <f t="shared" si="22"/>
        <v>118.44331641285955</v>
      </c>
      <c r="AD73" s="702">
        <f t="shared" si="24"/>
        <v>1.0435272734007689E-4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25"/>
        <v>0</v>
      </c>
      <c r="E74" s="676">
        <v>0</v>
      </c>
      <c r="F74" s="702">
        <f t="shared" si="26"/>
        <v>0</v>
      </c>
      <c r="G74" s="676">
        <v>0</v>
      </c>
      <c r="H74" s="702">
        <f t="shared" si="27"/>
        <v>0</v>
      </c>
      <c r="I74" s="676">
        <v>0</v>
      </c>
      <c r="J74" s="702">
        <f t="shared" si="28"/>
        <v>0</v>
      </c>
      <c r="K74" s="676">
        <v>0</v>
      </c>
      <c r="L74" s="702">
        <f t="shared" si="29"/>
        <v>0</v>
      </c>
      <c r="M74" s="676">
        <v>0</v>
      </c>
      <c r="N74" s="702">
        <f t="shared" si="30"/>
        <v>0</v>
      </c>
      <c r="O74" s="676">
        <v>0</v>
      </c>
      <c r="P74" s="702">
        <f t="shared" si="31"/>
        <v>0</v>
      </c>
      <c r="Q74" s="676">
        <v>0</v>
      </c>
      <c r="R74" s="702">
        <f t="shared" si="32"/>
        <v>0</v>
      </c>
      <c r="S74" s="676">
        <v>0</v>
      </c>
      <c r="T74" s="702">
        <f t="shared" si="33"/>
        <v>0</v>
      </c>
      <c r="U74" s="676">
        <v>0</v>
      </c>
      <c r="V74" s="702">
        <f t="shared" si="34"/>
        <v>0</v>
      </c>
      <c r="W74" s="676">
        <v>0</v>
      </c>
      <c r="X74" s="702">
        <f t="shared" si="35"/>
        <v>0</v>
      </c>
      <c r="Y74" s="676">
        <v>0</v>
      </c>
      <c r="Z74" s="702">
        <f t="shared" si="36"/>
        <v>0</v>
      </c>
      <c r="AA74" s="144">
        <f t="shared" si="21"/>
        <v>0</v>
      </c>
      <c r="AB74" s="702">
        <f t="shared" si="23"/>
        <v>0</v>
      </c>
      <c r="AC74" s="128">
        <f t="shared" si="22"/>
        <v>0</v>
      </c>
      <c r="AD74" s="702">
        <f t="shared" si="24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766">
        <v>155</v>
      </c>
      <c r="D75" s="702">
        <f t="shared" si="25"/>
        <v>1.5130710055425741E-4</v>
      </c>
      <c r="E75" s="766">
        <v>155</v>
      </c>
      <c r="F75" s="702">
        <f t="shared" si="26"/>
        <v>1.9448176838466342E-4</v>
      </c>
      <c r="G75" s="766">
        <v>155</v>
      </c>
      <c r="H75" s="702">
        <f t="shared" si="27"/>
        <v>1.1724402897741428E-4</v>
      </c>
      <c r="I75" s="766">
        <v>155</v>
      </c>
      <c r="J75" s="702">
        <f t="shared" si="28"/>
        <v>1.3278005699313708E-4</v>
      </c>
      <c r="K75" s="766">
        <v>155</v>
      </c>
      <c r="L75" s="702">
        <f t="shared" si="29"/>
        <v>1.4517798533044814E-4</v>
      </c>
      <c r="M75" s="766">
        <v>155</v>
      </c>
      <c r="N75" s="702">
        <f t="shared" si="30"/>
        <v>1.0238321780586925E-4</v>
      </c>
      <c r="O75" s="766">
        <v>155</v>
      </c>
      <c r="P75" s="702">
        <f t="shared" si="31"/>
        <v>1.6171460494585174E-4</v>
      </c>
      <c r="Q75" s="766">
        <v>155</v>
      </c>
      <c r="R75" s="702">
        <f t="shared" si="32"/>
        <v>1.302323595120616E-4</v>
      </c>
      <c r="S75" s="766">
        <v>155</v>
      </c>
      <c r="T75" s="702">
        <f t="shared" si="33"/>
        <v>1.2927837870288581E-4</v>
      </c>
      <c r="U75" s="766">
        <v>155</v>
      </c>
      <c r="V75" s="702">
        <f t="shared" si="34"/>
        <v>1.6298199010354695E-4</v>
      </c>
      <c r="W75" s="766">
        <v>155</v>
      </c>
      <c r="X75" s="702">
        <f t="shared" si="35"/>
        <v>1.6018806526649898E-4</v>
      </c>
      <c r="Y75" s="766">
        <v>155</v>
      </c>
      <c r="Z75" s="702">
        <f t="shared" si="36"/>
        <v>1.0603821906635057E-4</v>
      </c>
      <c r="AA75" s="144">
        <f t="shared" si="21"/>
        <v>1860</v>
      </c>
      <c r="AB75" s="702">
        <f t="shared" ref="AB75:AD75" si="37">AA75/AA$12</f>
        <v>1.3656045125696781E-4</v>
      </c>
      <c r="AC75" s="128">
        <f t="shared" si="22"/>
        <v>155</v>
      </c>
      <c r="AD75" s="702">
        <f t="shared" si="37"/>
        <v>1.3656045125696778E-4</v>
      </c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400">
        <f>SUM(C42:C75)</f>
        <v>294118.53637455154</v>
      </c>
      <c r="D76" s="401">
        <f>C76/C12</f>
        <v>0.28711111585867927</v>
      </c>
      <c r="E76" s="400">
        <f>SUM(E42:E75)</f>
        <v>293572.73611116194</v>
      </c>
      <c r="F76" s="401">
        <f>E76/E12</f>
        <v>0.368351902376922</v>
      </c>
      <c r="G76" s="400">
        <f>SUM(G42:G75)</f>
        <v>294832.82988385012</v>
      </c>
      <c r="H76" s="401">
        <f>G76/G12</f>
        <v>0.2230154119380334</v>
      </c>
      <c r="I76" s="400">
        <f>SUM(I42:I75)</f>
        <v>294461.58596302697</v>
      </c>
      <c r="J76" s="401">
        <f>I76/I12</f>
        <v>0.25224920107393711</v>
      </c>
      <c r="K76" s="400">
        <f>SUM(K42:K75)</f>
        <v>294222.33238267928</v>
      </c>
      <c r="L76" s="401">
        <f>K76/K12</f>
        <v>0.27557809970672809</v>
      </c>
      <c r="M76" s="400">
        <f>SUM(M42:M75)</f>
        <v>295543.36838875053</v>
      </c>
      <c r="N76" s="401">
        <f>M76/M12</f>
        <v>0.19521729714081093</v>
      </c>
      <c r="O76" s="400">
        <f>SUM(O42:O75)</f>
        <v>293960.30923044583</v>
      </c>
      <c r="P76" s="401">
        <f>O76/O12</f>
        <v>0.30669467920620619</v>
      </c>
      <c r="Q76" s="400">
        <f>SUM(Q42:Q75)</f>
        <v>294516.39334254089</v>
      </c>
      <c r="R76" s="401">
        <f>Q76/Q12</f>
        <v>0.24745525690310663</v>
      </c>
      <c r="S76" s="400">
        <f>SUM(S42:S75)</f>
        <v>294787.47174887103</v>
      </c>
      <c r="T76" s="401">
        <f>S76/S12</f>
        <v>0.24586868651365681</v>
      </c>
      <c r="U76" s="400">
        <f>SUM(U42:U75)</f>
        <v>293930.51785963704</v>
      </c>
      <c r="V76" s="401">
        <f>U76/U12</f>
        <v>0.30906697259954707</v>
      </c>
      <c r="W76" s="400">
        <f>SUM(W42:W75)</f>
        <v>293970.32746622543</v>
      </c>
      <c r="X76" s="401">
        <f>W76/W12</f>
        <v>0.30380992259725026</v>
      </c>
      <c r="Y76" s="400">
        <f>SUM(Y42:Y75)</f>
        <v>295406.22614776233</v>
      </c>
      <c r="Z76" s="401">
        <f>Y76/Y12</f>
        <v>0.20209258143109882</v>
      </c>
      <c r="AA76" s="150">
        <f>SUM(AA42:AA75)</f>
        <v>3533322.634899504</v>
      </c>
      <c r="AB76" s="401">
        <f>AA76/AA12</f>
        <v>0.25941512551523371</v>
      </c>
      <c r="AC76" s="135">
        <f>SUM(AC42:AC75)</f>
        <v>294443.55290829192</v>
      </c>
      <c r="AD76" s="401">
        <f>AC76/AC12</f>
        <v>0.2594151255152336</v>
      </c>
      <c r="AE76" s="658"/>
      <c r="AF76" s="393"/>
      <c r="AG76" s="393"/>
    </row>
    <row r="77" spans="1:33" s="1" customFormat="1" ht="15.75" thickTop="1">
      <c r="A77" s="188">
        <v>6201</v>
      </c>
      <c r="B77" s="228" t="s">
        <v>24</v>
      </c>
      <c r="C77" s="704">
        <v>57600</v>
      </c>
      <c r="D77" s="68">
        <f>C77/C12</f>
        <v>5.6227670915646628E-2</v>
      </c>
      <c r="E77" s="704">
        <v>57600</v>
      </c>
      <c r="F77" s="68">
        <f>E77/E12</f>
        <v>7.2271934573913621E-2</v>
      </c>
      <c r="G77" s="704">
        <v>57600</v>
      </c>
      <c r="H77" s="68">
        <f>G77/G12</f>
        <v>4.3569393994187494E-2</v>
      </c>
      <c r="I77" s="704">
        <v>57600</v>
      </c>
      <c r="J77" s="68">
        <f>I77/I12</f>
        <v>4.9342782469707719E-2</v>
      </c>
      <c r="K77" s="704">
        <v>57600</v>
      </c>
      <c r="L77" s="68">
        <f>K77/K12</f>
        <v>5.3950012613121372E-2</v>
      </c>
      <c r="M77" s="704">
        <v>57600</v>
      </c>
      <c r="N77" s="68">
        <f>M77/M12</f>
        <v>3.8046924810439149E-2</v>
      </c>
      <c r="O77" s="704">
        <v>57600</v>
      </c>
      <c r="P77" s="68">
        <f>O77/O12</f>
        <v>6.0095233837942325E-2</v>
      </c>
      <c r="Q77" s="704">
        <v>57600</v>
      </c>
      <c r="R77" s="68">
        <f>Q77/Q12</f>
        <v>4.8396025212224178E-2</v>
      </c>
      <c r="S77" s="704">
        <v>57600</v>
      </c>
      <c r="T77" s="68">
        <f>S77/S12</f>
        <v>4.8041513634104666E-2</v>
      </c>
      <c r="U77" s="704">
        <v>57600</v>
      </c>
      <c r="V77" s="68">
        <f>U77/U12</f>
        <v>6.0566210515898736E-2</v>
      </c>
      <c r="W77" s="704">
        <v>57600</v>
      </c>
      <c r="X77" s="68">
        <f>W77/W12</f>
        <v>5.9527951995808646E-2</v>
      </c>
      <c r="Y77" s="704">
        <v>57600</v>
      </c>
      <c r="Z77" s="68">
        <f>Y77/Y12</f>
        <v>3.9405170440140601E-2</v>
      </c>
      <c r="AA77" s="144">
        <f t="shared" ref="AA77:AA92" si="38">C77+E77+G77+I77+K77+M77+O77+Q77+S77+U77+W77+Y77</f>
        <v>691200</v>
      </c>
      <c r="AB77" s="68">
        <f>AA77/AA12</f>
        <v>5.0747625757428035E-2</v>
      </c>
      <c r="AC77" s="128">
        <f t="shared" ref="AC77:AC92" si="39">AA77/12</f>
        <v>57600</v>
      </c>
      <c r="AD77" s="68">
        <f>AC77/AC12</f>
        <v>5.0747625757428028E-2</v>
      </c>
      <c r="AE77" s="658" t="s">
        <v>303</v>
      </c>
      <c r="AF77" s="393"/>
      <c r="AG77" s="393"/>
    </row>
    <row r="78" spans="1:33" s="1" customFormat="1">
      <c r="A78" s="2">
        <v>6202</v>
      </c>
      <c r="B78" s="228" t="s">
        <v>25</v>
      </c>
      <c r="C78" s="704">
        <v>28800</v>
      </c>
      <c r="D78" s="68">
        <f>C78/C12</f>
        <v>2.8113835457823314E-2</v>
      </c>
      <c r="E78" s="704">
        <v>28800</v>
      </c>
      <c r="F78" s="68">
        <f>E78/E12</f>
        <v>3.613596728695681E-2</v>
      </c>
      <c r="G78" s="704">
        <v>28800</v>
      </c>
      <c r="H78" s="68">
        <f>G78/G12</f>
        <v>2.1784696997093747E-2</v>
      </c>
      <c r="I78" s="704">
        <v>28800</v>
      </c>
      <c r="J78" s="68">
        <f>I78/I12</f>
        <v>2.4671391234853859E-2</v>
      </c>
      <c r="K78" s="704">
        <v>28800</v>
      </c>
      <c r="L78" s="68">
        <f>K78/K12</f>
        <v>2.6975006306560686E-2</v>
      </c>
      <c r="M78" s="704">
        <v>28800</v>
      </c>
      <c r="N78" s="68">
        <f>M78/M12</f>
        <v>1.9023462405219575E-2</v>
      </c>
      <c r="O78" s="704">
        <v>28800</v>
      </c>
      <c r="P78" s="68">
        <f>O78/O12</f>
        <v>3.0047616918971162E-2</v>
      </c>
      <c r="Q78" s="704">
        <v>28800</v>
      </c>
      <c r="R78" s="68">
        <f>Q78/Q12</f>
        <v>2.4198012606112089E-2</v>
      </c>
      <c r="S78" s="704">
        <v>28800</v>
      </c>
      <c r="T78" s="68">
        <f>S78/S12</f>
        <v>2.4020756817052333E-2</v>
      </c>
      <c r="U78" s="704">
        <v>28800</v>
      </c>
      <c r="V78" s="68">
        <f>U78/U12</f>
        <v>3.0283105257949368E-2</v>
      </c>
      <c r="W78" s="704">
        <v>28800</v>
      </c>
      <c r="X78" s="68">
        <f>W78/W12</f>
        <v>2.9763975997904323E-2</v>
      </c>
      <c r="Y78" s="704">
        <v>28800</v>
      </c>
      <c r="Z78" s="68">
        <f>Y78/Y12</f>
        <v>1.97025852200703E-2</v>
      </c>
      <c r="AA78" s="144">
        <f t="shared" si="38"/>
        <v>345600</v>
      </c>
      <c r="AB78" s="68">
        <f>AA78/AA12</f>
        <v>2.5373812878714017E-2</v>
      </c>
      <c r="AC78" s="128">
        <f t="shared" si="39"/>
        <v>28800</v>
      </c>
      <c r="AD78" s="68">
        <f>AC78/AC12</f>
        <v>2.5373812878714014E-2</v>
      </c>
      <c r="AE78" s="658"/>
      <c r="AF78" s="393"/>
      <c r="AG78" s="393"/>
    </row>
    <row r="79" spans="1:33" s="1" customFormat="1">
      <c r="A79" s="2">
        <v>6203</v>
      </c>
      <c r="B79" s="228" t="s">
        <v>26</v>
      </c>
      <c r="C79" s="704">
        <v>9600</v>
      </c>
      <c r="D79" s="68">
        <f>C79/C12</f>
        <v>9.3712784859411036E-3</v>
      </c>
      <c r="E79" s="704">
        <v>9600</v>
      </c>
      <c r="F79" s="68">
        <f>E79/E12</f>
        <v>1.2045322428985605E-2</v>
      </c>
      <c r="G79" s="704">
        <v>9600</v>
      </c>
      <c r="H79" s="68">
        <f>G79/G12</f>
        <v>7.2615656656979163E-3</v>
      </c>
      <c r="I79" s="704">
        <v>9600</v>
      </c>
      <c r="J79" s="68">
        <f>I79/I12</f>
        <v>8.2237970782846198E-3</v>
      </c>
      <c r="K79" s="704">
        <v>9600</v>
      </c>
      <c r="L79" s="68">
        <f>K79/K12</f>
        <v>8.9916687688535619E-3</v>
      </c>
      <c r="M79" s="704">
        <v>9600</v>
      </c>
      <c r="N79" s="68">
        <f>M79/M12</f>
        <v>6.3411541350731912E-3</v>
      </c>
      <c r="O79" s="704">
        <v>9600</v>
      </c>
      <c r="P79" s="68">
        <f>O79/O12</f>
        <v>1.001587230632372E-2</v>
      </c>
      <c r="Q79" s="704">
        <v>9600</v>
      </c>
      <c r="R79" s="68">
        <f>Q79/Q12</f>
        <v>8.0660042020373624E-3</v>
      </c>
      <c r="S79" s="704">
        <v>9600</v>
      </c>
      <c r="T79" s="68">
        <f>S79/S12</f>
        <v>8.0069189390174437E-3</v>
      </c>
      <c r="U79" s="704">
        <v>9600</v>
      </c>
      <c r="V79" s="68">
        <f>U79/U12</f>
        <v>1.0094368419316456E-2</v>
      </c>
      <c r="W79" s="704">
        <v>9600</v>
      </c>
      <c r="X79" s="68">
        <f>W79/W12</f>
        <v>9.9213253326347756E-3</v>
      </c>
      <c r="Y79" s="704">
        <v>9600</v>
      </c>
      <c r="Z79" s="68">
        <f>Y79/Y12</f>
        <v>6.5675284066900996E-3</v>
      </c>
      <c r="AA79" s="144">
        <f t="shared" si="38"/>
        <v>115200</v>
      </c>
      <c r="AB79" s="68">
        <f>AA79/AA12</f>
        <v>8.4579376262380046E-3</v>
      </c>
      <c r="AC79" s="128">
        <f t="shared" si="39"/>
        <v>9600</v>
      </c>
      <c r="AD79" s="68">
        <f>AC79/AC12</f>
        <v>8.4579376262380046E-3</v>
      </c>
      <c r="AE79" s="658"/>
      <c r="AF79" s="393"/>
      <c r="AG79" s="393"/>
    </row>
    <row r="80" spans="1:33" s="1" customFormat="1">
      <c r="A80" s="2">
        <v>6204</v>
      </c>
      <c r="B80" s="228" t="s">
        <v>27</v>
      </c>
      <c r="C80" s="292"/>
      <c r="D80" s="68">
        <f>C80/C12</f>
        <v>0</v>
      </c>
      <c r="E80" s="704"/>
      <c r="F80" s="68">
        <f>E80/E12</f>
        <v>0</v>
      </c>
      <c r="G80" s="704"/>
      <c r="H80" s="68">
        <f>G80/G12</f>
        <v>0</v>
      </c>
      <c r="I80" s="704"/>
      <c r="J80" s="68">
        <f>I80/I12</f>
        <v>0</v>
      </c>
      <c r="K80" s="704"/>
      <c r="L80" s="68">
        <f>K80/K12</f>
        <v>0</v>
      </c>
      <c r="M80" s="704"/>
      <c r="N80" s="68">
        <f>M80/M12</f>
        <v>0</v>
      </c>
      <c r="O80" s="704"/>
      <c r="P80" s="68">
        <f>O80/O12</f>
        <v>0</v>
      </c>
      <c r="Q80" s="704"/>
      <c r="R80" s="68">
        <f>Q80/Q12</f>
        <v>0</v>
      </c>
      <c r="S80" s="704"/>
      <c r="T80" s="68">
        <f>S80/S12</f>
        <v>0</v>
      </c>
      <c r="U80" s="704"/>
      <c r="V80" s="68">
        <f>U80/U12</f>
        <v>0</v>
      </c>
      <c r="W80" s="704"/>
      <c r="X80" s="68">
        <f>W80/W12</f>
        <v>0</v>
      </c>
      <c r="Y80" s="704"/>
      <c r="Z80" s="68">
        <f>Y80/Y12</f>
        <v>0</v>
      </c>
      <c r="AA80" s="144">
        <f t="shared" si="38"/>
        <v>0</v>
      </c>
      <c r="AB80" s="68">
        <f>AA80/AA12</f>
        <v>0</v>
      </c>
      <c r="AC80" s="128">
        <f t="shared" si="39"/>
        <v>0</v>
      </c>
      <c r="AD80" s="68">
        <f>AC80/AC12</f>
        <v>0</v>
      </c>
      <c r="AE80" s="658"/>
      <c r="AF80" s="393"/>
      <c r="AG80" s="393"/>
    </row>
    <row r="81" spans="1:33" s="1" customFormat="1">
      <c r="A81" s="2">
        <v>6205</v>
      </c>
      <c r="B81" s="228" t="s">
        <v>28</v>
      </c>
      <c r="C81" s="292"/>
      <c r="D81" s="68">
        <f>C81/C12</f>
        <v>0</v>
      </c>
      <c r="E81" s="704"/>
      <c r="F81" s="68">
        <f>E81/E12</f>
        <v>0</v>
      </c>
      <c r="G81" s="704"/>
      <c r="H81" s="68">
        <f>G81/G12</f>
        <v>0</v>
      </c>
      <c r="I81" s="704"/>
      <c r="J81" s="68">
        <f>I81/I12</f>
        <v>0</v>
      </c>
      <c r="K81" s="704"/>
      <c r="L81" s="68">
        <f>K81/K12</f>
        <v>0</v>
      </c>
      <c r="M81" s="704"/>
      <c r="N81" s="68">
        <f>M81/M12</f>
        <v>0</v>
      </c>
      <c r="O81" s="704"/>
      <c r="P81" s="68">
        <f>O81/O12</f>
        <v>0</v>
      </c>
      <c r="Q81" s="704"/>
      <c r="R81" s="68">
        <f>Q81/Q12</f>
        <v>0</v>
      </c>
      <c r="S81" s="704"/>
      <c r="T81" s="68">
        <f>S81/S12</f>
        <v>0</v>
      </c>
      <c r="U81" s="704"/>
      <c r="V81" s="68">
        <f>U81/U12</f>
        <v>0</v>
      </c>
      <c r="W81" s="704"/>
      <c r="X81" s="68">
        <f>W81/W12</f>
        <v>0</v>
      </c>
      <c r="Y81" s="704"/>
      <c r="Z81" s="68">
        <f>Y81/Y12</f>
        <v>0</v>
      </c>
      <c r="AA81" s="144">
        <f t="shared" si="38"/>
        <v>0</v>
      </c>
      <c r="AB81" s="68">
        <f>AA81/AA12</f>
        <v>0</v>
      </c>
      <c r="AC81" s="128">
        <f t="shared" si="39"/>
        <v>0</v>
      </c>
      <c r="AD81" s="68">
        <f>AC81/AC12</f>
        <v>0</v>
      </c>
      <c r="AE81" s="658"/>
      <c r="AF81" s="393"/>
      <c r="AG81" s="393"/>
    </row>
    <row r="82" spans="1:33" s="1" customFormat="1">
      <c r="A82" s="2">
        <v>6206</v>
      </c>
      <c r="B82" s="188" t="s">
        <v>217</v>
      </c>
      <c r="C82" s="714">
        <v>1629.8666666666668</v>
      </c>
      <c r="D82" s="68">
        <f>C82/C12</f>
        <v>1.5910348362797788E-3</v>
      </c>
      <c r="E82" s="714">
        <v>1629.8666666666668</v>
      </c>
      <c r="F82" s="68">
        <f>E82/E12</f>
        <v>2.0450280746100004E-3</v>
      </c>
      <c r="G82" s="714">
        <v>1629.8666666666668</v>
      </c>
      <c r="H82" s="68">
        <f>G82/G12</f>
        <v>1.2328524819096018E-3</v>
      </c>
      <c r="I82" s="714">
        <v>1629.8666666666668</v>
      </c>
      <c r="J82" s="68">
        <f>I82/I12</f>
        <v>1.3962179928465443E-3</v>
      </c>
      <c r="K82" s="714">
        <v>1629.8666666666668</v>
      </c>
      <c r="L82" s="702">
        <f>K82/K12</f>
        <v>1.5265855420898049E-3</v>
      </c>
      <c r="M82" s="714">
        <v>1629.8666666666668</v>
      </c>
      <c r="N82" s="68">
        <f>M82/M12</f>
        <v>1.076587057599093E-3</v>
      </c>
      <c r="O82" s="714">
        <v>1629.8666666666668</v>
      </c>
      <c r="P82" s="68">
        <f>O82/O12</f>
        <v>1.7004725426736274E-3</v>
      </c>
      <c r="Q82" s="714">
        <v>1629.8666666666668</v>
      </c>
      <c r="R82" s="68">
        <f>Q82/Q12</f>
        <v>1.3694282689681212E-3</v>
      </c>
      <c r="S82" s="714">
        <v>1629.8666666666668</v>
      </c>
      <c r="T82" s="68">
        <f>S82/S12</f>
        <v>1.3593969043131839E-3</v>
      </c>
      <c r="U82" s="714">
        <v>1629.8666666666668</v>
      </c>
      <c r="V82" s="68">
        <f>U82/U12</f>
        <v>1.7137994383017274E-3</v>
      </c>
      <c r="W82" s="714">
        <v>1629.8666666666668</v>
      </c>
      <c r="X82" s="68">
        <f>W82/W12</f>
        <v>1.6844205675851042E-3</v>
      </c>
      <c r="Y82" s="714">
        <v>1629.8666666666668</v>
      </c>
      <c r="Z82" s="68">
        <f>Y82/Y12</f>
        <v>1.1150203783802748E-3</v>
      </c>
      <c r="AA82" s="144">
        <f t="shared" si="38"/>
        <v>19558.400000000001</v>
      </c>
      <c r="AB82" s="68">
        <f>AA82/AA12</f>
        <v>1.4359698547657415E-3</v>
      </c>
      <c r="AC82" s="128">
        <f t="shared" si="39"/>
        <v>1629.8666666666668</v>
      </c>
      <c r="AD82" s="68">
        <f>AC82/AC12</f>
        <v>1.4359698547657413E-3</v>
      </c>
      <c r="AE82" s="658"/>
      <c r="AF82" s="393"/>
      <c r="AG82" s="393"/>
    </row>
    <row r="83" spans="1:33" s="1" customFormat="1">
      <c r="A83" s="2">
        <v>6207</v>
      </c>
      <c r="B83" s="2" t="s">
        <v>218</v>
      </c>
      <c r="C83" s="714">
        <v>5316.666666666667</v>
      </c>
      <c r="D83" s="68">
        <f>C83/C$12</f>
        <v>5.1899962448180769E-3</v>
      </c>
      <c r="E83" s="714">
        <v>5316.666666666667</v>
      </c>
      <c r="F83" s="68">
        <f>E83/E$12</f>
        <v>6.6709337757750141E-3</v>
      </c>
      <c r="G83" s="714">
        <v>5316.666666666667</v>
      </c>
      <c r="H83" s="68">
        <f>G83/G$12</f>
        <v>4.0215962627736723E-3</v>
      </c>
      <c r="I83" s="714">
        <v>5316.666666666667</v>
      </c>
      <c r="J83" s="68">
        <f>I83/I$12</f>
        <v>4.5544987291194338E-3</v>
      </c>
      <c r="K83" s="714">
        <v>5316.666666666667</v>
      </c>
      <c r="L83" s="68">
        <f>K83/K$12</f>
        <v>4.9797610021949422E-3</v>
      </c>
      <c r="M83" s="714">
        <v>5316.666666666667</v>
      </c>
      <c r="N83" s="68">
        <f>M83/M$12</f>
        <v>3.5118544602228269E-3</v>
      </c>
      <c r="O83" s="714">
        <v>5316.666666666667</v>
      </c>
      <c r="P83" s="68">
        <f>O83/O$12</f>
        <v>5.5469848363146994E-3</v>
      </c>
      <c r="Q83" s="714">
        <v>5316.666666666667</v>
      </c>
      <c r="R83" s="68">
        <f>Q83/Q$12</f>
        <v>4.4671099660588869E-3</v>
      </c>
      <c r="S83" s="714">
        <v>5316.666666666667</v>
      </c>
      <c r="T83" s="68">
        <f>S83/S$12</f>
        <v>4.4343873985183422E-3</v>
      </c>
      <c r="U83" s="714">
        <v>5316.666666666667</v>
      </c>
      <c r="V83" s="68">
        <f>U83/U$12</f>
        <v>5.5904575100033851E-3</v>
      </c>
      <c r="W83" s="714">
        <v>5316.666666666667</v>
      </c>
      <c r="X83" s="68">
        <f>W83/W$12</f>
        <v>5.4946228838723844E-3</v>
      </c>
      <c r="Y83" s="714">
        <v>5316.666666666667</v>
      </c>
      <c r="Z83" s="68">
        <f>Y83/Y$12</f>
        <v>3.6372249335662188E-3</v>
      </c>
      <c r="AA83" s="144">
        <f t="shared" si="38"/>
        <v>63799.999999999993</v>
      </c>
      <c r="AB83" s="68">
        <f>AA83/AA$12</f>
        <v>4.684170317308895E-3</v>
      </c>
      <c r="AC83" s="128">
        <f t="shared" si="39"/>
        <v>5316.6666666666661</v>
      </c>
      <c r="AD83" s="68">
        <f>AC83/AC$12</f>
        <v>4.6841703173088941E-3</v>
      </c>
      <c r="AE83" s="658"/>
      <c r="AF83" s="393"/>
      <c r="AG83" s="393"/>
    </row>
    <row r="84" spans="1:33" s="1" customFormat="1">
      <c r="A84" s="2">
        <v>6208</v>
      </c>
      <c r="B84" s="2" t="s">
        <v>219</v>
      </c>
      <c r="C84" s="709"/>
      <c r="D84" s="68">
        <f>C84/C12</f>
        <v>0</v>
      </c>
      <c r="E84" s="713"/>
      <c r="F84" s="68">
        <f>E84/E12</f>
        <v>0</v>
      </c>
      <c r="G84" s="713"/>
      <c r="H84" s="68">
        <f>G84/G12</f>
        <v>0</v>
      </c>
      <c r="I84" s="713"/>
      <c r="J84" s="68">
        <f>I84/I12</f>
        <v>0</v>
      </c>
      <c r="K84" s="713"/>
      <c r="L84" s="68">
        <f>K84/K12</f>
        <v>0</v>
      </c>
      <c r="M84" s="713"/>
      <c r="N84" s="68">
        <f>M84/M12</f>
        <v>0</v>
      </c>
      <c r="O84" s="713"/>
      <c r="P84" s="68">
        <f>O84/O12</f>
        <v>0</v>
      </c>
      <c r="Q84" s="713"/>
      <c r="R84" s="68">
        <f>Q84/Q12</f>
        <v>0</v>
      </c>
      <c r="S84" s="713"/>
      <c r="T84" s="68">
        <f>S84/S12</f>
        <v>0</v>
      </c>
      <c r="U84" s="713"/>
      <c r="V84" s="68">
        <f>U84/U12</f>
        <v>0</v>
      </c>
      <c r="W84" s="713"/>
      <c r="X84" s="68">
        <f>W84/W12</f>
        <v>0</v>
      </c>
      <c r="Y84" s="713"/>
      <c r="Z84" s="68">
        <f>Y84/Y12</f>
        <v>0</v>
      </c>
      <c r="AA84" s="144">
        <f t="shared" si="38"/>
        <v>0</v>
      </c>
      <c r="AB84" s="68">
        <f>AA84/AA12</f>
        <v>0</v>
      </c>
      <c r="AC84" s="128">
        <f t="shared" si="39"/>
        <v>0</v>
      </c>
      <c r="AD84" s="68">
        <f>AC84/AC12</f>
        <v>0</v>
      </c>
      <c r="AE84" s="658"/>
      <c r="AF84" s="393"/>
      <c r="AG84" s="393"/>
    </row>
    <row r="85" spans="1:33" s="1" customFormat="1">
      <c r="A85" s="2">
        <v>6209</v>
      </c>
      <c r="B85" s="228" t="s">
        <v>29</v>
      </c>
      <c r="C85" s="761">
        <v>7200</v>
      </c>
      <c r="D85" s="68">
        <f>C85/C12</f>
        <v>7.0284588644558285E-3</v>
      </c>
      <c r="E85" s="761">
        <v>7200</v>
      </c>
      <c r="F85" s="68">
        <f>E85/E12</f>
        <v>9.0339918217392026E-3</v>
      </c>
      <c r="G85" s="761">
        <v>7200</v>
      </c>
      <c r="H85" s="68">
        <f>G85/G12</f>
        <v>5.4461742492734368E-3</v>
      </c>
      <c r="I85" s="761">
        <v>7200</v>
      </c>
      <c r="J85" s="68">
        <f>I85/I12</f>
        <v>6.1678478087134649E-3</v>
      </c>
      <c r="K85" s="761">
        <v>7200</v>
      </c>
      <c r="L85" s="68">
        <f>K85/K12</f>
        <v>6.7437515766401715E-3</v>
      </c>
      <c r="M85" s="761">
        <v>7200</v>
      </c>
      <c r="N85" s="68">
        <f>M85/M12</f>
        <v>4.7558656013048936E-3</v>
      </c>
      <c r="O85" s="761">
        <v>7200</v>
      </c>
      <c r="P85" s="68">
        <f>O85/O12</f>
        <v>7.5119042297427906E-3</v>
      </c>
      <c r="Q85" s="761">
        <v>7200</v>
      </c>
      <c r="R85" s="68">
        <f>Q85/Q12</f>
        <v>6.0495031515280222E-3</v>
      </c>
      <c r="S85" s="761">
        <v>7200</v>
      </c>
      <c r="T85" s="68">
        <f>S85/S12</f>
        <v>6.0051892042630832E-3</v>
      </c>
      <c r="U85" s="761">
        <v>7200</v>
      </c>
      <c r="V85" s="68">
        <f>U85/U12</f>
        <v>7.570776314487342E-3</v>
      </c>
      <c r="W85" s="761">
        <v>7200</v>
      </c>
      <c r="X85" s="68">
        <f>W85/W12</f>
        <v>7.4409939994760808E-3</v>
      </c>
      <c r="Y85" s="761">
        <v>7200</v>
      </c>
      <c r="Z85" s="68">
        <f>Y85/Y12</f>
        <v>4.9256463050175751E-3</v>
      </c>
      <c r="AA85" s="144">
        <f t="shared" si="38"/>
        <v>86400</v>
      </c>
      <c r="AB85" s="68">
        <f>AA85/AA12</f>
        <v>6.3434532196785043E-3</v>
      </c>
      <c r="AC85" s="128">
        <f t="shared" si="39"/>
        <v>7200</v>
      </c>
      <c r="AD85" s="68">
        <f>AC85/AC12</f>
        <v>6.3434532196785035E-3</v>
      </c>
      <c r="AE85" s="658"/>
      <c r="AF85" s="393"/>
      <c r="AG85" s="393"/>
    </row>
    <row r="86" spans="1:33" s="1" customFormat="1">
      <c r="A86" s="2">
        <v>6210</v>
      </c>
      <c r="B86" s="228" t="s">
        <v>30</v>
      </c>
      <c r="C86" s="761">
        <v>3313.972602739726</v>
      </c>
      <c r="D86" s="68">
        <f>C86/C12</f>
        <v>3.2350166828180251E-3</v>
      </c>
      <c r="E86" s="761">
        <v>3313.972602739726</v>
      </c>
      <c r="F86" s="68">
        <f>E86/E12</f>
        <v>4.1581113042525649E-3</v>
      </c>
      <c r="G86" s="761">
        <v>3313.972602739726</v>
      </c>
      <c r="H86" s="68">
        <f>G86/G12</f>
        <v>2.5067322571998285E-3</v>
      </c>
      <c r="I86" s="761">
        <v>3313.972602739726</v>
      </c>
      <c r="J86" s="68">
        <f>I86/I12</f>
        <v>2.8388998133256492E-3</v>
      </c>
      <c r="K86" s="761">
        <v>3313.972602739726</v>
      </c>
      <c r="L86" s="68">
        <f>K86/K12</f>
        <v>3.1039733284261612E-3</v>
      </c>
      <c r="M86" s="761">
        <v>3313.972602739726</v>
      </c>
      <c r="N86" s="68">
        <f>M86/M12</f>
        <v>2.189001153477321E-3</v>
      </c>
      <c r="O86" s="761">
        <v>3313.972602739726</v>
      </c>
      <c r="P86" s="68">
        <f>O86/O12</f>
        <v>3.4575340016350375E-3</v>
      </c>
      <c r="Q86" s="761">
        <v>3313.972602739726</v>
      </c>
      <c r="R86" s="68">
        <f>Q86/Q12</f>
        <v>2.7844288478265965E-3</v>
      </c>
      <c r="S86" s="761">
        <v>3313.972602739726</v>
      </c>
      <c r="T86" s="68">
        <f>S86/S12</f>
        <v>2.764032291277255E-3</v>
      </c>
      <c r="U86" s="761">
        <v>3313.972602739726</v>
      </c>
      <c r="V86" s="68">
        <f>U86/U12</f>
        <v>3.4846312899558178E-3</v>
      </c>
      <c r="W86" s="761">
        <v>3313.972602739726</v>
      </c>
      <c r="X86" s="68">
        <f>W86/W12</f>
        <v>3.4248958682520044E-3</v>
      </c>
      <c r="Y86" s="761">
        <v>3313.972602739726</v>
      </c>
      <c r="Z86" s="68">
        <f>Y86/Y12</f>
        <v>2.2671467924464455E-3</v>
      </c>
      <c r="AA86" s="144">
        <f t="shared" si="38"/>
        <v>39767.67123287671</v>
      </c>
      <c r="AB86" s="68">
        <f>AA86/AA12</f>
        <v>2.9197264134410649E-3</v>
      </c>
      <c r="AC86" s="128">
        <f t="shared" si="39"/>
        <v>3313.972602739726</v>
      </c>
      <c r="AD86" s="68">
        <f>AC86/AC12</f>
        <v>2.9197264134410645E-3</v>
      </c>
      <c r="AE86" s="658"/>
      <c r="AF86" s="393"/>
      <c r="AG86" s="393"/>
    </row>
    <row r="87" spans="1:33" s="1" customFormat="1">
      <c r="A87" s="2">
        <v>6211</v>
      </c>
      <c r="B87" s="228" t="s">
        <v>31</v>
      </c>
      <c r="C87" s="761">
        <v>3750</v>
      </c>
      <c r="D87" s="68">
        <f>C87/C12</f>
        <v>3.660655658570744E-3</v>
      </c>
      <c r="E87" s="761">
        <v>3750</v>
      </c>
      <c r="F87" s="68">
        <f>E87/E12</f>
        <v>4.7052040738225021E-3</v>
      </c>
      <c r="G87" s="761">
        <v>3750</v>
      </c>
      <c r="H87" s="68">
        <f>G87/G12</f>
        <v>2.8365490881632487E-3</v>
      </c>
      <c r="I87" s="761">
        <v>3750</v>
      </c>
      <c r="J87" s="68">
        <f>I87/I12</f>
        <v>3.2124207337049294E-3</v>
      </c>
      <c r="K87" s="761">
        <v>3750</v>
      </c>
      <c r="L87" s="68">
        <f>K87/K12</f>
        <v>3.5123706128334228E-3</v>
      </c>
      <c r="M87" s="761">
        <v>3750</v>
      </c>
      <c r="N87" s="68">
        <f>M87/M12</f>
        <v>2.4770133340129654E-3</v>
      </c>
      <c r="O87" s="761">
        <v>3750</v>
      </c>
      <c r="P87" s="68">
        <f>O87/O12</f>
        <v>3.9124501196577035E-3</v>
      </c>
      <c r="Q87" s="761">
        <v>3750</v>
      </c>
      <c r="R87" s="68">
        <f>Q87/Q12</f>
        <v>3.1507828914208451E-3</v>
      </c>
      <c r="S87" s="761">
        <v>3750</v>
      </c>
      <c r="T87" s="68">
        <f>S87/S12</f>
        <v>3.1277027105536892E-3</v>
      </c>
      <c r="U87" s="761">
        <v>3750</v>
      </c>
      <c r="V87" s="68">
        <f>U87/U12</f>
        <v>3.9431126637954911E-3</v>
      </c>
      <c r="W87" s="761">
        <v>3750</v>
      </c>
      <c r="X87" s="68">
        <f>W87/W12</f>
        <v>3.875517708060459E-3</v>
      </c>
      <c r="Y87" s="761">
        <v>3750</v>
      </c>
      <c r="Z87" s="68">
        <f>Y87/Y12</f>
        <v>2.5654407838633202E-3</v>
      </c>
      <c r="AA87" s="144">
        <f t="shared" si="38"/>
        <v>45000</v>
      </c>
      <c r="AB87" s="68">
        <f>AA87/AA12</f>
        <v>3.303881885249221E-3</v>
      </c>
      <c r="AC87" s="128">
        <f t="shared" si="39"/>
        <v>3750</v>
      </c>
      <c r="AD87" s="68">
        <f>AC87/AC12</f>
        <v>3.3038818852492205E-3</v>
      </c>
      <c r="AE87" s="658"/>
      <c r="AF87" s="393"/>
      <c r="AG87" s="393"/>
    </row>
    <row r="88" spans="1:33" s="1" customFormat="1" ht="15.75" thickBot="1">
      <c r="A88" s="188">
        <v>6212</v>
      </c>
      <c r="B88" s="228" t="s">
        <v>32</v>
      </c>
      <c r="C88" s="75">
        <v>100</v>
      </c>
      <c r="D88" s="702">
        <f>C88/C12</f>
        <v>9.7617484228553167E-5</v>
      </c>
      <c r="E88" s="75">
        <v>100</v>
      </c>
      <c r="F88" s="702">
        <f>E88/E12</f>
        <v>1.2547210863526672E-4</v>
      </c>
      <c r="G88" s="75">
        <v>100</v>
      </c>
      <c r="H88" s="702">
        <f>G88/G12</f>
        <v>7.5641309017686632E-5</v>
      </c>
      <c r="I88" s="75">
        <v>100</v>
      </c>
      <c r="J88" s="702">
        <f>I88/I12</f>
        <v>8.5664552898798114E-5</v>
      </c>
      <c r="K88" s="75">
        <v>100</v>
      </c>
      <c r="L88" s="702">
        <f>K88/K12</f>
        <v>9.3663216342224613E-5</v>
      </c>
      <c r="M88" s="75">
        <v>100</v>
      </c>
      <c r="N88" s="702">
        <f>M88/M12</f>
        <v>6.6053688907012409E-5</v>
      </c>
      <c r="O88" s="75">
        <v>100</v>
      </c>
      <c r="P88" s="702">
        <f>O88/O12</f>
        <v>1.0433200319087209E-4</v>
      </c>
      <c r="Q88" s="75">
        <v>100</v>
      </c>
      <c r="R88" s="702">
        <f>Q88/Q12</f>
        <v>8.4020877104555868E-5</v>
      </c>
      <c r="S88" s="75">
        <v>100</v>
      </c>
      <c r="T88" s="702">
        <f>S88/S12</f>
        <v>8.3405405614765047E-5</v>
      </c>
      <c r="U88" s="75">
        <v>100</v>
      </c>
      <c r="V88" s="702">
        <f>U88/U12</f>
        <v>1.0514967103454642E-4</v>
      </c>
      <c r="W88" s="75">
        <v>100</v>
      </c>
      <c r="X88" s="702">
        <f>W88/W12</f>
        <v>1.0334713888161224E-4</v>
      </c>
      <c r="Y88" s="75">
        <v>100</v>
      </c>
      <c r="Z88" s="702">
        <f>Y88/Y12</f>
        <v>6.8411754236355208E-5</v>
      </c>
      <c r="AA88" s="144">
        <f t="shared" si="38"/>
        <v>1200</v>
      </c>
      <c r="AB88" s="68">
        <f>AA88/AA12</f>
        <v>8.8103516939979219E-5</v>
      </c>
      <c r="AC88" s="128">
        <f t="shared" si="39"/>
        <v>100</v>
      </c>
      <c r="AD88" s="68">
        <f>AC88/AC12</f>
        <v>8.8103516939979206E-5</v>
      </c>
      <c r="AE88" s="662"/>
      <c r="AF88" s="562"/>
      <c r="AG88" s="562"/>
    </row>
    <row r="89" spans="1:33" s="1" customFormat="1" ht="15.75" thickTop="1">
      <c r="A89" s="188">
        <v>6213</v>
      </c>
      <c r="B89" s="228" t="s">
        <v>33</v>
      </c>
      <c r="C89" s="295"/>
      <c r="D89" s="68">
        <f>C89/C12</f>
        <v>0</v>
      </c>
      <c r="E89" s="295"/>
      <c r="F89" s="68">
        <f>E89/E12</f>
        <v>0</v>
      </c>
      <c r="G89" s="295"/>
      <c r="H89" s="68">
        <f>G89/G12</f>
        <v>0</v>
      </c>
      <c r="I89" s="295"/>
      <c r="J89" s="68">
        <f>I89/I12</f>
        <v>0</v>
      </c>
      <c r="K89" s="295"/>
      <c r="L89" s="68">
        <f>K89/K12</f>
        <v>0</v>
      </c>
      <c r="M89" s="295"/>
      <c r="N89" s="68">
        <f>M89/M12</f>
        <v>0</v>
      </c>
      <c r="O89" s="295"/>
      <c r="P89" s="68">
        <f>O89/O12</f>
        <v>0</v>
      </c>
      <c r="Q89" s="295"/>
      <c r="R89" s="68">
        <f>Q89/Q12</f>
        <v>0</v>
      </c>
      <c r="S89" s="295"/>
      <c r="T89" s="68">
        <f>S89/S12</f>
        <v>0</v>
      </c>
      <c r="U89" s="295"/>
      <c r="V89" s="68">
        <f>U89/U12</f>
        <v>0</v>
      </c>
      <c r="W89" s="295"/>
      <c r="X89" s="68">
        <f>W89/W12</f>
        <v>0</v>
      </c>
      <c r="Y89" s="295"/>
      <c r="Z89" s="68">
        <f>Y89/Y12</f>
        <v>0</v>
      </c>
      <c r="AA89" s="144">
        <f t="shared" si="38"/>
        <v>0</v>
      </c>
      <c r="AB89" s="68">
        <f>AA89/AA12</f>
        <v>0</v>
      </c>
      <c r="AC89" s="128">
        <f t="shared" si="39"/>
        <v>0</v>
      </c>
      <c r="AD89" s="68">
        <f>AC89/AC12</f>
        <v>0</v>
      </c>
      <c r="AE89" s="658"/>
      <c r="AF89" s="393"/>
      <c r="AG89" s="393"/>
    </row>
    <row r="90" spans="1:33" s="1" customFormat="1">
      <c r="A90" s="2">
        <v>6214</v>
      </c>
      <c r="B90" s="228" t="s">
        <v>34</v>
      </c>
      <c r="C90" s="295">
        <v>3840</v>
      </c>
      <c r="D90" s="68">
        <f>C90/C12</f>
        <v>3.7485113943764416E-3</v>
      </c>
      <c r="E90" s="295">
        <v>3840</v>
      </c>
      <c r="F90" s="68">
        <f>E90/E12</f>
        <v>4.8181289715942422E-3</v>
      </c>
      <c r="G90" s="295">
        <v>3840</v>
      </c>
      <c r="H90" s="68">
        <f>G90/G12</f>
        <v>2.9046262662791662E-3</v>
      </c>
      <c r="I90" s="295">
        <v>3840</v>
      </c>
      <c r="J90" s="68">
        <f>I90/I12</f>
        <v>3.2895188313138476E-3</v>
      </c>
      <c r="K90" s="295">
        <v>3840</v>
      </c>
      <c r="L90" s="68">
        <f>K90/K12</f>
        <v>3.5966675075414251E-3</v>
      </c>
      <c r="M90" s="295">
        <v>3840</v>
      </c>
      <c r="N90" s="68">
        <f>M90/M12</f>
        <v>2.5364616540292768E-3</v>
      </c>
      <c r="O90" s="295">
        <v>3840</v>
      </c>
      <c r="P90" s="68">
        <f>O90/O12</f>
        <v>4.0063489225294884E-3</v>
      </c>
      <c r="Q90" s="295">
        <v>3840</v>
      </c>
      <c r="R90" s="68">
        <f>Q90/Q12</f>
        <v>3.2264016808149451E-3</v>
      </c>
      <c r="S90" s="295">
        <v>3840</v>
      </c>
      <c r="T90" s="68">
        <f>S90/S12</f>
        <v>3.2027675756069779E-3</v>
      </c>
      <c r="U90" s="295">
        <v>3840</v>
      </c>
      <c r="V90" s="68">
        <f>U90/U12</f>
        <v>4.0377473677265822E-3</v>
      </c>
      <c r="W90" s="295">
        <v>3840</v>
      </c>
      <c r="X90" s="68">
        <f>W90/W12</f>
        <v>3.9685301330539104E-3</v>
      </c>
      <c r="Y90" s="295">
        <v>3840</v>
      </c>
      <c r="Z90" s="68">
        <f>Y90/Y12</f>
        <v>2.6270113626760401E-3</v>
      </c>
      <c r="AA90" s="144">
        <f t="shared" si="38"/>
        <v>46080</v>
      </c>
      <c r="AB90" s="68">
        <f>AA90/AA12</f>
        <v>3.3831750504952022E-3</v>
      </c>
      <c r="AC90" s="128">
        <f t="shared" si="39"/>
        <v>3840</v>
      </c>
      <c r="AD90" s="68">
        <f>AC90/AC12</f>
        <v>3.3831750504952018E-3</v>
      </c>
      <c r="AE90" s="658"/>
      <c r="AF90" s="393"/>
      <c r="AG90" s="393"/>
    </row>
    <row r="91" spans="1:33" s="1" customFormat="1">
      <c r="A91" s="2">
        <v>6215</v>
      </c>
      <c r="B91" s="228" t="s">
        <v>35</v>
      </c>
      <c r="C91" s="292"/>
      <c r="D91" s="68">
        <f>C91/C12</f>
        <v>0</v>
      </c>
      <c r="E91" s="292"/>
      <c r="F91" s="68">
        <f>E91/E12</f>
        <v>0</v>
      </c>
      <c r="G91" s="704"/>
      <c r="H91" s="68">
        <f>G91/G12</f>
        <v>0</v>
      </c>
      <c r="I91" s="292"/>
      <c r="J91" s="68">
        <f>I91/I12</f>
        <v>0</v>
      </c>
      <c r="K91" s="292"/>
      <c r="L91" s="68">
        <f>K91/K12</f>
        <v>0</v>
      </c>
      <c r="M91" s="292"/>
      <c r="N91" s="68">
        <f>M91/M12</f>
        <v>0</v>
      </c>
      <c r="O91" s="292"/>
      <c r="P91" s="68">
        <f>O91/O12</f>
        <v>0</v>
      </c>
      <c r="Q91" s="292"/>
      <c r="R91" s="68">
        <f>Q91/Q12</f>
        <v>0</v>
      </c>
      <c r="S91" s="292"/>
      <c r="T91" s="68">
        <f>S91/S12</f>
        <v>0</v>
      </c>
      <c r="U91" s="292"/>
      <c r="V91" s="68">
        <f>U91/U12</f>
        <v>0</v>
      </c>
      <c r="W91" s="292"/>
      <c r="X91" s="68">
        <f>W91/W12</f>
        <v>0</v>
      </c>
      <c r="Y91" s="292"/>
      <c r="Z91" s="68">
        <f>Y91/Y12</f>
        <v>0</v>
      </c>
      <c r="AA91" s="144">
        <f t="shared" si="38"/>
        <v>0</v>
      </c>
      <c r="AB91" s="68">
        <f>AA91/AA12</f>
        <v>0</v>
      </c>
      <c r="AC91" s="128">
        <f t="shared" si="39"/>
        <v>0</v>
      </c>
      <c r="AD91" s="68">
        <f>AC91/AC12</f>
        <v>0</v>
      </c>
      <c r="AE91" s="658"/>
      <c r="AF91" s="393"/>
      <c r="AG91" s="393"/>
    </row>
    <row r="92" spans="1:33" s="1" customFormat="1">
      <c r="A92" s="2">
        <v>6216</v>
      </c>
      <c r="B92" s="228" t="s">
        <v>126</v>
      </c>
      <c r="C92" s="292"/>
      <c r="D92" s="68">
        <f>C92/C12</f>
        <v>0</v>
      </c>
      <c r="E92" s="292"/>
      <c r="F92" s="68">
        <f>E92/E12</f>
        <v>0</v>
      </c>
      <c r="G92" s="704"/>
      <c r="H92" s="68">
        <f>G92/G12</f>
        <v>0</v>
      </c>
      <c r="I92" s="292"/>
      <c r="J92" s="68">
        <f>I92/I12</f>
        <v>0</v>
      </c>
      <c r="K92" s="292"/>
      <c r="L92" s="68">
        <f>K92/K12</f>
        <v>0</v>
      </c>
      <c r="M92" s="292"/>
      <c r="N92" s="68">
        <f>M92/M12</f>
        <v>0</v>
      </c>
      <c r="O92" s="292"/>
      <c r="P92" s="68">
        <f>O92/O12</f>
        <v>0</v>
      </c>
      <c r="Q92" s="292"/>
      <c r="R92" s="68">
        <f>Q92/Q12</f>
        <v>0</v>
      </c>
      <c r="S92" s="292"/>
      <c r="T92" s="68">
        <f>S92/S12</f>
        <v>0</v>
      </c>
      <c r="U92" s="292"/>
      <c r="V92" s="68">
        <f>U92/U12</f>
        <v>0</v>
      </c>
      <c r="W92" s="292"/>
      <c r="X92" s="68">
        <f>W92/W12</f>
        <v>0</v>
      </c>
      <c r="Y92" s="292"/>
      <c r="Z92" s="68">
        <f>Y92/Y12</f>
        <v>0</v>
      </c>
      <c r="AA92" s="144">
        <f t="shared" si="38"/>
        <v>0</v>
      </c>
      <c r="AB92" s="68">
        <f>AA92/AA12</f>
        <v>0</v>
      </c>
      <c r="AC92" s="128">
        <f t="shared" si="39"/>
        <v>0</v>
      </c>
      <c r="AD92" s="68">
        <f>AC92/AC12</f>
        <v>0</v>
      </c>
      <c r="AE92" s="658"/>
      <c r="AF92" s="393"/>
      <c r="AG92" s="393"/>
    </row>
    <row r="93" spans="1:33" s="1" customFormat="1" ht="15.75" thickBot="1">
      <c r="A93" s="4">
        <v>6299</v>
      </c>
      <c r="B93" s="229" t="s">
        <v>112</v>
      </c>
      <c r="C93" s="47">
        <f>SUM(C77:C92)</f>
        <v>121150.50593607307</v>
      </c>
      <c r="D93" s="87">
        <f>C93/C12</f>
        <v>0.1182640760249585</v>
      </c>
      <c r="E93" s="79">
        <f>SUM(E77:E92)</f>
        <v>121150.50593607307</v>
      </c>
      <c r="F93" s="87">
        <f>E93/E12</f>
        <v>0.15201009442028485</v>
      </c>
      <c r="G93" s="47">
        <f>SUM(G77:G92)</f>
        <v>121150.50593607307</v>
      </c>
      <c r="H93" s="87">
        <f>G93/G12</f>
        <v>9.1639828571595805E-2</v>
      </c>
      <c r="I93" s="29">
        <f>SUM(I77:I92)</f>
        <v>121150.50593607307</v>
      </c>
      <c r="J93" s="87">
        <f>I93/I12</f>
        <v>0.10378303924476887</v>
      </c>
      <c r="K93" s="79">
        <f>SUM(K77:K92)</f>
        <v>121150.50593607307</v>
      </c>
      <c r="L93" s="87">
        <f>K93/K12</f>
        <v>0.11347346047460379</v>
      </c>
      <c r="M93" s="378">
        <f>SUM(M77:M92)</f>
        <v>121150.50593607307</v>
      </c>
      <c r="N93" s="87">
        <f>M93/M12</f>
        <v>8.0024378300285304E-2</v>
      </c>
      <c r="O93" s="29">
        <f>SUM(O77:O92)</f>
        <v>121150.50593607307</v>
      </c>
      <c r="P93" s="87">
        <f>O93/O12</f>
        <v>0.12639874971898143</v>
      </c>
      <c r="Q93" s="29">
        <f>SUM(Q77:Q92)</f>
        <v>121150.50593607307</v>
      </c>
      <c r="R93" s="87">
        <f>Q93/Q12</f>
        <v>0.10179171770409561</v>
      </c>
      <c r="S93" s="29">
        <f>SUM(S77:S92)</f>
        <v>121150.50593607307</v>
      </c>
      <c r="T93" s="87">
        <f>S93/S12</f>
        <v>0.10104607088032175</v>
      </c>
      <c r="U93" s="79">
        <f>SUM(U77:U92)</f>
        <v>121150.50593607307</v>
      </c>
      <c r="V93" s="87">
        <f>U93/U12</f>
        <v>0.12738935844846946</v>
      </c>
      <c r="W93" s="58">
        <f>SUM(W77:W92)</f>
        <v>121150.50593607307</v>
      </c>
      <c r="X93" s="87">
        <f>W93/W12</f>
        <v>0.12520558162552931</v>
      </c>
      <c r="Y93" s="79">
        <f>SUM(Y77:Y92)</f>
        <v>121150.50593607307</v>
      </c>
      <c r="Z93" s="87">
        <f>Y93/Y12</f>
        <v>8.2881186377087232E-2</v>
      </c>
      <c r="AA93" s="148">
        <f>SUM(AA77:AA92)</f>
        <v>1453806.0712328765</v>
      </c>
      <c r="AB93" s="89">
        <f>AA93/AA12</f>
        <v>0.10673785652025865</v>
      </c>
      <c r="AC93" s="132">
        <f>SUM(AC77:AC92)</f>
        <v>121150.50593607307</v>
      </c>
      <c r="AD93" s="89">
        <f>AC93/AC12</f>
        <v>0.10673785652025865</v>
      </c>
      <c r="AE93" s="658"/>
      <c r="AF93" s="393"/>
      <c r="AG93" s="393"/>
    </row>
    <row r="94" spans="1:33" s="1" customFormat="1" ht="15.75" thickTop="1">
      <c r="A94" s="2">
        <v>6301</v>
      </c>
      <c r="B94" s="231" t="s">
        <v>36</v>
      </c>
      <c r="C94" s="678"/>
      <c r="D94" s="702">
        <f t="shared" ref="D94:D101" si="40">C94/C$12</f>
        <v>0</v>
      </c>
      <c r="E94" s="678"/>
      <c r="F94" s="702">
        <f t="shared" ref="F94:F101" si="41">E94/E$12</f>
        <v>0</v>
      </c>
      <c r="G94" s="678"/>
      <c r="H94" s="702">
        <f t="shared" ref="H94:H101" si="42">G94/G$12</f>
        <v>0</v>
      </c>
      <c r="I94" s="678"/>
      <c r="J94" s="702">
        <f t="shared" ref="J94:J101" si="43">I94/I$12</f>
        <v>0</v>
      </c>
      <c r="K94" s="678"/>
      <c r="L94" s="702">
        <f t="shared" ref="L94:L101" si="44">K94/K$12</f>
        <v>0</v>
      </c>
      <c r="M94" s="678"/>
      <c r="N94" s="702">
        <f t="shared" ref="N94:N101" si="45">M94/M$12</f>
        <v>0</v>
      </c>
      <c r="O94" s="678"/>
      <c r="P94" s="702">
        <f t="shared" ref="P94:P101" si="46">O94/O$12</f>
        <v>0</v>
      </c>
      <c r="Q94" s="678"/>
      <c r="R94" s="702">
        <f t="shared" ref="R94:R101" si="47">Q94/Q$12</f>
        <v>0</v>
      </c>
      <c r="S94" s="678"/>
      <c r="T94" s="702">
        <f t="shared" ref="T94:T101" si="48">S94/S$12</f>
        <v>0</v>
      </c>
      <c r="U94" s="678"/>
      <c r="V94" s="702">
        <f t="shared" ref="V94:V101" si="49">U94/U$12</f>
        <v>0</v>
      </c>
      <c r="W94" s="678"/>
      <c r="X94" s="702">
        <f t="shared" ref="X94:X101" si="50">W94/W$12</f>
        <v>0</v>
      </c>
      <c r="Y94" s="678"/>
      <c r="Z94" s="702">
        <f t="shared" ref="Z94:Z101" si="51">Y94/Y$12</f>
        <v>0</v>
      </c>
      <c r="AA94" s="144">
        <f t="shared" ref="AA94:AA114" si="52">C94+E94+G94+I94+K94+M94+O94+Q94+S94+U94+W94+Y94</f>
        <v>0</v>
      </c>
      <c r="AB94" s="702">
        <f>AA94/AA$12</f>
        <v>0</v>
      </c>
      <c r="AC94" s="128">
        <f t="shared" ref="AC94:AC115" si="53">AA94/12</f>
        <v>0</v>
      </c>
      <c r="AD94" s="702">
        <f>AC94/AC$12</f>
        <v>0</v>
      </c>
      <c r="AE94" s="658"/>
      <c r="AF94" s="393"/>
      <c r="AG94" s="393"/>
    </row>
    <row r="95" spans="1:33" s="1" customFormat="1">
      <c r="A95" s="188">
        <v>6302</v>
      </c>
      <c r="B95" s="231" t="s">
        <v>37</v>
      </c>
      <c r="C95" s="678"/>
      <c r="D95" s="702">
        <f t="shared" si="40"/>
        <v>0</v>
      </c>
      <c r="E95" s="678"/>
      <c r="F95" s="702">
        <f t="shared" si="41"/>
        <v>0</v>
      </c>
      <c r="G95" s="678"/>
      <c r="H95" s="702">
        <f t="shared" si="42"/>
        <v>0</v>
      </c>
      <c r="I95" s="678"/>
      <c r="J95" s="702">
        <f t="shared" si="43"/>
        <v>0</v>
      </c>
      <c r="K95" s="678"/>
      <c r="L95" s="702">
        <f t="shared" si="44"/>
        <v>0</v>
      </c>
      <c r="M95" s="678"/>
      <c r="N95" s="702">
        <f t="shared" si="45"/>
        <v>0</v>
      </c>
      <c r="O95" s="678"/>
      <c r="P95" s="702">
        <f t="shared" si="46"/>
        <v>0</v>
      </c>
      <c r="Q95" s="678"/>
      <c r="R95" s="702">
        <f t="shared" si="47"/>
        <v>0</v>
      </c>
      <c r="S95" s="678"/>
      <c r="T95" s="702">
        <f t="shared" si="48"/>
        <v>0</v>
      </c>
      <c r="U95" s="678"/>
      <c r="V95" s="702">
        <f t="shared" si="49"/>
        <v>0</v>
      </c>
      <c r="W95" s="678"/>
      <c r="X95" s="702">
        <f t="shared" si="50"/>
        <v>0</v>
      </c>
      <c r="Y95" s="678"/>
      <c r="Z95" s="702">
        <f t="shared" si="51"/>
        <v>0</v>
      </c>
      <c r="AA95" s="144">
        <f t="shared" si="52"/>
        <v>0</v>
      </c>
      <c r="AB95" s="702">
        <f t="shared" ref="AB95:AB99" si="54">AA95/AA$12</f>
        <v>0</v>
      </c>
      <c r="AC95" s="128">
        <f t="shared" si="53"/>
        <v>0</v>
      </c>
      <c r="AD95" s="702">
        <f t="shared" ref="AD95:AD99" si="55">AC95/AC$12</f>
        <v>0</v>
      </c>
      <c r="AE95" s="658"/>
      <c r="AF95" s="393"/>
      <c r="AG95" s="393"/>
    </row>
    <row r="96" spans="1:33" s="1" customFormat="1">
      <c r="A96" s="2">
        <v>6303</v>
      </c>
      <c r="B96" s="2" t="s">
        <v>132</v>
      </c>
      <c r="C96" s="678"/>
      <c r="D96" s="702">
        <f t="shared" si="40"/>
        <v>0</v>
      </c>
      <c r="E96" s="678"/>
      <c r="F96" s="702">
        <f t="shared" si="41"/>
        <v>0</v>
      </c>
      <c r="G96" s="678"/>
      <c r="H96" s="702">
        <f t="shared" si="42"/>
        <v>0</v>
      </c>
      <c r="I96" s="678"/>
      <c r="J96" s="702">
        <f t="shared" si="43"/>
        <v>0</v>
      </c>
      <c r="K96" s="678"/>
      <c r="L96" s="702">
        <f t="shared" si="44"/>
        <v>0</v>
      </c>
      <c r="M96" s="678"/>
      <c r="N96" s="702">
        <f t="shared" si="45"/>
        <v>0</v>
      </c>
      <c r="O96" s="678"/>
      <c r="P96" s="702">
        <f t="shared" si="46"/>
        <v>0</v>
      </c>
      <c r="Q96" s="678"/>
      <c r="R96" s="702">
        <f t="shared" si="47"/>
        <v>0</v>
      </c>
      <c r="S96" s="678"/>
      <c r="T96" s="702">
        <f t="shared" si="48"/>
        <v>0</v>
      </c>
      <c r="U96" s="678"/>
      <c r="V96" s="702">
        <f t="shared" si="49"/>
        <v>0</v>
      </c>
      <c r="W96" s="678"/>
      <c r="X96" s="702">
        <f t="shared" si="50"/>
        <v>0</v>
      </c>
      <c r="Y96" s="678"/>
      <c r="Z96" s="702">
        <f t="shared" si="51"/>
        <v>0</v>
      </c>
      <c r="AA96" s="144">
        <f t="shared" si="52"/>
        <v>0</v>
      </c>
      <c r="AB96" s="702">
        <f t="shared" si="54"/>
        <v>0</v>
      </c>
      <c r="AC96" s="128">
        <f t="shared" si="53"/>
        <v>0</v>
      </c>
      <c r="AD96" s="702">
        <f t="shared" si="55"/>
        <v>0</v>
      </c>
      <c r="AE96" s="658"/>
      <c r="AF96" s="393"/>
      <c r="AG96" s="393"/>
    </row>
    <row r="97" spans="1:33" s="1" customFormat="1">
      <c r="A97" s="2">
        <v>6304</v>
      </c>
      <c r="B97" s="2" t="s">
        <v>38</v>
      </c>
      <c r="C97" s="753"/>
      <c r="D97" s="702">
        <f t="shared" si="40"/>
        <v>0</v>
      </c>
      <c r="E97" s="753"/>
      <c r="F97" s="702">
        <f t="shared" si="41"/>
        <v>0</v>
      </c>
      <c r="G97" s="753"/>
      <c r="H97" s="702">
        <f t="shared" si="42"/>
        <v>0</v>
      </c>
      <c r="I97" s="753"/>
      <c r="J97" s="702">
        <f t="shared" si="43"/>
        <v>0</v>
      </c>
      <c r="K97" s="753"/>
      <c r="L97" s="702">
        <f t="shared" si="44"/>
        <v>0</v>
      </c>
      <c r="M97" s="753"/>
      <c r="N97" s="702">
        <f t="shared" si="45"/>
        <v>0</v>
      </c>
      <c r="O97" s="753"/>
      <c r="P97" s="702">
        <f t="shared" si="46"/>
        <v>0</v>
      </c>
      <c r="Q97" s="753"/>
      <c r="R97" s="702">
        <f t="shared" si="47"/>
        <v>0</v>
      </c>
      <c r="S97" s="753"/>
      <c r="T97" s="702">
        <f t="shared" si="48"/>
        <v>0</v>
      </c>
      <c r="U97" s="753"/>
      <c r="V97" s="702">
        <f t="shared" si="49"/>
        <v>0</v>
      </c>
      <c r="W97" s="753"/>
      <c r="X97" s="702">
        <f t="shared" si="50"/>
        <v>0</v>
      </c>
      <c r="Y97" s="753"/>
      <c r="Z97" s="702">
        <f t="shared" si="51"/>
        <v>0</v>
      </c>
      <c r="AA97" s="144">
        <f t="shared" si="52"/>
        <v>0</v>
      </c>
      <c r="AB97" s="702">
        <f t="shared" si="54"/>
        <v>0</v>
      </c>
      <c r="AC97" s="128">
        <f t="shared" si="53"/>
        <v>0</v>
      </c>
      <c r="AD97" s="702">
        <f t="shared" si="55"/>
        <v>0</v>
      </c>
      <c r="AE97" s="658"/>
      <c r="AF97" s="393"/>
      <c r="AG97" s="393"/>
    </row>
    <row r="98" spans="1:33" s="1" customFormat="1">
      <c r="A98" s="188">
        <v>6305</v>
      </c>
      <c r="B98" s="2" t="s">
        <v>39</v>
      </c>
      <c r="C98" s="678"/>
      <c r="D98" s="702">
        <f t="shared" si="40"/>
        <v>0</v>
      </c>
      <c r="E98" s="678"/>
      <c r="F98" s="702">
        <f t="shared" si="41"/>
        <v>0</v>
      </c>
      <c r="G98" s="678"/>
      <c r="H98" s="702">
        <f t="shared" si="42"/>
        <v>0</v>
      </c>
      <c r="I98" s="678"/>
      <c r="J98" s="702">
        <f t="shared" si="43"/>
        <v>0</v>
      </c>
      <c r="K98" s="678"/>
      <c r="L98" s="702">
        <f t="shared" si="44"/>
        <v>0</v>
      </c>
      <c r="M98" s="678"/>
      <c r="N98" s="702">
        <f t="shared" si="45"/>
        <v>0</v>
      </c>
      <c r="O98" s="678"/>
      <c r="P98" s="702">
        <f t="shared" si="46"/>
        <v>0</v>
      </c>
      <c r="Q98" s="678"/>
      <c r="R98" s="702">
        <f t="shared" si="47"/>
        <v>0</v>
      </c>
      <c r="S98" s="678"/>
      <c r="T98" s="702">
        <f t="shared" si="48"/>
        <v>0</v>
      </c>
      <c r="U98" s="678"/>
      <c r="V98" s="702">
        <f t="shared" si="49"/>
        <v>0</v>
      </c>
      <c r="W98" s="678"/>
      <c r="X98" s="702">
        <f t="shared" si="50"/>
        <v>0</v>
      </c>
      <c r="Y98" s="678"/>
      <c r="Z98" s="702">
        <f t="shared" si="51"/>
        <v>0</v>
      </c>
      <c r="AA98" s="144">
        <f t="shared" si="52"/>
        <v>0</v>
      </c>
      <c r="AB98" s="702">
        <f t="shared" si="54"/>
        <v>0</v>
      </c>
      <c r="AC98" s="128">
        <f t="shared" si="53"/>
        <v>0</v>
      </c>
      <c r="AD98" s="702">
        <f t="shared" si="55"/>
        <v>0</v>
      </c>
      <c r="AE98" s="658"/>
      <c r="AF98" s="393"/>
      <c r="AG98" s="393"/>
    </row>
    <row r="99" spans="1:33" s="1" customFormat="1">
      <c r="A99" s="2">
        <v>6306</v>
      </c>
      <c r="B99" s="2" t="s">
        <v>40</v>
      </c>
      <c r="C99" s="678"/>
      <c r="D99" s="702">
        <f t="shared" si="40"/>
        <v>0</v>
      </c>
      <c r="E99" s="678"/>
      <c r="F99" s="702">
        <f t="shared" si="41"/>
        <v>0</v>
      </c>
      <c r="G99" s="678"/>
      <c r="H99" s="702">
        <f t="shared" si="42"/>
        <v>0</v>
      </c>
      <c r="I99" s="678"/>
      <c r="J99" s="702">
        <f t="shared" si="43"/>
        <v>0</v>
      </c>
      <c r="K99" s="678"/>
      <c r="L99" s="702">
        <f t="shared" si="44"/>
        <v>0</v>
      </c>
      <c r="M99" s="678"/>
      <c r="N99" s="702">
        <f t="shared" si="45"/>
        <v>0</v>
      </c>
      <c r="O99" s="678"/>
      <c r="P99" s="702">
        <f t="shared" si="46"/>
        <v>0</v>
      </c>
      <c r="Q99" s="678"/>
      <c r="R99" s="702">
        <f t="shared" si="47"/>
        <v>0</v>
      </c>
      <c r="S99" s="678"/>
      <c r="T99" s="702">
        <f t="shared" si="48"/>
        <v>0</v>
      </c>
      <c r="U99" s="678"/>
      <c r="V99" s="702">
        <f t="shared" si="49"/>
        <v>0</v>
      </c>
      <c r="W99" s="678"/>
      <c r="X99" s="702">
        <f t="shared" si="50"/>
        <v>0</v>
      </c>
      <c r="Y99" s="678"/>
      <c r="Z99" s="702">
        <f t="shared" si="51"/>
        <v>0</v>
      </c>
      <c r="AA99" s="144">
        <f t="shared" si="52"/>
        <v>0</v>
      </c>
      <c r="AB99" s="702">
        <f t="shared" si="54"/>
        <v>0</v>
      </c>
      <c r="AC99" s="128">
        <f t="shared" si="53"/>
        <v>0</v>
      </c>
      <c r="AD99" s="702">
        <f t="shared" si="55"/>
        <v>0</v>
      </c>
      <c r="AE99" s="658"/>
      <c r="AF99" s="393"/>
      <c r="AG99" s="393"/>
    </row>
    <row r="100" spans="1:33" s="1" customFormat="1">
      <c r="A100" s="2">
        <v>6307</v>
      </c>
      <c r="B100" s="2" t="s">
        <v>322</v>
      </c>
      <c r="C100" s="753"/>
      <c r="D100" s="702">
        <f t="shared" si="40"/>
        <v>0</v>
      </c>
      <c r="E100" s="678">
        <v>400</v>
      </c>
      <c r="F100" s="702">
        <f t="shared" si="41"/>
        <v>5.018884345410669E-4</v>
      </c>
      <c r="G100" s="678">
        <v>400</v>
      </c>
      <c r="H100" s="702">
        <f t="shared" si="42"/>
        <v>3.0256523607074653E-4</v>
      </c>
      <c r="I100" s="678">
        <v>1028</v>
      </c>
      <c r="J100" s="702">
        <f t="shared" si="43"/>
        <v>8.8063160379964471E-4</v>
      </c>
      <c r="K100" s="678">
        <v>400</v>
      </c>
      <c r="L100" s="702">
        <f t="shared" si="44"/>
        <v>3.7465286536889845E-4</v>
      </c>
      <c r="M100" s="678"/>
      <c r="N100" s="702">
        <f t="shared" si="45"/>
        <v>0</v>
      </c>
      <c r="O100" s="678">
        <v>400</v>
      </c>
      <c r="P100" s="702">
        <f t="shared" si="46"/>
        <v>4.1732801276348836E-4</v>
      </c>
      <c r="Q100" s="678">
        <v>400</v>
      </c>
      <c r="R100" s="702">
        <f t="shared" si="47"/>
        <v>3.3608350841822347E-4</v>
      </c>
      <c r="S100" s="678">
        <v>400</v>
      </c>
      <c r="T100" s="702">
        <f t="shared" si="48"/>
        <v>3.3362162245906019E-4</v>
      </c>
      <c r="U100" s="678">
        <v>400</v>
      </c>
      <c r="V100" s="702">
        <f t="shared" si="49"/>
        <v>4.2059868413818566E-4</v>
      </c>
      <c r="W100" s="678">
        <v>400</v>
      </c>
      <c r="X100" s="702">
        <f t="shared" si="50"/>
        <v>4.1338855552644895E-4</v>
      </c>
      <c r="Y100" s="678">
        <v>400</v>
      </c>
      <c r="Z100" s="702">
        <f t="shared" si="51"/>
        <v>2.7364701694542083E-4</v>
      </c>
      <c r="AA100" s="144">
        <f t="shared" si="52"/>
        <v>4628</v>
      </c>
      <c r="AB100" s="226">
        <f>AA100/AA$12</f>
        <v>3.397858969985199E-4</v>
      </c>
      <c r="AC100" s="128">
        <f t="shared" si="53"/>
        <v>385.66666666666669</v>
      </c>
      <c r="AD100" s="226">
        <f>AC100/AC$12</f>
        <v>3.3978589699851984E-4</v>
      </c>
      <c r="AE100" s="658"/>
      <c r="AF100" s="393"/>
      <c r="AG100" s="393"/>
    </row>
    <row r="101" spans="1:33" s="1" customFormat="1">
      <c r="A101" s="2">
        <v>6308</v>
      </c>
      <c r="B101" s="2" t="s">
        <v>151</v>
      </c>
      <c r="C101" s="678"/>
      <c r="D101" s="702">
        <f t="shared" si="40"/>
        <v>0</v>
      </c>
      <c r="E101" s="678"/>
      <c r="F101" s="702">
        <f t="shared" si="41"/>
        <v>0</v>
      </c>
      <c r="G101" s="678"/>
      <c r="H101" s="702">
        <f t="shared" si="42"/>
        <v>0</v>
      </c>
      <c r="I101" s="678"/>
      <c r="J101" s="702">
        <f t="shared" si="43"/>
        <v>0</v>
      </c>
      <c r="K101" s="678"/>
      <c r="L101" s="702">
        <f t="shared" si="44"/>
        <v>0</v>
      </c>
      <c r="M101" s="678"/>
      <c r="N101" s="702">
        <f t="shared" si="45"/>
        <v>0</v>
      </c>
      <c r="O101" s="678"/>
      <c r="P101" s="702">
        <f t="shared" si="46"/>
        <v>0</v>
      </c>
      <c r="Q101" s="678"/>
      <c r="R101" s="702">
        <f t="shared" si="47"/>
        <v>0</v>
      </c>
      <c r="S101" s="678"/>
      <c r="T101" s="702">
        <f t="shared" si="48"/>
        <v>0</v>
      </c>
      <c r="U101" s="678"/>
      <c r="V101" s="702">
        <f t="shared" si="49"/>
        <v>0</v>
      </c>
      <c r="W101" s="678"/>
      <c r="X101" s="702">
        <f t="shared" si="50"/>
        <v>0</v>
      </c>
      <c r="Y101" s="678"/>
      <c r="Z101" s="702">
        <f t="shared" si="51"/>
        <v>0</v>
      </c>
      <c r="AA101" s="144">
        <f t="shared" si="52"/>
        <v>0</v>
      </c>
      <c r="AB101" s="226">
        <f>AA101/AA$12</f>
        <v>0</v>
      </c>
      <c r="AC101" s="128">
        <f t="shared" si="53"/>
        <v>0</v>
      </c>
      <c r="AD101" s="226">
        <f>AC101/AC$12</f>
        <v>0</v>
      </c>
      <c r="AE101" s="658"/>
      <c r="AF101" s="393"/>
      <c r="AG101" s="393"/>
    </row>
    <row r="102" spans="1:33" s="1" customFormat="1">
      <c r="A102" s="2">
        <v>6309</v>
      </c>
      <c r="B102" s="2" t="s">
        <v>152</v>
      </c>
      <c r="C102" s="753">
        <f>(13467.1240432457/3)*2</f>
        <v>8978.0826954971326</v>
      </c>
      <c r="D102" s="702">
        <f>C102/C$12</f>
        <v>8.7641784593033741E-3</v>
      </c>
      <c r="E102" s="678">
        <f>(13897.8585773201/3)*2</f>
        <v>9265.2390515467323</v>
      </c>
      <c r="F102" s="702">
        <f>E102/E$12</f>
        <v>1.1625290808073872E-2</v>
      </c>
      <c r="G102" s="753">
        <f>14081.4865418678/3</f>
        <v>4693.8288472892664</v>
      </c>
      <c r="H102" s="702">
        <f>G102/G$12</f>
        <v>3.550473583139392E-3</v>
      </c>
      <c r="I102" s="753">
        <f>14245.5189370525/3</f>
        <v>4748.5063123508335</v>
      </c>
      <c r="J102" s="702">
        <f>I102/I$12</f>
        <v>4.0677867018465473E-3</v>
      </c>
      <c r="K102" s="678">
        <f>(14442.7626023783/3)*2</f>
        <v>9628.5084015855336</v>
      </c>
      <c r="L102" s="702">
        <f>K102/K$12</f>
        <v>9.0183706547063303E-3</v>
      </c>
      <c r="M102" s="753">
        <f>14559.9680266437/3</f>
        <v>4853.3226755479</v>
      </c>
      <c r="N102" s="702">
        <f>M102/M$12</f>
        <v>3.2057986617599014E-3</v>
      </c>
      <c r="O102" s="678">
        <f>14833.8460078354/3</f>
        <v>4944.6153359451337</v>
      </c>
      <c r="P102" s="702">
        <f>O102/O$12</f>
        <v>5.1588162300746278E-3</v>
      </c>
      <c r="Q102" s="753">
        <f>15067.9808624316/3</f>
        <v>5022.6602874771997</v>
      </c>
      <c r="R102" s="702">
        <f>Q102/Q$12</f>
        <v>4.2200832275205505E-3</v>
      </c>
      <c r="S102" s="678">
        <f>(15283.0721355341/3)*2</f>
        <v>10188.714757022733</v>
      </c>
      <c r="T102" s="702">
        <f>S102/S$12</f>
        <v>8.4979388700262334E-3</v>
      </c>
      <c r="U102" s="753">
        <f>(15501.2337772671/3)*2</f>
        <v>10334.155851511399</v>
      </c>
      <c r="V102" s="702">
        <f>U102/U$12</f>
        <v>1.0866330882061567E-2</v>
      </c>
      <c r="W102" s="678">
        <f>18571.3415703574/3</f>
        <v>6190.4471901191328</v>
      </c>
      <c r="X102" s="702">
        <f>W102/W$12</f>
        <v>6.3976500549652827E-3</v>
      </c>
      <c r="Y102" s="753">
        <f>19499.9086488753/3</f>
        <v>6499.9695496250997</v>
      </c>
      <c r="Z102" s="702">
        <f>Y102/Y$12</f>
        <v>4.4467431937274477E-3</v>
      </c>
      <c r="AA102" s="144">
        <f t="shared" si="52"/>
        <v>85348.050955518076</v>
      </c>
      <c r="AB102" s="226">
        <f>AA102/AA$12</f>
        <v>6.2662195442947472E-3</v>
      </c>
      <c r="AC102" s="128">
        <f t="shared" si="53"/>
        <v>7112.3375796265063</v>
      </c>
      <c r="AD102" s="226">
        <f>AC102/AC$12</f>
        <v>6.2662195442947464E-3</v>
      </c>
      <c r="AE102" s="658"/>
      <c r="AF102" s="393"/>
      <c r="AG102" s="393"/>
    </row>
    <row r="103" spans="1:33" s="1" customFormat="1" ht="15.75" thickBot="1">
      <c r="A103" s="2">
        <v>6310</v>
      </c>
      <c r="B103" s="2" t="s">
        <v>153</v>
      </c>
      <c r="C103" s="753">
        <v>1000</v>
      </c>
      <c r="D103" s="702">
        <f t="shared" ref="D103:D114" si="56">C103/C$12</f>
        <v>9.7617484228553169E-4</v>
      </c>
      <c r="E103" s="753">
        <f>340+160</f>
        <v>500</v>
      </c>
      <c r="F103" s="702">
        <f t="shared" ref="F103:F114" si="57">E103/E$12</f>
        <v>6.2736054317633354E-4</v>
      </c>
      <c r="G103" s="33">
        <v>1550</v>
      </c>
      <c r="H103" s="702">
        <f t="shared" ref="H103:H114" si="58">G103/G$12</f>
        <v>1.1724402897741427E-3</v>
      </c>
      <c r="I103" s="753">
        <v>1000</v>
      </c>
      <c r="J103" s="702">
        <f t="shared" ref="J103:J114" si="59">I103/I$12</f>
        <v>8.5664552898798119E-4</v>
      </c>
      <c r="K103" s="753">
        <v>4000</v>
      </c>
      <c r="L103" s="702">
        <f t="shared" ref="L103:L114" si="60">K103/K$12</f>
        <v>3.7465286536889843E-3</v>
      </c>
      <c r="M103" s="753"/>
      <c r="N103" s="702">
        <f t="shared" ref="N103:P114" si="61">M103/M$12</f>
        <v>0</v>
      </c>
      <c r="O103" s="371">
        <v>2100</v>
      </c>
      <c r="P103" s="702">
        <f t="shared" ref="P103:P114" si="62">O103/O$12</f>
        <v>2.1909720670083141E-3</v>
      </c>
      <c r="Q103" s="753">
        <v>3000</v>
      </c>
      <c r="R103" s="702">
        <f t="shared" ref="R103:R114" si="63">Q103/Q$12</f>
        <v>2.5206263131366761E-3</v>
      </c>
      <c r="S103" s="678">
        <f>1550+50</f>
        <v>1600</v>
      </c>
      <c r="T103" s="702">
        <f t="shared" ref="T103:T114" si="64">S103/S$12</f>
        <v>1.3344864898362408E-3</v>
      </c>
      <c r="U103" s="753">
        <v>1900</v>
      </c>
      <c r="V103" s="702">
        <f t="shared" ref="V103:V114" si="65">U103/U$12</f>
        <v>1.9978437496563821E-3</v>
      </c>
      <c r="W103" s="753">
        <v>2100</v>
      </c>
      <c r="X103" s="702">
        <f t="shared" ref="X103:X114" si="66">W103/W$12</f>
        <v>2.1702899165138572E-3</v>
      </c>
      <c r="Y103" s="753">
        <v>2000</v>
      </c>
      <c r="Z103" s="702">
        <f t="shared" ref="Z103:Z114" si="67">Y103/Y$12</f>
        <v>1.368235084727104E-3</v>
      </c>
      <c r="AA103" s="144">
        <f t="shared" si="52"/>
        <v>20750</v>
      </c>
      <c r="AB103" s="226">
        <f t="shared" ref="AB103:AB114" si="68">AA103/AA$12</f>
        <v>1.5234566470871407E-3</v>
      </c>
      <c r="AC103" s="128">
        <f t="shared" si="53"/>
        <v>1729.1666666666667</v>
      </c>
      <c r="AD103" s="226">
        <f t="shared" ref="AD103:AD114" si="69">AC103/AC$12</f>
        <v>1.5234566470871407E-3</v>
      </c>
      <c r="AE103" s="662"/>
      <c r="AF103" s="562"/>
      <c r="AG103" s="562"/>
    </row>
    <row r="104" spans="1:33" s="1" customFormat="1" ht="15.75" thickTop="1">
      <c r="A104" s="2">
        <v>6311</v>
      </c>
      <c r="B104" s="2" t="s">
        <v>154</v>
      </c>
      <c r="C104" s="753">
        <v>10284.905617732022</v>
      </c>
      <c r="D104" s="702">
        <f t="shared" si="56"/>
        <v>1.0039866119311135E-2</v>
      </c>
      <c r="E104" s="753"/>
      <c r="F104" s="702">
        <f t="shared" si="57"/>
        <v>0</v>
      </c>
      <c r="G104" s="753"/>
      <c r="H104" s="702">
        <f t="shared" si="58"/>
        <v>0</v>
      </c>
      <c r="I104" s="753"/>
      <c r="J104" s="702">
        <f t="shared" si="59"/>
        <v>0</v>
      </c>
      <c r="K104" s="753"/>
      <c r="L104" s="702">
        <f t="shared" si="60"/>
        <v>0</v>
      </c>
      <c r="M104" s="753"/>
      <c r="N104" s="702">
        <f t="shared" si="61"/>
        <v>0</v>
      </c>
      <c r="O104" s="753"/>
      <c r="P104" s="702">
        <f t="shared" si="62"/>
        <v>0</v>
      </c>
      <c r="Q104" s="753"/>
      <c r="R104" s="702">
        <f t="shared" si="63"/>
        <v>0</v>
      </c>
      <c r="S104" s="753"/>
      <c r="T104" s="702">
        <f t="shared" si="64"/>
        <v>0</v>
      </c>
      <c r="U104" s="753"/>
      <c r="V104" s="702">
        <f t="shared" si="65"/>
        <v>0</v>
      </c>
      <c r="W104" s="753"/>
      <c r="X104" s="702">
        <f t="shared" si="66"/>
        <v>0</v>
      </c>
      <c r="Y104" s="753"/>
      <c r="Z104" s="702">
        <f t="shared" si="67"/>
        <v>0</v>
      </c>
      <c r="AA104" s="144">
        <f t="shared" si="52"/>
        <v>10284.905617732022</v>
      </c>
      <c r="AB104" s="226">
        <f t="shared" si="68"/>
        <v>7.5511363026495055E-4</v>
      </c>
      <c r="AC104" s="128">
        <f t="shared" si="53"/>
        <v>857.0754681443351</v>
      </c>
      <c r="AD104" s="226">
        <f t="shared" si="69"/>
        <v>7.5511363026495044E-4</v>
      </c>
      <c r="AE104" s="658"/>
      <c r="AF104" s="393"/>
      <c r="AG104" s="393"/>
    </row>
    <row r="105" spans="1:33" s="1" customFormat="1">
      <c r="A105" s="2">
        <v>6312</v>
      </c>
      <c r="B105" s="2" t="s">
        <v>155</v>
      </c>
      <c r="C105" s="678"/>
      <c r="D105" s="702">
        <f t="shared" si="56"/>
        <v>0</v>
      </c>
      <c r="E105" s="678"/>
      <c r="F105" s="702">
        <f t="shared" si="57"/>
        <v>0</v>
      </c>
      <c r="G105" s="678"/>
      <c r="H105" s="702">
        <f t="shared" si="58"/>
        <v>0</v>
      </c>
      <c r="I105" s="678"/>
      <c r="J105" s="702">
        <f t="shared" si="59"/>
        <v>0</v>
      </c>
      <c r="K105" s="678"/>
      <c r="L105" s="702">
        <f t="shared" si="60"/>
        <v>0</v>
      </c>
      <c r="M105" s="678"/>
      <c r="N105" s="702">
        <f t="shared" si="61"/>
        <v>0</v>
      </c>
      <c r="O105" s="678"/>
      <c r="P105" s="702">
        <f t="shared" si="62"/>
        <v>0</v>
      </c>
      <c r="Q105" s="678"/>
      <c r="R105" s="702">
        <f t="shared" si="63"/>
        <v>0</v>
      </c>
      <c r="S105" s="678"/>
      <c r="T105" s="702">
        <f t="shared" si="64"/>
        <v>0</v>
      </c>
      <c r="U105" s="678"/>
      <c r="V105" s="702">
        <f t="shared" si="65"/>
        <v>0</v>
      </c>
      <c r="W105" s="678"/>
      <c r="X105" s="702">
        <f t="shared" si="66"/>
        <v>0</v>
      </c>
      <c r="Y105" s="678"/>
      <c r="Z105" s="702">
        <f t="shared" si="67"/>
        <v>0</v>
      </c>
      <c r="AA105" s="144">
        <f t="shared" si="52"/>
        <v>0</v>
      </c>
      <c r="AB105" s="226">
        <f t="shared" si="68"/>
        <v>0</v>
      </c>
      <c r="AC105" s="128">
        <f t="shared" si="53"/>
        <v>0</v>
      </c>
      <c r="AD105" s="226">
        <f t="shared" si="69"/>
        <v>0</v>
      </c>
      <c r="AE105" s="658" t="s">
        <v>224</v>
      </c>
      <c r="AF105" s="393"/>
      <c r="AG105" s="393"/>
    </row>
    <row r="106" spans="1:33" s="1" customFormat="1">
      <c r="A106" s="2">
        <v>6313</v>
      </c>
      <c r="B106" s="2" t="s">
        <v>156</v>
      </c>
      <c r="C106" s="753"/>
      <c r="D106" s="702">
        <f t="shared" si="56"/>
        <v>0</v>
      </c>
      <c r="E106" s="753"/>
      <c r="F106" s="702">
        <f t="shared" si="57"/>
        <v>0</v>
      </c>
      <c r="G106" s="753">
        <f>(27272.7272727273/0.985)/12</f>
        <v>2307.3373327180457</v>
      </c>
      <c r="H106" s="702">
        <f t="shared" si="58"/>
        <v>1.7453001619217052E-3</v>
      </c>
      <c r="I106" s="753"/>
      <c r="J106" s="702">
        <f t="shared" si="59"/>
        <v>0</v>
      </c>
      <c r="K106" s="753">
        <f>(27272.7272727273/0.985)/12</f>
        <v>2307.3373327180457</v>
      </c>
      <c r="L106" s="702">
        <f t="shared" si="60"/>
        <v>2.1611263576886181E-3</v>
      </c>
      <c r="M106" s="753"/>
      <c r="N106" s="702">
        <f t="shared" si="61"/>
        <v>0</v>
      </c>
      <c r="O106" s="753"/>
      <c r="P106" s="702">
        <f t="shared" si="61"/>
        <v>0</v>
      </c>
      <c r="Q106" s="753">
        <f>(27272.7272727273/0.985)/12</f>
        <v>2307.3373327180457</v>
      </c>
      <c r="R106" s="702">
        <f t="shared" si="63"/>
        <v>1.9386450647105665E-3</v>
      </c>
      <c r="S106" s="753"/>
      <c r="T106" s="702">
        <f t="shared" si="64"/>
        <v>0</v>
      </c>
      <c r="U106" s="753"/>
      <c r="V106" s="702">
        <f t="shared" si="65"/>
        <v>0</v>
      </c>
      <c r="W106" s="753"/>
      <c r="X106" s="702">
        <f t="shared" si="66"/>
        <v>0</v>
      </c>
      <c r="Y106" s="753">
        <f>(27272.7272727273/0.985)/12</f>
        <v>2307.3373327180457</v>
      </c>
      <c r="Z106" s="702">
        <f t="shared" si="67"/>
        <v>1.5784899454627428E-3</v>
      </c>
      <c r="AA106" s="144">
        <f t="shared" si="52"/>
        <v>9229.3493308721827</v>
      </c>
      <c r="AB106" s="226">
        <f t="shared" si="68"/>
        <v>6.7761511259790269E-4</v>
      </c>
      <c r="AC106" s="128">
        <f t="shared" si="53"/>
        <v>769.11244423934852</v>
      </c>
      <c r="AD106" s="226">
        <f t="shared" si="69"/>
        <v>6.7761511259790258E-4</v>
      </c>
      <c r="AE106" s="645" t="s">
        <v>288</v>
      </c>
      <c r="AF106" s="393" t="s">
        <v>250</v>
      </c>
      <c r="AG106" s="393"/>
    </row>
    <row r="107" spans="1:33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56"/>
        <v>1.2202185528569146E-2</v>
      </c>
      <c r="E107" s="678">
        <f>(206850/12)/0.985</f>
        <v>17500</v>
      </c>
      <c r="F107" s="702">
        <f t="shared" si="57"/>
        <v>2.1957619011171676E-2</v>
      </c>
      <c r="G107" s="678">
        <f>(159570/12)/0.985</f>
        <v>13500</v>
      </c>
      <c r="H107" s="702">
        <f t="shared" si="58"/>
        <v>1.0211576717387694E-2</v>
      </c>
      <c r="I107" s="678">
        <f>(159570/12)/0.985</f>
        <v>13500</v>
      </c>
      <c r="J107" s="702">
        <f t="shared" si="59"/>
        <v>1.1564714641337745E-2</v>
      </c>
      <c r="K107" s="678">
        <f>(206850/12)/0.985</f>
        <v>17500</v>
      </c>
      <c r="L107" s="702">
        <f t="shared" si="60"/>
        <v>1.6391062859889307E-2</v>
      </c>
      <c r="M107" s="678">
        <f>(159570/12)/0.985</f>
        <v>13500</v>
      </c>
      <c r="N107" s="702">
        <f t="shared" si="61"/>
        <v>8.9172480024466757E-3</v>
      </c>
      <c r="O107" s="678">
        <f>(159570/12)/0.985</f>
        <v>13500</v>
      </c>
      <c r="P107" s="702">
        <f t="shared" si="61"/>
        <v>1.4084820430767732E-2</v>
      </c>
      <c r="Q107" s="678">
        <f>(206850/12)/0.985</f>
        <v>17500</v>
      </c>
      <c r="R107" s="702">
        <f t="shared" si="63"/>
        <v>1.4703653493297277E-2</v>
      </c>
      <c r="S107" s="678">
        <f>(159570/12)/0.985</f>
        <v>13500</v>
      </c>
      <c r="T107" s="702">
        <f t="shared" si="64"/>
        <v>1.1259729757993281E-2</v>
      </c>
      <c r="U107" s="678">
        <f>(159570/12)/0.985</f>
        <v>13500</v>
      </c>
      <c r="V107" s="702">
        <f t="shared" si="65"/>
        <v>1.4195205589663766E-2</v>
      </c>
      <c r="W107" s="678">
        <f>(206850/12)/0.985</f>
        <v>17500</v>
      </c>
      <c r="X107" s="702">
        <f t="shared" si="66"/>
        <v>1.8085749304282143E-2</v>
      </c>
      <c r="Y107" s="678">
        <f>(159570/12)/0.985</f>
        <v>13500</v>
      </c>
      <c r="Z107" s="702">
        <f t="shared" si="67"/>
        <v>9.2355868219079519E-3</v>
      </c>
      <c r="AA107" s="144">
        <f t="shared" si="52"/>
        <v>177000</v>
      </c>
      <c r="AB107" s="226">
        <f t="shared" si="68"/>
        <v>1.2995268748646935E-2</v>
      </c>
      <c r="AC107" s="128">
        <f t="shared" si="53"/>
        <v>14750</v>
      </c>
      <c r="AD107" s="226">
        <f t="shared" si="69"/>
        <v>1.2995268748646933E-2</v>
      </c>
      <c r="AE107" s="658"/>
      <c r="AF107" s="393"/>
      <c r="AG107" s="393"/>
    </row>
    <row r="108" spans="1:33" s="1" customFormat="1">
      <c r="A108" s="2">
        <v>6315</v>
      </c>
      <c r="B108" s="2" t="s">
        <v>323</v>
      </c>
      <c r="C108" s="678"/>
      <c r="D108" s="702">
        <f t="shared" si="56"/>
        <v>0</v>
      </c>
      <c r="E108" s="678">
        <v>2557</v>
      </c>
      <c r="F108" s="702">
        <f t="shared" si="57"/>
        <v>3.2083218178037697E-3</v>
      </c>
      <c r="G108" s="678">
        <v>3807</v>
      </c>
      <c r="H108" s="702">
        <f t="shared" si="58"/>
        <v>2.87966463430333E-3</v>
      </c>
      <c r="I108" s="678">
        <v>2557</v>
      </c>
      <c r="J108" s="702">
        <f t="shared" si="59"/>
        <v>2.1904426176222679E-3</v>
      </c>
      <c r="K108" s="678">
        <v>1250</v>
      </c>
      <c r="L108" s="702">
        <f t="shared" si="60"/>
        <v>1.1707902042778077E-3</v>
      </c>
      <c r="M108" s="678"/>
      <c r="N108" s="702">
        <f t="shared" si="61"/>
        <v>0</v>
      </c>
      <c r="O108" s="678">
        <v>875</v>
      </c>
      <c r="P108" s="702">
        <f t="shared" si="61"/>
        <v>9.1290502792013082E-4</v>
      </c>
      <c r="Q108" s="678">
        <v>1250</v>
      </c>
      <c r="R108" s="702">
        <f t="shared" si="63"/>
        <v>1.0502609638069482E-3</v>
      </c>
      <c r="S108" s="678"/>
      <c r="T108" s="702">
        <f t="shared" si="64"/>
        <v>0</v>
      </c>
      <c r="U108" s="678">
        <v>875</v>
      </c>
      <c r="V108" s="702">
        <f t="shared" si="65"/>
        <v>9.200596215522812E-4</v>
      </c>
      <c r="W108" s="678"/>
      <c r="X108" s="702">
        <f t="shared" si="66"/>
        <v>0</v>
      </c>
      <c r="Y108" s="678">
        <v>1250</v>
      </c>
      <c r="Z108" s="702">
        <f t="shared" si="67"/>
        <v>8.5514692795444006E-4</v>
      </c>
      <c r="AA108" s="144">
        <f t="shared" si="52"/>
        <v>14421</v>
      </c>
      <c r="AB108" s="226">
        <f t="shared" si="68"/>
        <v>1.0587840148262003E-3</v>
      </c>
      <c r="AC108" s="128">
        <f t="shared" si="53"/>
        <v>1201.75</v>
      </c>
      <c r="AD108" s="226">
        <f t="shared" si="69"/>
        <v>1.0587840148262001E-3</v>
      </c>
      <c r="AE108" s="658"/>
      <c r="AF108" s="393"/>
      <c r="AG108" s="393"/>
    </row>
    <row r="109" spans="1:33" s="1" customFormat="1">
      <c r="A109" s="2">
        <v>6316</v>
      </c>
      <c r="B109" s="2" t="s">
        <v>324</v>
      </c>
      <c r="C109" s="678"/>
      <c r="D109" s="702">
        <f t="shared" si="56"/>
        <v>0</v>
      </c>
      <c r="E109" s="678">
        <v>7922.2222222222226</v>
      </c>
      <c r="F109" s="702">
        <f t="shared" si="57"/>
        <v>9.9401792729939074E-3</v>
      </c>
      <c r="G109" s="678"/>
      <c r="H109" s="702">
        <f t="shared" si="58"/>
        <v>0</v>
      </c>
      <c r="I109" s="678"/>
      <c r="J109" s="702">
        <f t="shared" si="59"/>
        <v>0</v>
      </c>
      <c r="K109" s="678">
        <v>7500</v>
      </c>
      <c r="L109" s="702">
        <f t="shared" si="60"/>
        <v>7.0247412256668456E-3</v>
      </c>
      <c r="M109" s="678">
        <v>1900</v>
      </c>
      <c r="N109" s="702">
        <f t="shared" si="61"/>
        <v>1.2550200892332357E-3</v>
      </c>
      <c r="O109" s="678"/>
      <c r="P109" s="702">
        <f t="shared" si="62"/>
        <v>0</v>
      </c>
      <c r="Q109" s="678">
        <v>7222.2222222222226</v>
      </c>
      <c r="R109" s="702">
        <f t="shared" si="63"/>
        <v>6.0681744575512573E-3</v>
      </c>
      <c r="S109" s="678">
        <v>1900</v>
      </c>
      <c r="T109" s="702">
        <f t="shared" si="64"/>
        <v>1.5847027066805358E-3</v>
      </c>
      <c r="U109" s="678">
        <v>5600</v>
      </c>
      <c r="V109" s="702">
        <f t="shared" si="65"/>
        <v>5.8883815779345993E-3</v>
      </c>
      <c r="W109" s="678"/>
      <c r="X109" s="702">
        <f t="shared" si="66"/>
        <v>0</v>
      </c>
      <c r="Y109" s="678"/>
      <c r="Z109" s="702">
        <f t="shared" si="67"/>
        <v>0</v>
      </c>
      <c r="AA109" s="144">
        <f t="shared" si="52"/>
        <v>32044.444444444445</v>
      </c>
      <c r="AB109" s="226">
        <f t="shared" si="68"/>
        <v>2.3526902116194452E-3</v>
      </c>
      <c r="AC109" s="128">
        <f t="shared" si="53"/>
        <v>2670.3703703703704</v>
      </c>
      <c r="AD109" s="226">
        <f t="shared" si="69"/>
        <v>2.3526902116194448E-3</v>
      </c>
      <c r="AE109" s="658"/>
      <c r="AF109" s="393"/>
      <c r="AG109" s="393"/>
    </row>
    <row r="110" spans="1:33" s="1" customFormat="1">
      <c r="A110" s="2">
        <v>6317</v>
      </c>
      <c r="B110" s="2" t="s">
        <v>325</v>
      </c>
      <c r="C110" s="678"/>
      <c r="D110" s="702">
        <f t="shared" si="56"/>
        <v>0</v>
      </c>
      <c r="E110" s="678">
        <v>2750</v>
      </c>
      <c r="F110" s="702">
        <f t="shared" si="57"/>
        <v>3.4504829874698346E-3</v>
      </c>
      <c r="G110" s="678"/>
      <c r="H110" s="702">
        <f t="shared" si="58"/>
        <v>0</v>
      </c>
      <c r="I110" s="678">
        <v>16120</v>
      </c>
      <c r="J110" s="702">
        <f t="shared" si="59"/>
        <v>1.3809125927286257E-2</v>
      </c>
      <c r="K110" s="678">
        <v>3100</v>
      </c>
      <c r="L110" s="702">
        <f t="shared" si="60"/>
        <v>2.9035597066089627E-3</v>
      </c>
      <c r="M110" s="678"/>
      <c r="N110" s="702">
        <f t="shared" si="61"/>
        <v>0</v>
      </c>
      <c r="O110" s="678"/>
      <c r="P110" s="702">
        <f t="shared" si="62"/>
        <v>0</v>
      </c>
      <c r="Q110" s="678">
        <v>10466</v>
      </c>
      <c r="R110" s="702">
        <f t="shared" si="63"/>
        <v>8.7936249977628167E-3</v>
      </c>
      <c r="S110" s="678"/>
      <c r="T110" s="702">
        <f t="shared" si="64"/>
        <v>0</v>
      </c>
      <c r="U110" s="678">
        <v>2750</v>
      </c>
      <c r="V110" s="702">
        <f t="shared" si="65"/>
        <v>2.8916159534500266E-3</v>
      </c>
      <c r="W110" s="678"/>
      <c r="X110" s="702">
        <f t="shared" si="66"/>
        <v>0</v>
      </c>
      <c r="Y110" s="678"/>
      <c r="Z110" s="702">
        <f t="shared" si="67"/>
        <v>0</v>
      </c>
      <c r="AA110" s="144">
        <f t="shared" si="52"/>
        <v>35186</v>
      </c>
      <c r="AB110" s="226">
        <f t="shared" si="68"/>
        <v>2.5833419558750907E-3</v>
      </c>
      <c r="AC110" s="128">
        <f t="shared" si="53"/>
        <v>2932.1666666666665</v>
      </c>
      <c r="AD110" s="226">
        <f t="shared" si="69"/>
        <v>2.5833419558750903E-3</v>
      </c>
      <c r="AE110" s="658"/>
      <c r="AF110" s="393"/>
      <c r="AG110" s="393"/>
    </row>
    <row r="111" spans="1:33" s="1" customFormat="1">
      <c r="A111" s="2">
        <v>6318</v>
      </c>
      <c r="B111" s="2" t="s">
        <v>326</v>
      </c>
      <c r="C111" s="678">
        <f>(6660/12)</f>
        <v>555</v>
      </c>
      <c r="D111" s="702">
        <f t="shared" si="56"/>
        <v>5.4177703746847007E-4</v>
      </c>
      <c r="E111" s="678">
        <f>(6660/12)</f>
        <v>555</v>
      </c>
      <c r="F111" s="702">
        <f t="shared" si="57"/>
        <v>6.9637020292573023E-4</v>
      </c>
      <c r="G111" s="678">
        <f>(6660/12)</f>
        <v>555</v>
      </c>
      <c r="H111" s="702">
        <f t="shared" si="58"/>
        <v>4.1980926504816077E-4</v>
      </c>
      <c r="I111" s="678">
        <f>(6660/12)</f>
        <v>555</v>
      </c>
      <c r="J111" s="702">
        <f t="shared" si="59"/>
        <v>4.7543826858832954E-4</v>
      </c>
      <c r="K111" s="678">
        <f>(6660/12)</f>
        <v>555</v>
      </c>
      <c r="L111" s="702">
        <f t="shared" si="60"/>
        <v>5.1983085069934657E-4</v>
      </c>
      <c r="M111" s="678">
        <f>(6660/12)</f>
        <v>555</v>
      </c>
      <c r="N111" s="702">
        <f t="shared" si="61"/>
        <v>3.6659797343391889E-4</v>
      </c>
      <c r="O111" s="678">
        <f>(6660/12)</f>
        <v>555</v>
      </c>
      <c r="P111" s="702">
        <f t="shared" si="61"/>
        <v>5.7904261770934005E-4</v>
      </c>
      <c r="Q111" s="678">
        <f>(6660/12)</f>
        <v>555</v>
      </c>
      <c r="R111" s="702">
        <f t="shared" si="63"/>
        <v>4.6631586793028507E-4</v>
      </c>
      <c r="S111" s="678">
        <f>(6660/12)</f>
        <v>555</v>
      </c>
      <c r="T111" s="702">
        <f t="shared" si="64"/>
        <v>4.62900001161946E-4</v>
      </c>
      <c r="U111" s="678">
        <f>(6660/12)</f>
        <v>555</v>
      </c>
      <c r="V111" s="702">
        <f t="shared" si="65"/>
        <v>5.8358067424173264E-4</v>
      </c>
      <c r="W111" s="678">
        <f>(6660/12)</f>
        <v>555</v>
      </c>
      <c r="X111" s="702">
        <f t="shared" si="66"/>
        <v>5.7357662079294788E-4</v>
      </c>
      <c r="Y111" s="678">
        <f>(6660/12)</f>
        <v>555</v>
      </c>
      <c r="Z111" s="702">
        <f t="shared" si="67"/>
        <v>3.7968523601177137E-4</v>
      </c>
      <c r="AA111" s="144">
        <f t="shared" si="52"/>
        <v>6660</v>
      </c>
      <c r="AB111" s="226">
        <f t="shared" si="68"/>
        <v>4.8897451901688468E-4</v>
      </c>
      <c r="AC111" s="128">
        <f t="shared" si="53"/>
        <v>555</v>
      </c>
      <c r="AD111" s="226">
        <f t="shared" si="69"/>
        <v>4.8897451901688458E-4</v>
      </c>
      <c r="AE111" s="658"/>
      <c r="AF111" s="393"/>
      <c r="AG111" s="393"/>
    </row>
    <row r="112" spans="1:33" s="1" customFormat="1">
      <c r="A112" s="2">
        <v>6319</v>
      </c>
      <c r="B112" s="2" t="s">
        <v>327</v>
      </c>
      <c r="C112" s="678"/>
      <c r="D112" s="702">
        <f t="shared" si="56"/>
        <v>0</v>
      </c>
      <c r="E112" s="678">
        <f>(43504.1666666667/12)/0.985</f>
        <v>3680.5555555555584</v>
      </c>
      <c r="F112" s="702">
        <f t="shared" si="57"/>
        <v>4.6180706650480142E-3</v>
      </c>
      <c r="G112" s="678">
        <f>(43504.1666666667/12)/0.985</f>
        <v>3680.5555555555584</v>
      </c>
      <c r="H112" s="702">
        <f t="shared" si="58"/>
        <v>2.7840204013454125E-3</v>
      </c>
      <c r="I112" s="678">
        <f>(43504.1666666667/12)/0.985</f>
        <v>3680.5555555555584</v>
      </c>
      <c r="J112" s="702">
        <f t="shared" si="59"/>
        <v>3.1529314608585443E-3</v>
      </c>
      <c r="K112" s="678">
        <f>(43504.1666666667/12)/0.985</f>
        <v>3680.5555555555584</v>
      </c>
      <c r="L112" s="702">
        <f t="shared" si="60"/>
        <v>3.4473267125957694E-3</v>
      </c>
      <c r="M112" s="678"/>
      <c r="N112" s="702">
        <f t="shared" si="61"/>
        <v>0</v>
      </c>
      <c r="O112" s="678">
        <f>(43504.1666666667/12)/0.985</f>
        <v>3680.5555555555584</v>
      </c>
      <c r="P112" s="702">
        <f t="shared" si="61"/>
        <v>3.8399973396640451E-3</v>
      </c>
      <c r="Q112" s="678">
        <f>(43504.1666666667/12)/0.985</f>
        <v>3680.5555555555584</v>
      </c>
      <c r="R112" s="702">
        <f t="shared" si="63"/>
        <v>3.092435060098239E-3</v>
      </c>
      <c r="S112" s="678">
        <f>(43504.1666666667/12)/0.985</f>
        <v>3680.5555555555584</v>
      </c>
      <c r="T112" s="702">
        <f t="shared" si="64"/>
        <v>3.0697822899878827E-3</v>
      </c>
      <c r="U112" s="678">
        <f>(43504.1666666667/12)/0.985</f>
        <v>3680.5555555555584</v>
      </c>
      <c r="V112" s="702">
        <f t="shared" si="65"/>
        <v>3.8700920589103921E-3</v>
      </c>
      <c r="W112" s="678">
        <f>(43504.1666666667/12)/0.985</f>
        <v>3680.5555555555584</v>
      </c>
      <c r="X112" s="702">
        <f t="shared" si="66"/>
        <v>3.8037488616148979E-3</v>
      </c>
      <c r="Y112" s="678">
        <f>(43504.1666666667/12)/0.985</f>
        <v>3680.5555555555584</v>
      </c>
      <c r="Z112" s="702">
        <f t="shared" si="67"/>
        <v>2.5179326211991868E-3</v>
      </c>
      <c r="AA112" s="144">
        <f t="shared" si="52"/>
        <v>36805.555555555591</v>
      </c>
      <c r="AB112" s="226">
        <f t="shared" si="68"/>
        <v>2.7022490728118654E-3</v>
      </c>
      <c r="AC112" s="128">
        <f t="shared" si="53"/>
        <v>3067.1296296296327</v>
      </c>
      <c r="AD112" s="226">
        <f t="shared" si="69"/>
        <v>2.7022490728118649E-3</v>
      </c>
      <c r="AE112" s="658"/>
      <c r="AF112" s="393"/>
      <c r="AG112" s="393"/>
    </row>
    <row r="113" spans="1:33" s="1" customFormat="1">
      <c r="A113" s="2">
        <v>6320</v>
      </c>
      <c r="B113" s="2" t="s">
        <v>328</v>
      </c>
      <c r="C113" s="678"/>
      <c r="D113" s="702">
        <f t="shared" si="56"/>
        <v>0</v>
      </c>
      <c r="E113" s="678"/>
      <c r="F113" s="702">
        <f t="shared" si="57"/>
        <v>0</v>
      </c>
      <c r="G113" s="678"/>
      <c r="H113" s="702">
        <f t="shared" si="58"/>
        <v>0</v>
      </c>
      <c r="I113" s="678"/>
      <c r="J113" s="702">
        <f t="shared" si="59"/>
        <v>0</v>
      </c>
      <c r="K113" s="678"/>
      <c r="L113" s="702">
        <f t="shared" si="60"/>
        <v>0</v>
      </c>
      <c r="M113" s="678"/>
      <c r="N113" s="702">
        <f t="shared" si="61"/>
        <v>0</v>
      </c>
      <c r="O113" s="678"/>
      <c r="P113" s="702">
        <f t="shared" si="62"/>
        <v>0</v>
      </c>
      <c r="Q113" s="678"/>
      <c r="R113" s="702">
        <f t="shared" si="63"/>
        <v>0</v>
      </c>
      <c r="S113" s="678"/>
      <c r="T113" s="702">
        <f t="shared" si="64"/>
        <v>0</v>
      </c>
      <c r="U113" s="678"/>
      <c r="V113" s="702">
        <f t="shared" si="65"/>
        <v>0</v>
      </c>
      <c r="W113" s="678"/>
      <c r="X113" s="702">
        <f t="shared" si="66"/>
        <v>0</v>
      </c>
      <c r="Y113" s="678"/>
      <c r="Z113" s="702">
        <f t="shared" si="67"/>
        <v>0</v>
      </c>
      <c r="AA113" s="144">
        <f t="shared" si="52"/>
        <v>0</v>
      </c>
      <c r="AB113" s="226">
        <f t="shared" si="68"/>
        <v>0</v>
      </c>
      <c r="AC113" s="128">
        <f t="shared" si="53"/>
        <v>0</v>
      </c>
      <c r="AD113" s="226">
        <f t="shared" si="69"/>
        <v>0</v>
      </c>
      <c r="AE113" s="658"/>
      <c r="AF113" s="393"/>
      <c r="AG113" s="393"/>
    </row>
    <row r="114" spans="1:33" s="1" customFormat="1">
      <c r="A114" s="2">
        <v>6321</v>
      </c>
      <c r="B114" s="2" t="s">
        <v>329</v>
      </c>
      <c r="C114" s="678"/>
      <c r="D114" s="702">
        <f t="shared" si="56"/>
        <v>0</v>
      </c>
      <c r="E114" s="678"/>
      <c r="F114" s="702">
        <f t="shared" si="57"/>
        <v>0</v>
      </c>
      <c r="G114" s="678"/>
      <c r="H114" s="702">
        <f t="shared" si="58"/>
        <v>0</v>
      </c>
      <c r="I114" s="678"/>
      <c r="J114" s="702">
        <f t="shared" si="59"/>
        <v>0</v>
      </c>
      <c r="K114" s="678"/>
      <c r="L114" s="702">
        <f t="shared" si="60"/>
        <v>0</v>
      </c>
      <c r="M114" s="678"/>
      <c r="N114" s="702">
        <f t="shared" si="61"/>
        <v>0</v>
      </c>
      <c r="O114" s="678"/>
      <c r="P114" s="702">
        <f t="shared" si="62"/>
        <v>0</v>
      </c>
      <c r="Q114" s="678"/>
      <c r="R114" s="702">
        <f t="shared" si="63"/>
        <v>0</v>
      </c>
      <c r="S114" s="678"/>
      <c r="T114" s="702">
        <f t="shared" si="64"/>
        <v>0</v>
      </c>
      <c r="U114" s="678"/>
      <c r="V114" s="702">
        <f t="shared" si="65"/>
        <v>0</v>
      </c>
      <c r="W114" s="754">
        <f>100000/12</f>
        <v>8333.3333333333339</v>
      </c>
      <c r="X114" s="702">
        <f t="shared" si="66"/>
        <v>8.6122615734676878E-3</v>
      </c>
      <c r="Y114" s="678"/>
      <c r="Z114" s="702">
        <f t="shared" si="67"/>
        <v>0</v>
      </c>
      <c r="AA114" s="144">
        <f t="shared" si="52"/>
        <v>8333.3333333333339</v>
      </c>
      <c r="AB114" s="226">
        <f t="shared" si="68"/>
        <v>6.1182997874985573E-4</v>
      </c>
      <c r="AC114" s="128">
        <f t="shared" si="53"/>
        <v>694.44444444444446</v>
      </c>
      <c r="AD114" s="226">
        <f t="shared" si="69"/>
        <v>6.1182997874985562E-4</v>
      </c>
      <c r="AE114" s="658"/>
      <c r="AF114" s="393"/>
      <c r="AG114" s="393"/>
    </row>
    <row r="115" spans="1:33" s="1" customFormat="1" ht="15.75" thickBot="1">
      <c r="A115" s="4">
        <v>6399</v>
      </c>
      <c r="B115" s="229" t="s">
        <v>113</v>
      </c>
      <c r="C115" s="298">
        <f>SUM(C94:C114)</f>
        <v>33317.988313229158</v>
      </c>
      <c r="D115" s="987">
        <f>C115/C12</f>
        <v>3.2524181986937663E-2</v>
      </c>
      <c r="E115" s="298">
        <f>SUM(E94:E114)</f>
        <v>45130.016829324522</v>
      </c>
      <c r="F115" s="987">
        <f>E115/E12</f>
        <v>5.6625583743204214E-2</v>
      </c>
      <c r="G115" s="298">
        <f>SUM(G94:G114)</f>
        <v>30493.721735562871</v>
      </c>
      <c r="H115" s="987">
        <f>G115/G12</f>
        <v>2.3065850288990584E-2</v>
      </c>
      <c r="I115" s="298">
        <f>SUM(I94:I114)</f>
        <v>43189.061867906392</v>
      </c>
      <c r="J115" s="987">
        <f>I115/I12</f>
        <v>3.6997716750327321E-2</v>
      </c>
      <c r="K115" s="298">
        <f>SUM(K94:K114)</f>
        <v>49921.401289859132</v>
      </c>
      <c r="L115" s="987">
        <f>K115/K12</f>
        <v>4.6757990091190867E-2</v>
      </c>
      <c r="M115" s="298">
        <f>SUM(M94:M114)</f>
        <v>20808.322675547901</v>
      </c>
      <c r="N115" s="987">
        <f>M115/M12</f>
        <v>1.3744664726873732E-2</v>
      </c>
      <c r="O115" s="298">
        <f>SUM(O94:O114)</f>
        <v>26055.170891500693</v>
      </c>
      <c r="P115" s="987">
        <f>O115/O12</f>
        <v>2.7183881725907678E-2</v>
      </c>
      <c r="Q115" s="298">
        <f>SUM(Q94:Q114)</f>
        <v>51403.775397973033</v>
      </c>
      <c r="R115" s="97">
        <f>Q115/Q12</f>
        <v>4.3189902954232848E-2</v>
      </c>
      <c r="S115" s="298">
        <f>SUM(S94:S114)</f>
        <v>31824.27031257829</v>
      </c>
      <c r="T115" s="987">
        <f>S115/S12</f>
        <v>2.654316173814518E-2</v>
      </c>
      <c r="U115" s="298">
        <f>SUM(U94:U114)</f>
        <v>39594.711407066963</v>
      </c>
      <c r="V115" s="987">
        <f>U115/U12</f>
        <v>4.1633708791608937E-2</v>
      </c>
      <c r="W115" s="298">
        <f>SUM(W94:W114)</f>
        <v>38759.336079008026</v>
      </c>
      <c r="X115" s="987">
        <f>W115/W12</f>
        <v>4.0056664887163265E-2</v>
      </c>
      <c r="Y115" s="298">
        <f>SUM(Y94:Y114)</f>
        <v>30192.862437898704</v>
      </c>
      <c r="Z115" s="987">
        <f>Y115/Y12</f>
        <v>2.0655466847936066E-2</v>
      </c>
      <c r="AA115" s="298">
        <f>SUM(AA94:AA114)</f>
        <v>440690.63923745562</v>
      </c>
      <c r="AB115" s="97">
        <f>AA115/AA12</f>
        <v>3.2355329332789534E-2</v>
      </c>
      <c r="AC115" s="137">
        <f t="shared" si="53"/>
        <v>36724.219936454632</v>
      </c>
      <c r="AD115" s="97">
        <f>AC115/AC12</f>
        <v>3.2355329332789527E-2</v>
      </c>
      <c r="AE115" s="658"/>
      <c r="AF115" s="393"/>
      <c r="AG115" s="393"/>
    </row>
    <row r="116" spans="1:33" s="1" customFormat="1" ht="15.75" thickTop="1">
      <c r="A116" s="21">
        <v>6401</v>
      </c>
      <c r="B116" s="21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464">
        <f t="shared" ref="AA116:AA128" si="70">C116+E116+G116+I116+K116+M116+O116+Q116+S116+U116+W116+Y116</f>
        <v>0</v>
      </c>
      <c r="AB116" s="467">
        <f>AA116/AA12</f>
        <v>0</v>
      </c>
      <c r="AC116" s="472">
        <f t="shared" ref="AC116:AC128" si="71">AA116/12</f>
        <v>0</v>
      </c>
      <c r="AD116" s="467">
        <f>AC116/AC12</f>
        <v>0</v>
      </c>
      <c r="AE116" s="658"/>
      <c r="AF116" s="393"/>
      <c r="AG116" s="393"/>
    </row>
    <row r="117" spans="1:33" s="1" customFormat="1">
      <c r="A117" s="188">
        <v>6402</v>
      </c>
      <c r="B117" s="2" t="s">
        <v>75</v>
      </c>
      <c r="C117" s="452">
        <v>500</v>
      </c>
      <c r="D117" s="467">
        <f>C117/C12</f>
        <v>4.8808742114276585E-4</v>
      </c>
      <c r="E117" s="452">
        <v>500</v>
      </c>
      <c r="F117" s="467">
        <f>E117/E12</f>
        <v>6.2736054317633354E-4</v>
      </c>
      <c r="G117" s="452">
        <v>500</v>
      </c>
      <c r="H117" s="467">
        <f>G117/G12</f>
        <v>3.7820654508843312E-4</v>
      </c>
      <c r="I117" s="452">
        <v>500</v>
      </c>
      <c r="J117" s="467">
        <f>I117/I12</f>
        <v>4.283227644939906E-4</v>
      </c>
      <c r="K117" s="452">
        <v>500</v>
      </c>
      <c r="L117" s="467">
        <f>K117/K12</f>
        <v>4.6831608171112304E-4</v>
      </c>
      <c r="M117" s="452">
        <v>500</v>
      </c>
      <c r="N117" s="467">
        <f>M117/M12</f>
        <v>3.3026844453506207E-4</v>
      </c>
      <c r="O117" s="452">
        <v>500</v>
      </c>
      <c r="P117" s="467">
        <f>O117/O12</f>
        <v>5.2166001595436041E-4</v>
      </c>
      <c r="Q117" s="452">
        <v>500</v>
      </c>
      <c r="R117" s="467">
        <f>Q117/Q12</f>
        <v>4.2010438552277931E-4</v>
      </c>
      <c r="S117" s="452">
        <v>500</v>
      </c>
      <c r="T117" s="467">
        <f>S117/S12</f>
        <v>4.1702702807382521E-4</v>
      </c>
      <c r="U117" s="452">
        <v>500</v>
      </c>
      <c r="V117" s="467">
        <f>U117/U12</f>
        <v>5.2574835517273208E-4</v>
      </c>
      <c r="W117" s="452">
        <v>500</v>
      </c>
      <c r="X117" s="467">
        <f>W117/W12</f>
        <v>5.1673569440806115E-4</v>
      </c>
      <c r="Y117" s="452">
        <v>500</v>
      </c>
      <c r="Z117" s="467">
        <f>Y117/Y12</f>
        <v>3.42058771181776E-4</v>
      </c>
      <c r="AA117" s="464">
        <f t="shared" si="70"/>
        <v>6000</v>
      </c>
      <c r="AB117" s="467">
        <f>AA117/AA12</f>
        <v>4.4051758469989611E-4</v>
      </c>
      <c r="AC117" s="472">
        <f t="shared" si="71"/>
        <v>500</v>
      </c>
      <c r="AD117" s="467">
        <f>AC117/AC12</f>
        <v>4.4051758469989605E-4</v>
      </c>
      <c r="AE117" s="658"/>
      <c r="AF117" s="393"/>
      <c r="AG117" s="393"/>
    </row>
    <row r="118" spans="1:33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464">
        <f t="shared" si="70"/>
        <v>0</v>
      </c>
      <c r="AB118" s="467">
        <f>AA118/AA12</f>
        <v>0</v>
      </c>
      <c r="AC118" s="472">
        <f t="shared" si="71"/>
        <v>0</v>
      </c>
      <c r="AD118" s="467">
        <f>AC118/AC12</f>
        <v>0</v>
      </c>
      <c r="AE118" s="658"/>
      <c r="AF118" s="393"/>
      <c r="AG118" s="393"/>
    </row>
    <row r="119" spans="1:33" s="1" customFormat="1">
      <c r="A119" s="188">
        <v>6404</v>
      </c>
      <c r="B119" s="188" t="s">
        <v>92</v>
      </c>
      <c r="C119" s="707">
        <v>2000</v>
      </c>
      <c r="D119" s="467">
        <f>C119/C12</f>
        <v>1.9523496845710634E-3</v>
      </c>
      <c r="E119" s="707">
        <v>2000</v>
      </c>
      <c r="F119" s="467">
        <f>E119/E12</f>
        <v>2.5094421727053342E-3</v>
      </c>
      <c r="G119" s="707">
        <v>2000</v>
      </c>
      <c r="H119" s="467">
        <f>G119/G12</f>
        <v>1.5128261803537325E-3</v>
      </c>
      <c r="I119" s="707">
        <v>2000</v>
      </c>
      <c r="J119" s="467">
        <f>I119/I12</f>
        <v>1.7132910579759624E-3</v>
      </c>
      <c r="K119" s="707">
        <v>2000</v>
      </c>
      <c r="L119" s="467">
        <f>K119/K12</f>
        <v>1.8732643268444921E-3</v>
      </c>
      <c r="M119" s="707">
        <v>2000</v>
      </c>
      <c r="N119" s="467">
        <f>M119/M12</f>
        <v>1.3210737781402483E-3</v>
      </c>
      <c r="O119" s="707">
        <v>2000</v>
      </c>
      <c r="P119" s="467">
        <f>O119/O12</f>
        <v>2.0866400638174416E-3</v>
      </c>
      <c r="Q119" s="707">
        <v>2000</v>
      </c>
      <c r="R119" s="467">
        <f>Q119/Q12</f>
        <v>1.6804175420911172E-3</v>
      </c>
      <c r="S119" s="707">
        <v>2000</v>
      </c>
      <c r="T119" s="467">
        <f>S119/S12</f>
        <v>1.6681081122953008E-3</v>
      </c>
      <c r="U119" s="707">
        <v>2000</v>
      </c>
      <c r="V119" s="467">
        <f>U119/U12</f>
        <v>2.1029934206909283E-3</v>
      </c>
      <c r="W119" s="707">
        <v>2000</v>
      </c>
      <c r="X119" s="467">
        <f>W119/W12</f>
        <v>2.0669427776322446E-3</v>
      </c>
      <c r="Y119" s="707">
        <v>2000</v>
      </c>
      <c r="Z119" s="467">
        <f>Y119/Y12</f>
        <v>1.368235084727104E-3</v>
      </c>
      <c r="AA119" s="464">
        <f t="shared" si="70"/>
        <v>24000</v>
      </c>
      <c r="AB119" s="467">
        <f>AA119/AA12</f>
        <v>1.7620703387995844E-3</v>
      </c>
      <c r="AC119" s="472">
        <f t="shared" si="71"/>
        <v>2000</v>
      </c>
      <c r="AD119" s="467">
        <v>0</v>
      </c>
      <c r="AE119" s="645"/>
      <c r="AF119" s="226"/>
      <c r="AG119" s="226"/>
    </row>
    <row r="120" spans="1:33" s="1" customFormat="1">
      <c r="A120" s="188">
        <v>6406</v>
      </c>
      <c r="B120" s="2" t="s">
        <v>72</v>
      </c>
      <c r="C120" s="452">
        <v>750</v>
      </c>
      <c r="D120" s="467">
        <f>C120/C12</f>
        <v>7.3213113171414872E-4</v>
      </c>
      <c r="E120" s="452">
        <v>750</v>
      </c>
      <c r="F120" s="467">
        <f>E120/E12</f>
        <v>9.4104081476450031E-4</v>
      </c>
      <c r="G120" s="452">
        <v>750</v>
      </c>
      <c r="H120" s="467">
        <f>G120/G12</f>
        <v>5.6730981763264974E-4</v>
      </c>
      <c r="I120" s="452">
        <v>750</v>
      </c>
      <c r="J120" s="467">
        <f>I120/I12</f>
        <v>6.4248414674098592E-4</v>
      </c>
      <c r="K120" s="452">
        <v>750</v>
      </c>
      <c r="L120" s="467">
        <f>K120/K12</f>
        <v>7.0247412256668458E-4</v>
      </c>
      <c r="M120" s="452">
        <v>750</v>
      </c>
      <c r="N120" s="467">
        <f>M120/M12</f>
        <v>4.9540266680259311E-4</v>
      </c>
      <c r="O120" s="452">
        <v>750</v>
      </c>
      <c r="P120" s="467">
        <f>O120/O12</f>
        <v>7.8249002393154072E-4</v>
      </c>
      <c r="Q120" s="452">
        <v>750</v>
      </c>
      <c r="R120" s="467">
        <f>Q120/Q12</f>
        <v>6.3015657828416902E-4</v>
      </c>
      <c r="S120" s="452">
        <v>750</v>
      </c>
      <c r="T120" s="467">
        <f>S120/S12</f>
        <v>6.2554054211073787E-4</v>
      </c>
      <c r="U120" s="452">
        <v>750</v>
      </c>
      <c r="V120" s="467">
        <f>U120/U12</f>
        <v>7.8862253275909812E-4</v>
      </c>
      <c r="W120" s="452">
        <v>750</v>
      </c>
      <c r="X120" s="467">
        <f>W120/W12</f>
        <v>7.7510354161209184E-4</v>
      </c>
      <c r="Y120" s="452">
        <v>750</v>
      </c>
      <c r="Z120" s="467">
        <f>Y120/Y12</f>
        <v>5.1308815677266406E-4</v>
      </c>
      <c r="AA120" s="464">
        <f t="shared" si="70"/>
        <v>9000</v>
      </c>
      <c r="AB120" s="467">
        <f>AA120/AA12</f>
        <v>6.6077637704984422E-4</v>
      </c>
      <c r="AC120" s="472">
        <f t="shared" si="71"/>
        <v>750</v>
      </c>
      <c r="AD120" s="467">
        <f>AC120/AC12</f>
        <v>6.6077637704984411E-4</v>
      </c>
      <c r="AE120" s="658"/>
      <c r="AF120" s="393"/>
      <c r="AG120" s="393"/>
    </row>
    <row r="121" spans="1:33" s="1" customFormat="1">
      <c r="A121" s="2">
        <v>6407</v>
      </c>
      <c r="B121" s="231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464">
        <f t="shared" si="70"/>
        <v>0</v>
      </c>
      <c r="AB121" s="467">
        <f>AA121/AA12</f>
        <v>0</v>
      </c>
      <c r="AC121" s="472">
        <f t="shared" si="71"/>
        <v>0</v>
      </c>
      <c r="AD121" s="467">
        <f>AC121/AC12</f>
        <v>0</v>
      </c>
      <c r="AE121" s="645" t="s">
        <v>289</v>
      </c>
      <c r="AF121" s="393"/>
      <c r="AG121" s="393"/>
    </row>
    <row r="122" spans="1:33" s="1" customFormat="1">
      <c r="A122" s="2">
        <v>6408</v>
      </c>
      <c r="B122" s="231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464">
        <f t="shared" si="70"/>
        <v>0</v>
      </c>
      <c r="AB122" s="467">
        <f>AA122/AA12</f>
        <v>0</v>
      </c>
      <c r="AC122" s="472">
        <f t="shared" si="71"/>
        <v>0</v>
      </c>
      <c r="AD122" s="467">
        <f>AC122/AC12</f>
        <v>0</v>
      </c>
      <c r="AE122" s="645" t="s">
        <v>284</v>
      </c>
      <c r="AF122" s="393"/>
      <c r="AG122" s="393"/>
    </row>
    <row r="123" spans="1:33" s="1" customFormat="1">
      <c r="A123" s="2">
        <v>6410</v>
      </c>
      <c r="B123" s="231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464">
        <f t="shared" si="70"/>
        <v>0</v>
      </c>
      <c r="AB123" s="467"/>
      <c r="AC123" s="472">
        <f t="shared" si="71"/>
        <v>0</v>
      </c>
      <c r="AD123" s="467"/>
      <c r="AE123" s="658"/>
      <c r="AF123" s="393"/>
      <c r="AG123" s="393"/>
    </row>
    <row r="124" spans="1:33" s="1" customFormat="1" ht="15.75" thickBot="1">
      <c r="A124" s="2">
        <v>6411</v>
      </c>
      <c r="B124" s="231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464">
        <f t="shared" si="70"/>
        <v>0</v>
      </c>
      <c r="AB124" s="467"/>
      <c r="AC124" s="472">
        <f t="shared" si="71"/>
        <v>0</v>
      </c>
      <c r="AD124" s="467"/>
      <c r="AE124" s="662"/>
      <c r="AF124" s="562"/>
      <c r="AG124" s="562"/>
    </row>
    <row r="125" spans="1:33" s="1" customFormat="1" ht="15.75" thickTop="1">
      <c r="A125" s="2">
        <v>6412</v>
      </c>
      <c r="B125" s="231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464">
        <f t="shared" si="70"/>
        <v>0</v>
      </c>
      <c r="AB125" s="467">
        <f>AA125/AA12</f>
        <v>0</v>
      </c>
      <c r="AC125" s="472">
        <f t="shared" si="71"/>
        <v>0</v>
      </c>
      <c r="AD125" s="467">
        <f>AC125/AC12</f>
        <v>0</v>
      </c>
      <c r="AE125" s="658"/>
      <c r="AF125" s="393"/>
      <c r="AG125" s="393"/>
    </row>
    <row r="126" spans="1:33" s="1" customFormat="1" ht="15.75" thickBot="1">
      <c r="A126" s="188">
        <v>6413</v>
      </c>
      <c r="B126" s="188" t="s">
        <v>41</v>
      </c>
      <c r="C126" s="452">
        <f>C12*1%</f>
        <v>10244.066500000001</v>
      </c>
      <c r="D126" s="467">
        <f>C126/C12</f>
        <v>0.01</v>
      </c>
      <c r="E126" s="452">
        <f>E12*1%</f>
        <v>7969.8987358767308</v>
      </c>
      <c r="F126" s="467">
        <f>E126/E12</f>
        <v>0.01</v>
      </c>
      <c r="G126" s="452">
        <f>G12*1%</f>
        <v>13220.289455410901</v>
      </c>
      <c r="H126" s="467">
        <f>G126/G12</f>
        <v>0.01</v>
      </c>
      <c r="I126" s="452">
        <f>I12*1%</f>
        <v>11673.4397853144</v>
      </c>
      <c r="J126" s="467">
        <f>I126/I12</f>
        <v>0.01</v>
      </c>
      <c r="K126" s="452">
        <f>K12*1%</f>
        <v>10676.549867198901</v>
      </c>
      <c r="L126" s="467">
        <f>K126/K12</f>
        <v>0.01</v>
      </c>
      <c r="M126" s="452">
        <f>M12*1%</f>
        <v>15139.199892495901</v>
      </c>
      <c r="N126" s="467">
        <f>M126/M12</f>
        <v>0.01</v>
      </c>
      <c r="O126" s="452">
        <f>O12*1%</f>
        <v>9584.7867328927987</v>
      </c>
      <c r="P126" s="467">
        <f>O126/O12</f>
        <v>0.01</v>
      </c>
      <c r="Q126" s="452">
        <f>Q12*1%</f>
        <v>11901.803866622298</v>
      </c>
      <c r="R126" s="467">
        <f>Q126/Q12</f>
        <v>0.01</v>
      </c>
      <c r="S126" s="452">
        <f>S12*1%</f>
        <v>11989.6305596645</v>
      </c>
      <c r="T126" s="467">
        <f>S126/S12</f>
        <v>0.01</v>
      </c>
      <c r="U126" s="452">
        <f>U12*1%</f>
        <v>9510.2532434120003</v>
      </c>
      <c r="V126" s="467">
        <f>U126/U12</f>
        <v>0.01</v>
      </c>
      <c r="W126" s="452">
        <f>W12*1%</f>
        <v>9676.1266041968993</v>
      </c>
      <c r="X126" s="467">
        <f>W126/W12</f>
        <v>0.01</v>
      </c>
      <c r="Y126" s="452">
        <f>Y12*1%</f>
        <v>14617.371110600501</v>
      </c>
      <c r="Z126" s="467">
        <f>Y126/Y12</f>
        <v>0.01</v>
      </c>
      <c r="AA126" s="464">
        <f t="shared" si="70"/>
        <v>136203.41635368584</v>
      </c>
      <c r="AB126" s="467">
        <f>AA126/AA12</f>
        <v>1.0000000000000004E-2</v>
      </c>
      <c r="AC126" s="472">
        <f t="shared" si="71"/>
        <v>11350.284696140487</v>
      </c>
      <c r="AD126" s="467">
        <f>AC126/AC12</f>
        <v>1.0000000000000002E-2</v>
      </c>
      <c r="AE126" s="666"/>
      <c r="AF126" s="565"/>
      <c r="AG126" s="565"/>
    </row>
    <row r="127" spans="1:33" s="1" customFormat="1" ht="15.75" thickTop="1">
      <c r="A127" s="188">
        <v>6414</v>
      </c>
      <c r="B127" s="188" t="s">
        <v>43</v>
      </c>
      <c r="C127" s="486">
        <v>250</v>
      </c>
      <c r="D127" s="467">
        <f>C127/C12</f>
        <v>2.4404371057138292E-4</v>
      </c>
      <c r="E127" s="486">
        <v>250</v>
      </c>
      <c r="F127" s="467">
        <f>E127/E12</f>
        <v>3.1368027158816677E-4</v>
      </c>
      <c r="G127" s="486">
        <v>250</v>
      </c>
      <c r="H127" s="467">
        <f>G127/G12</f>
        <v>1.8910327254421656E-4</v>
      </c>
      <c r="I127" s="486">
        <v>250</v>
      </c>
      <c r="J127" s="467">
        <f>I127/I12</f>
        <v>2.141613822469953E-4</v>
      </c>
      <c r="K127" s="486">
        <v>250</v>
      </c>
      <c r="L127" s="467">
        <f>K127/K12</f>
        <v>2.3415804085556152E-4</v>
      </c>
      <c r="M127" s="486">
        <v>250</v>
      </c>
      <c r="N127" s="467">
        <f>M127/M12</f>
        <v>1.6513422226753104E-4</v>
      </c>
      <c r="O127" s="486">
        <v>250</v>
      </c>
      <c r="P127" s="467">
        <f>O127/O12</f>
        <v>2.608300079771802E-4</v>
      </c>
      <c r="Q127" s="486">
        <v>250</v>
      </c>
      <c r="R127" s="467">
        <f>Q127/Q12</f>
        <v>2.1005219276138966E-4</v>
      </c>
      <c r="S127" s="486">
        <v>250</v>
      </c>
      <c r="T127" s="467">
        <f>S127/S12</f>
        <v>2.085135140369126E-4</v>
      </c>
      <c r="U127" s="486">
        <v>250</v>
      </c>
      <c r="V127" s="467">
        <f>U127/U12</f>
        <v>2.6287417758636604E-4</v>
      </c>
      <c r="W127" s="486">
        <v>250</v>
      </c>
      <c r="X127" s="467">
        <f>W127/W12</f>
        <v>2.5836784720403058E-4</v>
      </c>
      <c r="Y127" s="486">
        <v>250</v>
      </c>
      <c r="Z127" s="467">
        <f>Y127/Y12</f>
        <v>1.71029385590888E-4</v>
      </c>
      <c r="AA127" s="464">
        <f t="shared" si="70"/>
        <v>3000</v>
      </c>
      <c r="AB127" s="467">
        <f>AA127/AA12</f>
        <v>2.2025879234994805E-4</v>
      </c>
      <c r="AC127" s="472">
        <f t="shared" si="71"/>
        <v>250</v>
      </c>
      <c r="AD127" s="467">
        <f>AC127/AC12</f>
        <v>2.2025879234994803E-4</v>
      </c>
      <c r="AE127" s="658"/>
      <c r="AF127" s="393"/>
      <c r="AG127" s="393"/>
    </row>
    <row r="128" spans="1:33" s="1" customFormat="1" ht="15.75" thickBot="1">
      <c r="A128" s="2">
        <v>6415</v>
      </c>
      <c r="B128" s="231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464">
        <f t="shared" si="70"/>
        <v>0</v>
      </c>
      <c r="AB128" s="467">
        <f>AA128/AA12</f>
        <v>0</v>
      </c>
      <c r="AC128" s="472">
        <f t="shared" si="71"/>
        <v>0</v>
      </c>
      <c r="AD128" s="467">
        <f>AC128/AC12</f>
        <v>0</v>
      </c>
      <c r="AE128" s="667"/>
      <c r="AF128" s="566"/>
      <c r="AG128" s="566"/>
    </row>
    <row r="129" spans="1:43" s="1" customFormat="1" ht="16.5" thickTop="1" thickBot="1">
      <c r="A129" s="4">
        <v>6499</v>
      </c>
      <c r="B129" s="229" t="s">
        <v>114</v>
      </c>
      <c r="C129" s="45">
        <f>SUM(C116:C128)</f>
        <v>13744.066500000001</v>
      </c>
      <c r="D129" s="89">
        <f>C129/C12</f>
        <v>1.341661194799936E-2</v>
      </c>
      <c r="E129" s="76">
        <f>SUM(E116:E128)</f>
        <v>11469.89873587673</v>
      </c>
      <c r="F129" s="89">
        <f>E129/E12</f>
        <v>1.4391523802234334E-2</v>
      </c>
      <c r="G129" s="45">
        <f>SUM(G116:G128)</f>
        <v>16720.289455410901</v>
      </c>
      <c r="H129" s="89">
        <f>G129/G12</f>
        <v>1.2647445815619031E-2</v>
      </c>
      <c r="I129" s="28">
        <f>SUM(I116:I128)</f>
        <v>15173.4397853144</v>
      </c>
      <c r="J129" s="89">
        <f>I129/I12</f>
        <v>1.2998259351457934E-2</v>
      </c>
      <c r="K129" s="76">
        <f>SUM(K116:K128)</f>
        <v>14176.549867198901</v>
      </c>
      <c r="L129" s="89">
        <f>K129/K12</f>
        <v>1.3278212571977862E-2</v>
      </c>
      <c r="M129" s="376">
        <f>SUM(M116:M128)</f>
        <v>18639.199892495901</v>
      </c>
      <c r="N129" s="89">
        <f>M129/M12</f>
        <v>1.2311879111745434E-2</v>
      </c>
      <c r="O129" s="28">
        <f>SUM(O116:O128)</f>
        <v>13084.786732892799</v>
      </c>
      <c r="P129" s="89">
        <f>O129/O12</f>
        <v>1.3651620111680522E-2</v>
      </c>
      <c r="Q129" s="28">
        <f>SUM(Q116:Q128)</f>
        <v>15401.803866622298</v>
      </c>
      <c r="R129" s="89">
        <f>Q129/Q12</f>
        <v>1.2940730698659454E-2</v>
      </c>
      <c r="S129" s="28">
        <f>SUM(S116:S128)</f>
        <v>15489.6305596645</v>
      </c>
      <c r="T129" s="89">
        <f>S129/S12</f>
        <v>1.2919189196516778E-2</v>
      </c>
      <c r="U129" s="76">
        <f>SUM(U116:U128)</f>
        <v>13010.253243412</v>
      </c>
      <c r="V129" s="89">
        <f>U129/U12</f>
        <v>1.3680238486209124E-2</v>
      </c>
      <c r="W129" s="52">
        <f>SUM(W116:W128)</f>
        <v>13176.126604196899</v>
      </c>
      <c r="X129" s="89">
        <f>W129/W12</f>
        <v>1.3617149860856428E-2</v>
      </c>
      <c r="Y129" s="76">
        <f>SUM(Y116:Y128)</f>
        <v>18117.371110600499</v>
      </c>
      <c r="Z129" s="89">
        <f>Y129/Y12</f>
        <v>1.2394411398272432E-2</v>
      </c>
      <c r="AA129" s="148">
        <f>SUM(AA116:AA128)</f>
        <v>178203.41635368584</v>
      </c>
      <c r="AB129" s="89">
        <f>AA129/AA12</f>
        <v>1.3083623092899276E-2</v>
      </c>
      <c r="AC129" s="132">
        <f>SUM(AC116:AC128)</f>
        <v>14850.284696140487</v>
      </c>
      <c r="AD129" s="89">
        <f>AC129/AC12</f>
        <v>1.3083623092899274E-2</v>
      </c>
      <c r="AE129" s="658"/>
      <c r="AF129" s="393"/>
      <c r="AG129" s="393"/>
    </row>
    <row r="130" spans="1:43" s="1" customFormat="1" ht="16.5" thickTop="1" thickBot="1">
      <c r="A130" s="222"/>
      <c r="B130" s="230"/>
      <c r="C130" s="292"/>
      <c r="D130" s="102"/>
      <c r="E130" s="82"/>
      <c r="F130" s="102"/>
      <c r="G130" s="704"/>
      <c r="H130" s="102"/>
      <c r="I130" s="32"/>
      <c r="J130" s="102"/>
      <c r="K130" s="82"/>
      <c r="L130" s="102"/>
      <c r="M130" s="32"/>
      <c r="N130" s="102"/>
      <c r="O130" s="32"/>
      <c r="P130" s="102"/>
      <c r="Q130" s="32"/>
      <c r="R130" s="102"/>
      <c r="S130" s="32"/>
      <c r="T130" s="102"/>
      <c r="U130" s="82"/>
      <c r="V130" s="102"/>
      <c r="W130" s="60"/>
      <c r="X130" s="102"/>
      <c r="Y130" s="82"/>
      <c r="Z130" s="102"/>
      <c r="AA130" s="154"/>
      <c r="AB130" s="102"/>
      <c r="AC130" s="139"/>
      <c r="AD130" s="102"/>
      <c r="AE130" s="662"/>
      <c r="AF130" s="562"/>
      <c r="AG130" s="562"/>
    </row>
    <row r="131" spans="1:43" s="1" customFormat="1" ht="16.5" thickTop="1" thickBot="1">
      <c r="A131" s="4"/>
      <c r="B131" s="229" t="s">
        <v>133</v>
      </c>
      <c r="C131" s="287">
        <f>C37-C41-C76-C93-C115-C129</f>
        <v>-3339.5959288537415</v>
      </c>
      <c r="D131" s="259">
        <f>C131/C12</f>
        <v>-3.2600295291462049E-3</v>
      </c>
      <c r="E131" s="256">
        <f>E37-E41-E76-E93-E115-E129</f>
        <v>-35858.79372205543</v>
      </c>
      <c r="F131" s="259">
        <f>E131/E12</f>
        <v>-4.4992784614233589E-2</v>
      </c>
      <c r="G131" s="287">
        <f>G37-G41-G76-G93-G115-G129</f>
        <v>149709.67793106058</v>
      </c>
      <c r="H131" s="259">
        <f>G131/G12</f>
        <v>0.11324236011321694</v>
      </c>
      <c r="I131" s="287">
        <f>I37-I41-I76-I93-I115-I129</f>
        <v>130459.58732696518</v>
      </c>
      <c r="J131" s="259">
        <f>I131/I12</f>
        <v>0.11175762219726182</v>
      </c>
      <c r="K131" s="256">
        <f>K37-K41-K76-K93-K115-K129</f>
        <v>159697.78207073172</v>
      </c>
      <c r="L131" s="259">
        <f>K131/K12</f>
        <v>0.14957807911464382</v>
      </c>
      <c r="M131" s="287">
        <f>M37-M41-M76-M93-M115-M129</f>
        <v>255756.56605013981</v>
      </c>
      <c r="N131" s="259">
        <f>M131/M12</f>
        <v>0.16893664649801707</v>
      </c>
      <c r="O131" s="287">
        <f>O37-O41-O76-O93-O115-O129</f>
        <v>43908.137319513175</v>
      </c>
      <c r="P131" s="259">
        <f>O131/O12</f>
        <v>4.5810239229246985E-2</v>
      </c>
      <c r="Q131" s="287">
        <f>Q37-Q41-Q76-Q93-Q115-Q129</f>
        <v>146882.94600111045</v>
      </c>
      <c r="R131" s="259">
        <f>Q131/Q12</f>
        <v>0.12341233954714417</v>
      </c>
      <c r="S131" s="287">
        <f>S37-S41-S76-S93-S115-S129</f>
        <v>181300.45294156985</v>
      </c>
      <c r="T131" s="259">
        <f>S131/S12</f>
        <v>0.15121437815732255</v>
      </c>
      <c r="U131" s="256">
        <f>U37-U41-U76-U93-U115-U129</f>
        <v>50372.813319764937</v>
      </c>
      <c r="V131" s="259">
        <f>U131/U12</f>
        <v>5.2966847496579011E-2</v>
      </c>
      <c r="W131" s="256">
        <f>W37-W41-W76-W93-W115-W129</f>
        <v>60719.932705521358</v>
      </c>
      <c r="X131" s="259">
        <f>W131/W12</f>
        <v>6.2752313181996644E-2</v>
      </c>
      <c r="Y131" s="256">
        <f>Y37-Y41-Y76-Y93-Y115-Y129</f>
        <v>240025.0167430334</v>
      </c>
      <c r="Z131" s="259">
        <f>Y131/Y12</f>
        <v>0.16420532456001444</v>
      </c>
      <c r="AA131" s="256">
        <f>AA37-AA41-AA76-AA93-AA115-AA129</f>
        <v>1379634.5227584972</v>
      </c>
      <c r="AB131" s="259">
        <f>AA131/AA12</f>
        <v>0.10129221128902784</v>
      </c>
      <c r="AC131" s="260">
        <f>AC37-AC41-AC76-AC93-AC115-AC129</f>
        <v>114969.54356320824</v>
      </c>
      <c r="AD131" s="259">
        <f>AC131/AC12</f>
        <v>0.10129221128902795</v>
      </c>
      <c r="AE131" s="658"/>
      <c r="AF131" s="393"/>
      <c r="AG131" s="393"/>
    </row>
    <row r="132" spans="1:43" s="1" customFormat="1" ht="15.75" thickTop="1">
      <c r="A132" s="222"/>
      <c r="B132" s="230"/>
      <c r="C132" s="292"/>
      <c r="D132" s="102"/>
      <c r="E132" s="82"/>
      <c r="F132" s="102"/>
      <c r="G132" s="704"/>
      <c r="H132" s="102"/>
      <c r="I132" s="32"/>
      <c r="J132" s="102"/>
      <c r="K132" s="82"/>
      <c r="L132" s="102"/>
      <c r="M132" s="32"/>
      <c r="N132" s="102"/>
      <c r="O132" s="32"/>
      <c r="P132" s="102"/>
      <c r="Q132" s="32"/>
      <c r="R132" s="102"/>
      <c r="S132" s="32"/>
      <c r="T132" s="102"/>
      <c r="U132" s="82"/>
      <c r="V132" s="102"/>
      <c r="W132" s="60"/>
      <c r="X132" s="102"/>
      <c r="Y132" s="82"/>
      <c r="Z132" s="102"/>
      <c r="AA132" s="154"/>
      <c r="AB132" s="102"/>
      <c r="AC132" s="139"/>
      <c r="AD132" s="102"/>
      <c r="AE132" s="658"/>
      <c r="AF132" s="393"/>
      <c r="AG132" s="393"/>
      <c r="AH132" s="1" t="s">
        <v>307</v>
      </c>
    </row>
    <row r="133" spans="1:43" s="1" customFormat="1" ht="15.75" thickBot="1">
      <c r="A133" s="4"/>
      <c r="B133" s="4" t="s">
        <v>149</v>
      </c>
      <c r="C133" s="28"/>
      <c r="D133" s="263"/>
      <c r="E133" s="28"/>
      <c r="F133" s="263"/>
      <c r="G133" s="28"/>
      <c r="H133" s="263"/>
      <c r="I133" s="71"/>
      <c r="J133" s="263"/>
      <c r="K133" s="28"/>
      <c r="L133" s="263"/>
      <c r="M133" s="28"/>
      <c r="N133" s="263"/>
      <c r="O133" s="28"/>
      <c r="P133" s="263"/>
      <c r="Q133" s="28"/>
      <c r="R133" s="263"/>
      <c r="S133" s="28"/>
      <c r="T133" s="263"/>
      <c r="U133" s="28"/>
      <c r="V133" s="263"/>
      <c r="W133" s="28"/>
      <c r="X133" s="263"/>
      <c r="Y133" s="28"/>
      <c r="Z133" s="263"/>
      <c r="AA133" s="148">
        <f>C133+E133+G133+I133+K133+M133+O133+Q133+S133+U133+W133+Y133</f>
        <v>0</v>
      </c>
      <c r="AB133" s="263"/>
      <c r="AC133" s="132">
        <f>AA133/12</f>
        <v>0</v>
      </c>
      <c r="AD133" s="263"/>
      <c r="AE133" s="658"/>
      <c r="AF133" s="393"/>
      <c r="AG133" s="393"/>
    </row>
    <row r="134" spans="1:43" s="1" customFormat="1" ht="15.75" thickTop="1">
      <c r="A134" s="222"/>
      <c r="B134" s="222"/>
      <c r="C134" s="292"/>
      <c r="D134" s="102"/>
      <c r="E134" s="82"/>
      <c r="F134" s="102"/>
      <c r="G134" s="704"/>
      <c r="H134" s="102"/>
      <c r="I134" s="32"/>
      <c r="J134" s="102"/>
      <c r="K134" s="82"/>
      <c r="L134" s="102"/>
      <c r="M134" s="32"/>
      <c r="N134" s="102"/>
      <c r="O134" s="32"/>
      <c r="P134" s="102"/>
      <c r="Q134" s="32"/>
      <c r="R134" s="102"/>
      <c r="S134" s="32"/>
      <c r="T134" s="102"/>
      <c r="U134" s="82"/>
      <c r="V134" s="102"/>
      <c r="W134" s="60"/>
      <c r="X134" s="102"/>
      <c r="Y134" s="82"/>
      <c r="Z134" s="102"/>
      <c r="AA134" s="154"/>
      <c r="AB134" s="102"/>
      <c r="AC134" s="139"/>
      <c r="AD134" s="102"/>
      <c r="AE134" s="658"/>
      <c r="AF134" s="393"/>
      <c r="AG134" s="393"/>
    </row>
    <row r="135" spans="1:43" s="1" customFormat="1" ht="15.75" thickBot="1">
      <c r="A135" s="4"/>
      <c r="B135" s="4" t="s">
        <v>140</v>
      </c>
      <c r="C135" s="45">
        <f>C131-C133</f>
        <v>-3339.5959288537415</v>
      </c>
      <c r="D135" s="89">
        <f>C135/C12</f>
        <v>-3.2600295291462049E-3</v>
      </c>
      <c r="E135" s="52">
        <f>E131-E133</f>
        <v>-35858.79372205543</v>
      </c>
      <c r="F135" s="89">
        <f>E135/E12</f>
        <v>-4.4992784614233589E-2</v>
      </c>
      <c r="G135" s="28">
        <f>G131-G133</f>
        <v>149709.67793106058</v>
      </c>
      <c r="H135" s="89">
        <f>G135/G12</f>
        <v>0.11324236011321694</v>
      </c>
      <c r="I135" s="28">
        <f>I131-I133</f>
        <v>130459.58732696518</v>
      </c>
      <c r="J135" s="89">
        <f>I135/I12</f>
        <v>0.11175762219726182</v>
      </c>
      <c r="K135" s="52">
        <f>K131-K133</f>
        <v>159697.78207073172</v>
      </c>
      <c r="L135" s="89">
        <f>K135/K12</f>
        <v>0.14957807911464382</v>
      </c>
      <c r="M135" s="28">
        <f>M131-M133</f>
        <v>255756.56605013981</v>
      </c>
      <c r="N135" s="89">
        <f>M135/M12</f>
        <v>0.16893664649801707</v>
      </c>
      <c r="O135" s="28">
        <f>O131-O133</f>
        <v>43908.137319513175</v>
      </c>
      <c r="P135" s="89">
        <f>O135/O12</f>
        <v>4.5810239229246985E-2</v>
      </c>
      <c r="Q135" s="28">
        <f>Q131-Q133</f>
        <v>146882.94600111045</v>
      </c>
      <c r="R135" s="89">
        <f>Q135/Q12</f>
        <v>0.12341233954714417</v>
      </c>
      <c r="S135" s="28">
        <f>S131-S133</f>
        <v>181300.45294156985</v>
      </c>
      <c r="T135" s="89">
        <f>S135/S12</f>
        <v>0.15121437815732255</v>
      </c>
      <c r="U135" s="52">
        <f>U131-U133</f>
        <v>50372.813319764937</v>
      </c>
      <c r="V135" s="89">
        <f>U135/U12</f>
        <v>5.2966847496579011E-2</v>
      </c>
      <c r="W135" s="52">
        <f>W131-W133</f>
        <v>60719.932705521358</v>
      </c>
      <c r="X135" s="89">
        <f>W135/W12</f>
        <v>6.2752313181996644E-2</v>
      </c>
      <c r="Y135" s="52">
        <f>Y131-Y133</f>
        <v>240025.0167430334</v>
      </c>
      <c r="Z135" s="89">
        <f>Y135/Y12</f>
        <v>0.16420532456001444</v>
      </c>
      <c r="AA135" s="52">
        <f>AA131-AA133</f>
        <v>1379634.5227584972</v>
      </c>
      <c r="AB135" s="89">
        <f>AA135/AA12</f>
        <v>0.10129221128902784</v>
      </c>
      <c r="AC135" s="52">
        <f>AC131-AC133</f>
        <v>114969.54356320824</v>
      </c>
      <c r="AD135" s="89">
        <f>AC135/AC12</f>
        <v>0.10129221128902795</v>
      </c>
      <c r="AE135" s="658"/>
      <c r="AF135" s="393"/>
      <c r="AG135" s="393"/>
    </row>
    <row r="136" spans="1:43" s="1" customFormat="1" ht="15.75" thickTop="1">
      <c r="A136" s="21">
        <v>6501</v>
      </c>
      <c r="B136" s="21" t="s">
        <v>148</v>
      </c>
      <c r="C136" s="292"/>
      <c r="D136" s="68">
        <f>C136/C12</f>
        <v>0</v>
      </c>
      <c r="E136" s="82"/>
      <c r="F136" s="68">
        <f>E136/E12</f>
        <v>0</v>
      </c>
      <c r="G136" s="704"/>
      <c r="H136" s="68">
        <f>G136/G12</f>
        <v>0</v>
      </c>
      <c r="I136" s="32"/>
      <c r="J136" s="68">
        <f>I136/I12</f>
        <v>0</v>
      </c>
      <c r="K136" s="82"/>
      <c r="L136" s="68">
        <f>K136/K12</f>
        <v>0</v>
      </c>
      <c r="M136" s="32"/>
      <c r="N136" s="68">
        <f>M136/M12</f>
        <v>0</v>
      </c>
      <c r="O136" s="32"/>
      <c r="P136" s="68">
        <f>O136/O12</f>
        <v>0</v>
      </c>
      <c r="Q136" s="32"/>
      <c r="R136" s="68">
        <f>Q136/Q12</f>
        <v>0</v>
      </c>
      <c r="S136" s="32"/>
      <c r="T136" s="68">
        <f>S136/S12</f>
        <v>0</v>
      </c>
      <c r="U136" s="82"/>
      <c r="V136" s="68">
        <f>U136/U12</f>
        <v>0</v>
      </c>
      <c r="W136" s="60"/>
      <c r="X136" s="68">
        <f>W136/W12</f>
        <v>0</v>
      </c>
      <c r="Y136" s="82"/>
      <c r="Z136" s="68">
        <f>Y136/Y12</f>
        <v>0</v>
      </c>
      <c r="AA136" s="144">
        <f t="shared" ref="AA136:AC143" si="72">C136+E136+G136+I136+K136+M136+O136+Q136+S136+U136+W136+Y136</f>
        <v>0</v>
      </c>
      <c r="AB136" s="68">
        <f>AA136/AA12</f>
        <v>0</v>
      </c>
      <c r="AC136" s="128">
        <f t="shared" ref="AC136:AC143" si="73">AA136/12</f>
        <v>0</v>
      </c>
      <c r="AD136" s="68">
        <f>AC136/AC12</f>
        <v>0</v>
      </c>
      <c r="AE136" s="668"/>
      <c r="AF136" s="567"/>
      <c r="AG136" s="567"/>
    </row>
    <row r="137" spans="1:43" s="1" customFormat="1">
      <c r="A137" s="188">
        <v>6502</v>
      </c>
      <c r="B137" s="21" t="s">
        <v>136</v>
      </c>
      <c r="C137" s="714">
        <v>8565.92</v>
      </c>
      <c r="D137" s="68">
        <f>C137/C12</f>
        <v>8.3618356050304821E-3</v>
      </c>
      <c r="E137" s="714">
        <v>8565.92</v>
      </c>
      <c r="F137" s="68">
        <f>E137/E12</f>
        <v>1.0747840448010039E-2</v>
      </c>
      <c r="G137" s="714">
        <v>8565.92</v>
      </c>
      <c r="H137" s="68">
        <f>G137/G12</f>
        <v>6.4793740174078221E-3</v>
      </c>
      <c r="I137" s="714">
        <v>8565.92</v>
      </c>
      <c r="J137" s="68">
        <f>I137/I12</f>
        <v>7.3379570696687282E-3</v>
      </c>
      <c r="K137" s="714">
        <v>8565.92</v>
      </c>
      <c r="L137" s="68">
        <f>K137/K12</f>
        <v>8.023116181301887E-3</v>
      </c>
      <c r="M137" s="714">
        <f>8565.92-305.44</f>
        <v>8260.48</v>
      </c>
      <c r="N137" s="68">
        <f>M137/M12</f>
        <v>5.4563517614259786E-3</v>
      </c>
      <c r="O137" s="714">
        <f>8565.92-305.44</f>
        <v>8260.48</v>
      </c>
      <c r="P137" s="68">
        <f>O137/O12</f>
        <v>8.618324257181351E-3</v>
      </c>
      <c r="Q137" s="714">
        <f>8565.92-305.44</f>
        <v>8260.48</v>
      </c>
      <c r="R137" s="677">
        <f>Q137/Q12</f>
        <v>6.9405277490464162E-3</v>
      </c>
      <c r="S137" s="714">
        <f>8565.92-305.44</f>
        <v>8260.48</v>
      </c>
      <c r="T137" s="677">
        <f>S137/S12</f>
        <v>6.8896868497265434E-3</v>
      </c>
      <c r="U137" s="714">
        <f>8565.92-305.44</f>
        <v>8260.48</v>
      </c>
      <c r="V137" s="68">
        <f>U137/U12</f>
        <v>8.6858675458745E-3</v>
      </c>
      <c r="W137" s="714">
        <f>8565.92-305.44</f>
        <v>8260.48</v>
      </c>
      <c r="X137" s="68">
        <f>W137/W12</f>
        <v>8.5369697378878031E-3</v>
      </c>
      <c r="Y137" s="714">
        <f>8565.92-305.44</f>
        <v>8260.48</v>
      </c>
      <c r="Z137" s="68">
        <f>Y137/Y12</f>
        <v>5.6511392763432741E-3</v>
      </c>
      <c r="AA137" s="144">
        <f t="shared" si="72"/>
        <v>100652.95999999998</v>
      </c>
      <c r="AB137" s="68">
        <f>AA137/AA12</f>
        <v>7.3898998053492076E-3</v>
      </c>
      <c r="AC137" s="128">
        <f t="shared" si="73"/>
        <v>8387.7466666666642</v>
      </c>
      <c r="AD137" s="68">
        <f>AC137/AC12</f>
        <v>7.3898998053492058E-3</v>
      </c>
      <c r="AE137" s="668"/>
      <c r="AF137" s="567"/>
      <c r="AG137" s="567"/>
    </row>
    <row r="138" spans="1:43" s="1" customFormat="1">
      <c r="A138" s="188">
        <v>6503</v>
      </c>
      <c r="B138" s="21" t="s">
        <v>137</v>
      </c>
      <c r="C138" s="714">
        <v>310.36</v>
      </c>
      <c r="D138" s="68">
        <f>C138/C12</f>
        <v>3.0296562405173762E-4</v>
      </c>
      <c r="E138" s="714">
        <v>310.36</v>
      </c>
      <c r="F138" s="68">
        <f>E138/E12</f>
        <v>3.8941523636041377E-4</v>
      </c>
      <c r="G138" s="714">
        <v>310.36</v>
      </c>
      <c r="H138" s="68">
        <f>G138/G12</f>
        <v>2.3476036666729221E-4</v>
      </c>
      <c r="I138" s="714">
        <v>310.36</v>
      </c>
      <c r="J138" s="68">
        <f>I138/I12</f>
        <v>2.6586850637670987E-4</v>
      </c>
      <c r="K138" s="714">
        <v>310.36</v>
      </c>
      <c r="L138" s="68">
        <f>K138/K12</f>
        <v>2.906931582397283E-4</v>
      </c>
      <c r="M138" s="714">
        <v>310.36</v>
      </c>
      <c r="N138" s="68">
        <f>M138/M12</f>
        <v>2.0500422889180374E-4</v>
      </c>
      <c r="O138" s="714">
        <v>310.36</v>
      </c>
      <c r="P138" s="68">
        <f>O138/O12</f>
        <v>3.2380480510319062E-4</v>
      </c>
      <c r="Q138" s="714">
        <v>310.36</v>
      </c>
      <c r="R138" s="677">
        <f>Q138/Q12</f>
        <v>2.607671941816996E-4</v>
      </c>
      <c r="S138" s="714">
        <v>310.36</v>
      </c>
      <c r="T138" s="677">
        <f>S138/S12</f>
        <v>2.5885701686598482E-4</v>
      </c>
      <c r="U138" s="714">
        <v>310.36</v>
      </c>
      <c r="V138" s="68">
        <f>U138/U12</f>
        <v>3.263425190228183E-4</v>
      </c>
      <c r="W138" s="714">
        <v>310.36</v>
      </c>
      <c r="X138" s="68">
        <f>W138/W12</f>
        <v>3.2074818023297176E-4</v>
      </c>
      <c r="Y138" s="714">
        <v>310.36</v>
      </c>
      <c r="Z138" s="68">
        <f>Y138/Y12</f>
        <v>2.1232272044795203E-4</v>
      </c>
      <c r="AA138" s="144">
        <f t="shared" si="72"/>
        <v>3724.3200000000011</v>
      </c>
      <c r="AB138" s="68">
        <f>AA138/AA12</f>
        <v>2.734380751749196E-4</v>
      </c>
      <c r="AC138" s="128">
        <f t="shared" si="73"/>
        <v>310.36000000000007</v>
      </c>
      <c r="AD138" s="68">
        <f>AC138/AC12</f>
        <v>2.7343807517491955E-4</v>
      </c>
      <c r="AE138" s="658"/>
      <c r="AF138" s="393"/>
      <c r="AG138" s="393"/>
    </row>
    <row r="139" spans="1:43" s="1" customFormat="1" ht="15" customHeight="1">
      <c r="A139" s="188">
        <v>6504</v>
      </c>
      <c r="B139" s="21" t="s">
        <v>138</v>
      </c>
      <c r="C139" s="33"/>
      <c r="D139" s="68">
        <f>C139/C12</f>
        <v>0</v>
      </c>
      <c r="E139" s="83"/>
      <c r="F139" s="68">
        <f>E139/E12</f>
        <v>0</v>
      </c>
      <c r="G139" s="33"/>
      <c r="H139" s="68">
        <f>G139/G12</f>
        <v>0</v>
      </c>
      <c r="I139" s="33"/>
      <c r="J139" s="68">
        <f>I139/I12</f>
        <v>0</v>
      </c>
      <c r="K139" s="83"/>
      <c r="L139" s="68">
        <f>K139/K12</f>
        <v>0</v>
      </c>
      <c r="M139" s="33"/>
      <c r="N139" s="68">
        <f>M139/M12</f>
        <v>0</v>
      </c>
      <c r="O139" s="33"/>
      <c r="P139" s="68">
        <f>O139/O12</f>
        <v>0</v>
      </c>
      <c r="Q139" s="33"/>
      <c r="R139" s="68">
        <f>Q139/Q12</f>
        <v>0</v>
      </c>
      <c r="S139" s="33"/>
      <c r="T139" s="68">
        <f>S139/S12</f>
        <v>0</v>
      </c>
      <c r="U139" s="83"/>
      <c r="V139" s="68">
        <f>U139/U12</f>
        <v>0</v>
      </c>
      <c r="W139" s="83"/>
      <c r="X139" s="68">
        <f>W139/W12</f>
        <v>0</v>
      </c>
      <c r="Y139" s="83"/>
      <c r="Z139" s="68">
        <f>Y139/Y12</f>
        <v>0</v>
      </c>
      <c r="AA139" s="144">
        <f t="shared" si="72"/>
        <v>0</v>
      </c>
      <c r="AB139" s="68">
        <f>AA139/AA12</f>
        <v>0</v>
      </c>
      <c r="AC139" s="128">
        <f t="shared" si="73"/>
        <v>0</v>
      </c>
      <c r="AD139" s="68">
        <f>AC139/AC12</f>
        <v>0</v>
      </c>
      <c r="AE139" s="669"/>
      <c r="AF139" s="568"/>
      <c r="AG139" s="568"/>
    </row>
    <row r="140" spans="1:43" s="1" customFormat="1">
      <c r="A140" s="188">
        <v>6505</v>
      </c>
      <c r="B140" s="188" t="s">
        <v>139</v>
      </c>
      <c r="C140" s="33"/>
      <c r="D140" s="68">
        <f>C140/C12</f>
        <v>0</v>
      </c>
      <c r="E140" s="83"/>
      <c r="F140" s="68">
        <f>E140/E12</f>
        <v>0</v>
      </c>
      <c r="G140" s="33"/>
      <c r="H140" s="68">
        <f>G140/G12</f>
        <v>0</v>
      </c>
      <c r="I140" s="33"/>
      <c r="J140" s="68">
        <f>I140/I12</f>
        <v>0</v>
      </c>
      <c r="K140" s="83">
        <v>0</v>
      </c>
      <c r="L140" s="68">
        <f>K140/K12</f>
        <v>0</v>
      </c>
      <c r="M140" s="33"/>
      <c r="N140" s="68">
        <f>M140/M12</f>
        <v>0</v>
      </c>
      <c r="O140" s="33"/>
      <c r="P140" s="68">
        <f>O140/O12</f>
        <v>0</v>
      </c>
      <c r="Q140" s="33"/>
      <c r="R140" s="68">
        <f>Q140/Q12</f>
        <v>0</v>
      </c>
      <c r="S140" s="33">
        <v>0</v>
      </c>
      <c r="T140" s="68">
        <f>S140/S12</f>
        <v>0</v>
      </c>
      <c r="U140" s="83"/>
      <c r="V140" s="68">
        <f>U140/U12</f>
        <v>0</v>
      </c>
      <c r="W140" s="83"/>
      <c r="X140" s="68">
        <f>W140/W12</f>
        <v>0</v>
      </c>
      <c r="Y140" s="83"/>
      <c r="Z140" s="68">
        <f>Y140/Y12</f>
        <v>0</v>
      </c>
      <c r="AA140" s="144">
        <f t="shared" si="72"/>
        <v>0</v>
      </c>
      <c r="AB140" s="68">
        <f>AA140/AA12</f>
        <v>0</v>
      </c>
      <c r="AC140" s="128">
        <f t="shared" si="73"/>
        <v>0</v>
      </c>
      <c r="AD140" s="68">
        <f>AC140/AC12</f>
        <v>0</v>
      </c>
      <c r="AE140" s="663"/>
      <c r="AF140" s="563"/>
      <c r="AG140" s="563"/>
      <c r="AQ140" s="733" t="e">
        <f>#REF!-#REF!</f>
        <v>#REF!</v>
      </c>
    </row>
    <row r="141" spans="1:43" s="1" customFormat="1">
      <c r="A141" s="188">
        <v>6506</v>
      </c>
      <c r="B141" s="188" t="s">
        <v>229</v>
      </c>
      <c r="C141" s="33">
        <v>0</v>
      </c>
      <c r="D141" s="106">
        <f>C141/C12</f>
        <v>0</v>
      </c>
      <c r="E141" s="33">
        <v>0</v>
      </c>
      <c r="F141" s="106">
        <f>E141/E12</f>
        <v>0</v>
      </c>
      <c r="G141" s="33">
        <v>0</v>
      </c>
      <c r="H141" s="106">
        <f>G141/G12</f>
        <v>0</v>
      </c>
      <c r="I141" s="33">
        <v>0</v>
      </c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>
        <v>0</v>
      </c>
      <c r="T141" s="106">
        <f>S141/S12</f>
        <v>0</v>
      </c>
      <c r="U141" s="33">
        <v>0</v>
      </c>
      <c r="V141" s="106">
        <f>U141/U12</f>
        <v>0</v>
      </c>
      <c r="W141" s="33">
        <v>0</v>
      </c>
      <c r="X141" s="106">
        <f>W141/W12</f>
        <v>0</v>
      </c>
      <c r="Y141" s="33">
        <v>0</v>
      </c>
      <c r="Z141" s="106">
        <f>Y141/Y12</f>
        <v>0</v>
      </c>
      <c r="AA141" s="144">
        <f t="shared" si="72"/>
        <v>0</v>
      </c>
      <c r="AB141" s="106">
        <f>AA141/AA12</f>
        <v>0</v>
      </c>
      <c r="AC141" s="144">
        <f t="shared" si="72"/>
        <v>0</v>
      </c>
      <c r="AD141" s="106">
        <f>AC141/AC12</f>
        <v>0</v>
      </c>
      <c r="AE141" s="670"/>
      <c r="AF141" s="569"/>
      <c r="AG141" s="569"/>
    </row>
    <row r="142" spans="1:43" s="1" customFormat="1">
      <c r="A142" s="188">
        <v>6604</v>
      </c>
      <c r="B142" s="188" t="s">
        <v>145</v>
      </c>
      <c r="C142" s="26">
        <v>60520</v>
      </c>
      <c r="D142" s="106">
        <f>C142/C12</f>
        <v>5.907810145512038E-2</v>
      </c>
      <c r="E142" s="26">
        <v>60520</v>
      </c>
      <c r="F142" s="106">
        <f>E142/E12</f>
        <v>7.593572014606341E-2</v>
      </c>
      <c r="G142" s="26">
        <v>60520</v>
      </c>
      <c r="H142" s="106">
        <f>G142/G12</f>
        <v>4.5778120217503944E-2</v>
      </c>
      <c r="I142" s="26">
        <v>60520</v>
      </c>
      <c r="J142" s="106">
        <f>I142/I12</f>
        <v>5.1844187414352622E-2</v>
      </c>
      <c r="K142" s="26">
        <v>60520</v>
      </c>
      <c r="L142" s="106">
        <f>K142/K12</f>
        <v>5.6684978530314331E-2</v>
      </c>
      <c r="M142" s="26">
        <v>60520</v>
      </c>
      <c r="N142" s="106">
        <f>M142/M12</f>
        <v>3.9975692526523915E-2</v>
      </c>
      <c r="O142" s="26">
        <v>60520</v>
      </c>
      <c r="P142" s="106">
        <f>O142/O12</f>
        <v>6.3141728331115796E-2</v>
      </c>
      <c r="Q142" s="26">
        <v>60520</v>
      </c>
      <c r="R142" s="106">
        <f>Q142/Q12</f>
        <v>5.0849434823677209E-2</v>
      </c>
      <c r="S142" s="26">
        <v>60520</v>
      </c>
      <c r="T142" s="106">
        <f>S142/S12</f>
        <v>5.0476951478055809E-2</v>
      </c>
      <c r="U142" s="26">
        <v>60520</v>
      </c>
      <c r="V142" s="106">
        <f>U142/U12</f>
        <v>6.3636580910107501E-2</v>
      </c>
      <c r="W142" s="26">
        <v>60520</v>
      </c>
      <c r="X142" s="106">
        <f>W142/W12</f>
        <v>6.2545688451151729E-2</v>
      </c>
      <c r="Y142" s="26">
        <v>60520</v>
      </c>
      <c r="Z142" s="106">
        <f>Y142/Y12</f>
        <v>4.1402793663842169E-2</v>
      </c>
      <c r="AA142" s="144">
        <f t="shared" si="72"/>
        <v>726240</v>
      </c>
      <c r="AB142" s="106">
        <f>AA142/AA12</f>
        <v>5.3320248452075426E-2</v>
      </c>
      <c r="AC142" s="128">
        <f t="shared" ref="AC142" si="74">AA142/12</f>
        <v>60520</v>
      </c>
      <c r="AD142" s="106">
        <f>AC142/AC12</f>
        <v>5.3320248452075419E-2</v>
      </c>
      <c r="AE142" s="668"/>
      <c r="AF142" s="567"/>
      <c r="AG142" s="567"/>
    </row>
    <row r="143" spans="1:43" s="1" customFormat="1" ht="15" customHeight="1" thickBot="1">
      <c r="A143" s="2"/>
      <c r="B143" s="2"/>
      <c r="C143" s="292"/>
      <c r="D143" s="68">
        <f>C143/C12</f>
        <v>0</v>
      </c>
      <c r="E143" s="61"/>
      <c r="F143" s="68">
        <f>E143/E12</f>
        <v>0</v>
      </c>
      <c r="G143" s="704"/>
      <c r="H143" s="68">
        <f>G143/G12</f>
        <v>0</v>
      </c>
      <c r="I143" s="26"/>
      <c r="J143" s="68">
        <f>I143/I12</f>
        <v>0</v>
      </c>
      <c r="K143" s="61"/>
      <c r="L143" s="68">
        <f>K143/K12</f>
        <v>0</v>
      </c>
      <c r="M143" s="26"/>
      <c r="N143" s="68">
        <f>M143/M12</f>
        <v>0</v>
      </c>
      <c r="O143" s="26"/>
      <c r="P143" s="68">
        <f>O143/O12</f>
        <v>0</v>
      </c>
      <c r="Q143" s="26"/>
      <c r="R143" s="68">
        <f>Q143/Q12</f>
        <v>0</v>
      </c>
      <c r="S143" s="26"/>
      <c r="T143" s="68">
        <f>S143/S12</f>
        <v>0</v>
      </c>
      <c r="U143" s="61"/>
      <c r="V143" s="68">
        <f>U143/U12</f>
        <v>0</v>
      </c>
      <c r="W143" s="51"/>
      <c r="X143" s="68">
        <f>W143/W12</f>
        <v>0</v>
      </c>
      <c r="Y143" s="61"/>
      <c r="Z143" s="68">
        <f>Y143/Y12</f>
        <v>0</v>
      </c>
      <c r="AA143" s="144">
        <f t="shared" si="72"/>
        <v>0</v>
      </c>
      <c r="AB143" s="68">
        <f>AA143/AA12</f>
        <v>0</v>
      </c>
      <c r="AC143" s="128">
        <f t="shared" si="73"/>
        <v>0</v>
      </c>
      <c r="AD143" s="68">
        <f>AC143/AC12</f>
        <v>0</v>
      </c>
      <c r="AE143" s="671"/>
      <c r="AF143" s="570"/>
      <c r="AG143" s="570"/>
    </row>
    <row r="144" spans="1:43" s="1" customFormat="1" ht="16.5" customHeight="1" thickTop="1">
      <c r="A144" s="63">
        <v>6798</v>
      </c>
      <c r="B144" s="63" t="s">
        <v>205</v>
      </c>
      <c r="C144" s="79">
        <f>SUM(C136:C143)</f>
        <v>69396.28</v>
      </c>
      <c r="D144" s="87">
        <f>C144/C12</f>
        <v>6.7742902684202591E-2</v>
      </c>
      <c r="E144" s="79">
        <f>SUM(E136:E143)</f>
        <v>69396.28</v>
      </c>
      <c r="F144" s="87">
        <f>E144/E12</f>
        <v>8.7072975830433871E-2</v>
      </c>
      <c r="G144" s="29">
        <f>SUM(G136:G143)</f>
        <v>69396.28</v>
      </c>
      <c r="H144" s="87">
        <f>G144/G12</f>
        <v>5.2492254601579059E-2</v>
      </c>
      <c r="I144" s="79">
        <f>SUM(I136:I143)</f>
        <v>69396.28</v>
      </c>
      <c r="J144" s="87">
        <f>I144/I12</f>
        <v>5.9448012990398057E-2</v>
      </c>
      <c r="K144" s="79">
        <f>SUM(K136:K143)</f>
        <v>69396.28</v>
      </c>
      <c r="L144" s="87">
        <f>K144/K12</f>
        <v>6.499878786985594E-2</v>
      </c>
      <c r="M144" s="79">
        <f>SUM(M136:M143)</f>
        <v>69090.84</v>
      </c>
      <c r="N144" s="87">
        <f>M144/M12</f>
        <v>4.5637048516841694E-2</v>
      </c>
      <c r="O144" s="79">
        <f>SUM(O136:O143)</f>
        <v>69090.84</v>
      </c>
      <c r="P144" s="87">
        <f>O144/O12</f>
        <v>7.2083857393400327E-2</v>
      </c>
      <c r="Q144" s="79">
        <f>SUM(Q136:Q143)</f>
        <v>69090.84</v>
      </c>
      <c r="R144" s="87">
        <f>Q144/Q12</f>
        <v>5.8050729766905326E-2</v>
      </c>
      <c r="S144" s="79">
        <f>SUM(S136:S143)</f>
        <v>69090.84</v>
      </c>
      <c r="T144" s="87">
        <f t="shared" ref="T144" si="75">S144/S$12</f>
        <v>5.762549534464833E-2</v>
      </c>
      <c r="U144" s="79">
        <f>SUM(U136:U143)</f>
        <v>69090.84</v>
      </c>
      <c r="V144" s="87">
        <f>U144/U12</f>
        <v>7.2648790975004804E-2</v>
      </c>
      <c r="W144" s="79">
        <f>SUM(W136:W143)</f>
        <v>69090.84</v>
      </c>
      <c r="X144" s="87">
        <f>W144/W12</f>
        <v>7.1403406369272504E-2</v>
      </c>
      <c r="Y144" s="79">
        <f>SUM(Y136:Y143)</f>
        <v>69090.84</v>
      </c>
      <c r="Z144" s="87">
        <f t="shared" ref="Z144" si="76">Y144/Y$12</f>
        <v>4.7266255660633395E-2</v>
      </c>
      <c r="AA144" s="152">
        <f>SUM(AA136:AA143)</f>
        <v>830617.28</v>
      </c>
      <c r="AB144" s="153">
        <f t="shared" ref="AB144" si="77">AA144/AA$12</f>
        <v>6.0983586332599558E-2</v>
      </c>
      <c r="AC144" s="137">
        <f>SUM(AC136:AC143)</f>
        <v>69218.106666666659</v>
      </c>
      <c r="AD144" s="138">
        <f t="shared" ref="AD144" si="78">AC144/AC$12</f>
        <v>6.0983586332599538E-2</v>
      </c>
      <c r="AE144" s="668"/>
      <c r="AF144" s="567"/>
      <c r="AG144" s="567"/>
    </row>
    <row r="145" spans="1:33" s="1" customFormat="1" ht="15.75" customHeight="1">
      <c r="A145" s="63">
        <v>6799</v>
      </c>
      <c r="B145" s="63" t="s">
        <v>135</v>
      </c>
      <c r="C145" s="47">
        <f>C41+C76+C93+C115+C129+C144+C133</f>
        <v>531727.37712385377</v>
      </c>
      <c r="D145" s="87">
        <f>C145/C12</f>
        <v>0.51905888850277737</v>
      </c>
      <c r="E145" s="119">
        <f>E41+E76+E93+E115+E129+E144+E133</f>
        <v>540719.43761243625</v>
      </c>
      <c r="F145" s="87">
        <f>E145/E12</f>
        <v>0.67845208017307923</v>
      </c>
      <c r="G145" s="47">
        <f>G41+G76+G93+G115+G129+G144+G133</f>
        <v>532593.62701089703</v>
      </c>
      <c r="H145" s="87">
        <f>G145/G12</f>
        <v>0.40286079121581791</v>
      </c>
      <c r="I145" s="47">
        <f>I41+I76+I93+I115+I129+I144+I133</f>
        <v>543370.87355232087</v>
      </c>
      <c r="J145" s="87">
        <f>I145/I12</f>
        <v>0.46547622941088934</v>
      </c>
      <c r="K145" s="119">
        <f>K41+K76+K93+K115+K129+K144+K133</f>
        <v>548867.06947581039</v>
      </c>
      <c r="L145" s="87">
        <f>K145/K12</f>
        <v>0.51408655071435649</v>
      </c>
      <c r="M145" s="47">
        <f>M41+M76+M93+M115+M129+M144+M133</f>
        <v>525232.23689286737</v>
      </c>
      <c r="N145" s="87">
        <f>M145/M12</f>
        <v>0.34693526779655709</v>
      </c>
      <c r="O145" s="47">
        <f>O41+O76+O93+O115+O129+O144+O133</f>
        <v>523341.61279091239</v>
      </c>
      <c r="P145" s="87">
        <f>O145/O12</f>
        <v>0.54601278815617615</v>
      </c>
      <c r="Q145" s="47">
        <f>Q41+Q76+Q93+Q115+Q129+Q144+Q133</f>
        <v>551563.31854320923</v>
      </c>
      <c r="R145" s="87">
        <f>Q145/Q12</f>
        <v>0.46342833802699984</v>
      </c>
      <c r="S145" s="47">
        <f>S41+S76+S93+S115+S129+S144+S133</f>
        <v>532342.71855718689</v>
      </c>
      <c r="T145" s="87">
        <f>S145/S12</f>
        <v>0.44400260367328886</v>
      </c>
      <c r="U145" s="119">
        <f>U41+U76+U93+U115+U129+U144+U133</f>
        <v>536776.82844618906</v>
      </c>
      <c r="V145" s="87">
        <f>U145/U12</f>
        <v>0.5644190693008394</v>
      </c>
      <c r="W145" s="119">
        <f>W41+W76+W93+W115+W129+W144+W133</f>
        <v>536147.13608550339</v>
      </c>
      <c r="X145" s="87">
        <f>W145/W12</f>
        <v>0.5540927253400717</v>
      </c>
      <c r="Y145" s="119">
        <f>Y41+Y76+Y93+Y115+Y129+Y144+Y133</f>
        <v>533957.80563233455</v>
      </c>
      <c r="Z145" s="87">
        <f>Y145/Y12</f>
        <v>0.3652899017150279</v>
      </c>
      <c r="AA145" s="119">
        <f>AA41+AA76+AA93+AA115+AA129+AA144+AA133</f>
        <v>6436640.0417235224</v>
      </c>
      <c r="AB145" s="87">
        <f>AA145/AA12</f>
        <v>0.47257552079378079</v>
      </c>
      <c r="AC145" s="119">
        <f>AC41+AC76+AC93+AC115+AC129+AC144+AC133</f>
        <v>536386.67014362675</v>
      </c>
      <c r="AD145" s="87">
        <f>AC145/AC12</f>
        <v>0.47257552079378062</v>
      </c>
      <c r="AE145" s="672"/>
      <c r="AF145" s="571"/>
      <c r="AG145" s="571"/>
    </row>
    <row r="146" spans="1:33" s="1" customFormat="1" ht="15.75" thickBot="1">
      <c r="A146" s="11">
        <v>6999</v>
      </c>
      <c r="B146" s="11" t="s">
        <v>144</v>
      </c>
      <c r="C146" s="46">
        <f>C135-C144</f>
        <v>-72735.87592885374</v>
      </c>
      <c r="D146" s="88">
        <f>C146/C12</f>
        <v>-7.1002932213348802E-2</v>
      </c>
      <c r="E146" s="59">
        <f>E135-E144</f>
        <v>-105255.07372205543</v>
      </c>
      <c r="F146" s="361">
        <f>E146/E12</f>
        <v>-0.13206576044466745</v>
      </c>
      <c r="G146" s="30">
        <f>G135-G144</f>
        <v>80313.397931060579</v>
      </c>
      <c r="H146" s="88">
        <f>G146/G12</f>
        <v>6.075010551163787E-2</v>
      </c>
      <c r="I146" s="30">
        <f>I135-I144</f>
        <v>61063.30732696518</v>
      </c>
      <c r="J146" s="88">
        <f>I146/I12</f>
        <v>5.2309609206863755E-2</v>
      </c>
      <c r="K146" s="59">
        <f>K135-K144</f>
        <v>90301.502070731716</v>
      </c>
      <c r="L146" s="88">
        <f>K146/K12</f>
        <v>8.4579291244787885E-2</v>
      </c>
      <c r="M146" s="30">
        <f>M135-M144</f>
        <v>186665.72605013981</v>
      </c>
      <c r="N146" s="88">
        <f>M146/M12</f>
        <v>0.12329959798117539</v>
      </c>
      <c r="O146" s="30">
        <f>O135-O144</f>
        <v>-25182.702680486822</v>
      </c>
      <c r="P146" s="88">
        <f>O146/O12</f>
        <v>-2.6273618164153342E-2</v>
      </c>
      <c r="Q146" s="64">
        <f>Q135-Q144</f>
        <v>77792.106001110456</v>
      </c>
      <c r="R146" s="88">
        <f>Q146/Q12</f>
        <v>6.5361609780238847E-2</v>
      </c>
      <c r="S146" s="30">
        <f>S135-S144</f>
        <v>112209.61294156985</v>
      </c>
      <c r="T146" s="88">
        <f>S146/S12</f>
        <v>9.3588882812674232E-2</v>
      </c>
      <c r="U146" s="30">
        <f>U135-U144</f>
        <v>-18718.02668023506</v>
      </c>
      <c r="V146" s="88">
        <f>U146/U12</f>
        <v>-1.9681943478425796E-2</v>
      </c>
      <c r="W146" s="388">
        <f>W135-W144</f>
        <v>-8370.9072944786385</v>
      </c>
      <c r="X146" s="88">
        <f>W146/W12</f>
        <v>-8.6510931872758479E-3</v>
      </c>
      <c r="Y146" s="30">
        <f>Y135-Y144</f>
        <v>170934.1767430334</v>
      </c>
      <c r="Z146" s="88">
        <f>Y146/Y12</f>
        <v>0.11693906889938105</v>
      </c>
      <c r="AA146" s="389">
        <f>AA135-AA144</f>
        <v>549017.24275849713</v>
      </c>
      <c r="AB146" s="88">
        <f>AA146/AA12</f>
        <v>4.0308624956428278E-2</v>
      </c>
      <c r="AC146" s="132">
        <f>AC135-AC144</f>
        <v>45751.436896541578</v>
      </c>
      <c r="AD146" s="88">
        <f>AC146/AC12</f>
        <v>4.030862495642841E-2</v>
      </c>
      <c r="AE146" s="668"/>
      <c r="AF146" s="567"/>
      <c r="AG146" s="567"/>
    </row>
    <row r="147" spans="1:33" s="1" customFormat="1" ht="19.5" customHeight="1" thickTop="1" thickBot="1">
      <c r="C147" s="48"/>
      <c r="D147" s="104"/>
      <c r="E147" s="83"/>
      <c r="F147" s="104"/>
      <c r="G147" s="48"/>
      <c r="H147" s="104"/>
      <c r="I147" s="33"/>
      <c r="J147" s="104"/>
      <c r="K147" s="83"/>
      <c r="L147" s="104"/>
      <c r="M147" s="33"/>
      <c r="N147" s="104"/>
      <c r="O147" s="33"/>
      <c r="P147" s="104"/>
      <c r="Q147" s="33"/>
      <c r="R147" s="104"/>
      <c r="S147" s="33"/>
      <c r="T147" s="104"/>
      <c r="U147" s="83"/>
      <c r="V147" s="104"/>
      <c r="W147" s="62"/>
      <c r="X147" s="104"/>
      <c r="Y147" s="83"/>
      <c r="Z147" s="104"/>
      <c r="AA147" s="145"/>
      <c r="AB147" s="104"/>
      <c r="AC147" s="129"/>
      <c r="AD147" s="104"/>
      <c r="AE147" s="671"/>
      <c r="AF147" s="570"/>
      <c r="AG147" s="570"/>
    </row>
    <row r="148" spans="1:33" s="1" customFormat="1" ht="16.5" thickTop="1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ref="AC148" si="79">AA148/12</f>
        <v>0</v>
      </c>
      <c r="AD148" s="246">
        <f>AC148/AC12</f>
        <v>0</v>
      </c>
      <c r="AE148" s="656"/>
      <c r="AF148" s="557"/>
      <c r="AG148" s="557"/>
    </row>
    <row r="149" spans="1:33" ht="15.75" thickTop="1">
      <c r="A149" s="1"/>
      <c r="B149" s="86"/>
      <c r="C149" s="33"/>
      <c r="D149" s="106"/>
      <c r="E149" s="33"/>
      <c r="F149" s="106"/>
      <c r="G149" s="33"/>
      <c r="H149" s="106"/>
      <c r="I149" s="3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/>
      <c r="AD149" s="106"/>
    </row>
    <row r="150" spans="1:33" s="1" customFormat="1" ht="15.75" customHeight="1" thickBot="1">
      <c r="A150" s="223"/>
      <c r="B150" s="404" t="s">
        <v>232</v>
      </c>
      <c r="C150" s="685">
        <f>C146*10%</f>
        <v>-7273.5875928853748</v>
      </c>
      <c r="D150" s="406"/>
      <c r="E150" s="685">
        <f>E146*10%</f>
        <v>-10525.507372205544</v>
      </c>
      <c r="F150" s="407"/>
      <c r="G150" s="685">
        <f>G146*10%</f>
        <v>8031.3397931060581</v>
      </c>
      <c r="H150" s="407"/>
      <c r="I150" s="685">
        <f>I146*10%</f>
        <v>6106.3307326965187</v>
      </c>
      <c r="J150" s="407"/>
      <c r="K150" s="685">
        <f>K146*10%</f>
        <v>9030.1502070731713</v>
      </c>
      <c r="L150" s="407"/>
      <c r="M150" s="685">
        <f>M146*10%</f>
        <v>18666.572605013982</v>
      </c>
      <c r="N150" s="407"/>
      <c r="O150" s="685">
        <f>O146*10%</f>
        <v>-2518.2702680486823</v>
      </c>
      <c r="P150" s="407"/>
      <c r="Q150" s="685">
        <f>Q146*10%</f>
        <v>7779.210600111046</v>
      </c>
      <c r="R150" s="407"/>
      <c r="S150" s="685">
        <f>S146*10%</f>
        <v>11220.961294156987</v>
      </c>
      <c r="T150" s="407"/>
      <c r="U150" s="685">
        <f>U146*10%</f>
        <v>-1871.8026680235062</v>
      </c>
      <c r="V150" s="407"/>
      <c r="W150" s="685">
        <f>W146*10%</f>
        <v>-837.09072944786385</v>
      </c>
      <c r="X150" s="407"/>
      <c r="Y150" s="685">
        <f>Y146*10%</f>
        <v>17093.417674303342</v>
      </c>
      <c r="Z150" s="407"/>
      <c r="AA150" s="405">
        <f>C150+E150+G150+I150+K150+M150+O150+Q150+S150+U150+W150+Y150</f>
        <v>54901.724275850138</v>
      </c>
      <c r="AB150" s="407"/>
      <c r="AC150" s="405">
        <f t="shared" ref="AC150" si="80">AA150/12</f>
        <v>4575.1436896541782</v>
      </c>
      <c r="AD150" s="407"/>
      <c r="AE150" s="649"/>
      <c r="AF150" s="363" t="s">
        <v>245</v>
      </c>
      <c r="AG150" s="363"/>
    </row>
    <row r="151" spans="1:33" ht="15.75" thickTop="1">
      <c r="A151" s="1"/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/>
      <c r="AD151" s="106"/>
    </row>
    <row r="152" spans="1:33" ht="15.75" thickBot="1">
      <c r="A152" s="224"/>
      <c r="B152" s="232" t="s">
        <v>206</v>
      </c>
      <c r="C152" s="237">
        <f>C146-C148-C150</f>
        <v>-65462.288335968362</v>
      </c>
      <c r="D152" s="246">
        <f>C152/C12</f>
        <v>-6.3902638992013913E-2</v>
      </c>
      <c r="E152" s="237">
        <f>E146-E148-E150</f>
        <v>-94729.566349849891</v>
      </c>
      <c r="F152" s="246">
        <f>E152/E12</f>
        <v>-0.11885918440020071</v>
      </c>
      <c r="G152" s="237">
        <f>G146-G148-G150</f>
        <v>72282.058137954518</v>
      </c>
      <c r="H152" s="246">
        <f>G152/G12</f>
        <v>5.4675094960474083E-2</v>
      </c>
      <c r="I152" s="237">
        <f>I146-I148-I150</f>
        <v>54956.976594268664</v>
      </c>
      <c r="J152" s="246">
        <f>I152/I12</f>
        <v>4.7078648286177381E-2</v>
      </c>
      <c r="K152" s="237">
        <f>K146-K148-K150</f>
        <v>81271.35186365855</v>
      </c>
      <c r="L152" s="246">
        <f>K152/K12</f>
        <v>7.6121362120309094E-2</v>
      </c>
      <c r="M152" s="237">
        <f>M146-M148-M150</f>
        <v>167999.15344512582</v>
      </c>
      <c r="N152" s="246">
        <f>M152/M12</f>
        <v>0.11096963818305784</v>
      </c>
      <c r="O152" s="237">
        <f>O146-O148-O150</f>
        <v>-22664.432412438138</v>
      </c>
      <c r="P152" s="246">
        <f>O152/O12</f>
        <v>-2.3646256347738006E-2</v>
      </c>
      <c r="Q152" s="237">
        <f>Q146-Q148-Q150</f>
        <v>70012.895400999405</v>
      </c>
      <c r="R152" s="246">
        <f>Q152/Q12</f>
        <v>5.8825448802214957E-2</v>
      </c>
      <c r="S152" s="237">
        <f>S146-S148-S150</f>
        <v>100988.65164741286</v>
      </c>
      <c r="T152" s="246">
        <f>S152/S12</f>
        <v>8.4229994531406796E-2</v>
      </c>
      <c r="U152" s="237">
        <f>U146-U148-U150</f>
        <v>-16846.224012211555</v>
      </c>
      <c r="V152" s="246">
        <f>U152/U12</f>
        <v>-1.7713749130583219E-2</v>
      </c>
      <c r="W152" s="237">
        <f>W146-W148-W150</f>
        <v>-7533.8165650307747</v>
      </c>
      <c r="X152" s="246">
        <f>W152/W12</f>
        <v>-7.7859838685482635E-3</v>
      </c>
      <c r="Y152" s="237">
        <f>Y146-Y148-Y150</f>
        <v>153840.75906873005</v>
      </c>
      <c r="Z152" s="246">
        <f>Y152/Y12</f>
        <v>0.10524516200944294</v>
      </c>
      <c r="AA152" s="270">
        <f>AA146-AA148-AA150</f>
        <v>494115.51848264702</v>
      </c>
      <c r="AB152" s="246">
        <f>AA152/AA12</f>
        <v>3.6277762460785422E-2</v>
      </c>
      <c r="AC152" s="271">
        <f>AC146-AC148-AC150</f>
        <v>41176.2932068874</v>
      </c>
      <c r="AD152" s="246">
        <f>AC152/AC12</f>
        <v>3.6277762460785547E-2</v>
      </c>
    </row>
    <row r="153" spans="1:33" ht="15.75" thickTop="1">
      <c r="A153" s="1"/>
      <c r="B153" s="1"/>
      <c r="C153" s="33">
        <f>C151*0.985</f>
        <v>0</v>
      </c>
      <c r="D153" s="104"/>
      <c r="E153" s="84"/>
      <c r="F153" s="104"/>
      <c r="G153" s="48"/>
      <c r="H153" s="104"/>
      <c r="I153" s="33"/>
      <c r="J153" s="104"/>
      <c r="K153" s="84"/>
      <c r="L153" s="104"/>
      <c r="M153" s="33"/>
      <c r="N153" s="104"/>
      <c r="O153" s="33"/>
      <c r="P153" s="104"/>
      <c r="Q153" s="33"/>
      <c r="R153" s="104"/>
      <c r="S153" s="33"/>
      <c r="T153" s="104"/>
      <c r="U153" s="84"/>
      <c r="V153" s="104"/>
      <c r="W153" s="1"/>
      <c r="X153" s="104"/>
      <c r="Y153" s="84"/>
      <c r="Z153" s="104"/>
      <c r="AA153" s="142"/>
      <c r="AB153" s="143"/>
      <c r="AC153" s="126"/>
      <c r="AD153" s="127"/>
    </row>
    <row r="154" spans="1:33">
      <c r="B154" s="717" t="s">
        <v>214</v>
      </c>
      <c r="C154" s="269">
        <f>C152</f>
        <v>-65462.288335968362</v>
      </c>
      <c r="D154" s="213"/>
      <c r="E154" s="269">
        <f>E152+C154</f>
        <v>-160191.85468581825</v>
      </c>
      <c r="F154" s="363"/>
      <c r="G154" s="32">
        <f>G152+E154+1.02</f>
        <v>-87908.77654786373</v>
      </c>
      <c r="H154" s="363"/>
      <c r="I154" s="269">
        <f>I152+G154</f>
        <v>-32951.799953595066</v>
      </c>
      <c r="J154" s="363"/>
      <c r="K154" s="269">
        <f>K152+I154</f>
        <v>48319.551910063485</v>
      </c>
      <c r="L154" s="363"/>
      <c r="M154" s="269">
        <f>M152+K154</f>
        <v>216318.7053551893</v>
      </c>
      <c r="N154" s="363"/>
      <c r="O154" s="269">
        <f>O152+M154</f>
        <v>193654.27294275118</v>
      </c>
      <c r="P154" s="363"/>
      <c r="Q154" s="269">
        <f>Q152+O154</f>
        <v>263667.16834375059</v>
      </c>
      <c r="R154" s="363"/>
      <c r="S154" s="269">
        <f>S152+Q154</f>
        <v>364655.81999116344</v>
      </c>
      <c r="T154" s="363"/>
      <c r="U154" s="269">
        <f>U152+S154</f>
        <v>347809.5959789519</v>
      </c>
      <c r="V154" s="363"/>
      <c r="W154" s="269">
        <f>W152+U154</f>
        <v>340275.77941392112</v>
      </c>
      <c r="X154" s="363"/>
      <c r="Y154" s="269">
        <f>Y152+W154</f>
        <v>494116.53848265117</v>
      </c>
      <c r="Z154" s="363"/>
      <c r="AA154" s="269">
        <f>AA152-Y154</f>
        <v>-1.0200000041513704</v>
      </c>
    </row>
    <row r="155" spans="1:33" hidden="1">
      <c r="C155" s="32">
        <v>77314.210000000006</v>
      </c>
      <c r="I155" s="32">
        <f>I16*0.985</f>
        <v>1149833.8188534684</v>
      </c>
      <c r="AA155" s="719">
        <f>AA152*0.985</f>
        <v>486703.78570540732</v>
      </c>
      <c r="AE155" s="720"/>
      <c r="AF155" s="721"/>
      <c r="AG155" s="721"/>
    </row>
    <row r="156" spans="1:33" hidden="1">
      <c r="I156" s="32">
        <f>I36*0.985</f>
        <v>554466.15068737173</v>
      </c>
      <c r="K156" s="32">
        <f>K36*0.985</f>
        <v>422059.11894574767</v>
      </c>
      <c r="M156" s="32">
        <f>M36*0.985</f>
        <v>789991.69591198408</v>
      </c>
      <c r="O156" s="32">
        <f>O36*0.985</f>
        <v>453414.96673117153</v>
      </c>
      <c r="AE156" s="658"/>
      <c r="AF156" s="393"/>
      <c r="AG156" s="393"/>
    </row>
    <row r="157" spans="1:33" hidden="1">
      <c r="I157" s="32">
        <f>SUM(I145-I142)*0.985</f>
        <v>475608.11044903606</v>
      </c>
      <c r="K157" s="32">
        <f>SUM(K145-K142+K150)*0.985</f>
        <v>489916.56138764031</v>
      </c>
      <c r="M157" s="32">
        <f>SUM(M145-M142+M150)*0.985</f>
        <v>476128.1273554131</v>
      </c>
      <c r="O157" s="32">
        <f>SUM(O145-O142+O150)*0.985</f>
        <v>453398.79238502076</v>
      </c>
      <c r="AE157" s="658"/>
      <c r="AF157" s="393"/>
      <c r="AG157" s="393"/>
    </row>
    <row r="158" spans="1:33" hidden="1">
      <c r="I158" s="431">
        <f>SUM(I152+I142)*0.985</f>
        <v>113744.82194535463</v>
      </c>
      <c r="K158" s="431">
        <f>SUM(K152+K142)*0.985</f>
        <v>139664.48158570367</v>
      </c>
      <c r="M158" s="431">
        <f>SUM(M152+M142)*0.985</f>
        <v>225091.36614344892</v>
      </c>
      <c r="O158" s="431">
        <f>SUM(O152+O142)*0.985</f>
        <v>37287.734073748434</v>
      </c>
      <c r="AE158" s="658"/>
      <c r="AF158" s="393"/>
      <c r="AG158" s="393"/>
    </row>
    <row r="159" spans="1:33" hidden="1">
      <c r="AE159" s="720"/>
      <c r="AF159" s="721"/>
      <c r="AG159" s="721"/>
    </row>
    <row r="160" spans="1:33" hidden="1">
      <c r="B160" s="213" t="s">
        <v>144</v>
      </c>
      <c r="C160" s="32">
        <f>C152</f>
        <v>-65462.288335968362</v>
      </c>
      <c r="D160" s="32"/>
      <c r="E160" s="32">
        <f>E152</f>
        <v>-94729.566349849891</v>
      </c>
      <c r="F160" s="32"/>
      <c r="G160" s="32">
        <f>G152</f>
        <v>72282.058137954518</v>
      </c>
      <c r="H160" s="32"/>
      <c r="I160" s="32">
        <f>I152</f>
        <v>54956.976594268664</v>
      </c>
      <c r="J160" s="32"/>
      <c r="K160" s="32">
        <f>K152</f>
        <v>81271.35186365855</v>
      </c>
      <c r="L160" s="32"/>
      <c r="M160" s="32">
        <f>M152</f>
        <v>167999.15344512582</v>
      </c>
      <c r="N160" s="32"/>
      <c r="O160" s="32">
        <f>O152</f>
        <v>-22664.432412438138</v>
      </c>
      <c r="P160" s="32"/>
      <c r="Q160" s="32">
        <f>Q152</f>
        <v>70012.895400999405</v>
      </c>
      <c r="R160" s="32"/>
      <c r="S160" s="32">
        <f>S152</f>
        <v>100988.65164741286</v>
      </c>
      <c r="T160" s="32"/>
      <c r="U160" s="32">
        <f>U152</f>
        <v>-16846.224012211555</v>
      </c>
      <c r="V160" s="32"/>
      <c r="W160" s="32">
        <f>W152</f>
        <v>-7533.8165650307747</v>
      </c>
      <c r="X160" s="32"/>
      <c r="Y160" s="32">
        <f>Y152</f>
        <v>153840.75906873005</v>
      </c>
      <c r="Z160" s="32"/>
      <c r="AA160" s="32">
        <f>AA152</f>
        <v>494115.51848264702</v>
      </c>
      <c r="AB160" s="32"/>
      <c r="AC160" s="32">
        <f>AC152</f>
        <v>41176.2932068874</v>
      </c>
      <c r="AD160" s="32"/>
      <c r="AE160" s="658"/>
      <c r="AF160" s="393"/>
      <c r="AG160" s="393"/>
    </row>
    <row r="161" spans="2:33" hidden="1">
      <c r="D161" s="226"/>
      <c r="E161" s="32"/>
      <c r="K161" s="32"/>
      <c r="U161" s="32"/>
      <c r="W161" s="32"/>
      <c r="Y161" s="32"/>
      <c r="AB161" s="218"/>
      <c r="AD161" s="218"/>
      <c r="AE161" s="720"/>
      <c r="AF161" s="721"/>
      <c r="AG161" s="721"/>
    </row>
    <row r="162" spans="2:33" hidden="1">
      <c r="B162" s="213" t="s">
        <v>237</v>
      </c>
      <c r="C162" s="32">
        <f>C150</f>
        <v>-7273.5875928853748</v>
      </c>
      <c r="D162" s="226"/>
      <c r="E162" s="32">
        <f>E150</f>
        <v>-10525.507372205544</v>
      </c>
      <c r="G162" s="32">
        <f>G150</f>
        <v>8031.3397931060581</v>
      </c>
      <c r="I162" s="32">
        <f>I150</f>
        <v>6106.3307326965187</v>
      </c>
      <c r="K162" s="32">
        <f>K150</f>
        <v>9030.1502070731713</v>
      </c>
      <c r="M162" s="32">
        <f>M150</f>
        <v>18666.572605013982</v>
      </c>
      <c r="O162" s="32">
        <f>O150</f>
        <v>-2518.2702680486823</v>
      </c>
      <c r="Q162" s="32">
        <f>Q150</f>
        <v>7779.210600111046</v>
      </c>
      <c r="S162" s="32">
        <f>S150</f>
        <v>11220.961294156987</v>
      </c>
      <c r="U162" s="32">
        <f>U150</f>
        <v>-1871.8026680235062</v>
      </c>
      <c r="W162" s="32">
        <f>W150</f>
        <v>-837.09072944786385</v>
      </c>
      <c r="Y162" s="32">
        <f>Y150</f>
        <v>17093.417674303342</v>
      </c>
      <c r="AA162" s="32">
        <f>AA150</f>
        <v>54901.724275850138</v>
      </c>
      <c r="AB162" s="218"/>
      <c r="AC162" s="32">
        <f>AC150</f>
        <v>4575.1436896541782</v>
      </c>
      <c r="AD162" s="218"/>
      <c r="AE162" s="658"/>
      <c r="AF162" s="393"/>
      <c r="AG162" s="393"/>
    </row>
    <row r="163" spans="2:33" hidden="1">
      <c r="D163" s="226"/>
      <c r="E163" s="32"/>
      <c r="K163" s="32"/>
      <c r="U163" s="32"/>
      <c r="W163" s="32"/>
      <c r="Y163" s="32"/>
      <c r="AB163" s="218"/>
      <c r="AD163" s="218"/>
      <c r="AE163" s="658"/>
      <c r="AF163" s="393"/>
      <c r="AG163" s="393"/>
    </row>
    <row r="164" spans="2:33" hidden="1">
      <c r="B164" s="213" t="s">
        <v>241</v>
      </c>
      <c r="C164" s="32">
        <f>C142</f>
        <v>60520</v>
      </c>
      <c r="D164" s="32"/>
      <c r="E164" s="32">
        <f>E142</f>
        <v>60520</v>
      </c>
      <c r="F164" s="32"/>
      <c r="G164" s="32">
        <f>G142</f>
        <v>60520</v>
      </c>
      <c r="H164" s="32"/>
      <c r="I164" s="32">
        <f>I142</f>
        <v>60520</v>
      </c>
      <c r="J164" s="32"/>
      <c r="K164" s="32">
        <f>K142</f>
        <v>60520</v>
      </c>
      <c r="L164" s="32"/>
      <c r="M164" s="32">
        <f>M142</f>
        <v>60520</v>
      </c>
      <c r="N164" s="32"/>
      <c r="O164" s="32">
        <f>O142</f>
        <v>60520</v>
      </c>
      <c r="P164" s="32"/>
      <c r="Q164" s="32">
        <f>Q142</f>
        <v>60520</v>
      </c>
      <c r="R164" s="32"/>
      <c r="S164" s="32">
        <f>S142</f>
        <v>60520</v>
      </c>
      <c r="T164" s="32"/>
      <c r="U164" s="32">
        <f>U142</f>
        <v>60520</v>
      </c>
      <c r="V164" s="32"/>
      <c r="W164" s="32">
        <f>W142</f>
        <v>60520</v>
      </c>
      <c r="X164" s="32"/>
      <c r="Y164" s="32">
        <f>Y142</f>
        <v>60520</v>
      </c>
      <c r="Z164" s="32"/>
      <c r="AA164" s="32">
        <f>AA142</f>
        <v>726240</v>
      </c>
      <c r="AB164" s="32"/>
      <c r="AC164" s="32">
        <f>AC142</f>
        <v>60520</v>
      </c>
      <c r="AD164" s="32"/>
      <c r="AE164" s="658"/>
      <c r="AF164" s="393"/>
      <c r="AG164" s="393"/>
    </row>
    <row r="165" spans="2:33" hidden="1">
      <c r="D165" s="226"/>
      <c r="E165" s="32"/>
      <c r="K165" s="32"/>
      <c r="U165" s="32"/>
      <c r="W165" s="32"/>
      <c r="Y165" s="32"/>
      <c r="AA165" s="32"/>
      <c r="AB165" s="218"/>
      <c r="AC165" s="32"/>
      <c r="AD165" s="218"/>
      <c r="AE165" s="658"/>
      <c r="AF165" s="393"/>
      <c r="AG165" s="393"/>
    </row>
    <row r="166" spans="2:33" hidden="1">
      <c r="B166" s="213" t="s">
        <v>238</v>
      </c>
      <c r="C166" s="32">
        <f>C144-C142</f>
        <v>8876.2799999999988</v>
      </c>
      <c r="D166" s="32"/>
      <c r="E166" s="32">
        <f>E144-E142</f>
        <v>8876.2799999999988</v>
      </c>
      <c r="F166" s="32"/>
      <c r="G166" s="32">
        <f>G144-G142</f>
        <v>8876.2799999999988</v>
      </c>
      <c r="H166" s="32"/>
      <c r="I166" s="32">
        <f>I144-I142</f>
        <v>8876.2799999999988</v>
      </c>
      <c r="J166" s="32"/>
      <c r="K166" s="32">
        <f>K144-K142</f>
        <v>8876.2799999999988</v>
      </c>
      <c r="L166" s="32"/>
      <c r="M166" s="32">
        <f>M144-M142</f>
        <v>8570.8399999999965</v>
      </c>
      <c r="N166" s="32"/>
      <c r="O166" s="32">
        <f>O144-O142</f>
        <v>8570.8399999999965</v>
      </c>
      <c r="P166" s="32"/>
      <c r="Q166" s="32">
        <f>Q144-Q142</f>
        <v>8570.8399999999965</v>
      </c>
      <c r="R166" s="32"/>
      <c r="S166" s="32">
        <f>S144-S142</f>
        <v>8570.8399999999965</v>
      </c>
      <c r="T166" s="32"/>
      <c r="U166" s="32">
        <f>U144-U142</f>
        <v>8570.8399999999965</v>
      </c>
      <c r="V166" s="32"/>
      <c r="W166" s="32">
        <f>W144-W142</f>
        <v>8570.8399999999965</v>
      </c>
      <c r="X166" s="32"/>
      <c r="Y166" s="32">
        <f>Y144-Y142</f>
        <v>8570.8399999999965</v>
      </c>
      <c r="Z166" s="32"/>
      <c r="AA166" s="32">
        <f>AA144-AA142</f>
        <v>104377.28000000003</v>
      </c>
      <c r="AB166" s="32"/>
      <c r="AC166" s="32">
        <f>AC144-AC142</f>
        <v>8698.1066666666593</v>
      </c>
      <c r="AD166" s="32"/>
      <c r="AE166" s="658"/>
      <c r="AF166" s="393"/>
      <c r="AG166" s="393"/>
    </row>
    <row r="167" spans="2:33" hidden="1">
      <c r="D167" s="226"/>
      <c r="E167" s="32"/>
      <c r="K167" s="32"/>
      <c r="U167" s="32"/>
      <c r="W167" s="32"/>
      <c r="Y167" s="32"/>
      <c r="AB167" s="218"/>
      <c r="AC167" s="32"/>
      <c r="AD167" s="218"/>
      <c r="AE167" s="720"/>
      <c r="AF167" s="721"/>
      <c r="AG167" s="721"/>
    </row>
    <row r="168" spans="2:33">
      <c r="D168" s="226"/>
      <c r="E168" s="32"/>
      <c r="K168" s="32"/>
      <c r="U168" s="32"/>
      <c r="W168" s="32"/>
      <c r="Y168" s="32"/>
      <c r="AB168" s="218"/>
      <c r="AD168" s="218"/>
    </row>
    <row r="169" spans="2:33">
      <c r="B169" s="722" t="s">
        <v>239</v>
      </c>
      <c r="C169" s="723">
        <f>C162+C160+C164+C166</f>
        <v>-3339.5959288537415</v>
      </c>
      <c r="D169" s="724"/>
      <c r="E169" s="723">
        <f>E162+E160+E164+E166</f>
        <v>-35858.79372205543</v>
      </c>
      <c r="F169" s="723"/>
      <c r="G169" s="723">
        <f>G162+G160+G164+G166</f>
        <v>149709.67793106058</v>
      </c>
      <c r="H169" s="723"/>
      <c r="I169" s="723">
        <f>I162+I160+I164+I166</f>
        <v>130459.58732696518</v>
      </c>
      <c r="J169" s="723"/>
      <c r="K169" s="723">
        <f>K162+K160+K164+K166</f>
        <v>159697.78207073172</v>
      </c>
      <c r="L169" s="723"/>
      <c r="M169" s="723">
        <f>M162+M160+M164+M166</f>
        <v>255756.56605013981</v>
      </c>
      <c r="N169" s="723"/>
      <c r="O169" s="723">
        <f>O162+O160+O164+O166</f>
        <v>43908.137319513175</v>
      </c>
      <c r="P169" s="723"/>
      <c r="Q169" s="723">
        <f>Q162+Q160+Q164+Q166</f>
        <v>146882.94600111045</v>
      </c>
      <c r="R169" s="723"/>
      <c r="S169" s="723">
        <f>S162+S160+S164+S166</f>
        <v>181300.45294156985</v>
      </c>
      <c r="T169" s="723"/>
      <c r="U169" s="723">
        <f>U162+U160+U164+U166</f>
        <v>50372.813319764937</v>
      </c>
      <c r="V169" s="723"/>
      <c r="W169" s="723">
        <f>W162+W160+W164+W166</f>
        <v>60719.932705521358</v>
      </c>
      <c r="X169" s="723"/>
      <c r="Y169" s="723">
        <f>Y162+Y160+Y164+Y166</f>
        <v>240025.0167430334</v>
      </c>
      <c r="Z169" s="723"/>
      <c r="AA169" s="723">
        <f>AA162+AA160+AA164+AA166</f>
        <v>1379634.5227584972</v>
      </c>
      <c r="AB169" s="218"/>
      <c r="AC169" s="32">
        <f>AA169/12</f>
        <v>114969.54356320809</v>
      </c>
      <c r="AD169" s="218"/>
    </row>
    <row r="170" spans="2:33">
      <c r="D170" s="226"/>
      <c r="E170" s="32"/>
      <c r="K170" s="32"/>
      <c r="U170" s="32"/>
      <c r="W170" s="32"/>
      <c r="Y170" s="32"/>
      <c r="AB170" s="218"/>
      <c r="AD170" s="218"/>
    </row>
    <row r="171" spans="2:33">
      <c r="B171" s="722"/>
      <c r="D171" s="226"/>
      <c r="E171" s="32"/>
      <c r="K171" s="32"/>
      <c r="U171" s="32"/>
      <c r="W171" s="32"/>
      <c r="Y171" s="32"/>
      <c r="AB171" s="218"/>
      <c r="AD171" s="218"/>
    </row>
    <row r="172" spans="2:33">
      <c r="B172" s="722" t="s">
        <v>240</v>
      </c>
      <c r="C172" s="32">
        <f>C169</f>
        <v>-3339.5959288537415</v>
      </c>
      <c r="D172" s="32"/>
      <c r="E172" s="32">
        <f>C172+E169</f>
        <v>-39198.389650909172</v>
      </c>
      <c r="F172" s="32"/>
      <c r="G172" s="32">
        <f>E172+G169</f>
        <v>110511.28828015141</v>
      </c>
      <c r="H172" s="32"/>
      <c r="I172" s="32">
        <f>G172+I169</f>
        <v>240970.87560711658</v>
      </c>
      <c r="J172" s="32"/>
      <c r="K172" s="32">
        <f>I172+K169</f>
        <v>400668.6576778483</v>
      </c>
      <c r="L172" s="32"/>
      <c r="M172" s="32">
        <f>K172+M169</f>
        <v>656425.22372798808</v>
      </c>
      <c r="N172" s="32"/>
      <c r="O172" s="32">
        <f>M172+O169</f>
        <v>700333.36104750121</v>
      </c>
      <c r="P172" s="32"/>
      <c r="Q172" s="32">
        <f>O172+Q169</f>
        <v>847216.30704861169</v>
      </c>
      <c r="R172" s="32"/>
      <c r="S172" s="32">
        <f>Q172+S169</f>
        <v>1028516.7599901815</v>
      </c>
      <c r="T172" s="32"/>
      <c r="U172" s="32">
        <f>S172+U169</f>
        <v>1078889.5733099466</v>
      </c>
      <c r="V172" s="32"/>
      <c r="W172" s="32">
        <f>U172+W169</f>
        <v>1139609.5060154679</v>
      </c>
      <c r="X172" s="32"/>
      <c r="Y172" s="32">
        <f>W172+Y169</f>
        <v>1379634.5227585013</v>
      </c>
      <c r="Z172" s="32"/>
      <c r="AA172" s="32"/>
      <c r="AB172" s="32"/>
      <c r="AC172" s="32"/>
      <c r="AD172" s="32"/>
    </row>
    <row r="174" spans="2:33">
      <c r="C174" s="32">
        <f>C152</f>
        <v>-65462.288335968362</v>
      </c>
      <c r="S174" s="32">
        <f>S152</f>
        <v>100988.65164741286</v>
      </c>
    </row>
    <row r="175" spans="2:33">
      <c r="C175" s="32">
        <f>C150</f>
        <v>-7273.5875928853748</v>
      </c>
      <c r="S175" s="32">
        <f>S87+S86+S85</f>
        <v>14263.972602739726</v>
      </c>
    </row>
    <row r="176" spans="2:33">
      <c r="C176" s="269">
        <f>C174+C175</f>
        <v>-72735.87592885374</v>
      </c>
      <c r="S176" s="32">
        <f>S174+S175</f>
        <v>115252.62425015258</v>
      </c>
    </row>
  </sheetData>
  <customSheetViews>
    <customSheetView guid="{E19D3675-E478-4A54-8E7A-94A199F67811}" hiddenRows="1">
      <pane xSplit="2" ySplit="3" topLeftCell="C115" activePane="bottomRight" state="frozen"/>
      <selection pane="bottomRight" activeCell="G130" sqref="G130"/>
      <pageMargins left="0.34" right="0.37" top="0.74803149606299213" bottom="0.74803149606299213" header="0.31496062992125984" footer="0.31496062992125984"/>
      <printOptions gridLines="1"/>
      <pageSetup paperSize="8" scale="41" fitToHeight="3" orientation="landscape" r:id="rId1"/>
    </customSheetView>
    <customSheetView guid="{BFB0E08A-7D07-48F2-93C4-BE631A8642F6}" hiddenRows="1">
      <pane xSplit="2" ySplit="3" topLeftCell="AL70" activePane="bottomRight" state="frozen"/>
      <selection pane="bottomRight" activeCell="AQ86" sqref="AQ86"/>
      <pageMargins left="0.34" right="0.37" top="0.74803149606299213" bottom="0.74803149606299213" header="0.31496062992125984" footer="0.31496062992125984"/>
      <printOptions gridLines="1"/>
      <pageSetup paperSize="8" scale="41" fitToHeight="3" orientation="landscape" r:id="rId2"/>
    </customSheetView>
    <customSheetView guid="{D65E0E17-9A53-4B36-ADDE-FDFBD878E6A1}">
      <pane xSplit="10" ySplit="19" topLeftCell="L119" activePane="bottomRight" state="frozen"/>
      <selection pane="bottomRight" activeCell="F131" sqref="F131"/>
      <pageMargins left="0.7" right="0.7" top="0.75" bottom="0.75" header="0.3" footer="0.3"/>
    </customSheetView>
    <customSheetView guid="{F3E5B7E7-D3C6-4CDC-BAA7-D62F15A870E4}">
      <pane xSplit="11" ySplit="19" topLeftCell="L122" activePane="bottomRight" state="frozen"/>
      <selection pane="bottomRight" activeCell="I122" sqref="I122"/>
      <pageMargins left="0.7" right="0.7" top="0.75" bottom="0.75" header="0.3" footer="0.3"/>
    </customSheetView>
    <customSheetView guid="{879F34B1-DA85-44D2-99EE-74A633FB2C72}" hiddenRows="1">
      <pane xSplit="2" ySplit="3" topLeftCell="AN106" activePane="bottomRight" state="frozen"/>
      <selection pane="bottomRight" activeCell="AS1" sqref="AS1:AU1048576"/>
      <pageMargins left="0.34" right="0.37" top="0.74803149606299213" bottom="0.74803149606299213" header="0.31496062992125984" footer="0.31496062992125984"/>
      <printOptions gridLines="1"/>
      <pageSetup paperSize="8" scale="41" fitToHeight="3" orientation="landscape" r:id="rId3"/>
    </customSheetView>
    <customSheetView guid="{02AA01BD-C75B-4B6E-A8E6-EEB6E90D29E4}" hiddenRows="1">
      <pane xSplit="2" ySplit="3" topLeftCell="J109" activePane="bottomRight" state="frozen"/>
      <selection pane="bottomRight" activeCell="P126" sqref="P126"/>
      <pageMargins left="0.34" right="0.37" top="0.74803149606299213" bottom="0.74803149606299213" header="0.31496062992125984" footer="0.31496062992125984"/>
      <printOptions gridLines="1"/>
      <pageSetup paperSize="8" scale="41" fitToHeight="3" orientation="landscape" r:id="rId4"/>
    </customSheetView>
    <customSheetView guid="{209662B1-09B2-4060-A837-250CED7848ED}" hiddenRows="1">
      <pane xSplit="2" ySplit="3" topLeftCell="Z4" activePane="bottomRight" state="frozen"/>
      <selection pane="bottomRight" activeCell="AE16" sqref="AE16"/>
      <pageMargins left="0.34" right="0.37" top="0.74803149606299213" bottom="0.74803149606299213" header="0.31496062992125984" footer="0.31496062992125984"/>
      <printOptions gridLines="1"/>
      <pageSetup paperSize="8" scale="41" fitToHeight="3" orientation="landscape" r:id="rId5"/>
    </customSheetView>
    <customSheetView guid="{B2BB7590-1CD2-4457-858D-F8835B99F338}" hiddenRows="1">
      <pane xSplit="2" ySplit="3" topLeftCell="G26" activePane="bottomRight" state="frozen"/>
      <selection pane="bottomRight" activeCell="M38" sqref="M38"/>
      <pageMargins left="0.34" right="0.37" top="0.74803149606299213" bottom="0.74803149606299213" header="0.31496062992125984" footer="0.31496062992125984"/>
      <printOptions gridLines="1"/>
      <pageSetup paperSize="8" scale="41" fitToHeight="3" orientation="landscape" r:id="rId6"/>
    </customSheetView>
    <customSheetView guid="{A879B074-133C-4DA1-A94D-0D1575EAAFB0}">
      <selection activeCell="I1" sqref="I1:I1048576"/>
      <pageMargins left="0.7" right="0.7" top="0.75" bottom="0.75" header="0.3" footer="0.3"/>
    </customSheetView>
    <customSheetView guid="{C4C974E7-2FCF-4C3A-A063-03001047949F}" topLeftCell="A109">
      <selection activeCell="B109" sqref="B1:O1048576"/>
      <pageMargins left="0.7" right="0.7" top="0.75" bottom="0.75" header="0.3" footer="0.3"/>
    </customSheetView>
    <customSheetView guid="{A8167CC1-C909-4D11-B8D5-4313083C8125}" hiddenRows="1" hiddenColumns="1">
      <pane xSplit="2" ySplit="3" topLeftCell="C116" activePane="bottomRight" state="frozen"/>
      <selection pane="bottomRight" activeCell="I130" sqref="I130"/>
      <pageMargins left="0.34" right="0.37" top="0.46" bottom="0.32" header="0.31496062992125984" footer="0.22"/>
      <printOptions gridLines="1"/>
      <pageSetup paperSize="8" scale="41" fitToHeight="3" orientation="landscape" r:id="rId7"/>
    </customSheetView>
    <customSheetView guid="{AA4262F8-9AB3-4147-94E2-8DEF81F7E83C}" hiddenRows="1">
      <pane xSplit="2" ySplit="3" topLeftCell="C5" activePane="bottomRight" state="frozen"/>
      <selection pane="bottomRight" activeCell="I5" sqref="I5"/>
      <pageMargins left="0.34" right="0.37" top="0.74803149606299213" bottom="0.74803149606299213" header="0.31496062992125984" footer="0.31496062992125984"/>
      <printOptions gridLines="1"/>
      <pageSetup paperSize="8" scale="41" fitToHeight="3" orientation="landscape" r:id="rId8"/>
    </customSheetView>
  </customSheetViews>
  <mergeCells count="13">
    <mergeCell ref="A1:AD1"/>
    <mergeCell ref="E2:F2"/>
    <mergeCell ref="U2:V2"/>
    <mergeCell ref="W2:X2"/>
    <mergeCell ref="Y2:Z2"/>
    <mergeCell ref="AA2:AB2"/>
    <mergeCell ref="AC2:AD2"/>
    <mergeCell ref="S2:T2"/>
    <mergeCell ref="I2:J2"/>
    <mergeCell ref="K2:L2"/>
    <mergeCell ref="M2:N2"/>
    <mergeCell ref="O2:P2"/>
    <mergeCell ref="Q2:R2"/>
  </mergeCells>
  <conditionalFormatting sqref="W146:W147 Q146:Q147">
    <cfRule type="cellIs" dxfId="11" priority="4" operator="lessThan">
      <formula>0</formula>
    </cfRule>
  </conditionalFormatting>
  <printOptions gridLines="1"/>
  <pageMargins left="0.34" right="0.37" top="0.74803149606299202" bottom="0.74803149606299202" header="0.31496062992126" footer="0.31496062992126"/>
  <pageSetup paperSize="8" scale="38" fitToHeight="2" orientation="landscape" r:id="rId9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AP172"/>
  <sheetViews>
    <sheetView zoomScale="85" zoomScaleNormal="85" workbookViewId="0">
      <pane xSplit="2" ySplit="4" topLeftCell="C122" activePane="bottomRight" state="frozen"/>
      <selection activeCell="E74" sqref="E74"/>
      <selection pane="topRight" activeCell="E74" sqref="E74"/>
      <selection pane="bottomLeft" activeCell="E74" sqref="E74"/>
      <selection pane="bottomRight" activeCell="C142" sqref="C142"/>
    </sheetView>
  </sheetViews>
  <sheetFormatPr defaultColWidth="9.140625" defaultRowHeight="15"/>
  <cols>
    <col min="1" max="1" width="6.42578125" style="213" bestFit="1" customWidth="1"/>
    <col min="2" max="2" width="38.42578125" style="213" bestFit="1" customWidth="1"/>
    <col min="3" max="3" width="13.28515625" style="269" bestFit="1" customWidth="1"/>
    <col min="4" max="4" width="7.85546875" style="213" bestFit="1" customWidth="1"/>
    <col min="5" max="5" width="13.28515625" style="269" customWidth="1"/>
    <col min="6" max="6" width="7.85546875" style="213" bestFit="1" customWidth="1"/>
    <col min="7" max="7" width="15" style="269" customWidth="1"/>
    <col min="8" max="8" width="8" style="213" customWidth="1"/>
    <col min="9" max="9" width="14.28515625" style="269" bestFit="1" customWidth="1"/>
    <col min="10" max="10" width="7.85546875" style="213" bestFit="1" customWidth="1"/>
    <col min="11" max="11" width="14" style="32" bestFit="1" customWidth="1"/>
    <col min="12" max="12" width="7.140625" style="213" bestFit="1" customWidth="1"/>
    <col min="13" max="13" width="14" style="32" customWidth="1"/>
    <col min="14" max="14" width="7.140625" style="213" bestFit="1" customWidth="1"/>
    <col min="15" max="15" width="14" style="32" bestFit="1" customWidth="1"/>
    <col min="16" max="16" width="7.140625" style="363" bestFit="1" customWidth="1"/>
    <col min="17" max="17" width="14" style="32" bestFit="1" customWidth="1"/>
    <col min="18" max="18" width="7.140625" style="363" bestFit="1" customWidth="1"/>
    <col min="19" max="19" width="14" style="32" bestFit="1" customWidth="1"/>
    <col min="20" max="20" width="7.85546875" style="363" bestFit="1" customWidth="1"/>
    <col min="21" max="21" width="14" style="269" bestFit="1" customWidth="1"/>
    <col min="22" max="22" width="7.140625" style="363" bestFit="1" customWidth="1"/>
    <col min="23" max="23" width="14" style="269" bestFit="1" customWidth="1"/>
    <col min="24" max="24" width="7.140625" style="363" bestFit="1" customWidth="1"/>
    <col min="25" max="25" width="14" style="269" bestFit="1" customWidth="1"/>
    <col min="26" max="26" width="7.140625" style="363" bestFit="1" customWidth="1"/>
    <col min="27" max="27" width="14" style="213" bestFit="1" customWidth="1"/>
    <col min="28" max="28" width="7.140625" style="363" bestFit="1" customWidth="1"/>
    <col min="29" max="29" width="12" style="213" bestFit="1" customWidth="1"/>
    <col min="30" max="30" width="7.140625" style="363" bestFit="1" customWidth="1"/>
    <col min="31" max="31" width="28.140625" style="607" customWidth="1"/>
    <col min="32" max="32" width="34" style="718" customWidth="1"/>
    <col min="33" max="41" width="9.140625" style="213" customWidth="1"/>
    <col min="42" max="42" width="11.7109375" style="213" bestFit="1" customWidth="1"/>
    <col min="43" max="54" width="9.140625" style="213" customWidth="1"/>
    <col min="55" max="16384" width="9.140625" style="213"/>
  </cols>
  <sheetData>
    <row r="1" spans="1:32" s="358" customFormat="1">
      <c r="A1" s="995" t="s">
        <v>363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591"/>
      <c r="AF1" s="548"/>
    </row>
    <row r="2" spans="1:32" s="1" customFormat="1">
      <c r="A2" s="43"/>
      <c r="B2" s="43" t="s">
        <v>351</v>
      </c>
      <c r="C2" s="324" t="s">
        <v>64</v>
      </c>
      <c r="D2" s="325"/>
      <c r="E2" s="324" t="s">
        <v>65</v>
      </c>
      <c r="F2" s="325"/>
      <c r="G2" s="324" t="s">
        <v>81</v>
      </c>
      <c r="H2" s="325"/>
      <c r="I2" s="324" t="s">
        <v>82</v>
      </c>
      <c r="J2" s="325"/>
      <c r="K2" s="324" t="s">
        <v>83</v>
      </c>
      <c r="L2" s="325"/>
      <c r="M2" s="324" t="s">
        <v>84</v>
      </c>
      <c r="N2" s="729"/>
      <c r="O2" s="324" t="s">
        <v>85</v>
      </c>
      <c r="P2" s="325"/>
      <c r="Q2" s="324" t="s">
        <v>86</v>
      </c>
      <c r="R2" s="430"/>
      <c r="S2" s="807" t="s">
        <v>87</v>
      </c>
      <c r="T2" s="430"/>
      <c r="U2" s="324" t="s">
        <v>123</v>
      </c>
      <c r="V2" s="325"/>
      <c r="W2" s="324" t="s">
        <v>124</v>
      </c>
      <c r="X2" s="430"/>
      <c r="Y2" s="430" t="s">
        <v>125</v>
      </c>
      <c r="Z2" s="430"/>
      <c r="AA2" s="428" t="s">
        <v>120</v>
      </c>
      <c r="AB2" s="428"/>
      <c r="AC2" s="429" t="s">
        <v>121</v>
      </c>
      <c r="AD2" s="429"/>
      <c r="AE2" s="592"/>
      <c r="AF2" s="556"/>
    </row>
    <row r="3" spans="1:32" s="1" customFormat="1" ht="15.75" thickBot="1">
      <c r="A3" s="65"/>
      <c r="B3" s="42" t="s">
        <v>69</v>
      </c>
      <c r="C3" s="73" t="s">
        <v>115</v>
      </c>
      <c r="D3" s="67" t="s">
        <v>80</v>
      </c>
      <c r="E3" s="111" t="s">
        <v>115</v>
      </c>
      <c r="F3" s="67" t="s">
        <v>80</v>
      </c>
      <c r="G3" s="73" t="s">
        <v>115</v>
      </c>
      <c r="H3" s="67" t="s">
        <v>80</v>
      </c>
      <c r="I3" s="73" t="s">
        <v>115</v>
      </c>
      <c r="J3" s="67" t="s">
        <v>80</v>
      </c>
      <c r="K3" s="70" t="s">
        <v>115</v>
      </c>
      <c r="L3" s="67" t="s">
        <v>80</v>
      </c>
      <c r="M3" s="70" t="s">
        <v>115</v>
      </c>
      <c r="N3" s="67" t="s">
        <v>80</v>
      </c>
      <c r="O3" s="70" t="s">
        <v>115</v>
      </c>
      <c r="P3" s="99" t="s">
        <v>80</v>
      </c>
      <c r="Q3" s="70" t="s">
        <v>115</v>
      </c>
      <c r="R3" s="99" t="s">
        <v>80</v>
      </c>
      <c r="S3" s="70" t="s">
        <v>115</v>
      </c>
      <c r="T3" s="99" t="s">
        <v>80</v>
      </c>
      <c r="U3" s="73" t="s">
        <v>115</v>
      </c>
      <c r="V3" s="99" t="s">
        <v>80</v>
      </c>
      <c r="W3" s="73" t="s">
        <v>115</v>
      </c>
      <c r="X3" s="99" t="s">
        <v>80</v>
      </c>
      <c r="Y3" s="73" t="s">
        <v>115</v>
      </c>
      <c r="Z3" s="99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90" t="s">
        <v>183</v>
      </c>
      <c r="AF3" s="550" t="s">
        <v>181</v>
      </c>
    </row>
    <row r="4" spans="1:32" s="1" customFormat="1">
      <c r="B4" s="20"/>
      <c r="C4" s="74"/>
      <c r="D4" s="17"/>
      <c r="E4" s="112"/>
      <c r="F4" s="17"/>
      <c r="G4" s="74"/>
      <c r="H4" s="17"/>
      <c r="I4" s="74"/>
      <c r="J4" s="17"/>
      <c r="K4" s="26"/>
      <c r="L4" s="17"/>
      <c r="M4" s="26"/>
      <c r="N4" s="17"/>
      <c r="O4" s="26"/>
      <c r="P4" s="91"/>
      <c r="Q4" s="26"/>
      <c r="R4" s="91"/>
      <c r="S4" s="26"/>
      <c r="T4" s="91"/>
      <c r="U4" s="74"/>
      <c r="V4" s="91"/>
      <c r="W4" s="74"/>
      <c r="X4" s="91"/>
      <c r="Y4" s="74"/>
      <c r="Z4" s="91"/>
      <c r="AA4" s="142"/>
      <c r="AB4" s="143"/>
      <c r="AC4" s="126"/>
      <c r="AD4" s="127"/>
      <c r="AE4" s="593"/>
      <c r="AF4" s="557"/>
    </row>
    <row r="5" spans="1:32" s="1" customFormat="1">
      <c r="A5" s="6">
        <v>5004</v>
      </c>
      <c r="B5" s="759" t="s">
        <v>71</v>
      </c>
      <c r="C5" s="866">
        <f>916799.537624+C9</f>
        <v>1182671.4035351388</v>
      </c>
      <c r="D5" s="760"/>
      <c r="E5" s="867">
        <f>713271.382283023+E9</f>
        <v>834527.51727113698</v>
      </c>
      <c r="F5" s="760"/>
      <c r="G5" s="868">
        <f>1183158.587+G9</f>
        <v>1549937.7492488704</v>
      </c>
      <c r="H5" s="760"/>
      <c r="I5" s="869">
        <f>1044722.24900269+I9</f>
        <v>1326797.256233417</v>
      </c>
      <c r="J5" s="760"/>
      <c r="K5" s="870">
        <f>955504.923482928+K9</f>
        <v>1127495.8097098549</v>
      </c>
      <c r="L5" s="760"/>
      <c r="M5" s="871">
        <f>1354892.75232199+M9</f>
        <v>1774909.5055418061</v>
      </c>
      <c r="N5" s="760"/>
      <c r="O5" s="872">
        <f>857796.856449817+O9</f>
        <v>1115135.9133847621</v>
      </c>
      <c r="P5" s="760"/>
      <c r="Q5" s="873">
        <f>1065159.84417627+Q9</f>
        <v>1363404.6005456271</v>
      </c>
      <c r="R5" s="760"/>
      <c r="S5" s="874">
        <f>1073019.95241899+S9</f>
        <v>1319814.5414753584</v>
      </c>
      <c r="T5" s="760"/>
      <c r="U5" s="875">
        <f>851126.432291348+U9</f>
        <v>1114975.6263016658</v>
      </c>
      <c r="V5" s="760"/>
      <c r="W5" s="876">
        <f>865971.378915122+W9</f>
        <v>1013186.5133306928</v>
      </c>
      <c r="X5" s="760"/>
      <c r="Y5" s="877">
        <f>1308191.33880188+Y9</f>
        <v>1674484.9136664059</v>
      </c>
      <c r="Z5" s="760">
        <v>0</v>
      </c>
      <c r="AA5" s="182">
        <f t="shared" ref="AA5" si="0">C5+E5+G5+I5+K5+M5+O5+Q5+S5+U5+W5+Y5</f>
        <v>15397341.350244738</v>
      </c>
      <c r="AB5" s="299">
        <v>0</v>
      </c>
      <c r="AC5" s="182">
        <f>AA5/12</f>
        <v>1283111.7791870616</v>
      </c>
      <c r="AD5" s="299">
        <v>0</v>
      </c>
      <c r="AE5" s="608"/>
      <c r="AF5" s="573"/>
    </row>
    <row r="6" spans="1:32" s="1" customFormat="1">
      <c r="A6" s="5">
        <v>5005</v>
      </c>
      <c r="B6" s="17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ref="AA6:AA11" si="1">C6+E6+G6+I6+K6+M6+O6+Q6+S6+U6+W6+Y6</f>
        <v>0</v>
      </c>
      <c r="AB6" s="22">
        <f>AA6/AA$5</f>
        <v>0</v>
      </c>
      <c r="AC6" s="128">
        <f t="shared" ref="AC6:AC10" si="2">AA6/12</f>
        <v>0</v>
      </c>
      <c r="AD6" s="22">
        <f>AC6/AC$5</f>
        <v>0</v>
      </c>
      <c r="AE6" s="595"/>
      <c r="AF6" s="574"/>
    </row>
    <row r="7" spans="1:32" s="1" customFormat="1">
      <c r="A7" s="14">
        <v>5051</v>
      </c>
      <c r="B7" s="241" t="s">
        <v>74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1"/>
        <v>0</v>
      </c>
      <c r="AB7" s="22">
        <f t="shared" ref="AB7:AB11" si="3">AA7/AA$5</f>
        <v>0</v>
      </c>
      <c r="AC7" s="128">
        <f t="shared" si="2"/>
        <v>0</v>
      </c>
      <c r="AD7" s="22">
        <f t="shared" ref="AD7:AD11" si="4">AC7/AC$5</f>
        <v>0</v>
      </c>
      <c r="AE7" s="595"/>
      <c r="AF7" s="574"/>
    </row>
    <row r="8" spans="1:32" s="1" customFormat="1">
      <c r="A8" s="1">
        <v>5052</v>
      </c>
      <c r="B8" s="1" t="s">
        <v>90</v>
      </c>
      <c r="C8" s="31"/>
      <c r="D8" s="702">
        <f t="shared" ref="D8:D11" si="5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6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7">Y8/Y$5</f>
        <v>0</v>
      </c>
      <c r="AA8" s="144">
        <f t="shared" si="1"/>
        <v>0</v>
      </c>
      <c r="AB8" s="22">
        <f t="shared" si="3"/>
        <v>0</v>
      </c>
      <c r="AC8" s="128">
        <f t="shared" si="2"/>
        <v>0</v>
      </c>
      <c r="AD8" s="22">
        <f t="shared" si="4"/>
        <v>0</v>
      </c>
      <c r="AE8" s="595"/>
      <c r="AF8" s="574"/>
    </row>
    <row r="9" spans="1:32" s="1" customFormat="1">
      <c r="A9" s="1">
        <v>5101</v>
      </c>
      <c r="B9" s="20" t="s">
        <v>46</v>
      </c>
      <c r="C9" s="1">
        <v>265871.86591113883</v>
      </c>
      <c r="D9" s="702">
        <v>0.26611304906764877</v>
      </c>
      <c r="E9" s="1">
        <v>121256.13498811398</v>
      </c>
      <c r="F9" s="702">
        <v>0.15599730462586309</v>
      </c>
      <c r="G9" s="1">
        <v>366779.16224887042</v>
      </c>
      <c r="H9" s="702">
        <v>0.2844656731412798</v>
      </c>
      <c r="I9" s="371">
        <v>282075.00723072706</v>
      </c>
      <c r="J9" s="702">
        <v>0.24776042499401785</v>
      </c>
      <c r="K9" s="371">
        <v>171990.88622692702</v>
      </c>
      <c r="L9" s="702">
        <v>0.16517361666267857</v>
      </c>
      <c r="M9" s="33">
        <v>420016.75321981619</v>
      </c>
      <c r="N9" s="702">
        <v>0.2844656731412798</v>
      </c>
      <c r="O9" s="371">
        <v>257339.05693494505</v>
      </c>
      <c r="P9" s="702">
        <v>0.27528936110446428</v>
      </c>
      <c r="Q9" s="371">
        <v>298244.75636935688</v>
      </c>
      <c r="R9" s="702">
        <v>0.25693673703083331</v>
      </c>
      <c r="S9" s="371">
        <v>246794.58905636851</v>
      </c>
      <c r="T9" s="22">
        <v>0.21105517684675601</v>
      </c>
      <c r="U9" s="1">
        <v>263849.19401031779</v>
      </c>
      <c r="V9" s="22">
        <v>0.2844656731412798</v>
      </c>
      <c r="W9" s="1">
        <v>147215.13441557073</v>
      </c>
      <c r="X9" s="22">
        <v>0.15599730462586311</v>
      </c>
      <c r="Y9" s="1">
        <v>366293.5748645261</v>
      </c>
      <c r="Z9" s="22">
        <f t="shared" si="7"/>
        <v>0.21874999999999989</v>
      </c>
      <c r="AA9" s="144">
        <f t="shared" si="1"/>
        <v>3207726.1154766786</v>
      </c>
      <c r="AB9" s="677">
        <f t="shared" si="3"/>
        <v>0.20832986958658889</v>
      </c>
      <c r="AC9" s="128">
        <f t="shared" si="2"/>
        <v>267310.50962305657</v>
      </c>
      <c r="AD9" s="22">
        <f t="shared" si="4"/>
        <v>0.20832986958658889</v>
      </c>
      <c r="AE9" s="595"/>
      <c r="AF9" s="574"/>
    </row>
    <row r="10" spans="1:32" s="1" customFormat="1">
      <c r="A10" s="1">
        <v>5102</v>
      </c>
      <c r="B10" s="1" t="s">
        <v>220</v>
      </c>
      <c r="C10" s="31"/>
      <c r="D10" s="702">
        <f t="shared" si="5"/>
        <v>0</v>
      </c>
      <c r="E10" s="26"/>
      <c r="F10" s="702">
        <f t="shared" ref="F10:F11" si="8">E10/E$5</f>
        <v>0</v>
      </c>
      <c r="G10" s="26"/>
      <c r="H10" s="702">
        <f t="shared" ref="H10:H11" si="9">G10/G$5</f>
        <v>0</v>
      </c>
      <c r="I10" s="691"/>
      <c r="J10" s="702">
        <f t="shared" ref="J10:J11" si="10">I10/I$5</f>
        <v>0</v>
      </c>
      <c r="K10" s="26"/>
      <c r="L10" s="702">
        <f t="shared" si="6"/>
        <v>0</v>
      </c>
      <c r="M10" s="26"/>
      <c r="N10" s="702">
        <f t="shared" ref="N10:N11" si="11">M10/M$5</f>
        <v>0</v>
      </c>
      <c r="O10" s="26"/>
      <c r="P10" s="702">
        <f t="shared" ref="P10:P11" si="12">O10/O$5</f>
        <v>0</v>
      </c>
      <c r="Q10" s="26"/>
      <c r="R10" s="702">
        <f t="shared" ref="R10:R11" si="13">Q10/Q$5</f>
        <v>0</v>
      </c>
      <c r="S10" s="26"/>
      <c r="T10" s="702">
        <f t="shared" ref="T10:T11" si="14">S10/S$5</f>
        <v>0</v>
      </c>
      <c r="U10" s="26"/>
      <c r="V10" s="702">
        <f t="shared" ref="V10:V11" si="15">U10/U$5</f>
        <v>0</v>
      </c>
      <c r="W10" s="26"/>
      <c r="X10" s="702">
        <f t="shared" ref="X10:X11" si="16">W10/W$5</f>
        <v>0</v>
      </c>
      <c r="Y10" s="26"/>
      <c r="Z10" s="702">
        <f t="shared" si="7"/>
        <v>0</v>
      </c>
      <c r="AA10" s="144">
        <f t="shared" si="1"/>
        <v>0</v>
      </c>
      <c r="AB10" s="22">
        <f t="shared" si="3"/>
        <v>0</v>
      </c>
      <c r="AC10" s="128">
        <f t="shared" si="2"/>
        <v>0</v>
      </c>
      <c r="AD10" s="22">
        <f t="shared" si="4"/>
        <v>0</v>
      </c>
      <c r="AE10" s="595"/>
      <c r="AF10" s="574"/>
    </row>
    <row r="11" spans="1:32" s="1" customFormat="1">
      <c r="A11" s="1">
        <v>5103</v>
      </c>
      <c r="B11" s="1" t="s">
        <v>63</v>
      </c>
      <c r="C11" s="26"/>
      <c r="D11" s="702">
        <f t="shared" si="5"/>
        <v>0</v>
      </c>
      <c r="E11" s="27">
        <v>0</v>
      </c>
      <c r="F11" s="702">
        <f t="shared" si="8"/>
        <v>0</v>
      </c>
      <c r="G11" s="26"/>
      <c r="H11" s="702">
        <f t="shared" si="9"/>
        <v>0</v>
      </c>
      <c r="I11" s="26"/>
      <c r="J11" s="702">
        <f t="shared" si="10"/>
        <v>0</v>
      </c>
      <c r="K11" s="26"/>
      <c r="L11" s="702">
        <f t="shared" si="6"/>
        <v>0</v>
      </c>
      <c r="M11" s="26"/>
      <c r="N11" s="702">
        <f t="shared" si="11"/>
        <v>0</v>
      </c>
      <c r="O11" s="26"/>
      <c r="P11" s="702">
        <f t="shared" si="12"/>
        <v>0</v>
      </c>
      <c r="Q11" s="26"/>
      <c r="R11" s="702">
        <f t="shared" si="13"/>
        <v>0</v>
      </c>
      <c r="S11" s="26"/>
      <c r="T11" s="702">
        <f t="shared" si="14"/>
        <v>0</v>
      </c>
      <c r="U11" s="26"/>
      <c r="V11" s="702">
        <f t="shared" si="15"/>
        <v>0</v>
      </c>
      <c r="W11" s="26"/>
      <c r="X11" s="702">
        <f t="shared" si="16"/>
        <v>0</v>
      </c>
      <c r="Y11" s="26"/>
      <c r="Z11" s="702">
        <f t="shared" si="7"/>
        <v>0</v>
      </c>
      <c r="AA11" s="144">
        <f t="shared" si="1"/>
        <v>0</v>
      </c>
      <c r="AB11" s="22">
        <f t="shared" si="3"/>
        <v>0</v>
      </c>
      <c r="AC11" s="128">
        <f t="shared" ref="AC11" si="17">AA11/12</f>
        <v>0</v>
      </c>
      <c r="AD11" s="22">
        <f t="shared" si="4"/>
        <v>0</v>
      </c>
      <c r="AE11" s="595"/>
      <c r="AF11" s="574"/>
    </row>
    <row r="12" spans="1:32" s="1" customFormat="1" ht="15.75" thickBot="1">
      <c r="A12" s="7">
        <v>5149</v>
      </c>
      <c r="B12" s="242" t="s">
        <v>66</v>
      </c>
      <c r="C12" s="116">
        <f>C5+C6-C7-C8-C9-C10+C11</f>
        <v>916799.53762399999</v>
      </c>
      <c r="D12" s="23">
        <v>1</v>
      </c>
      <c r="E12" s="116">
        <f>E5+E6-E7-E8-E9-E10+E11</f>
        <v>713271.38228302298</v>
      </c>
      <c r="F12" s="23">
        <v>1</v>
      </c>
      <c r="G12" s="76">
        <f>G5+G6-G7-G8-G9-G10+G11</f>
        <v>1183158.5870000001</v>
      </c>
      <c r="H12" s="23">
        <v>1</v>
      </c>
      <c r="I12" s="116">
        <f>I5+I6-I7-I8-I9-I10+I11</f>
        <v>1044722.24900269</v>
      </c>
      <c r="J12" s="23">
        <v>1</v>
      </c>
      <c r="K12" s="116">
        <f>K5+K6-K7-K8-K9-K10+K11</f>
        <v>955504.92348292784</v>
      </c>
      <c r="L12" s="23">
        <v>1</v>
      </c>
      <c r="M12" s="387">
        <f>M5+M6-M7-M8-M9-M10+M11</f>
        <v>1354892.75232199</v>
      </c>
      <c r="N12" s="23">
        <v>1</v>
      </c>
      <c r="O12" s="116">
        <f>O5+O6-O7-O8-O9-O10+O11</f>
        <v>857796.85644981707</v>
      </c>
      <c r="P12" s="23">
        <v>1</v>
      </c>
      <c r="Q12" s="116">
        <f>Q5+Q6-Q7-Q8-Q9-Q10+Q11</f>
        <v>1065159.8441762701</v>
      </c>
      <c r="R12" s="23">
        <v>1</v>
      </c>
      <c r="S12" s="116">
        <f>S5+S6-S7-S8-S9-S10+S11</f>
        <v>1073019.95241899</v>
      </c>
      <c r="T12" s="23">
        <v>1</v>
      </c>
      <c r="U12" s="116">
        <f>U5+U6-U7-U8-U9-U10+U11</f>
        <v>851126.432291348</v>
      </c>
      <c r="V12" s="23">
        <v>1</v>
      </c>
      <c r="W12" s="116">
        <f>W5+W6-W7-W8-W9-W10+W11</f>
        <v>865971.37891512201</v>
      </c>
      <c r="X12" s="23">
        <v>1</v>
      </c>
      <c r="Y12" s="116">
        <f>Y5+Y6-Y7-Y8-Y9-Y10+Y11</f>
        <v>1308191.3388018799</v>
      </c>
      <c r="Z12" s="23">
        <v>1</v>
      </c>
      <c r="AA12" s="52">
        <f>AA5+AA6-AA7-AA8-AA9-AA10+AA11</f>
        <v>12189615.234768059</v>
      </c>
      <c r="AB12" s="23">
        <v>1</v>
      </c>
      <c r="AC12" s="52">
        <f>AC5+AC6-AC7-AC8-AC9-AC10+AC11</f>
        <v>1015801.2695640051</v>
      </c>
      <c r="AD12" s="23">
        <v>1</v>
      </c>
      <c r="AE12" s="596"/>
      <c r="AF12" s="575"/>
    </row>
    <row r="13" spans="1:32" s="1" customFormat="1" ht="15.75" thickTop="1">
      <c r="A13" s="1">
        <v>5151</v>
      </c>
      <c r="B13" s="20" t="s">
        <v>47</v>
      </c>
      <c r="C13" s="61"/>
      <c r="D13" s="18"/>
      <c r="E13" s="114"/>
      <c r="F13" s="18"/>
      <c r="G13" s="61"/>
      <c r="H13" s="18"/>
      <c r="I13" s="61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61"/>
      <c r="V13" s="18"/>
      <c r="W13" s="61"/>
      <c r="X13" s="18"/>
      <c r="Y13" s="61"/>
      <c r="Z13" s="18"/>
      <c r="AA13" s="144">
        <f>C13+E13+G13+I13+K13+M13+O13+Q13+S13+U13+W13+Y13</f>
        <v>0</v>
      </c>
      <c r="AB13" s="18"/>
      <c r="AC13" s="128">
        <f t="shared" ref="AC13:AC14" si="18">AA13/12</f>
        <v>0</v>
      </c>
      <c r="AD13" s="18"/>
      <c r="AE13" s="609"/>
      <c r="AF13" s="576"/>
    </row>
    <row r="14" spans="1:32" s="1" customFormat="1">
      <c r="A14" s="1">
        <v>5152</v>
      </c>
      <c r="B14" s="20" t="s">
        <v>48</v>
      </c>
      <c r="C14" s="61"/>
      <c r="D14" s="18"/>
      <c r="E14" s="114"/>
      <c r="F14" s="18"/>
      <c r="G14" s="61"/>
      <c r="H14" s="18"/>
      <c r="I14" s="61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61"/>
      <c r="V14" s="18"/>
      <c r="W14" s="61"/>
      <c r="X14" s="18"/>
      <c r="Y14" s="61"/>
      <c r="Z14" s="18"/>
      <c r="AA14" s="144">
        <f>C14+E14+G14+I14+K14+M14+O14+Q14+S14+U14+W14+Y14</f>
        <v>0</v>
      </c>
      <c r="AB14" s="18"/>
      <c r="AC14" s="128">
        <f t="shared" si="18"/>
        <v>0</v>
      </c>
      <c r="AD14" s="18"/>
      <c r="AE14" s="609"/>
      <c r="AF14" s="576"/>
    </row>
    <row r="15" spans="1:32" s="1" customFormat="1">
      <c r="A15" s="198">
        <v>5198</v>
      </c>
      <c r="B15" s="247" t="s">
        <v>106</v>
      </c>
      <c r="C15" s="79">
        <f>C13+C14</f>
        <v>0</v>
      </c>
      <c r="D15" s="199"/>
      <c r="E15" s="119">
        <f>E13+E14</f>
        <v>0</v>
      </c>
      <c r="F15" s="199"/>
      <c r="G15" s="79">
        <f>G13+G14</f>
        <v>0</v>
      </c>
      <c r="H15" s="199"/>
      <c r="I15" s="79">
        <f>I13+I14</f>
        <v>0</v>
      </c>
      <c r="J15" s="199"/>
      <c r="K15" s="29">
        <f>K13+K14</f>
        <v>0</v>
      </c>
      <c r="L15" s="199"/>
      <c r="M15" s="29">
        <f>M13+M14</f>
        <v>0</v>
      </c>
      <c r="N15" s="199"/>
      <c r="O15" s="29">
        <f>O13+O14</f>
        <v>0</v>
      </c>
      <c r="P15" s="199"/>
      <c r="Q15" s="29">
        <f>Q13+Q14</f>
        <v>0</v>
      </c>
      <c r="R15" s="199"/>
      <c r="S15" s="29">
        <f>S13+S14</f>
        <v>0</v>
      </c>
      <c r="T15" s="199"/>
      <c r="U15" s="79">
        <f>U13+U14</f>
        <v>0</v>
      </c>
      <c r="V15" s="199"/>
      <c r="W15" s="79">
        <f>W13+W14</f>
        <v>0</v>
      </c>
      <c r="X15" s="199"/>
      <c r="Y15" s="79">
        <f>Y13+Y14</f>
        <v>0</v>
      </c>
      <c r="Z15" s="199"/>
      <c r="AA15" s="58">
        <f>AA13+AA14</f>
        <v>0</v>
      </c>
      <c r="AB15" s="199"/>
      <c r="AC15" s="58">
        <f>AC13+AC14</f>
        <v>0</v>
      </c>
      <c r="AD15" s="199"/>
      <c r="AE15" s="610"/>
      <c r="AF15" s="577"/>
    </row>
    <row r="16" spans="1:32" s="1" customFormat="1" ht="15.75" thickBot="1">
      <c r="A16" s="37">
        <v>5199</v>
      </c>
      <c r="B16" s="248" t="s">
        <v>70</v>
      </c>
      <c r="C16" s="80">
        <f>C12+C15</f>
        <v>916799.53762399999</v>
      </c>
      <c r="D16" s="25">
        <f>C16/C12</f>
        <v>1</v>
      </c>
      <c r="E16" s="120">
        <f>E12+E15</f>
        <v>713271.38228302298</v>
      </c>
      <c r="F16" s="25">
        <f>E16/E12</f>
        <v>1</v>
      </c>
      <c r="G16" s="80">
        <f>G12+G15</f>
        <v>1183158.5870000001</v>
      </c>
      <c r="H16" s="25">
        <f>G16/G12</f>
        <v>1</v>
      </c>
      <c r="I16" s="80">
        <f>I12+I15</f>
        <v>1044722.24900269</v>
      </c>
      <c r="J16" s="25">
        <f>I16/I12</f>
        <v>1</v>
      </c>
      <c r="K16" s="30">
        <f>K12+K15</f>
        <v>955504.92348292784</v>
      </c>
      <c r="L16" s="25">
        <f>K16/K12</f>
        <v>1</v>
      </c>
      <c r="M16" s="30">
        <f>M12+M15</f>
        <v>1354892.75232199</v>
      </c>
      <c r="N16" s="25">
        <f>M16/M12</f>
        <v>1</v>
      </c>
      <c r="O16" s="30">
        <f>O12+O15</f>
        <v>857796.85644981707</v>
      </c>
      <c r="P16" s="25">
        <f>O16/O12</f>
        <v>1</v>
      </c>
      <c r="Q16" s="30">
        <f>Q12+Q15</f>
        <v>1065159.8441762701</v>
      </c>
      <c r="R16" s="25">
        <f>Q16/Q12</f>
        <v>1</v>
      </c>
      <c r="S16" s="30">
        <f>S12+S15</f>
        <v>1073019.95241899</v>
      </c>
      <c r="T16" s="25">
        <f>S16/S12</f>
        <v>1</v>
      </c>
      <c r="U16" s="80">
        <f>U12+U15</f>
        <v>851126.432291348</v>
      </c>
      <c r="V16" s="25">
        <f>U16/U12</f>
        <v>1</v>
      </c>
      <c r="W16" s="80">
        <f>W12+W15</f>
        <v>865971.37891512201</v>
      </c>
      <c r="X16" s="25">
        <f>W16/W12</f>
        <v>1</v>
      </c>
      <c r="Y16" s="80">
        <f>Y12+Y15</f>
        <v>1308191.3388018799</v>
      </c>
      <c r="Z16" s="25">
        <f>Y16/Y12</f>
        <v>1</v>
      </c>
      <c r="AA16" s="195">
        <f>AA12+AA15</f>
        <v>12189615.234768059</v>
      </c>
      <c r="AB16" s="25">
        <f>AA16/AA12</f>
        <v>1</v>
      </c>
      <c r="AC16" s="59">
        <f>AC12+AC15</f>
        <v>1015801.2695640051</v>
      </c>
      <c r="AD16" s="25">
        <f>AC16/AC12</f>
        <v>1</v>
      </c>
      <c r="AE16" s="600"/>
      <c r="AF16" s="578"/>
    </row>
    <row r="17" spans="1:33" s="1" customFormat="1" ht="15.75" thickTop="1">
      <c r="A17" s="13">
        <v>5502</v>
      </c>
      <c r="B17" s="17" t="s">
        <v>49</v>
      </c>
      <c r="C17" s="704">
        <f>C12*52.46%</f>
        <v>480953.03743755037</v>
      </c>
      <c r="D17" s="677">
        <f>C17/C12</f>
        <v>0.52459999999999996</v>
      </c>
      <c r="E17" s="704">
        <f>E12*45%</f>
        <v>320972.12202736037</v>
      </c>
      <c r="F17" s="702">
        <f>E17/E12</f>
        <v>0.45000000000000007</v>
      </c>
      <c r="G17" s="704">
        <f>G12*51.14%</f>
        <v>605067.30139179993</v>
      </c>
      <c r="H17" s="702">
        <f>G17/G12</f>
        <v>0.51139999999999997</v>
      </c>
      <c r="I17" s="704">
        <f>I12*45.25%</f>
        <v>472736.81767371722</v>
      </c>
      <c r="J17" s="702">
        <f>I17/I12</f>
        <v>0.45250000000000001</v>
      </c>
      <c r="K17" s="704">
        <f>K12*40.35%</f>
        <v>385546.23662536143</v>
      </c>
      <c r="L17" s="702">
        <f>K17/K12</f>
        <v>0.40350000000000003</v>
      </c>
      <c r="M17" s="704">
        <f>M12*52.7%</f>
        <v>714028.4804736888</v>
      </c>
      <c r="N17" s="702">
        <f>M17/M12</f>
        <v>0.52700000000000002</v>
      </c>
      <c r="O17" s="704">
        <f>O12*49%</f>
        <v>420320.45966041036</v>
      </c>
      <c r="P17" s="702">
        <f>O17/O12</f>
        <v>0.49</v>
      </c>
      <c r="Q17" s="704">
        <f>Q12*41.05%</f>
        <v>437248.11603435886</v>
      </c>
      <c r="R17" s="702">
        <f>Q17/Q12</f>
        <v>0.41049999999999998</v>
      </c>
      <c r="S17" s="704">
        <f>S12*49%</f>
        <v>525779.77668530506</v>
      </c>
      <c r="T17" s="702">
        <f>S17/S12</f>
        <v>0.49</v>
      </c>
      <c r="U17" s="704">
        <f>U12*45%</f>
        <v>383006.89453110663</v>
      </c>
      <c r="V17" s="702">
        <f>U17/U12</f>
        <v>0.45000000000000007</v>
      </c>
      <c r="W17" s="704">
        <f>W12*45.07%</f>
        <v>390293.30047704547</v>
      </c>
      <c r="X17" s="702">
        <f>W17/W12</f>
        <v>0.45069999999999999</v>
      </c>
      <c r="Y17" s="704">
        <f>Y12*50.23%</f>
        <v>657104.50948018418</v>
      </c>
      <c r="Z17" s="702">
        <f>Y17/Y12</f>
        <v>0.50229999999999997</v>
      </c>
      <c r="AA17" s="144">
        <f>C17+E17+G17+I17+K17+M17+O17+Q17+S17+U17+W17+Y17</f>
        <v>5793057.052497888</v>
      </c>
      <c r="AB17" s="68">
        <f>AA17/AA12</f>
        <v>0.47524527566502117</v>
      </c>
      <c r="AC17" s="128">
        <f t="shared" ref="AC17:AC20" si="19">AA17/12</f>
        <v>482754.754374824</v>
      </c>
      <c r="AD17" s="68">
        <f>AC17/AC12</f>
        <v>0.47524527566502112</v>
      </c>
      <c r="AE17" s="595" t="s">
        <v>246</v>
      </c>
      <c r="AF17" s="393"/>
    </row>
    <row r="18" spans="1:33" s="1" customFormat="1">
      <c r="A18" s="3">
        <v>5503</v>
      </c>
      <c r="B18" s="238" t="s">
        <v>50</v>
      </c>
      <c r="C18" s="292"/>
      <c r="D18" s="102"/>
      <c r="E18" s="61"/>
      <c r="F18" s="102"/>
      <c r="G18" s="114"/>
      <c r="H18" s="102"/>
      <c r="I18" s="26"/>
      <c r="J18" s="102"/>
      <c r="K18" s="61"/>
      <c r="L18" s="102"/>
      <c r="M18" s="26"/>
      <c r="N18" s="102"/>
      <c r="O18" s="26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19"/>
        <v>0</v>
      </c>
      <c r="AD18" s="102"/>
      <c r="AE18" s="595"/>
      <c r="AF18" s="393"/>
    </row>
    <row r="19" spans="1:33" s="1" customFormat="1">
      <c r="A19" s="187">
        <v>5504</v>
      </c>
      <c r="B19" s="758" t="s">
        <v>51</v>
      </c>
      <c r="C19" s="26"/>
      <c r="D19" s="677">
        <f>C19/C12</f>
        <v>0</v>
      </c>
      <c r="E19" s="26"/>
      <c r="F19" s="677">
        <f>E19/E12</f>
        <v>0</v>
      </c>
      <c r="H19" s="677">
        <f>G19/G12</f>
        <v>0</v>
      </c>
      <c r="I19" s="26"/>
      <c r="J19" s="677">
        <f>I19/I12</f>
        <v>0</v>
      </c>
      <c r="K19" s="26"/>
      <c r="L19" s="677">
        <f>K19/K12</f>
        <v>0</v>
      </c>
      <c r="M19" s="26"/>
      <c r="N19" s="702">
        <f>M19/M12</f>
        <v>0</v>
      </c>
      <c r="P19" s="702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9"/>
        <v>0</v>
      </c>
      <c r="AD19" s="68">
        <f>AC19/AC12</f>
        <v>0</v>
      </c>
      <c r="AE19" s="595"/>
      <c r="AF19" s="393"/>
    </row>
    <row r="20" spans="1:33" s="1" customFormat="1">
      <c r="A20" s="3">
        <v>5505</v>
      </c>
      <c r="B20" s="238" t="s">
        <v>52</v>
      </c>
      <c r="C20" s="292"/>
      <c r="D20" s="102"/>
      <c r="E20" s="61"/>
      <c r="F20" s="102"/>
      <c r="G20" s="114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9"/>
        <v>0</v>
      </c>
      <c r="AD20" s="102"/>
      <c r="AE20" s="595"/>
      <c r="AF20" s="393"/>
    </row>
    <row r="21" spans="1:33" s="1" customFormat="1" ht="15.75" thickBot="1">
      <c r="A21" s="8">
        <v>5599</v>
      </c>
      <c r="B21" s="245" t="s">
        <v>107</v>
      </c>
      <c r="C21" s="76">
        <f>SUM(C17:C20)</f>
        <v>480953.03743755037</v>
      </c>
      <c r="D21" s="23">
        <f>C21/C12</f>
        <v>0.52459999999999996</v>
      </c>
      <c r="E21" s="116">
        <f>SUM(E17:E20)</f>
        <v>320972.12202736037</v>
      </c>
      <c r="F21" s="23">
        <f>E21/E12</f>
        <v>0.45000000000000007</v>
      </c>
      <c r="G21" s="76">
        <f>SUM(G17:G20)</f>
        <v>605067.30139179993</v>
      </c>
      <c r="H21" s="23">
        <f>G21/G12</f>
        <v>0.51139999999999997</v>
      </c>
      <c r="I21" s="76">
        <f>SUM(I17:I20)</f>
        <v>472736.81767371722</v>
      </c>
      <c r="J21" s="23">
        <f>I21/I12</f>
        <v>0.45250000000000001</v>
      </c>
      <c r="K21" s="28">
        <f>SUM(K17:K20)</f>
        <v>385546.23662536143</v>
      </c>
      <c r="L21" s="23">
        <f>K21/K12</f>
        <v>0.40350000000000003</v>
      </c>
      <c r="M21" s="376">
        <f>SUM(M17:M20)</f>
        <v>714028.4804736888</v>
      </c>
      <c r="N21" s="23">
        <f>M21/M12</f>
        <v>0.52700000000000002</v>
      </c>
      <c r="O21" s="28">
        <f>SUM(O17:O20)</f>
        <v>420320.45966041036</v>
      </c>
      <c r="P21" s="23">
        <f>O21/O12</f>
        <v>0.49</v>
      </c>
      <c r="Q21" s="301">
        <f>SUM(Q17:Q20)</f>
        <v>437248.11603435886</v>
      </c>
      <c r="R21" s="23">
        <f>Q21/Q12</f>
        <v>0.41049999999999998</v>
      </c>
      <c r="S21" s="28">
        <f>SUM(S17:S20)</f>
        <v>525779.77668530506</v>
      </c>
      <c r="T21" s="23">
        <f>S21/S12</f>
        <v>0.49</v>
      </c>
      <c r="U21" s="76">
        <f>SUM(U17:U20)</f>
        <v>383006.89453110663</v>
      </c>
      <c r="V21" s="23">
        <f>U21/U12</f>
        <v>0.45000000000000007</v>
      </c>
      <c r="W21" s="76">
        <f>SUM(W17:W20)</f>
        <v>390293.30047704547</v>
      </c>
      <c r="X21" s="23">
        <f>W21/W12</f>
        <v>0.45069999999999999</v>
      </c>
      <c r="Y21" s="76">
        <f>SUM(Y17:Y20)</f>
        <v>657104.50948018418</v>
      </c>
      <c r="Z21" s="23">
        <f>Y21/Y12</f>
        <v>0.50229999999999997</v>
      </c>
      <c r="AA21" s="196">
        <f>SUM(AA17:AA20)</f>
        <v>5793057.052497888</v>
      </c>
      <c r="AB21" s="23">
        <f>AA21/AA12</f>
        <v>0.47524527566502117</v>
      </c>
      <c r="AC21" s="52">
        <f>SUM(AC17:AC20)</f>
        <v>482754.754374824</v>
      </c>
      <c r="AD21" s="23">
        <f>AC21/AC12</f>
        <v>0.47524527566502112</v>
      </c>
      <c r="AE21" s="596"/>
      <c r="AF21" s="575"/>
    </row>
    <row r="22" spans="1:33" s="1" customFormat="1" ht="15.75" thickTop="1">
      <c r="A22" s="187">
        <v>5601</v>
      </c>
      <c r="B22" s="3" t="s">
        <v>53</v>
      </c>
      <c r="C22" s="26"/>
      <c r="D22" s="68">
        <f>C22/C12</f>
        <v>0</v>
      </c>
      <c r="E22" s="26"/>
      <c r="F22" s="68">
        <f>E22/E12</f>
        <v>0</v>
      </c>
      <c r="G22" s="26"/>
      <c r="H22" s="68">
        <f>G22/G12</f>
        <v>0</v>
      </c>
      <c r="I22" s="26"/>
      <c r="J22" s="68">
        <f>I22/I12</f>
        <v>0</v>
      </c>
      <c r="K22" s="26"/>
      <c r="L22" s="68">
        <f>K22/K12</f>
        <v>0</v>
      </c>
      <c r="M22" s="26"/>
      <c r="N22" s="702">
        <f>M22/M12</f>
        <v>0</v>
      </c>
      <c r="O22" s="26"/>
      <c r="P22" s="702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20">C22+E22+G22+I22+K22+M22+O22+Q22+S22+U22+W22+Y22</f>
        <v>0</v>
      </c>
      <c r="AB22" s="68">
        <f>AA22/AA12</f>
        <v>0</v>
      </c>
      <c r="AC22" s="128">
        <f t="shared" ref="AC22:AC34" si="21">AA22/12</f>
        <v>0</v>
      </c>
      <c r="AD22" s="68">
        <f>AC22/AC12</f>
        <v>0</v>
      </c>
      <c r="AE22" s="595"/>
      <c r="AF22" s="393"/>
    </row>
    <row r="23" spans="1:33" s="1" customFormat="1">
      <c r="A23" s="3">
        <v>5602</v>
      </c>
      <c r="B23" s="3" t="s">
        <v>54</v>
      </c>
      <c r="C23" s="26"/>
      <c r="D23" s="68">
        <f>C23/C12</f>
        <v>0</v>
      </c>
      <c r="E23" s="26"/>
      <c r="F23" s="68">
        <f>E23/E12</f>
        <v>0</v>
      </c>
      <c r="G23" s="26"/>
      <c r="H23" s="68">
        <f>G23/G12</f>
        <v>0</v>
      </c>
      <c r="I23" s="26"/>
      <c r="J23" s="68">
        <f>I23/I12</f>
        <v>0</v>
      </c>
      <c r="K23" s="26"/>
      <c r="L23" s="68">
        <f>K23/K12</f>
        <v>0</v>
      </c>
      <c r="M23" s="26"/>
      <c r="N23" s="702">
        <f>M23/M12</f>
        <v>0</v>
      </c>
      <c r="O23" s="26"/>
      <c r="P23" s="702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20"/>
        <v>0</v>
      </c>
      <c r="AB23" s="68">
        <f>AA23/AA12</f>
        <v>0</v>
      </c>
      <c r="AC23" s="128">
        <f t="shared" si="21"/>
        <v>0</v>
      </c>
      <c r="AD23" s="68">
        <f>AC23/AC12</f>
        <v>0</v>
      </c>
      <c r="AE23" s="595"/>
      <c r="AF23" s="393"/>
    </row>
    <row r="24" spans="1:33" s="1" customFormat="1">
      <c r="A24" s="3">
        <v>5603</v>
      </c>
      <c r="B24" s="3" t="s">
        <v>55</v>
      </c>
      <c r="C24" s="26"/>
      <c r="D24" s="68">
        <f>C24/C12</f>
        <v>0</v>
      </c>
      <c r="E24" s="26"/>
      <c r="F24" s="68">
        <f>E24/E12</f>
        <v>0</v>
      </c>
      <c r="G24" s="26"/>
      <c r="H24" s="68">
        <f>G24/G12</f>
        <v>0</v>
      </c>
      <c r="I24" s="26"/>
      <c r="J24" s="68">
        <f>I24/I12</f>
        <v>0</v>
      </c>
      <c r="K24" s="26"/>
      <c r="L24" s="68">
        <f>K24/K12</f>
        <v>0</v>
      </c>
      <c r="M24" s="26"/>
      <c r="N24" s="702">
        <f>M24/M12</f>
        <v>0</v>
      </c>
      <c r="O24" s="26"/>
      <c r="P24" s="702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20"/>
        <v>0</v>
      </c>
      <c r="AB24" s="68">
        <f>AA24/AA12</f>
        <v>0</v>
      </c>
      <c r="AC24" s="128">
        <f t="shared" si="21"/>
        <v>0</v>
      </c>
      <c r="AD24" s="68">
        <f>AC24/AC12</f>
        <v>0</v>
      </c>
      <c r="AE24" s="595"/>
      <c r="AF24" s="393"/>
    </row>
    <row r="25" spans="1:33" s="1" customFormat="1">
      <c r="A25" s="187">
        <v>5604</v>
      </c>
      <c r="B25" s="187" t="s">
        <v>56</v>
      </c>
      <c r="C25" s="26">
        <v>150</v>
      </c>
      <c r="D25" s="702">
        <f>C25/C12</f>
        <v>1.6361264796090937E-4</v>
      </c>
      <c r="E25" s="26">
        <v>150</v>
      </c>
      <c r="F25" s="702">
        <f>E25/E12</f>
        <v>2.1029863769366909E-4</v>
      </c>
      <c r="G25" s="26">
        <v>150</v>
      </c>
      <c r="H25" s="702">
        <f>G25/G12</f>
        <v>1.2677928525231587E-4</v>
      </c>
      <c r="I25" s="26">
        <v>150</v>
      </c>
      <c r="J25" s="702">
        <f>I25/I12</f>
        <v>1.4357883173560495E-4</v>
      </c>
      <c r="K25" s="26">
        <v>150</v>
      </c>
      <c r="L25" s="702">
        <f>K25/K12</f>
        <v>1.5698506236182683E-4</v>
      </c>
      <c r="M25" s="26">
        <v>150</v>
      </c>
      <c r="N25" s="702">
        <f>M25/M12</f>
        <v>1.1070986965051868E-4</v>
      </c>
      <c r="O25" s="26">
        <v>150</v>
      </c>
      <c r="P25" s="702">
        <f>O25/O12</f>
        <v>1.7486657694318016E-4</v>
      </c>
      <c r="Q25" s="26">
        <v>150</v>
      </c>
      <c r="R25" s="702">
        <f>Q25/Q12</f>
        <v>1.408239343795399E-4</v>
      </c>
      <c r="S25" s="26">
        <v>150</v>
      </c>
      <c r="T25" s="702">
        <f>S25/S12</f>
        <v>1.3979236794417818E-4</v>
      </c>
      <c r="U25" s="26">
        <v>150</v>
      </c>
      <c r="V25" s="702">
        <f>U25/U12</f>
        <v>1.7623703636624187E-4</v>
      </c>
      <c r="W25" s="26">
        <v>150</v>
      </c>
      <c r="X25" s="702">
        <f>W25/W12</f>
        <v>1.732158864048349E-4</v>
      </c>
      <c r="Y25" s="26">
        <v>150</v>
      </c>
      <c r="Z25" s="702">
        <f>Y25/Y12</f>
        <v>1.1466212590688683E-4</v>
      </c>
      <c r="AA25" s="144">
        <f t="shared" si="20"/>
        <v>1800</v>
      </c>
      <c r="AB25" s="68">
        <f>AA25/AA12</f>
        <v>1.4766667899950741E-4</v>
      </c>
      <c r="AC25" s="128">
        <f t="shared" si="21"/>
        <v>150</v>
      </c>
      <c r="AD25" s="68">
        <f>AC25/AC12</f>
        <v>1.4766667899950738E-4</v>
      </c>
      <c r="AE25" s="595" t="s">
        <v>252</v>
      </c>
      <c r="AF25" s="393" t="s">
        <v>251</v>
      </c>
    </row>
    <row r="26" spans="1:33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20"/>
        <v>0</v>
      </c>
      <c r="AB26" s="68">
        <f>AA26/AA12</f>
        <v>0</v>
      </c>
      <c r="AC26" s="128">
        <f t="shared" si="21"/>
        <v>0</v>
      </c>
      <c r="AD26" s="68">
        <f>AC26/AC12</f>
        <v>0</v>
      </c>
      <c r="AE26" s="595"/>
      <c r="AF26" s="393"/>
    </row>
    <row r="27" spans="1:33" s="1" customFormat="1">
      <c r="A27" s="187">
        <v>5606</v>
      </c>
      <c r="B27" s="187" t="s">
        <v>77</v>
      </c>
      <c r="C27" s="26">
        <f>C16*0.3%</f>
        <v>2750.3986128719998</v>
      </c>
      <c r="D27" s="702">
        <f>C27/C12</f>
        <v>3.0000000000000001E-3</v>
      </c>
      <c r="E27" s="26">
        <f>E16*0.3%</f>
        <v>2139.8141468490689</v>
      </c>
      <c r="F27" s="702">
        <f>E27/E12</f>
        <v>3.0000000000000001E-3</v>
      </c>
      <c r="G27" s="26">
        <f>G16*0.3%</f>
        <v>3549.4757610000001</v>
      </c>
      <c r="H27" s="702">
        <f>G27/G12</f>
        <v>3.0000000000000001E-3</v>
      </c>
      <c r="I27" s="26">
        <f>I16*0.3%</f>
        <v>3134.1667470080702</v>
      </c>
      <c r="J27" s="702">
        <f>I27/I12</f>
        <v>3.0000000000000001E-3</v>
      </c>
      <c r="K27" s="26">
        <f>K16*0.3%</f>
        <v>2866.5147704487836</v>
      </c>
      <c r="L27" s="702">
        <f>K27/K12</f>
        <v>3.0000000000000001E-3</v>
      </c>
      <c r="M27" s="26">
        <f>M16*0.3%</f>
        <v>4064.6782569659699</v>
      </c>
      <c r="N27" s="702">
        <f>M27/M12</f>
        <v>3.0000000000000001E-3</v>
      </c>
      <c r="O27" s="26">
        <f>O16*0.3%</f>
        <v>2573.3905693494512</v>
      </c>
      <c r="P27" s="702">
        <f>O27/O12</f>
        <v>3.0000000000000001E-3</v>
      </c>
      <c r="Q27" s="26">
        <f>Q16*0.3%</f>
        <v>3195.4795325288101</v>
      </c>
      <c r="R27" s="702">
        <f>Q27/Q12</f>
        <v>3.0000000000000001E-3</v>
      </c>
      <c r="S27" s="26">
        <f>S16*0.3%</f>
        <v>3219.0598572569702</v>
      </c>
      <c r="T27" s="702">
        <f>S27/S12</f>
        <v>3.0000000000000001E-3</v>
      </c>
      <c r="U27" s="26">
        <f>U16*0.3%</f>
        <v>2553.379296874044</v>
      </c>
      <c r="V27" s="702">
        <f>U27/U12</f>
        <v>3.0000000000000001E-3</v>
      </c>
      <c r="W27" s="26">
        <f>W16*0.3%</f>
        <v>2597.9141367453662</v>
      </c>
      <c r="X27" s="702">
        <f>W27/W12</f>
        <v>3.0000000000000001E-3</v>
      </c>
      <c r="Y27" s="26">
        <f>Y16*0.3%</f>
        <v>3924.5740164056397</v>
      </c>
      <c r="Z27" s="702">
        <f>Y27/Y12</f>
        <v>3.0000000000000001E-3</v>
      </c>
      <c r="AA27" s="144">
        <f t="shared" si="20"/>
        <v>36568.845704304178</v>
      </c>
      <c r="AB27" s="702">
        <f>AA27/AA12</f>
        <v>3.0000000000000001E-3</v>
      </c>
      <c r="AC27" s="128">
        <f t="shared" si="21"/>
        <v>3047.403808692015</v>
      </c>
      <c r="AD27" s="702">
        <f>AC27/AC12</f>
        <v>2.9999999999999996E-3</v>
      </c>
      <c r="AE27" s="645"/>
      <c r="AF27" s="226"/>
      <c r="AG27" s="226"/>
    </row>
    <row r="28" spans="1:33" s="1" customFormat="1">
      <c r="A28" s="3">
        <v>5607</v>
      </c>
      <c r="B28" s="238" t="s">
        <v>57</v>
      </c>
      <c r="C28" s="26"/>
      <c r="D28" s="24">
        <f>C28/C12</f>
        <v>0</v>
      </c>
      <c r="E28" s="26"/>
      <c r="F28" s="24">
        <f>E28/E12</f>
        <v>0</v>
      </c>
      <c r="G28" s="26"/>
      <c r="H28" s="24">
        <f>G28/G12</f>
        <v>0</v>
      </c>
      <c r="I28" s="26"/>
      <c r="J28" s="24">
        <f>I28/I12</f>
        <v>0</v>
      </c>
      <c r="K28" s="26"/>
      <c r="L28" s="24">
        <f>K28/K12</f>
        <v>0</v>
      </c>
      <c r="M28" s="26"/>
      <c r="N28" s="24">
        <f>M28/M12</f>
        <v>0</v>
      </c>
      <c r="O28" s="26"/>
      <c r="P28" s="24">
        <f>O28/O12</f>
        <v>0</v>
      </c>
      <c r="Q28" s="26"/>
      <c r="R28" s="24">
        <f>Q28/Q12</f>
        <v>0</v>
      </c>
      <c r="S28" s="26"/>
      <c r="T28" s="24">
        <f>S28/S12</f>
        <v>0</v>
      </c>
      <c r="U28" s="26"/>
      <c r="V28" s="24">
        <f>U28/U12</f>
        <v>0</v>
      </c>
      <c r="W28" s="26"/>
      <c r="X28" s="24">
        <f>W28/W12</f>
        <v>0</v>
      </c>
      <c r="Y28" s="26"/>
      <c r="Z28" s="24">
        <f>Y28/Y12</f>
        <v>0</v>
      </c>
      <c r="AA28" s="144">
        <f t="shared" si="20"/>
        <v>0</v>
      </c>
      <c r="AB28" s="24">
        <f>AA28/AA12</f>
        <v>0</v>
      </c>
      <c r="AC28" s="128">
        <f t="shared" si="21"/>
        <v>0</v>
      </c>
      <c r="AD28" s="24">
        <f>AC28/AC12</f>
        <v>0</v>
      </c>
      <c r="AE28" s="595"/>
      <c r="AF28" s="579"/>
    </row>
    <row r="29" spans="1:33" s="1" customFormat="1">
      <c r="A29" s="3">
        <v>5608</v>
      </c>
      <c r="B29" s="238" t="s">
        <v>58</v>
      </c>
      <c r="C29" s="26"/>
      <c r="D29" s="24">
        <f>C29/C12</f>
        <v>0</v>
      </c>
      <c r="E29" s="26"/>
      <c r="F29" s="24">
        <f>E29/E12</f>
        <v>0</v>
      </c>
      <c r="G29" s="26"/>
      <c r="H29" s="24">
        <f>G29/G12</f>
        <v>0</v>
      </c>
      <c r="I29" s="26"/>
      <c r="J29" s="24">
        <f>I29/I12</f>
        <v>0</v>
      </c>
      <c r="K29" s="26"/>
      <c r="L29" s="24">
        <f>K29/K12</f>
        <v>0</v>
      </c>
      <c r="M29" s="26"/>
      <c r="N29" s="24">
        <f>M29/M12</f>
        <v>0</v>
      </c>
      <c r="O29" s="26"/>
      <c r="P29" s="24">
        <f>O29/O12</f>
        <v>0</v>
      </c>
      <c r="Q29" s="26"/>
      <c r="R29" s="24">
        <f>Q29/Q12</f>
        <v>0</v>
      </c>
      <c r="S29" s="26"/>
      <c r="T29" s="24">
        <f>S29/S12</f>
        <v>0</v>
      </c>
      <c r="U29" s="26"/>
      <c r="V29" s="24">
        <f>U29/U12</f>
        <v>0</v>
      </c>
      <c r="W29" s="26"/>
      <c r="X29" s="24">
        <f>W29/W12</f>
        <v>0</v>
      </c>
      <c r="Y29" s="26"/>
      <c r="Z29" s="24">
        <f>Y29/Y12</f>
        <v>0</v>
      </c>
      <c r="AA29" s="144">
        <f t="shared" si="20"/>
        <v>0</v>
      </c>
      <c r="AB29" s="24">
        <f>AA29/AA12</f>
        <v>0</v>
      </c>
      <c r="AC29" s="128">
        <f t="shared" si="21"/>
        <v>0</v>
      </c>
      <c r="AD29" s="24">
        <f>AC29/AC12</f>
        <v>0</v>
      </c>
      <c r="AE29" s="595"/>
      <c r="AF29" s="579"/>
    </row>
    <row r="30" spans="1:33" s="1" customFormat="1">
      <c r="A30" s="3">
        <v>5609</v>
      </c>
      <c r="B30" s="238" t="s">
        <v>59</v>
      </c>
      <c r="C30" s="26"/>
      <c r="D30" s="24">
        <f>C30/C12</f>
        <v>0</v>
      </c>
      <c r="E30" s="26"/>
      <c r="F30" s="24">
        <f>E30/E12</f>
        <v>0</v>
      </c>
      <c r="G30" s="26"/>
      <c r="H30" s="24">
        <f>G30/G12</f>
        <v>0</v>
      </c>
      <c r="I30" s="26"/>
      <c r="J30" s="24">
        <f>I30/I12</f>
        <v>0</v>
      </c>
      <c r="K30" s="26"/>
      <c r="L30" s="24">
        <f>K30/K12</f>
        <v>0</v>
      </c>
      <c r="M30" s="26"/>
      <c r="N30" s="24">
        <f>M30/M12</f>
        <v>0</v>
      </c>
      <c r="O30" s="26"/>
      <c r="P30" s="24">
        <f>O30/O12</f>
        <v>0</v>
      </c>
      <c r="Q30" s="26"/>
      <c r="R30" s="24">
        <f>Q30/Q12</f>
        <v>0</v>
      </c>
      <c r="S30" s="26"/>
      <c r="T30" s="24">
        <f>S30/S12</f>
        <v>0</v>
      </c>
      <c r="U30" s="26"/>
      <c r="V30" s="24">
        <f>U30/U12</f>
        <v>0</v>
      </c>
      <c r="W30" s="26"/>
      <c r="X30" s="24">
        <f>W30/W12</f>
        <v>0</v>
      </c>
      <c r="Y30" s="26"/>
      <c r="Z30" s="24">
        <f>Y30/Y12</f>
        <v>0</v>
      </c>
      <c r="AA30" s="144">
        <f t="shared" si="20"/>
        <v>0</v>
      </c>
      <c r="AB30" s="24">
        <f>AA30/AA12</f>
        <v>0</v>
      </c>
      <c r="AC30" s="128">
        <f t="shared" si="21"/>
        <v>0</v>
      </c>
      <c r="AD30" s="24">
        <f>AC30/AC12</f>
        <v>0</v>
      </c>
      <c r="AE30" s="595"/>
      <c r="AF30" s="579"/>
    </row>
    <row r="31" spans="1:33" s="1" customFormat="1">
      <c r="A31" s="3">
        <v>5610</v>
      </c>
      <c r="B31" s="238" t="s">
        <v>60</v>
      </c>
      <c r="C31" s="26"/>
      <c r="D31" s="24">
        <f>C31/C12</f>
        <v>0</v>
      </c>
      <c r="E31" s="26"/>
      <c r="F31" s="24">
        <f>E31/E12</f>
        <v>0</v>
      </c>
      <c r="G31" s="26"/>
      <c r="H31" s="24">
        <f>G31/G12</f>
        <v>0</v>
      </c>
      <c r="I31" s="26"/>
      <c r="J31" s="24">
        <f>I31/I12</f>
        <v>0</v>
      </c>
      <c r="K31" s="26"/>
      <c r="L31" s="24">
        <f>K31/K12</f>
        <v>0</v>
      </c>
      <c r="M31" s="26"/>
      <c r="N31" s="24">
        <f>M31/M12</f>
        <v>0</v>
      </c>
      <c r="O31" s="26"/>
      <c r="P31" s="24">
        <f>O31/O12</f>
        <v>0</v>
      </c>
      <c r="Q31" s="26"/>
      <c r="R31" s="24">
        <f>Q31/Q12</f>
        <v>0</v>
      </c>
      <c r="S31" s="26"/>
      <c r="T31" s="24">
        <f>S31/S12</f>
        <v>0</v>
      </c>
      <c r="U31" s="26"/>
      <c r="V31" s="24">
        <f>U31/U12</f>
        <v>0</v>
      </c>
      <c r="W31" s="26"/>
      <c r="X31" s="24">
        <f>W31/W12</f>
        <v>0</v>
      </c>
      <c r="Y31" s="26"/>
      <c r="Z31" s="24">
        <f>Y31/Y12</f>
        <v>0</v>
      </c>
      <c r="AA31" s="144">
        <f t="shared" si="20"/>
        <v>0</v>
      </c>
      <c r="AB31" s="24">
        <f>AA31/AA12</f>
        <v>0</v>
      </c>
      <c r="AC31" s="128">
        <f t="shared" si="21"/>
        <v>0</v>
      </c>
      <c r="AD31" s="24">
        <f>AC31/AC12</f>
        <v>0</v>
      </c>
      <c r="AE31" s="595"/>
      <c r="AF31" s="579"/>
    </row>
    <row r="32" spans="1:33" s="1" customFormat="1">
      <c r="A32" s="3">
        <v>5611</v>
      </c>
      <c r="B32" s="238" t="s">
        <v>108</v>
      </c>
      <c r="C32" s="26"/>
      <c r="D32" s="24">
        <f>C32/C12</f>
        <v>0</v>
      </c>
      <c r="E32" s="26"/>
      <c r="F32" s="24">
        <f>E32/E12</f>
        <v>0</v>
      </c>
      <c r="G32" s="26"/>
      <c r="H32" s="24">
        <f>G32/G12</f>
        <v>0</v>
      </c>
      <c r="I32" s="26"/>
      <c r="J32" s="24">
        <f>I32/I12</f>
        <v>0</v>
      </c>
      <c r="K32" s="26"/>
      <c r="L32" s="24">
        <f>K32/K12</f>
        <v>0</v>
      </c>
      <c r="M32" s="26"/>
      <c r="N32" s="24">
        <f>M32/M12</f>
        <v>0</v>
      </c>
      <c r="O32" s="26"/>
      <c r="P32" s="24">
        <f>O32/O12</f>
        <v>0</v>
      </c>
      <c r="Q32" s="26"/>
      <c r="R32" s="24">
        <f>Q32/Q12</f>
        <v>0</v>
      </c>
      <c r="S32" s="26"/>
      <c r="T32" s="24">
        <f>S32/S12</f>
        <v>0</v>
      </c>
      <c r="U32" s="26"/>
      <c r="V32" s="24">
        <f>U32/U12</f>
        <v>0</v>
      </c>
      <c r="W32" s="26"/>
      <c r="X32" s="24">
        <f>W32/W12</f>
        <v>0</v>
      </c>
      <c r="Y32" s="26"/>
      <c r="Z32" s="24">
        <f>Y32/Y12</f>
        <v>0</v>
      </c>
      <c r="AA32" s="144">
        <f t="shared" si="20"/>
        <v>0</v>
      </c>
      <c r="AB32" s="24">
        <f>AA32/AA12</f>
        <v>0</v>
      </c>
      <c r="AC32" s="128">
        <f t="shared" si="21"/>
        <v>0</v>
      </c>
      <c r="AD32" s="24">
        <f>AC32/AC12</f>
        <v>0</v>
      </c>
      <c r="AE32" s="595"/>
      <c r="AF32" s="579"/>
    </row>
    <row r="33" spans="1:32" s="1" customFormat="1">
      <c r="A33" s="3">
        <v>5612</v>
      </c>
      <c r="B33" s="238" t="s">
        <v>61</v>
      </c>
      <c r="C33" s="26"/>
      <c r="D33" s="24">
        <f>C33/C12</f>
        <v>0</v>
      </c>
      <c r="E33" s="26"/>
      <c r="F33" s="24">
        <f>E33/E12</f>
        <v>0</v>
      </c>
      <c r="G33" s="26"/>
      <c r="H33" s="24">
        <f>G33/G12</f>
        <v>0</v>
      </c>
      <c r="I33" s="26"/>
      <c r="J33" s="24">
        <f>I33/I12</f>
        <v>0</v>
      </c>
      <c r="K33" s="26"/>
      <c r="L33" s="24">
        <f>K33/K12</f>
        <v>0</v>
      </c>
      <c r="M33" s="26"/>
      <c r="N33" s="24">
        <f>M33/M12</f>
        <v>0</v>
      </c>
      <c r="O33" s="26"/>
      <c r="P33" s="24">
        <f>O33/O12</f>
        <v>0</v>
      </c>
      <c r="Q33" s="26"/>
      <c r="R33" s="24">
        <f>Q33/Q12</f>
        <v>0</v>
      </c>
      <c r="S33" s="26"/>
      <c r="T33" s="24">
        <f>S33/S12</f>
        <v>0</v>
      </c>
      <c r="U33" s="26"/>
      <c r="V33" s="24">
        <f>U33/U12</f>
        <v>0</v>
      </c>
      <c r="W33" s="26"/>
      <c r="X33" s="24">
        <f>W33/W12</f>
        <v>0</v>
      </c>
      <c r="Y33" s="26"/>
      <c r="Z33" s="24">
        <f>Y33/Y12</f>
        <v>0</v>
      </c>
      <c r="AA33" s="144">
        <f t="shared" si="20"/>
        <v>0</v>
      </c>
      <c r="AB33" s="24">
        <f>AA33/AA12</f>
        <v>0</v>
      </c>
      <c r="AC33" s="128">
        <f t="shared" si="21"/>
        <v>0</v>
      </c>
      <c r="AD33" s="24">
        <f>AC33/AC12</f>
        <v>0</v>
      </c>
      <c r="AE33" s="595"/>
      <c r="AF33" s="579"/>
    </row>
    <row r="34" spans="1:32" s="1" customFormat="1">
      <c r="A34" s="211">
        <v>5613</v>
      </c>
      <c r="B34" s="249" t="s">
        <v>62</v>
      </c>
      <c r="C34" s="26"/>
      <c r="D34" s="212">
        <f>C34/C12</f>
        <v>0</v>
      </c>
      <c r="E34" s="26"/>
      <c r="F34" s="212">
        <f>E34/E12</f>
        <v>0</v>
      </c>
      <c r="G34" s="26"/>
      <c r="H34" s="212">
        <f>G34/G12</f>
        <v>0</v>
      </c>
      <c r="I34" s="26"/>
      <c r="J34" s="212">
        <f>I34/I12</f>
        <v>0</v>
      </c>
      <c r="K34" s="26"/>
      <c r="L34" s="212">
        <f>K34/K12</f>
        <v>0</v>
      </c>
      <c r="M34" s="26"/>
      <c r="N34" s="212">
        <f>M34/M12</f>
        <v>0</v>
      </c>
      <c r="O34" s="26"/>
      <c r="P34" s="212">
        <f>O34/O12</f>
        <v>0</v>
      </c>
      <c r="Q34" s="26"/>
      <c r="R34" s="212">
        <f>Q34/Q12</f>
        <v>0</v>
      </c>
      <c r="S34" s="26"/>
      <c r="T34" s="212">
        <f>S34/S12</f>
        <v>0</v>
      </c>
      <c r="U34" s="26"/>
      <c r="V34" s="212">
        <f>U34/U12</f>
        <v>0</v>
      </c>
      <c r="W34" s="26"/>
      <c r="X34" s="212">
        <f>W34/W12</f>
        <v>0</v>
      </c>
      <c r="Y34" s="26"/>
      <c r="Z34" s="212">
        <f>Y34/Y12</f>
        <v>0</v>
      </c>
      <c r="AA34" s="166">
        <f t="shared" si="20"/>
        <v>0</v>
      </c>
      <c r="AB34" s="212">
        <f>AA34/AA12</f>
        <v>0</v>
      </c>
      <c r="AC34" s="168">
        <f t="shared" si="21"/>
        <v>0</v>
      </c>
      <c r="AD34" s="212">
        <f>AC34/AC12</f>
        <v>0</v>
      </c>
      <c r="AE34" s="595"/>
      <c r="AF34" s="579"/>
    </row>
    <row r="35" spans="1:32" s="1" customFormat="1">
      <c r="A35" s="206">
        <v>5699</v>
      </c>
      <c r="B35" s="250" t="s">
        <v>109</v>
      </c>
      <c r="C35" s="303">
        <f>SUM(C22:C34)</f>
        <v>2900.3986128719998</v>
      </c>
      <c r="D35" s="207">
        <f>C35/C12</f>
        <v>3.1636126479609094E-3</v>
      </c>
      <c r="E35" s="280">
        <f>SUM(E22:E34)</f>
        <v>2289.8141468490689</v>
      </c>
      <c r="F35" s="207">
        <f>E35/E12</f>
        <v>3.210298637693669E-3</v>
      </c>
      <c r="G35" s="208">
        <f>SUM(G22:G34)</f>
        <v>3699.4757610000001</v>
      </c>
      <c r="H35" s="207">
        <f>G35/G12</f>
        <v>3.1267792852523158E-3</v>
      </c>
      <c r="I35" s="208">
        <f>SUM(I22:I34)</f>
        <v>3284.1667470080702</v>
      </c>
      <c r="J35" s="207">
        <f>I35/I12</f>
        <v>3.143578831735605E-3</v>
      </c>
      <c r="K35" s="297">
        <f>SUM(K22:K34)</f>
        <v>3016.5147704487836</v>
      </c>
      <c r="L35" s="207">
        <f>K35/K12</f>
        <v>3.1569850623618268E-3</v>
      </c>
      <c r="M35" s="297">
        <f>SUM(M22:M34)</f>
        <v>4214.6782569659699</v>
      </c>
      <c r="N35" s="207">
        <f>M35/M12</f>
        <v>3.1107098696505188E-3</v>
      </c>
      <c r="O35" s="297">
        <f>SUM(O22:O34)</f>
        <v>2723.3905693494512</v>
      </c>
      <c r="P35" s="207">
        <f>O35/O12</f>
        <v>3.17486657694318E-3</v>
      </c>
      <c r="Q35" s="297">
        <f>SUM(Q22:Q34)</f>
        <v>3345.4795325288101</v>
      </c>
      <c r="R35" s="207">
        <f>Q35/Q12</f>
        <v>3.1408239343795399E-3</v>
      </c>
      <c r="S35" s="297">
        <f>SUM(S22:S34)</f>
        <v>3369.0598572569702</v>
      </c>
      <c r="T35" s="207">
        <f>S35/S12</f>
        <v>3.1397923679441784E-3</v>
      </c>
      <c r="U35" s="208">
        <f>SUM(U22:U34)</f>
        <v>2703.379296874044</v>
      </c>
      <c r="V35" s="207">
        <f>U35/U12</f>
        <v>3.1762370363662418E-3</v>
      </c>
      <c r="W35" s="208">
        <f>SUM(W22:W34)</f>
        <v>2747.9141367453662</v>
      </c>
      <c r="X35" s="207">
        <f>W35/W12</f>
        <v>3.173215886404835E-3</v>
      </c>
      <c r="Y35" s="208">
        <f>SUM(Y22:Y34)</f>
        <v>4074.5740164056397</v>
      </c>
      <c r="Z35" s="207">
        <f>Y35/Y12</f>
        <v>3.1146621259068867E-3</v>
      </c>
      <c r="AA35" s="209">
        <f>SUM(AA22:AA34)</f>
        <v>38368.845704304178</v>
      </c>
      <c r="AB35" s="207">
        <f>AA35/AA12</f>
        <v>3.1476666789995076E-3</v>
      </c>
      <c r="AC35" s="210">
        <f>SUM(AC22:AC34)</f>
        <v>3197.403808692015</v>
      </c>
      <c r="AD35" s="207">
        <f>AC35/AC12</f>
        <v>3.1476666789995071E-3</v>
      </c>
      <c r="AE35" s="611"/>
      <c r="AF35" s="580"/>
    </row>
    <row r="36" spans="1:32" s="1" customFormat="1">
      <c r="A36" s="205">
        <v>5999</v>
      </c>
      <c r="B36" s="251" t="s">
        <v>110</v>
      </c>
      <c r="C36" s="203">
        <f>C21+C35</f>
        <v>483853.43605042237</v>
      </c>
      <c r="D36" s="204">
        <f>C36/C12</f>
        <v>0.5277636126479609</v>
      </c>
      <c r="E36" s="281">
        <f>E21+E35</f>
        <v>323261.93617420946</v>
      </c>
      <c r="F36" s="204">
        <f>E36/E12</f>
        <v>0.45321029863769374</v>
      </c>
      <c r="G36" s="203">
        <f>G21+G35</f>
        <v>608766.77715279988</v>
      </c>
      <c r="H36" s="204">
        <f>G36/G12</f>
        <v>0.51452677928525214</v>
      </c>
      <c r="I36" s="203">
        <f>I21+I35</f>
        <v>476020.98442072526</v>
      </c>
      <c r="J36" s="204">
        <f>I36/I12</f>
        <v>0.45564357883173556</v>
      </c>
      <c r="K36" s="298">
        <f>K21+K35</f>
        <v>388562.75139581022</v>
      </c>
      <c r="L36" s="204">
        <f>K36/K12</f>
        <v>0.40665698506236186</v>
      </c>
      <c r="M36" s="298">
        <f>M21+M35</f>
        <v>718243.15873065474</v>
      </c>
      <c r="N36" s="204">
        <f>M36/M12</f>
        <v>0.53011070986965059</v>
      </c>
      <c r="O36" s="298">
        <f>O21+O35</f>
        <v>423043.85022975982</v>
      </c>
      <c r="P36" s="204">
        <f>O36/O12</f>
        <v>0.4931748665769432</v>
      </c>
      <c r="Q36" s="298">
        <f>Q21+Q35</f>
        <v>440593.59556688764</v>
      </c>
      <c r="R36" s="204">
        <f>Q36/Q12</f>
        <v>0.41364082393437951</v>
      </c>
      <c r="S36" s="298">
        <f>S21+S35</f>
        <v>529148.836542562</v>
      </c>
      <c r="T36" s="204">
        <f>S36/S12</f>
        <v>0.49313979236794414</v>
      </c>
      <c r="U36" s="203">
        <f>U21+U35</f>
        <v>385710.27382798068</v>
      </c>
      <c r="V36" s="204">
        <f>U36/U12</f>
        <v>0.45317623703636628</v>
      </c>
      <c r="W36" s="203">
        <f>W21+W35</f>
        <v>393041.21461379086</v>
      </c>
      <c r="X36" s="204">
        <f>W36/W12</f>
        <v>0.45387321588640483</v>
      </c>
      <c r="Y36" s="203">
        <f>Y21+Y35</f>
        <v>661179.0834965898</v>
      </c>
      <c r="Z36" s="204">
        <f>Y36/Y12</f>
        <v>0.5054146621259068</v>
      </c>
      <c r="AA36" s="154">
        <f>AA21+AA35</f>
        <v>5831425.898202192</v>
      </c>
      <c r="AB36" s="204">
        <f>AA36/AA12</f>
        <v>0.47839294234402069</v>
      </c>
      <c r="AC36" s="139">
        <f>AC21+AC35</f>
        <v>485952.158183516</v>
      </c>
      <c r="AD36" s="204">
        <f>AC36/AC12</f>
        <v>0.47839294234402058</v>
      </c>
      <c r="AE36" s="612"/>
      <c r="AF36" s="581"/>
    </row>
    <row r="37" spans="1:32" s="1" customFormat="1" ht="15.75" thickBot="1">
      <c r="A37" s="10"/>
      <c r="B37" s="240" t="s">
        <v>68</v>
      </c>
      <c r="C37" s="80">
        <f>(C16-C36)</f>
        <v>432946.10157357762</v>
      </c>
      <c r="D37" s="88">
        <f>C37/C12</f>
        <v>0.4722363873520391</v>
      </c>
      <c r="E37" s="120">
        <f>(E16-E36)</f>
        <v>390009.44610881351</v>
      </c>
      <c r="F37" s="88">
        <f>E37/E12</f>
        <v>0.5467897013623062</v>
      </c>
      <c r="G37" s="80">
        <f>(G16-G36)</f>
        <v>574391.80984720017</v>
      </c>
      <c r="H37" s="88">
        <f>G37/G12</f>
        <v>0.4854732207147478</v>
      </c>
      <c r="I37" s="80">
        <f>(I16-I36)</f>
        <v>568701.2645819647</v>
      </c>
      <c r="J37" s="88">
        <f>I37/I12</f>
        <v>0.54435642116826444</v>
      </c>
      <c r="K37" s="30">
        <f>(K16-K36)</f>
        <v>566942.17208711756</v>
      </c>
      <c r="L37" s="88">
        <f>K37/K12</f>
        <v>0.59334301493763808</v>
      </c>
      <c r="M37" s="30">
        <f>(M16-M36)</f>
        <v>636649.59359133523</v>
      </c>
      <c r="N37" s="88">
        <f>M37/M12</f>
        <v>0.46988929013034941</v>
      </c>
      <c r="O37" s="30">
        <f>(O16-O36)</f>
        <v>434753.00622005726</v>
      </c>
      <c r="P37" s="88">
        <f>O37/O12</f>
        <v>0.5068251334230568</v>
      </c>
      <c r="Q37" s="30">
        <f>(Q16-Q36)</f>
        <v>624566.24860938243</v>
      </c>
      <c r="R37" s="88">
        <f>Q37/Q12</f>
        <v>0.58635917606562049</v>
      </c>
      <c r="S37" s="30">
        <f>(S16-S36)</f>
        <v>543871.11587642797</v>
      </c>
      <c r="T37" s="88">
        <f>S37/S12</f>
        <v>0.50686020763205586</v>
      </c>
      <c r="U37" s="80">
        <f>(U16-U36)</f>
        <v>465416.15846336732</v>
      </c>
      <c r="V37" s="88">
        <f>U37/U12</f>
        <v>0.54682376296363366</v>
      </c>
      <c r="W37" s="80">
        <f>(W16-W36)</f>
        <v>472930.16430133116</v>
      </c>
      <c r="X37" s="88">
        <f>W37/W12</f>
        <v>0.54612678411359517</v>
      </c>
      <c r="Y37" s="80">
        <f>(Y16-Y36)</f>
        <v>647012.25530529011</v>
      </c>
      <c r="Z37" s="88">
        <f>Y37/Y12</f>
        <v>0.4945853378740932</v>
      </c>
      <c r="AA37" s="195">
        <f>(AA16-AA36)</f>
        <v>6358189.3365658671</v>
      </c>
      <c r="AB37" s="88">
        <f>AA37/AA12</f>
        <v>0.52160705765597937</v>
      </c>
      <c r="AC37" s="59">
        <f>(AC16-AC36)</f>
        <v>529849.11138048908</v>
      </c>
      <c r="AD37" s="88">
        <f>AC37/AC12</f>
        <v>0.52160705765597937</v>
      </c>
      <c r="AE37" s="600"/>
      <c r="AF37" s="564"/>
    </row>
    <row r="38" spans="1:32" s="1" customFormat="1" ht="15.75" thickTop="1">
      <c r="A38" s="2">
        <v>6002</v>
      </c>
      <c r="B38" s="228" t="s">
        <v>45</v>
      </c>
      <c r="C38" s="61"/>
      <c r="D38" s="24">
        <f>C38/C12</f>
        <v>0</v>
      </c>
      <c r="E38" s="114"/>
      <c r="F38" s="24">
        <f>E38/E12</f>
        <v>0</v>
      </c>
      <c r="G38" s="61"/>
      <c r="H38" s="24">
        <f>G38/G12</f>
        <v>0</v>
      </c>
      <c r="I38" s="61"/>
      <c r="J38" s="24">
        <f>I38/I12</f>
        <v>0</v>
      </c>
      <c r="K38" s="26"/>
      <c r="L38" s="24">
        <f>K38/K12</f>
        <v>0</v>
      </c>
      <c r="M38" s="26"/>
      <c r="N38" s="24">
        <f>M38/M12</f>
        <v>0</v>
      </c>
      <c r="O38" s="26"/>
      <c r="P38" s="24">
        <f>O38/O12</f>
        <v>0</v>
      </c>
      <c r="Q38" s="26"/>
      <c r="R38" s="24">
        <f>Q38/Q12</f>
        <v>0</v>
      </c>
      <c r="S38" s="26"/>
      <c r="T38" s="24">
        <f>S38/S12</f>
        <v>0</v>
      </c>
      <c r="U38" s="61"/>
      <c r="V38" s="24">
        <f>U38/U12</f>
        <v>0</v>
      </c>
      <c r="W38" s="61"/>
      <c r="X38" s="24">
        <f>W38/W12</f>
        <v>0</v>
      </c>
      <c r="Y38" s="61"/>
      <c r="Z38" s="24">
        <f>Y38/Y12</f>
        <v>0</v>
      </c>
      <c r="AA38" s="144">
        <f>C38+E38+G38+I38+K38+M38+O38+Q38+S38+U38+W38+Y38</f>
        <v>0</v>
      </c>
      <c r="AB38" s="24">
        <f>AA38/AA12</f>
        <v>0</v>
      </c>
      <c r="AC38" s="128">
        <f t="shared" ref="AC38:AC40" si="22">AA38/12</f>
        <v>0</v>
      </c>
      <c r="AD38" s="24">
        <f>AC38/AC12</f>
        <v>0</v>
      </c>
      <c r="AE38" s="595"/>
      <c r="AF38" s="579"/>
    </row>
    <row r="39" spans="1:32" s="1" customFormat="1">
      <c r="A39" s="2">
        <v>6003</v>
      </c>
      <c r="B39" s="2" t="s">
        <v>0</v>
      </c>
      <c r="C39" s="61"/>
      <c r="D39" s="68">
        <f>C39/C12</f>
        <v>0</v>
      </c>
      <c r="E39" s="61"/>
      <c r="F39" s="68">
        <f>E39/E12</f>
        <v>0</v>
      </c>
      <c r="G39" s="61">
        <v>0</v>
      </c>
      <c r="H39" s="68">
        <f>G39/G12</f>
        <v>0</v>
      </c>
      <c r="I39" s="61"/>
      <c r="J39" s="68">
        <f>I39/I12</f>
        <v>0</v>
      </c>
      <c r="K39" s="26">
        <v>0</v>
      </c>
      <c r="L39" s="68">
        <f>K39/K12</f>
        <v>0</v>
      </c>
      <c r="M39" s="26">
        <v>0</v>
      </c>
      <c r="N39" s="702">
        <f>M39/M12</f>
        <v>0</v>
      </c>
      <c r="O39" s="26"/>
      <c r="P39" s="702">
        <f>O39/O12</f>
        <v>0</v>
      </c>
      <c r="Q39" s="26"/>
      <c r="R39" s="68">
        <f>Q39/Q12</f>
        <v>0</v>
      </c>
      <c r="S39" s="26">
        <v>0</v>
      </c>
      <c r="T39" s="68">
        <f>S39/S12</f>
        <v>0</v>
      </c>
      <c r="U39" s="26"/>
      <c r="V39" s="68">
        <f>U39/U12</f>
        <v>0</v>
      </c>
      <c r="W39" s="26"/>
      <c r="X39" s="68">
        <f>W39/W12</f>
        <v>0</v>
      </c>
      <c r="Y39" s="26"/>
      <c r="Z39" s="68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si="22"/>
        <v>0</v>
      </c>
      <c r="AD39" s="68">
        <f>AC39/AC12</f>
        <v>0</v>
      </c>
      <c r="AE39" s="595"/>
      <c r="AF39" s="393"/>
    </row>
    <row r="40" spans="1:32" s="1" customFormat="1">
      <c r="A40" s="2">
        <v>6004</v>
      </c>
      <c r="B40" s="228" t="s">
        <v>1</v>
      </c>
      <c r="C40" s="61"/>
      <c r="D40" s="24">
        <f>C40/C12</f>
        <v>0</v>
      </c>
      <c r="E40" s="114"/>
      <c r="F40" s="24">
        <f>E40/E12</f>
        <v>0</v>
      </c>
      <c r="G40" s="61"/>
      <c r="H40" s="24">
        <f>G40/G12</f>
        <v>0</v>
      </c>
      <c r="I40" s="61"/>
      <c r="J40" s="24">
        <f>I40/I12</f>
        <v>0</v>
      </c>
      <c r="K40" s="26"/>
      <c r="L40" s="24">
        <f>K40/K12</f>
        <v>0</v>
      </c>
      <c r="M40" s="26"/>
      <c r="N40" s="24">
        <f>M40/M12</f>
        <v>0</v>
      </c>
      <c r="O40" s="26"/>
      <c r="P40" s="24">
        <f>O40/O12</f>
        <v>0</v>
      </c>
      <c r="Q40" s="26"/>
      <c r="R40" s="24">
        <f>Q40/Q12</f>
        <v>0</v>
      </c>
      <c r="S40" s="26"/>
      <c r="T40" s="24">
        <f>S40/S12</f>
        <v>0</v>
      </c>
      <c r="U40" s="61"/>
      <c r="V40" s="24">
        <f>U40/U12</f>
        <v>0</v>
      </c>
      <c r="W40" s="61"/>
      <c r="X40" s="24">
        <f>W40/W12</f>
        <v>0</v>
      </c>
      <c r="Y40" s="61"/>
      <c r="Z40" s="24">
        <f>Y40/Y12</f>
        <v>0</v>
      </c>
      <c r="AA40" s="144">
        <f>C40+E40+G40+I40+K40+M40+O40+Q40+S40+U40+W40+Y40</f>
        <v>0</v>
      </c>
      <c r="AB40" s="24">
        <f>AA40/AA12</f>
        <v>0</v>
      </c>
      <c r="AC40" s="128">
        <f t="shared" si="22"/>
        <v>0</v>
      </c>
      <c r="AD40" s="24">
        <f>AC40/AC12</f>
        <v>0</v>
      </c>
      <c r="AE40" s="595"/>
      <c r="AF40" s="579"/>
    </row>
    <row r="41" spans="1:32" s="1" customFormat="1" ht="15.75" thickBot="1">
      <c r="A41" s="4">
        <v>6099</v>
      </c>
      <c r="B41" s="229" t="s">
        <v>111</v>
      </c>
      <c r="C41" s="76">
        <f>SUM(C38:C40)</f>
        <v>0</v>
      </c>
      <c r="D41" s="92">
        <f>C41/C12</f>
        <v>0</v>
      </c>
      <c r="E41" s="116">
        <f>SUM(E38:E40)</f>
        <v>0</v>
      </c>
      <c r="F41" s="92">
        <f>E41/E12</f>
        <v>0</v>
      </c>
      <c r="G41" s="76">
        <f>SUM(G38:G40)</f>
        <v>0</v>
      </c>
      <c r="H41" s="92">
        <f>G41/G12</f>
        <v>0</v>
      </c>
      <c r="I41" s="76">
        <f>SUM(I38:I40)</f>
        <v>0</v>
      </c>
      <c r="J41" s="92">
        <f>I41/I12</f>
        <v>0</v>
      </c>
      <c r="K41" s="28">
        <f>SUM(K38:K40)</f>
        <v>0</v>
      </c>
      <c r="L41" s="92">
        <f>K41/K12</f>
        <v>0</v>
      </c>
      <c r="M41" s="28">
        <f>SUM(M38:M40)</f>
        <v>0</v>
      </c>
      <c r="N41" s="92">
        <f>M41/M12</f>
        <v>0</v>
      </c>
      <c r="O41" s="28">
        <f>SUM(O38:O40)</f>
        <v>0</v>
      </c>
      <c r="P41" s="92">
        <f>O41/O12</f>
        <v>0</v>
      </c>
      <c r="Q41" s="28">
        <f>SUM(Q38:Q40)</f>
        <v>0</v>
      </c>
      <c r="R41" s="92">
        <f>Q41/Q12</f>
        <v>0</v>
      </c>
      <c r="S41" s="28">
        <f>SUM(S38:S40)</f>
        <v>0</v>
      </c>
      <c r="T41" s="92">
        <f>S41/S12</f>
        <v>0</v>
      </c>
      <c r="U41" s="76">
        <f>SUM(U38:U40)</f>
        <v>0</v>
      </c>
      <c r="V41" s="92">
        <f>U41/U12</f>
        <v>0</v>
      </c>
      <c r="W41" s="76">
        <f>SUM(W38:W40)</f>
        <v>0</v>
      </c>
      <c r="X41" s="92">
        <f>W41/W12</f>
        <v>0</v>
      </c>
      <c r="Y41" s="76">
        <f>SUM(Y38:Y40)</f>
        <v>0</v>
      </c>
      <c r="Z41" s="92">
        <f>Y41/Y12</f>
        <v>0</v>
      </c>
      <c r="AA41" s="196">
        <f>SUM(AA38:AA40)</f>
        <v>0</v>
      </c>
      <c r="AB41" s="92">
        <f>AA41/AA12</f>
        <v>0</v>
      </c>
      <c r="AC41" s="52">
        <f>SUM(AC38:AC40)</f>
        <v>0</v>
      </c>
      <c r="AD41" s="92">
        <f>AC41/AC12</f>
        <v>0</v>
      </c>
      <c r="AE41" s="613"/>
      <c r="AF41" s="582"/>
    </row>
    <row r="42" spans="1:32" s="1" customFormat="1" ht="15.75" thickTop="1">
      <c r="A42" s="188">
        <v>6101</v>
      </c>
      <c r="B42" s="227" t="s">
        <v>2</v>
      </c>
      <c r="C42" s="26">
        <v>220733.33</v>
      </c>
      <c r="D42" s="24">
        <f>C42/C12</f>
        <v>0.24076509743019489</v>
      </c>
      <c r="E42" s="26">
        <v>200666.66666666666</v>
      </c>
      <c r="F42" s="24">
        <f>E42/E12</f>
        <v>0.28133284420353066</v>
      </c>
      <c r="G42" s="26">
        <v>200666.66666666666</v>
      </c>
      <c r="H42" s="24">
        <f>G42/G12</f>
        <v>0.16960251049309813</v>
      </c>
      <c r="I42" s="26">
        <v>200666.66666666666</v>
      </c>
      <c r="J42" s="24">
        <f>I42/I12</f>
        <v>0.19207657045518706</v>
      </c>
      <c r="K42" s="26">
        <v>200666.66666666666</v>
      </c>
      <c r="L42" s="24">
        <f>K42/K12</f>
        <v>0.21001112787071055</v>
      </c>
      <c r="M42" s="26">
        <v>200666.66666666666</v>
      </c>
      <c r="N42" s="24">
        <f>M42/M12</f>
        <v>0.14810520339913832</v>
      </c>
      <c r="O42" s="26">
        <v>200666.66666666666</v>
      </c>
      <c r="P42" s="24">
        <f>O42/O12</f>
        <v>0.23393262071065432</v>
      </c>
      <c r="Q42" s="26">
        <v>200666.66666666666</v>
      </c>
      <c r="R42" s="24">
        <f>Q42/Q12</f>
        <v>0.18839112999218449</v>
      </c>
      <c r="S42" s="26">
        <v>200666.66666666666</v>
      </c>
      <c r="T42" s="24">
        <f>S42/S12</f>
        <v>0.18701112333865613</v>
      </c>
      <c r="U42" s="26">
        <v>200666.66666666666</v>
      </c>
      <c r="V42" s="24">
        <f>U42/U12</f>
        <v>0.23576599087217245</v>
      </c>
      <c r="W42" s="26">
        <v>200666.66666666666</v>
      </c>
      <c r="X42" s="24">
        <f>W42/W12</f>
        <v>0.231724363590468</v>
      </c>
      <c r="Y42" s="26">
        <v>200666.66666666666</v>
      </c>
      <c r="Z42" s="24">
        <f>Y42/Y12</f>
        <v>0.15339244399099081</v>
      </c>
      <c r="AA42" s="144">
        <f t="shared" ref="AA42:AA75" si="23">C42+E42+G42+I42+K42+M42+O42+Q42+S42+U42+W42+Y42</f>
        <v>2428066.6633333336</v>
      </c>
      <c r="AB42" s="68">
        <f>AA42/AA12</f>
        <v>0.1991914114243602</v>
      </c>
      <c r="AC42" s="128">
        <f t="shared" ref="AC42:AC75" si="24">AA42/12</f>
        <v>202338.88861111112</v>
      </c>
      <c r="AD42" s="68">
        <f>AC42/AC12</f>
        <v>0.19919141142436017</v>
      </c>
      <c r="AE42" s="658" t="s">
        <v>197</v>
      </c>
      <c r="AF42" s="393" t="s">
        <v>298</v>
      </c>
    </row>
    <row r="43" spans="1:32" s="1" customFormat="1">
      <c r="A43" s="188">
        <v>6102</v>
      </c>
      <c r="B43" s="227" t="s">
        <v>3</v>
      </c>
      <c r="C43" s="437">
        <v>12904.57</v>
      </c>
      <c r="D43" s="24">
        <f>C43/C12</f>
        <v>1.4075672456646081E-2</v>
      </c>
      <c r="E43" s="692">
        <v>16773.84</v>
      </c>
      <c r="F43" s="24">
        <f>E43/E12</f>
        <v>2.3516771339277164E-2</v>
      </c>
      <c r="G43" s="371">
        <v>16062.29</v>
      </c>
      <c r="H43" s="24">
        <f>G43/G12</f>
        <v>1.3575770971436139E-2</v>
      </c>
      <c r="I43" s="75">
        <v>14874.14</v>
      </c>
      <c r="J43" s="24">
        <f>I43/I12</f>
        <v>1.4237410961812207E-2</v>
      </c>
      <c r="K43" s="31">
        <v>15838.9</v>
      </c>
      <c r="L43" s="24">
        <f>K43/K12</f>
        <v>1.6576471361618259E-2</v>
      </c>
      <c r="M43" s="31">
        <v>16675.939999999999</v>
      </c>
      <c r="N43" s="24">
        <f>M43/M12</f>
        <v>1.2307940957999135E-2</v>
      </c>
      <c r="O43" s="371">
        <v>17500.080000000002</v>
      </c>
      <c r="P43" s="24">
        <f>O43/O12</f>
        <v>2.040119390554539E-2</v>
      </c>
      <c r="Q43" s="31">
        <v>16568.7</v>
      </c>
      <c r="R43" s="24">
        <f>Q43/Q12</f>
        <v>1.5555130143695219E-2</v>
      </c>
      <c r="S43" s="31">
        <v>16319.94</v>
      </c>
      <c r="T43" s="24">
        <f>S43/S12</f>
        <v>1.5209353715379409E-2</v>
      </c>
      <c r="U43" s="31">
        <f>16599.86*1.05</f>
        <v>17429.853000000003</v>
      </c>
      <c r="V43" s="24">
        <f>U43/U12</f>
        <v>2.0478570913461669E-2</v>
      </c>
      <c r="W43" s="31">
        <f>17000*1.05</f>
        <v>17850</v>
      </c>
      <c r="X43" s="24">
        <f>W43/W12</f>
        <v>2.0612690482175351E-2</v>
      </c>
      <c r="Y43" s="31">
        <f>17000*1.05</f>
        <v>17850</v>
      </c>
      <c r="Z43" s="24">
        <f>Y43/Y12</f>
        <v>1.3644792982919533E-2</v>
      </c>
      <c r="AA43" s="144">
        <f t="shared" si="23"/>
        <v>196648.253</v>
      </c>
      <c r="AB43" s="68">
        <f>AA43/AA12</f>
        <v>1.6132441361980509E-2</v>
      </c>
      <c r="AC43" s="128">
        <f t="shared" si="24"/>
        <v>16387.354416666665</v>
      </c>
      <c r="AD43" s="68">
        <f>AC43/AC12</f>
        <v>1.6132441361980505E-2</v>
      </c>
      <c r="AE43" s="645" t="s">
        <v>309</v>
      </c>
      <c r="AF43" s="694" t="s">
        <v>297</v>
      </c>
    </row>
    <row r="44" spans="1:32" s="1" customFormat="1">
      <c r="A44" s="188">
        <v>6103</v>
      </c>
      <c r="B44" s="227" t="s">
        <v>4</v>
      </c>
      <c r="C44" s="61">
        <v>0</v>
      </c>
      <c r="D44" s="24">
        <f>C44/C12</f>
        <v>0</v>
      </c>
      <c r="E44" s="703">
        <v>0</v>
      </c>
      <c r="F44" s="24">
        <f>E44/E12</f>
        <v>0</v>
      </c>
      <c r="H44" s="24">
        <f>G44/G12</f>
        <v>0</v>
      </c>
      <c r="I44" s="61"/>
      <c r="J44" s="24">
        <f>I44/I12</f>
        <v>0</v>
      </c>
      <c r="K44" s="26">
        <v>0</v>
      </c>
      <c r="L44" s="24">
        <f>K44/K12</f>
        <v>0</v>
      </c>
      <c r="M44" s="26"/>
      <c r="N44" s="24">
        <f>M44/M12</f>
        <v>0</v>
      </c>
      <c r="P44" s="24">
        <f>O44/O12</f>
        <v>0</v>
      </c>
      <c r="Q44" s="26">
        <v>0</v>
      </c>
      <c r="R44" s="24">
        <f>Q44/Q12</f>
        <v>0</v>
      </c>
      <c r="S44" s="26"/>
      <c r="T44" s="24">
        <f>S44/S12</f>
        <v>0</v>
      </c>
      <c r="U44" s="51">
        <v>0</v>
      </c>
      <c r="V44" s="24">
        <f>U44/U12</f>
        <v>0</v>
      </c>
      <c r="W44" s="51"/>
      <c r="X44" s="24">
        <f>W44/W12</f>
        <v>0</v>
      </c>
      <c r="Y44" s="51"/>
      <c r="Z44" s="24">
        <f>Y44/Y12</f>
        <v>0</v>
      </c>
      <c r="AA44" s="144">
        <f t="shared" si="23"/>
        <v>0</v>
      </c>
      <c r="AB44" s="68">
        <f>AA44/AA12</f>
        <v>0</v>
      </c>
      <c r="AC44" s="128">
        <f t="shared" si="24"/>
        <v>0</v>
      </c>
      <c r="AD44" s="68">
        <f>AC44/AC12</f>
        <v>0</v>
      </c>
      <c r="AE44" s="595"/>
      <c r="AF44" s="393"/>
    </row>
    <row r="45" spans="1:32" s="1" customFormat="1">
      <c r="A45" s="188">
        <v>6104</v>
      </c>
      <c r="B45" s="227" t="s">
        <v>5</v>
      </c>
      <c r="C45" s="693">
        <v>3220.33</v>
      </c>
      <c r="D45" s="68">
        <f>C45/C12</f>
        <v>3.5125781240530353E-3</v>
      </c>
      <c r="E45" s="693">
        <v>3432.73</v>
      </c>
      <c r="F45" s="68">
        <f>E45/E12</f>
        <v>4.8126562838012579E-3</v>
      </c>
      <c r="G45" s="371">
        <v>3326.98</v>
      </c>
      <c r="H45" s="68">
        <f>G45/G12</f>
        <v>2.811947642991666E-3</v>
      </c>
      <c r="I45" s="693">
        <v>3427.6</v>
      </c>
      <c r="J45" s="68">
        <f>I45/I12</f>
        <v>3.2808720243797302E-3</v>
      </c>
      <c r="K45" s="693">
        <v>3182.73</v>
      </c>
      <c r="L45" s="68">
        <f>K45/K12</f>
        <v>3.330940450205714E-3</v>
      </c>
      <c r="M45" s="693">
        <v>3580.07</v>
      </c>
      <c r="N45" s="702">
        <f>M45/M12</f>
        <v>2.642327220264883E-3</v>
      </c>
      <c r="O45" s="371">
        <v>3385.7</v>
      </c>
      <c r="P45" s="702">
        <f>O45/O12</f>
        <v>3.9469717970435003E-3</v>
      </c>
      <c r="Q45" s="693">
        <v>3427.09</v>
      </c>
      <c r="R45" s="68">
        <f>Q45/Q12</f>
        <v>3.2174419818185159E-3</v>
      </c>
      <c r="S45" s="693">
        <v>2969.54</v>
      </c>
      <c r="T45" s="68">
        <f>S45/S12</f>
        <v>2.7674601886996989E-3</v>
      </c>
      <c r="U45" s="693">
        <v>3500</v>
      </c>
      <c r="V45" s="68">
        <f>U45/U12</f>
        <v>4.11219751521231E-3</v>
      </c>
      <c r="W45" s="693">
        <v>3500</v>
      </c>
      <c r="X45" s="68">
        <f>W45/W12</f>
        <v>4.0417040161128143E-3</v>
      </c>
      <c r="Y45" s="693">
        <v>3500</v>
      </c>
      <c r="Z45" s="68">
        <f>Y45/Y12</f>
        <v>2.6754496044940259E-3</v>
      </c>
      <c r="AA45" s="144">
        <f t="shared" si="23"/>
        <v>40452.770000000004</v>
      </c>
      <c r="AB45" s="68">
        <f>AA45/AA12</f>
        <v>3.3186256679060577E-3</v>
      </c>
      <c r="AC45" s="128">
        <f t="shared" si="24"/>
        <v>3371.064166666667</v>
      </c>
      <c r="AD45" s="68">
        <f>AC45/AC12</f>
        <v>3.3186256679060568E-3</v>
      </c>
      <c r="AE45" s="645"/>
      <c r="AF45" s="694"/>
    </row>
    <row r="46" spans="1:32" s="1" customFormat="1">
      <c r="A46" s="188">
        <v>6105</v>
      </c>
      <c r="B46" s="21" t="s">
        <v>39</v>
      </c>
      <c r="C46" s="436">
        <f>C12*0.24%</f>
        <v>2200.3188902975999</v>
      </c>
      <c r="D46" s="702">
        <f>C46/C$12</f>
        <v>2.3999999999999998E-3</v>
      </c>
      <c r="E46" s="436">
        <f>E12*0.24%</f>
        <v>1711.8513174792549</v>
      </c>
      <c r="F46" s="702">
        <f>E46/E$12</f>
        <v>2.3999999999999998E-3</v>
      </c>
      <c r="G46" s="436">
        <f>G12*0.24%</f>
        <v>2839.5806087999999</v>
      </c>
      <c r="H46" s="702">
        <f>G46/$G$12</f>
        <v>2.3999999999999998E-3</v>
      </c>
      <c r="I46" s="436">
        <f>I12*0.24%</f>
        <v>2507.3333976064555</v>
      </c>
      <c r="J46" s="226">
        <v>2.282921148507532E-3</v>
      </c>
      <c r="K46" s="436">
        <f>K12*0.24%</f>
        <v>2293.2118163590267</v>
      </c>
      <c r="L46" s="226">
        <v>1.4480363095715567E-3</v>
      </c>
      <c r="M46" s="436">
        <f>M12*0.24%</f>
        <v>3251.7426055727756</v>
      </c>
      <c r="N46" s="702">
        <v>1.4265472348621291E-3</v>
      </c>
      <c r="O46" s="436">
        <f>O12*0.24%</f>
        <v>2058.712455479561</v>
      </c>
      <c r="P46" s="702">
        <f>O46/O$12</f>
        <v>2.3999999999999998E-3</v>
      </c>
      <c r="Q46" s="436">
        <f>Q12*0.24%</f>
        <v>2556.3836260230478</v>
      </c>
      <c r="R46" s="702">
        <f>Q46/Q$12</f>
        <v>2.3999999999999998E-3</v>
      </c>
      <c r="S46" s="436">
        <f>S12*0.24%</f>
        <v>2575.2478858055756</v>
      </c>
      <c r="T46" s="702">
        <f>S46/S$12</f>
        <v>2.3999999999999998E-3</v>
      </c>
      <c r="U46" s="436">
        <f>U12*0.24%</f>
        <v>2042.703437499235</v>
      </c>
      <c r="V46" s="702">
        <f>U46/U12</f>
        <v>2.3999999999999998E-3</v>
      </c>
      <c r="W46" s="436">
        <f>W12*0.24%</f>
        <v>2078.3313093962925</v>
      </c>
      <c r="X46" s="702">
        <f>W46/W12</f>
        <v>2.3999999999999994E-3</v>
      </c>
      <c r="Y46" s="436">
        <f>Y16*0.24%</f>
        <v>3139.6592131245116</v>
      </c>
      <c r="Z46" s="702">
        <f>Y46/Y12</f>
        <v>2.3999999999999998E-3</v>
      </c>
      <c r="AA46" s="144">
        <f t="shared" si="23"/>
        <v>29255.076563443341</v>
      </c>
      <c r="AB46" s="68">
        <f>AA46/AA12</f>
        <v>2.3999999999999998E-3</v>
      </c>
      <c r="AC46" s="128">
        <f t="shared" si="24"/>
        <v>2437.9230469536119</v>
      </c>
      <c r="AD46" s="68">
        <f>AC46/AC12</f>
        <v>2.3999999999999998E-3</v>
      </c>
      <c r="AE46" s="593"/>
      <c r="AF46" s="557"/>
    </row>
    <row r="47" spans="1:32" s="1" customFormat="1">
      <c r="A47" s="188">
        <v>6106</v>
      </c>
      <c r="B47" s="227" t="s">
        <v>6</v>
      </c>
      <c r="C47" s="437">
        <v>300</v>
      </c>
      <c r="D47" s="24">
        <f>C47/C12</f>
        <v>3.2722529592181873E-4</v>
      </c>
      <c r="E47" s="437">
        <v>300</v>
      </c>
      <c r="F47" s="24">
        <f>E47/E12</f>
        <v>4.2059727538733819E-4</v>
      </c>
      <c r="G47" s="437">
        <v>300</v>
      </c>
      <c r="H47" s="24">
        <f>G47/G12</f>
        <v>2.5355857050463174E-4</v>
      </c>
      <c r="I47" s="437">
        <v>300</v>
      </c>
      <c r="J47" s="24">
        <f>I47/I12</f>
        <v>2.871576634712099E-4</v>
      </c>
      <c r="K47" s="437">
        <v>300</v>
      </c>
      <c r="L47" s="24">
        <f>K47/K12</f>
        <v>3.1397012472365366E-4</v>
      </c>
      <c r="M47" s="437">
        <v>300</v>
      </c>
      <c r="N47" s="24">
        <f>M47/M12</f>
        <v>2.2141973930103737E-4</v>
      </c>
      <c r="O47" s="437">
        <v>300</v>
      </c>
      <c r="P47" s="24">
        <f>O47/O12</f>
        <v>3.4973315388636033E-4</v>
      </c>
      <c r="Q47" s="437">
        <v>300</v>
      </c>
      <c r="R47" s="24">
        <f>Q47/Q12</f>
        <v>2.8164786875907981E-4</v>
      </c>
      <c r="S47" s="437">
        <v>300</v>
      </c>
      <c r="T47" s="24">
        <f>S47/S12</f>
        <v>2.7958473588835637E-4</v>
      </c>
      <c r="U47" s="437">
        <v>300</v>
      </c>
      <c r="V47" s="24">
        <f>U47/U12</f>
        <v>3.5247407273248375E-4</v>
      </c>
      <c r="W47" s="437">
        <v>300</v>
      </c>
      <c r="X47" s="24">
        <f>W47/W12</f>
        <v>3.4643177280966979E-4</v>
      </c>
      <c r="Y47" s="437">
        <v>300</v>
      </c>
      <c r="Z47" s="24">
        <f>Y47/Y12</f>
        <v>2.2932425181377365E-4</v>
      </c>
      <c r="AA47" s="144">
        <f t="shared" si="23"/>
        <v>3600</v>
      </c>
      <c r="AB47" s="68">
        <f>AA47/AA12</f>
        <v>2.9533335799901482E-4</v>
      </c>
      <c r="AC47" s="128">
        <f t="shared" si="24"/>
        <v>300</v>
      </c>
      <c r="AD47" s="68">
        <f>AC47/AC12</f>
        <v>2.9533335799901476E-4</v>
      </c>
      <c r="AE47" s="595"/>
      <c r="AF47" s="393"/>
    </row>
    <row r="48" spans="1:32" s="1" customFormat="1">
      <c r="A48" s="188">
        <v>6107</v>
      </c>
      <c r="B48" s="227" t="s">
        <v>7</v>
      </c>
      <c r="C48" s="75">
        <v>0</v>
      </c>
      <c r="D48" s="24">
        <f>C48/C12</f>
        <v>0</v>
      </c>
      <c r="E48" s="113">
        <v>0</v>
      </c>
      <c r="F48" s="24">
        <f>E48/E12</f>
        <v>0</v>
      </c>
      <c r="H48" s="24">
        <f>G48/G12</f>
        <v>0</v>
      </c>
      <c r="I48" s="75">
        <v>0</v>
      </c>
      <c r="J48" s="24">
        <f>I48/I12</f>
        <v>0</v>
      </c>
      <c r="K48" s="31">
        <v>0</v>
      </c>
      <c r="L48" s="24">
        <f>K48/K12</f>
        <v>0</v>
      </c>
      <c r="M48" s="31">
        <v>0</v>
      </c>
      <c r="N48" s="24">
        <f>M48/M12</f>
        <v>0</v>
      </c>
      <c r="P48" s="24">
        <f>O48/O12</f>
        <v>0</v>
      </c>
      <c r="Q48" s="31"/>
      <c r="R48" s="24">
        <f>Q48/Q12</f>
        <v>0</v>
      </c>
      <c r="S48" s="31"/>
      <c r="T48" s="24">
        <f>S48/S12</f>
        <v>0</v>
      </c>
      <c r="U48" s="31"/>
      <c r="V48" s="24">
        <f>U48/U12</f>
        <v>0</v>
      </c>
      <c r="W48" s="31"/>
      <c r="X48" s="24">
        <f>W48/W12</f>
        <v>0</v>
      </c>
      <c r="Y48" s="31"/>
      <c r="Z48" s="24">
        <f>Y48/Y12</f>
        <v>0</v>
      </c>
      <c r="AA48" s="144">
        <f t="shared" si="23"/>
        <v>0</v>
      </c>
      <c r="AB48" s="68">
        <f>AA48/AA12</f>
        <v>0</v>
      </c>
      <c r="AC48" s="128">
        <f t="shared" si="24"/>
        <v>0</v>
      </c>
      <c r="AD48" s="68">
        <f>AC48/AC12</f>
        <v>0</v>
      </c>
      <c r="AE48" s="595"/>
      <c r="AF48" s="393"/>
    </row>
    <row r="49" spans="1:33" s="1" customFormat="1">
      <c r="A49" s="188">
        <v>6108</v>
      </c>
      <c r="B49" s="227" t="s">
        <v>8</v>
      </c>
      <c r="C49" s="75">
        <v>0</v>
      </c>
      <c r="D49" s="24">
        <f>C49/C12</f>
        <v>0</v>
      </c>
      <c r="E49" s="113">
        <v>0</v>
      </c>
      <c r="F49" s="24">
        <f>E49/E12</f>
        <v>0</v>
      </c>
      <c r="H49" s="24">
        <f>G49/G12</f>
        <v>0</v>
      </c>
      <c r="I49" s="75"/>
      <c r="J49" s="24">
        <f>I49/I12</f>
        <v>0</v>
      </c>
      <c r="K49" s="31">
        <v>0</v>
      </c>
      <c r="L49" s="24">
        <f>K49/K12</f>
        <v>0</v>
      </c>
      <c r="M49" s="31"/>
      <c r="N49" s="24">
        <f>M49/M12</f>
        <v>0</v>
      </c>
      <c r="P49" s="24">
        <f>O49/O12</f>
        <v>0</v>
      </c>
      <c r="Q49" s="31">
        <v>0</v>
      </c>
      <c r="R49" s="24">
        <f>Q49/Q12</f>
        <v>0</v>
      </c>
      <c r="S49" s="31"/>
      <c r="T49" s="24">
        <f>S49/S12</f>
        <v>0</v>
      </c>
      <c r="U49" s="31"/>
      <c r="V49" s="24">
        <f>U49/U12</f>
        <v>0</v>
      </c>
      <c r="W49" s="31"/>
      <c r="X49" s="24">
        <f>W49/W12</f>
        <v>0</v>
      </c>
      <c r="Y49" s="31"/>
      <c r="Z49" s="24">
        <f>Y49/Y12</f>
        <v>0</v>
      </c>
      <c r="AA49" s="144">
        <f t="shared" si="23"/>
        <v>0</v>
      </c>
      <c r="AB49" s="68">
        <f>AA49/AA12</f>
        <v>0</v>
      </c>
      <c r="AC49" s="128">
        <f t="shared" si="24"/>
        <v>0</v>
      </c>
      <c r="AD49" s="68">
        <f>AC49/AC12</f>
        <v>0</v>
      </c>
      <c r="AE49" s="595"/>
      <c r="AF49" s="393"/>
    </row>
    <row r="50" spans="1:33" s="1" customFormat="1">
      <c r="A50" s="188">
        <v>6109</v>
      </c>
      <c r="B50" s="227" t="s">
        <v>79</v>
      </c>
      <c r="C50" s="113"/>
      <c r="D50" s="24">
        <f>C50/C12</f>
        <v>0</v>
      </c>
      <c r="E50" s="113"/>
      <c r="F50" s="24">
        <f>E50/E12</f>
        <v>0</v>
      </c>
      <c r="H50" s="24">
        <f>G50/G12</f>
        <v>0</v>
      </c>
      <c r="I50" s="113"/>
      <c r="J50" s="24">
        <f>I50/I12</f>
        <v>0</v>
      </c>
      <c r="K50" s="113"/>
      <c r="L50" s="24">
        <f>K50/K12</f>
        <v>0</v>
      </c>
      <c r="M50" s="113"/>
      <c r="N50" s="24">
        <f>M50/M12</f>
        <v>0</v>
      </c>
      <c r="P50" s="24">
        <f>O50/O12</f>
        <v>0</v>
      </c>
      <c r="Q50" s="113"/>
      <c r="R50" s="24">
        <f>Q50/Q12</f>
        <v>0</v>
      </c>
      <c r="S50" s="113"/>
      <c r="T50" s="24">
        <f>S50/S12</f>
        <v>0</v>
      </c>
      <c r="U50" s="113"/>
      <c r="V50" s="24">
        <f>U50/U12</f>
        <v>0</v>
      </c>
      <c r="W50" s="113"/>
      <c r="X50" s="24">
        <f>W50/W12</f>
        <v>0</v>
      </c>
      <c r="Y50" s="113"/>
      <c r="Z50" s="24">
        <f>Y50/Y12</f>
        <v>0</v>
      </c>
      <c r="AA50" s="144">
        <f t="shared" si="23"/>
        <v>0</v>
      </c>
      <c r="AB50" s="68">
        <f>AA50/AA12</f>
        <v>0</v>
      </c>
      <c r="AC50" s="128">
        <f t="shared" si="24"/>
        <v>0</v>
      </c>
      <c r="AD50" s="68">
        <f>AC50/AC12</f>
        <v>0</v>
      </c>
      <c r="AE50" s="595"/>
      <c r="AF50" s="393"/>
    </row>
    <row r="51" spans="1:33" s="1" customFormat="1">
      <c r="A51" s="188">
        <v>6110</v>
      </c>
      <c r="B51" s="188" t="s">
        <v>9</v>
      </c>
      <c r="C51" s="432">
        <v>250</v>
      </c>
      <c r="D51" s="702">
        <f>C51/C12</f>
        <v>2.7268774660151561E-4</v>
      </c>
      <c r="E51" s="432">
        <v>250</v>
      </c>
      <c r="F51" s="702">
        <f>E51/E12</f>
        <v>3.5049772948944852E-4</v>
      </c>
      <c r="G51" s="432">
        <v>250</v>
      </c>
      <c r="H51" s="702">
        <f>G51/G12</f>
        <v>2.1129880875385979E-4</v>
      </c>
      <c r="I51" s="432">
        <v>250</v>
      </c>
      <c r="J51" s="702">
        <f>I51/I12</f>
        <v>2.3929805289267493E-4</v>
      </c>
      <c r="K51" s="432">
        <v>250</v>
      </c>
      <c r="L51" s="702">
        <f>K51/K12</f>
        <v>2.6164177060304471E-4</v>
      </c>
      <c r="M51" s="432">
        <v>250</v>
      </c>
      <c r="N51" s="702">
        <f>M51/M12</f>
        <v>1.8451644941753112E-4</v>
      </c>
      <c r="O51" s="432">
        <v>250</v>
      </c>
      <c r="P51" s="702">
        <f>O51/O12</f>
        <v>2.9144429490530024E-4</v>
      </c>
      <c r="Q51" s="432">
        <v>250</v>
      </c>
      <c r="R51" s="702">
        <f>Q51/Q12</f>
        <v>2.3470655729923315E-4</v>
      </c>
      <c r="S51" s="432">
        <v>250</v>
      </c>
      <c r="T51" s="702">
        <f>S51/S12</f>
        <v>2.3298727990696361E-4</v>
      </c>
      <c r="U51" s="432">
        <v>250</v>
      </c>
      <c r="V51" s="702">
        <f>U51/U12</f>
        <v>2.9372839394373645E-4</v>
      </c>
      <c r="W51" s="432">
        <v>250</v>
      </c>
      <c r="X51" s="702">
        <f>W51/W12</f>
        <v>2.8869314400805816E-4</v>
      </c>
      <c r="Y51" s="432">
        <v>250</v>
      </c>
      <c r="Z51" s="702">
        <f>Y51/Y12</f>
        <v>1.9110354317814472E-4</v>
      </c>
      <c r="AA51" s="144">
        <f t="shared" si="23"/>
        <v>3000</v>
      </c>
      <c r="AB51" s="68">
        <f>AA51/AA12</f>
        <v>2.4611113166584568E-4</v>
      </c>
      <c r="AC51" s="128">
        <f t="shared" si="24"/>
        <v>250</v>
      </c>
      <c r="AD51" s="68">
        <f>AC51/AC12</f>
        <v>2.4611113166584563E-4</v>
      </c>
      <c r="AE51" s="645"/>
      <c r="AF51" s="694"/>
    </row>
    <row r="52" spans="1:33" s="1" customFormat="1">
      <c r="A52" s="188">
        <v>6111</v>
      </c>
      <c r="B52" s="227" t="s">
        <v>10</v>
      </c>
      <c r="C52" s="61">
        <v>0</v>
      </c>
      <c r="D52" s="24">
        <f>C52/C12</f>
        <v>0</v>
      </c>
      <c r="E52" s="61">
        <v>0</v>
      </c>
      <c r="F52" s="24">
        <f>E52/E12</f>
        <v>0</v>
      </c>
      <c r="H52" s="24">
        <f>G52/G12</f>
        <v>0</v>
      </c>
      <c r="I52" s="61">
        <v>0</v>
      </c>
      <c r="J52" s="24">
        <f>I52/I12</f>
        <v>0</v>
      </c>
      <c r="K52" s="61">
        <v>0</v>
      </c>
      <c r="L52" s="24">
        <f>K52/K12</f>
        <v>0</v>
      </c>
      <c r="M52" s="418">
        <v>0</v>
      </c>
      <c r="N52" s="24">
        <f>M52/M12</f>
        <v>0</v>
      </c>
      <c r="P52" s="24">
        <f>O52/O12</f>
        <v>0</v>
      </c>
      <c r="Q52" s="433"/>
      <c r="R52" s="24">
        <f>Q52/Q12</f>
        <v>0</v>
      </c>
      <c r="S52" s="433">
        <v>0</v>
      </c>
      <c r="T52" s="24">
        <f>S52/S12</f>
        <v>0</v>
      </c>
      <c r="U52" s="433">
        <v>0</v>
      </c>
      <c r="V52" s="24">
        <f>U52/U12</f>
        <v>0</v>
      </c>
      <c r="W52" s="433">
        <v>0</v>
      </c>
      <c r="X52" s="24">
        <f>W52/W12</f>
        <v>0</v>
      </c>
      <c r="Y52" s="433">
        <v>0</v>
      </c>
      <c r="Z52" s="24">
        <f>Y52/Y12</f>
        <v>0</v>
      </c>
      <c r="AA52" s="144">
        <f t="shared" si="23"/>
        <v>0</v>
      </c>
      <c r="AB52" s="68">
        <f>AA52/AA12</f>
        <v>0</v>
      </c>
      <c r="AC52" s="305">
        <f t="shared" si="24"/>
        <v>0</v>
      </c>
      <c r="AD52" s="68">
        <f>AC52/AC12</f>
        <v>0</v>
      </c>
      <c r="AE52" s="595"/>
      <c r="AF52" s="393"/>
    </row>
    <row r="53" spans="1:33" s="1" customFormat="1">
      <c r="A53" s="188">
        <v>6112</v>
      </c>
      <c r="B53" s="188" t="s">
        <v>11</v>
      </c>
      <c r="C53" s="705">
        <v>2200</v>
      </c>
      <c r="D53" s="702">
        <f>C53/C12</f>
        <v>2.3996521700933374E-3</v>
      </c>
      <c r="E53" s="705">
        <v>2200</v>
      </c>
      <c r="F53" s="702">
        <f>E53/E12</f>
        <v>3.084380019507147E-3</v>
      </c>
      <c r="G53" s="705">
        <v>2200</v>
      </c>
      <c r="H53" s="702">
        <f>G53/G12</f>
        <v>1.8594295170339661E-3</v>
      </c>
      <c r="I53" s="705">
        <v>2200</v>
      </c>
      <c r="J53" s="702">
        <f>I53/I12</f>
        <v>2.1058228654555391E-3</v>
      </c>
      <c r="K53" s="705">
        <v>2200</v>
      </c>
      <c r="L53" s="702">
        <f>K53/K12</f>
        <v>2.3024475813067935E-3</v>
      </c>
      <c r="M53" s="705">
        <v>2200</v>
      </c>
      <c r="N53" s="702">
        <f>M53/M12</f>
        <v>1.6237447548742739E-3</v>
      </c>
      <c r="O53" s="705">
        <v>2200</v>
      </c>
      <c r="P53" s="702">
        <f>O53/O12</f>
        <v>2.5647097951666423E-3</v>
      </c>
      <c r="Q53" s="705">
        <v>2200</v>
      </c>
      <c r="R53" s="702">
        <f>Q53/Q12</f>
        <v>2.065417704233252E-3</v>
      </c>
      <c r="S53" s="705">
        <v>2200</v>
      </c>
      <c r="T53" s="702">
        <f>S53/S12</f>
        <v>2.05028806318128E-3</v>
      </c>
      <c r="U53" s="705">
        <v>2200</v>
      </c>
      <c r="V53" s="702">
        <f>U53/U12</f>
        <v>2.584809866704881E-3</v>
      </c>
      <c r="W53" s="705">
        <v>2200</v>
      </c>
      <c r="X53" s="702">
        <f>W53/W12</f>
        <v>2.5404996672709116E-3</v>
      </c>
      <c r="Y53" s="705">
        <v>2200</v>
      </c>
      <c r="Z53" s="702">
        <f>Y53/Y12</f>
        <v>1.6817111799676736E-3</v>
      </c>
      <c r="AA53" s="144">
        <f t="shared" si="23"/>
        <v>26400</v>
      </c>
      <c r="AB53" s="702">
        <f>AA53/AA12</f>
        <v>2.165777958659442E-3</v>
      </c>
      <c r="AC53" s="128">
        <f t="shared" si="24"/>
        <v>2200</v>
      </c>
      <c r="AD53" s="702">
        <f>AC53/AC12</f>
        <v>2.1657779586594416E-3</v>
      </c>
      <c r="AE53" s="645"/>
      <c r="AF53" s="694"/>
      <c r="AG53" s="226"/>
    </row>
    <row r="54" spans="1:33" s="1" customFormat="1">
      <c r="A54" s="188">
        <v>6113</v>
      </c>
      <c r="B54" s="227" t="s">
        <v>12</v>
      </c>
      <c r="C54" s="61"/>
      <c r="D54" s="24">
        <f>C54/C12</f>
        <v>0</v>
      </c>
      <c r="E54" s="703"/>
      <c r="F54" s="24">
        <f>E54/E12</f>
        <v>0</v>
      </c>
      <c r="H54" s="24">
        <f>G54/G12</f>
        <v>0</v>
      </c>
      <c r="I54" s="61"/>
      <c r="J54" s="24">
        <f>I54/I12</f>
        <v>0</v>
      </c>
      <c r="K54" s="26">
        <v>0</v>
      </c>
      <c r="L54" s="24">
        <f>K54/K12</f>
        <v>0</v>
      </c>
      <c r="M54" s="420"/>
      <c r="N54" s="24">
        <f>M54/M12</f>
        <v>0</v>
      </c>
      <c r="P54" s="24">
        <f>O54/O12</f>
        <v>0</v>
      </c>
      <c r="Q54" s="26"/>
      <c r="R54" s="24">
        <f>Q54/Q12</f>
        <v>0</v>
      </c>
      <c r="S54" s="26"/>
      <c r="T54" s="24">
        <f>S54/S12</f>
        <v>0</v>
      </c>
      <c r="U54" s="61"/>
      <c r="V54" s="24">
        <f>U54/U12</f>
        <v>0</v>
      </c>
      <c r="W54" s="61"/>
      <c r="X54" s="24">
        <f>W54/W12</f>
        <v>0</v>
      </c>
      <c r="Y54" s="61"/>
      <c r="Z54" s="24">
        <f>Y54/Y12</f>
        <v>0</v>
      </c>
      <c r="AA54" s="144">
        <f t="shared" si="23"/>
        <v>0</v>
      </c>
      <c r="AB54" s="68">
        <f>AA54/AA12</f>
        <v>0</v>
      </c>
      <c r="AC54" s="128">
        <f t="shared" si="24"/>
        <v>0</v>
      </c>
      <c r="AD54" s="68">
        <f>AC54/AC12</f>
        <v>0</v>
      </c>
      <c r="AE54" s="595"/>
      <c r="AF54" s="393"/>
    </row>
    <row r="55" spans="1:33" s="1" customFormat="1">
      <c r="A55" s="188">
        <v>6114</v>
      </c>
      <c r="B55" s="227" t="s">
        <v>88</v>
      </c>
      <c r="C55" s="31">
        <v>2000</v>
      </c>
      <c r="D55" s="702">
        <f>C55/C12</f>
        <v>2.1815019728121249E-3</v>
      </c>
      <c r="E55" s="31">
        <v>2000</v>
      </c>
      <c r="F55" s="702">
        <f>E55/E12</f>
        <v>2.8039818359155881E-3</v>
      </c>
      <c r="G55" s="31">
        <v>2000</v>
      </c>
      <c r="H55" s="702">
        <f>G55/G12</f>
        <v>1.6903904700308783E-3</v>
      </c>
      <c r="I55" s="31">
        <v>2000</v>
      </c>
      <c r="J55" s="702">
        <f>I55/I12</f>
        <v>1.9143844231413994E-3</v>
      </c>
      <c r="K55" s="31">
        <v>2000</v>
      </c>
      <c r="L55" s="702">
        <f>K55/K12</f>
        <v>2.0931341648243577E-3</v>
      </c>
      <c r="M55" s="31">
        <v>2000</v>
      </c>
      <c r="N55" s="702">
        <f>M55/M12</f>
        <v>1.476131595340249E-3</v>
      </c>
      <c r="O55" s="31">
        <v>2000</v>
      </c>
      <c r="P55" s="702">
        <f>O55/O12</f>
        <v>2.3315543592424019E-3</v>
      </c>
      <c r="Q55" s="31">
        <v>2000</v>
      </c>
      <c r="R55" s="702">
        <f>Q55/Q12</f>
        <v>1.8776524583938652E-3</v>
      </c>
      <c r="S55" s="31">
        <v>2000</v>
      </c>
      <c r="T55" s="702">
        <f>S55/S12</f>
        <v>1.8638982392557089E-3</v>
      </c>
      <c r="U55" s="31">
        <v>2000</v>
      </c>
      <c r="V55" s="702">
        <f>U55/U12</f>
        <v>2.3498271515498916E-3</v>
      </c>
      <c r="W55" s="31">
        <v>2000</v>
      </c>
      <c r="X55" s="702">
        <f>W55/W12</f>
        <v>2.3095451520644653E-3</v>
      </c>
      <c r="Y55" s="31">
        <v>2000</v>
      </c>
      <c r="Z55" s="702">
        <f>Y55/Y12</f>
        <v>1.5288283454251577E-3</v>
      </c>
      <c r="AA55" s="144">
        <f t="shared" si="23"/>
        <v>24000</v>
      </c>
      <c r="AB55" s="68">
        <f>AA55/AA12</f>
        <v>1.9688890533267655E-3</v>
      </c>
      <c r="AC55" s="128">
        <f t="shared" si="24"/>
        <v>2000</v>
      </c>
      <c r="AD55" s="68">
        <f>AC55/AC12</f>
        <v>1.968889053326765E-3</v>
      </c>
      <c r="AE55" s="645"/>
      <c r="AF55" s="393"/>
    </row>
    <row r="56" spans="1:33" s="1" customFormat="1">
      <c r="A56" s="188">
        <v>6115</v>
      </c>
      <c r="B56" s="227" t="s">
        <v>13</v>
      </c>
      <c r="C56" s="437">
        <v>300</v>
      </c>
      <c r="D56" s="24">
        <f>C56/C12</f>
        <v>3.2722529592181873E-4</v>
      </c>
      <c r="E56" s="437">
        <v>300</v>
      </c>
      <c r="F56" s="24">
        <f>E56/E12</f>
        <v>4.2059727538733819E-4</v>
      </c>
      <c r="G56" s="437">
        <f>300+1000</f>
        <v>1300</v>
      </c>
      <c r="H56" s="24">
        <f>G56/G12</f>
        <v>1.0987538055200708E-3</v>
      </c>
      <c r="I56" s="437">
        <v>300</v>
      </c>
      <c r="J56" s="24">
        <f>I56/I12</f>
        <v>2.871576634712099E-4</v>
      </c>
      <c r="K56" s="437">
        <v>300</v>
      </c>
      <c r="L56" s="24">
        <f>K56/K12</f>
        <v>3.1397012472365366E-4</v>
      </c>
      <c r="M56" s="437">
        <v>300</v>
      </c>
      <c r="N56" s="24">
        <f>M56/M12</f>
        <v>2.2141973930103737E-4</v>
      </c>
      <c r="O56" s="437">
        <v>300</v>
      </c>
      <c r="P56" s="24">
        <f>O56/O12</f>
        <v>3.4973315388636033E-4</v>
      </c>
      <c r="Q56" s="437">
        <v>300</v>
      </c>
      <c r="R56" s="24">
        <f>Q56/Q12</f>
        <v>2.8164786875907981E-4</v>
      </c>
      <c r="S56" s="437">
        <v>300</v>
      </c>
      <c r="T56" s="24">
        <f>S56/S12</f>
        <v>2.7958473588835637E-4</v>
      </c>
      <c r="U56" s="437">
        <v>300</v>
      </c>
      <c r="V56" s="24">
        <f>U56/U12</f>
        <v>3.5247407273248375E-4</v>
      </c>
      <c r="W56" s="437">
        <v>300</v>
      </c>
      <c r="X56" s="24">
        <f>W56/W12</f>
        <v>3.4643177280966979E-4</v>
      </c>
      <c r="Y56" s="437">
        <v>300</v>
      </c>
      <c r="Z56" s="24">
        <f>Y56/Y12</f>
        <v>2.2932425181377365E-4</v>
      </c>
      <c r="AA56" s="144">
        <f>C56+E56+G56+I56+K56+M56+O56+Q56+S56+U56+W56+Y56</f>
        <v>4600</v>
      </c>
      <c r="AB56" s="68">
        <f>AA56/AA12</f>
        <v>3.7737040188763003E-4</v>
      </c>
      <c r="AC56" s="128">
        <f t="shared" si="24"/>
        <v>383.33333333333331</v>
      </c>
      <c r="AD56" s="68">
        <f>AC56/AC12</f>
        <v>3.7737040188762992E-4</v>
      </c>
      <c r="AE56" s="595"/>
      <c r="AF56" s="374"/>
    </row>
    <row r="57" spans="1:33" s="1" customFormat="1">
      <c r="A57" s="188">
        <v>6116</v>
      </c>
      <c r="B57" s="227" t="s">
        <v>14</v>
      </c>
      <c r="C57" s="31">
        <f>2954.22+250</f>
        <v>3204.22</v>
      </c>
      <c r="D57" s="68">
        <f>C57/C12</f>
        <v>3.4950061256620335E-3</v>
      </c>
      <c r="E57" s="31">
        <f>2954.22+250</f>
        <v>3204.22</v>
      </c>
      <c r="F57" s="68">
        <f>E57/E12</f>
        <v>4.4922873391387225E-3</v>
      </c>
      <c r="G57" s="31">
        <f>2954.22+250</f>
        <v>3204.22</v>
      </c>
      <c r="H57" s="68">
        <f>G57/G12</f>
        <v>2.7081914759411706E-3</v>
      </c>
      <c r="I57" s="31">
        <f>2954.22+250</f>
        <v>3204.22</v>
      </c>
      <c r="J57" s="68">
        <f>I57/I12</f>
        <v>3.0670544281590673E-3</v>
      </c>
      <c r="K57" s="31">
        <f>2954.22+250</f>
        <v>3204.22</v>
      </c>
      <c r="L57" s="68">
        <f>K57/K12</f>
        <v>3.3534311768067516E-3</v>
      </c>
      <c r="M57" s="31">
        <f>2954.22+250</f>
        <v>3204.22</v>
      </c>
      <c r="N57" s="702">
        <f>M57/M12</f>
        <v>2.3649251902105664E-3</v>
      </c>
      <c r="O57" s="31">
        <f>2954.22+250</f>
        <v>3204.22</v>
      </c>
      <c r="P57" s="702">
        <f>O57/O12</f>
        <v>3.7354065544858445E-3</v>
      </c>
      <c r="Q57" s="31">
        <f>2954.22+250</f>
        <v>3204.22</v>
      </c>
      <c r="R57" s="68">
        <f>Q57/Q12</f>
        <v>3.0082057801173955E-3</v>
      </c>
      <c r="S57" s="31">
        <v>2954.22</v>
      </c>
      <c r="T57" s="68">
        <f>S57/S12</f>
        <v>2.7531827281870001E-3</v>
      </c>
      <c r="U57" s="31">
        <f>2954.22+250</f>
        <v>3204.22</v>
      </c>
      <c r="V57" s="68">
        <f>U57/U12</f>
        <v>3.7646815777695967E-3</v>
      </c>
      <c r="W57" s="31">
        <f>2954.22+250</f>
        <v>3204.22</v>
      </c>
      <c r="X57" s="68">
        <f>W57/W12</f>
        <v>3.700145383574E-3</v>
      </c>
      <c r="Y57" s="31">
        <f>2954.22+250</f>
        <v>3204.22</v>
      </c>
      <c r="Z57" s="68">
        <f>Y57/Y12</f>
        <v>2.4493511804890991E-3</v>
      </c>
      <c r="AA57" s="144">
        <f t="shared" si="23"/>
        <v>38200.640000000007</v>
      </c>
      <c r="AB57" s="68">
        <f>AA57/AA12</f>
        <v>3.1338675802531908E-3</v>
      </c>
      <c r="AC57" s="128">
        <f t="shared" si="24"/>
        <v>3183.3866666666672</v>
      </c>
      <c r="AD57" s="68">
        <f>AC57/AC12</f>
        <v>3.1338675802531904E-3</v>
      </c>
      <c r="AE57" s="658"/>
      <c r="AF57" s="393"/>
    </row>
    <row r="58" spans="1:33" s="1" customFormat="1">
      <c r="A58" s="188">
        <v>6117</v>
      </c>
      <c r="B58" s="227" t="s">
        <v>15</v>
      </c>
      <c r="C58" s="61"/>
      <c r="D58" s="24">
        <f>C58/C12</f>
        <v>0</v>
      </c>
      <c r="E58" s="703"/>
      <c r="F58" s="24">
        <f>E58/E12</f>
        <v>0</v>
      </c>
      <c r="H58" s="24">
        <f>G58/G12</f>
        <v>0</v>
      </c>
      <c r="I58" s="61"/>
      <c r="J58" s="24">
        <f>I58/I12</f>
        <v>0</v>
      </c>
      <c r="K58" s="26">
        <v>0</v>
      </c>
      <c r="L58" s="24">
        <f>K58/K12</f>
        <v>0</v>
      </c>
      <c r="M58" s="26"/>
      <c r="N58" s="24">
        <f>M58/M12</f>
        <v>0</v>
      </c>
      <c r="P58" s="24">
        <f>O58/O12</f>
        <v>0</v>
      </c>
      <c r="Q58" s="26"/>
      <c r="R58" s="24">
        <f>Q58/Q12</f>
        <v>0</v>
      </c>
      <c r="S58" s="26"/>
      <c r="T58" s="24">
        <f>S58/S12</f>
        <v>0</v>
      </c>
      <c r="U58" s="61"/>
      <c r="V58" s="24">
        <f>U58/U12</f>
        <v>0</v>
      </c>
      <c r="W58" s="61"/>
      <c r="X58" s="24">
        <f>W58/W12</f>
        <v>0</v>
      </c>
      <c r="Y58" s="61"/>
      <c r="Z58" s="24">
        <f>Y58/Y12</f>
        <v>0</v>
      </c>
      <c r="AA58" s="144">
        <f t="shared" si="23"/>
        <v>0</v>
      </c>
      <c r="AB58" s="68">
        <f>AA58/AA12</f>
        <v>0</v>
      </c>
      <c r="AC58" s="128">
        <f t="shared" si="24"/>
        <v>0</v>
      </c>
      <c r="AD58" s="68">
        <f>AC58/AC12</f>
        <v>0</v>
      </c>
      <c r="AE58" s="595"/>
      <c r="AF58" s="393"/>
    </row>
    <row r="59" spans="1:33" s="1" customFormat="1">
      <c r="A59" s="188">
        <v>6118</v>
      </c>
      <c r="B59" s="227" t="s">
        <v>16</v>
      </c>
      <c r="C59" s="75"/>
      <c r="D59" s="24">
        <f>C59/C12</f>
        <v>0</v>
      </c>
      <c r="E59" s="113"/>
      <c r="F59" s="24">
        <f>E59/E12</f>
        <v>0</v>
      </c>
      <c r="H59" s="24">
        <f>G59/G12</f>
        <v>0</v>
      </c>
      <c r="I59" s="75"/>
      <c r="J59" s="24">
        <f>I59/I12</f>
        <v>0</v>
      </c>
      <c r="K59" s="31">
        <v>0</v>
      </c>
      <c r="L59" s="24">
        <f>K59/K12</f>
        <v>0</v>
      </c>
      <c r="M59" s="31"/>
      <c r="N59" s="24">
        <f>M59/M12</f>
        <v>0</v>
      </c>
      <c r="P59" s="24">
        <f>O59/O12</f>
        <v>0</v>
      </c>
      <c r="Q59" s="31"/>
      <c r="R59" s="24">
        <f>Q59/Q12</f>
        <v>0</v>
      </c>
      <c r="S59" s="31"/>
      <c r="T59" s="24">
        <f>S59/S12</f>
        <v>0</v>
      </c>
      <c r="U59" s="75"/>
      <c r="V59" s="24">
        <f>U59/U12</f>
        <v>0</v>
      </c>
      <c r="W59" s="75"/>
      <c r="X59" s="24">
        <f>W59/W12</f>
        <v>0</v>
      </c>
      <c r="Y59" s="75"/>
      <c r="Z59" s="24">
        <f>Y59/Y12</f>
        <v>0</v>
      </c>
      <c r="AA59" s="144">
        <f t="shared" si="23"/>
        <v>0</v>
      </c>
      <c r="AB59" s="68">
        <f>AA59/AA12</f>
        <v>0</v>
      </c>
      <c r="AC59" s="128">
        <f t="shared" si="24"/>
        <v>0</v>
      </c>
      <c r="AD59" s="68">
        <f>AC59/AC12</f>
        <v>0</v>
      </c>
      <c r="AE59" s="595"/>
      <c r="AF59" s="393"/>
    </row>
    <row r="60" spans="1:33" s="1" customFormat="1">
      <c r="A60" s="188">
        <v>6119</v>
      </c>
      <c r="B60" s="227" t="s">
        <v>17</v>
      </c>
      <c r="C60" s="61"/>
      <c r="D60" s="24">
        <f>C60/C12</f>
        <v>0</v>
      </c>
      <c r="E60" s="703"/>
      <c r="F60" s="24">
        <f>E60/E12</f>
        <v>0</v>
      </c>
      <c r="H60" s="24">
        <f>G60/G12</f>
        <v>0</v>
      </c>
      <c r="I60" s="61"/>
      <c r="J60" s="24">
        <f>I60/I12</f>
        <v>0</v>
      </c>
      <c r="K60" s="26">
        <v>0</v>
      </c>
      <c r="L60" s="24">
        <f>K60/K12</f>
        <v>0</v>
      </c>
      <c r="M60" s="26"/>
      <c r="N60" s="24">
        <f>M60/M12</f>
        <v>0</v>
      </c>
      <c r="P60" s="24">
        <f>O60/O12</f>
        <v>0</v>
      </c>
      <c r="Q60" s="26"/>
      <c r="R60" s="24">
        <f>Q60/Q12</f>
        <v>0</v>
      </c>
      <c r="S60" s="26"/>
      <c r="T60" s="24">
        <f>S60/S12</f>
        <v>0</v>
      </c>
      <c r="U60" s="61"/>
      <c r="V60" s="24">
        <f>U60/U12</f>
        <v>0</v>
      </c>
      <c r="W60" s="61"/>
      <c r="X60" s="24">
        <f>W60/W12</f>
        <v>0</v>
      </c>
      <c r="Y60" s="61"/>
      <c r="Z60" s="24">
        <f>Y60/Y12</f>
        <v>0</v>
      </c>
      <c r="AA60" s="144">
        <f t="shared" si="23"/>
        <v>0</v>
      </c>
      <c r="AB60" s="68">
        <f>AA60/AA12</f>
        <v>0</v>
      </c>
      <c r="AC60" s="128">
        <f t="shared" si="24"/>
        <v>0</v>
      </c>
      <c r="AD60" s="68">
        <f>AC60/AC12</f>
        <v>0</v>
      </c>
      <c r="AE60" s="595"/>
      <c r="AF60" s="393"/>
    </row>
    <row r="61" spans="1:33" s="1" customFormat="1">
      <c r="A61" s="188">
        <v>6120</v>
      </c>
      <c r="B61" s="227" t="s">
        <v>18</v>
      </c>
      <c r="C61" s="61"/>
      <c r="D61" s="24">
        <f>C61/C12</f>
        <v>0</v>
      </c>
      <c r="E61" s="703"/>
      <c r="F61" s="24">
        <f>E61/E12</f>
        <v>0</v>
      </c>
      <c r="H61" s="24">
        <f>G61/G12</f>
        <v>0</v>
      </c>
      <c r="I61" s="61"/>
      <c r="J61" s="24">
        <f>I61/I12</f>
        <v>0</v>
      </c>
      <c r="K61" s="26">
        <v>0</v>
      </c>
      <c r="L61" s="24">
        <f>K61/K12</f>
        <v>0</v>
      </c>
      <c r="M61" s="26"/>
      <c r="N61" s="24">
        <f>M61/M12</f>
        <v>0</v>
      </c>
      <c r="P61" s="24">
        <f>O61/O12</f>
        <v>0</v>
      </c>
      <c r="Q61" s="26"/>
      <c r="R61" s="24">
        <f>Q61/Q12</f>
        <v>0</v>
      </c>
      <c r="S61" s="26"/>
      <c r="T61" s="24">
        <f>S61/S12</f>
        <v>0</v>
      </c>
      <c r="U61" s="61"/>
      <c r="V61" s="24">
        <f>U61/U12</f>
        <v>0</v>
      </c>
      <c r="W61" s="61"/>
      <c r="X61" s="24">
        <f>W61/W12</f>
        <v>0</v>
      </c>
      <c r="Y61" s="61"/>
      <c r="Z61" s="24">
        <f>Y61/Y12</f>
        <v>0</v>
      </c>
      <c r="AA61" s="144">
        <f t="shared" si="23"/>
        <v>0</v>
      </c>
      <c r="AB61" s="68">
        <f>AA61/AA12</f>
        <v>0</v>
      </c>
      <c r="AC61" s="128">
        <f t="shared" si="24"/>
        <v>0</v>
      </c>
      <c r="AD61" s="68">
        <f>AC61/AC12</f>
        <v>0</v>
      </c>
      <c r="AE61" s="595"/>
      <c r="AF61" s="393"/>
    </row>
    <row r="62" spans="1:33" s="1" customFormat="1">
      <c r="A62" s="188">
        <v>6121</v>
      </c>
      <c r="B62" s="188" t="s">
        <v>19</v>
      </c>
      <c r="C62" s="705">
        <v>325</v>
      </c>
      <c r="D62" s="68">
        <f>C62/C12</f>
        <v>3.5449407058197029E-4</v>
      </c>
      <c r="E62" s="705">
        <v>325</v>
      </c>
      <c r="F62" s="68">
        <f>E62/E12</f>
        <v>4.5564704833628305E-4</v>
      </c>
      <c r="G62" s="705">
        <v>325</v>
      </c>
      <c r="H62" s="68">
        <f>G62/G12</f>
        <v>2.7468845138001771E-4</v>
      </c>
      <c r="I62" s="705">
        <v>325</v>
      </c>
      <c r="J62" s="68">
        <f>I62/I12</f>
        <v>3.1108746876047741E-4</v>
      </c>
      <c r="K62" s="705">
        <v>325</v>
      </c>
      <c r="L62" s="68">
        <f>K62/K12</f>
        <v>3.4013430178395814E-4</v>
      </c>
      <c r="M62" s="705">
        <f>325+500</f>
        <v>825</v>
      </c>
      <c r="N62" s="702">
        <f>M62/M12</f>
        <v>6.0890428307785278E-4</v>
      </c>
      <c r="O62" s="705">
        <v>325</v>
      </c>
      <c r="P62" s="702">
        <f>O62/O12</f>
        <v>3.7887758337689032E-4</v>
      </c>
      <c r="Q62" s="705">
        <v>325</v>
      </c>
      <c r="R62" s="68">
        <f>Q62/Q12</f>
        <v>3.0511852448900312E-4</v>
      </c>
      <c r="S62" s="705">
        <f>325+500</f>
        <v>825</v>
      </c>
      <c r="T62" s="68">
        <f>S62/S12</f>
        <v>7.6885802369297995E-4</v>
      </c>
      <c r="U62" s="705">
        <v>325</v>
      </c>
      <c r="V62" s="68">
        <f>U62/U12</f>
        <v>3.8184691212685742E-4</v>
      </c>
      <c r="W62" s="705">
        <v>325</v>
      </c>
      <c r="X62" s="68">
        <f>W62/W12</f>
        <v>3.7530108721047558E-4</v>
      </c>
      <c r="Y62" s="705">
        <f>500+325</f>
        <v>825</v>
      </c>
      <c r="Z62" s="68">
        <f>Y62/Y12</f>
        <v>6.3064169248787751E-4</v>
      </c>
      <c r="AA62" s="144">
        <f t="shared" si="23"/>
        <v>5400</v>
      </c>
      <c r="AB62" s="68">
        <f>AA62/AA12</f>
        <v>4.4300003699852217E-4</v>
      </c>
      <c r="AC62" s="128">
        <f t="shared" si="24"/>
        <v>450</v>
      </c>
      <c r="AD62" s="68">
        <f>AC62/AC12</f>
        <v>4.4300003699852212E-4</v>
      </c>
      <c r="AE62" s="645"/>
      <c r="AF62" s="226"/>
    </row>
    <row r="63" spans="1:33" s="1" customFormat="1">
      <c r="A63" s="188">
        <v>6122</v>
      </c>
      <c r="B63" s="227" t="s">
        <v>199</v>
      </c>
      <c r="C63" s="433">
        <v>833.33</v>
      </c>
      <c r="D63" s="24">
        <f>C63/C12</f>
        <v>9.0895551950176412E-4</v>
      </c>
      <c r="E63" s="61">
        <v>833.33</v>
      </c>
      <c r="F63" s="24">
        <f>E63/E12</f>
        <v>1.1683210916617686E-3</v>
      </c>
      <c r="G63" s="1">
        <v>833.33</v>
      </c>
      <c r="H63" s="24">
        <f>G63/G12</f>
        <v>7.0432654519541596E-4</v>
      </c>
      <c r="I63" s="61">
        <v>833.33</v>
      </c>
      <c r="J63" s="24">
        <f>I63/I12</f>
        <v>7.9765698566821122E-4</v>
      </c>
      <c r="K63" s="61">
        <v>833.33</v>
      </c>
      <c r="L63" s="24">
        <f>K63/K12</f>
        <v>8.7213574678654104E-4</v>
      </c>
      <c r="M63" s="418">
        <v>833.33</v>
      </c>
      <c r="N63" s="24">
        <f>M63/M12</f>
        <v>6.1505237117244493E-4</v>
      </c>
      <c r="O63" s="1">
        <v>833.33</v>
      </c>
      <c r="P63" s="24">
        <f>O63/O12</f>
        <v>9.714770970937355E-4</v>
      </c>
      <c r="Q63" s="61">
        <v>833.33</v>
      </c>
      <c r="R63" s="24">
        <f>Q63/Q12</f>
        <v>7.8235206157667989E-4</v>
      </c>
      <c r="S63" s="61">
        <v>833.33</v>
      </c>
      <c r="T63" s="24">
        <f>S63/S12</f>
        <v>7.7662115985948005E-4</v>
      </c>
      <c r="U63" s="61">
        <v>833.33</v>
      </c>
      <c r="V63" s="24">
        <f>U63/U12</f>
        <v>9.7909073010053575E-4</v>
      </c>
      <c r="W63" s="61">
        <v>833.33</v>
      </c>
      <c r="X63" s="24">
        <f>W63/W12</f>
        <v>9.6230663078494035E-4</v>
      </c>
      <c r="Y63" s="61">
        <v>833.33</v>
      </c>
      <c r="Z63" s="24">
        <f>Y63/Y12</f>
        <v>6.3700926254657336E-4</v>
      </c>
      <c r="AA63" s="144">
        <f t="shared" si="23"/>
        <v>9999.9600000000009</v>
      </c>
      <c r="AB63" s="68">
        <f>AA63/AA12</f>
        <v>8.2036715740439671E-4</v>
      </c>
      <c r="AC63" s="128">
        <f t="shared" si="24"/>
        <v>833.33</v>
      </c>
      <c r="AD63" s="68">
        <f>AC63/AC12</f>
        <v>8.2036715740439661E-4</v>
      </c>
      <c r="AE63" s="595"/>
      <c r="AF63" s="393"/>
    </row>
    <row r="64" spans="1:33" s="1" customFormat="1">
      <c r="A64" s="188">
        <v>6123</v>
      </c>
      <c r="B64" s="227" t="s">
        <v>21</v>
      </c>
      <c r="C64" s="61"/>
      <c r="D64" s="24">
        <f>C64/C12</f>
        <v>0</v>
      </c>
      <c r="E64" s="703"/>
      <c r="F64" s="24">
        <f>E64/E12</f>
        <v>0</v>
      </c>
      <c r="H64" s="24">
        <f>G64/G12</f>
        <v>0</v>
      </c>
      <c r="I64" s="61"/>
      <c r="J64" s="24">
        <f>I64/I12</f>
        <v>0</v>
      </c>
      <c r="K64" s="26">
        <v>0</v>
      </c>
      <c r="L64" s="24">
        <f>K64/K12</f>
        <v>0</v>
      </c>
      <c r="M64" s="420"/>
      <c r="N64" s="24">
        <f>M64/M12</f>
        <v>0</v>
      </c>
      <c r="P64" s="24">
        <f>O64/O12</f>
        <v>0</v>
      </c>
      <c r="Q64" s="26"/>
      <c r="R64" s="24">
        <f>Q64/Q12</f>
        <v>0</v>
      </c>
      <c r="S64" s="26"/>
      <c r="T64" s="24">
        <f>S64/S12</f>
        <v>0</v>
      </c>
      <c r="U64" s="61"/>
      <c r="V64" s="24">
        <f>U64/U12</f>
        <v>0</v>
      </c>
      <c r="W64" s="61"/>
      <c r="X64" s="24">
        <f>W64/W12</f>
        <v>0</v>
      </c>
      <c r="Y64" s="61"/>
      <c r="Z64" s="24">
        <f>Y64/Y12</f>
        <v>0</v>
      </c>
      <c r="AA64" s="144">
        <f t="shared" si="23"/>
        <v>0</v>
      </c>
      <c r="AB64" s="68">
        <f>AA64/AA12</f>
        <v>0</v>
      </c>
      <c r="AC64" s="128">
        <f t="shared" si="24"/>
        <v>0</v>
      </c>
      <c r="AD64" s="68">
        <f>AC64/AC12</f>
        <v>0</v>
      </c>
      <c r="AE64" s="595"/>
      <c r="AF64" s="393"/>
    </row>
    <row r="65" spans="1:33" s="1" customFormat="1">
      <c r="A65" s="188">
        <v>6124</v>
      </c>
      <c r="B65" s="227" t="s">
        <v>22</v>
      </c>
      <c r="C65" s="61">
        <v>25000</v>
      </c>
      <c r="D65" s="24">
        <f>C65/C12</f>
        <v>2.7268774660151561E-2</v>
      </c>
      <c r="E65" s="61">
        <v>25000</v>
      </c>
      <c r="F65" s="24">
        <f>E65/E12</f>
        <v>3.5049772948944853E-2</v>
      </c>
      <c r="G65" s="61">
        <v>25000</v>
      </c>
      <c r="H65" s="24">
        <f>G65/G12</f>
        <v>2.1129880875385979E-2</v>
      </c>
      <c r="I65" s="61">
        <v>25000</v>
      </c>
      <c r="J65" s="24">
        <f>I65/I12</f>
        <v>2.392980528926749E-2</v>
      </c>
      <c r="K65" s="61">
        <v>25000</v>
      </c>
      <c r="L65" s="24">
        <f>K65/K12</f>
        <v>2.616417706030447E-2</v>
      </c>
      <c r="M65" s="61">
        <v>25000</v>
      </c>
      <c r="N65" s="24">
        <f>M65/M12</f>
        <v>1.8451644941753113E-2</v>
      </c>
      <c r="O65" s="61">
        <v>25000</v>
      </c>
      <c r="P65" s="24">
        <f>O65/O12</f>
        <v>2.9144429490530026E-2</v>
      </c>
      <c r="Q65" s="61">
        <v>25000</v>
      </c>
      <c r="R65" s="24">
        <f>Q65/Q12</f>
        <v>2.3470655729923316E-2</v>
      </c>
      <c r="S65" s="61">
        <v>25000</v>
      </c>
      <c r="T65" s="24">
        <f>S65/S12</f>
        <v>2.3298727990696363E-2</v>
      </c>
      <c r="U65" s="61">
        <v>25000</v>
      </c>
      <c r="V65" s="24">
        <f>U65/U12</f>
        <v>2.9372839394373646E-2</v>
      </c>
      <c r="W65" s="61">
        <v>25000</v>
      </c>
      <c r="X65" s="24">
        <f>W65/W12</f>
        <v>2.8869314400805812E-2</v>
      </c>
      <c r="Y65" s="61">
        <v>25000</v>
      </c>
      <c r="Z65" s="24">
        <f>Y65/Y12</f>
        <v>1.9110354317814472E-2</v>
      </c>
      <c r="AA65" s="144">
        <f t="shared" si="23"/>
        <v>300000</v>
      </c>
      <c r="AB65" s="68">
        <f>AA65/AA12</f>
        <v>2.4611113166584566E-2</v>
      </c>
      <c r="AC65" s="128">
        <f t="shared" si="24"/>
        <v>25000</v>
      </c>
      <c r="AD65" s="68">
        <f>AC65/AC12</f>
        <v>2.4611113166584563E-2</v>
      </c>
      <c r="AE65" s="645" t="s">
        <v>293</v>
      </c>
      <c r="AF65" s="393"/>
    </row>
    <row r="66" spans="1:33" s="1" customFormat="1">
      <c r="A66" s="188">
        <v>6125</v>
      </c>
      <c r="B66" s="227" t="s">
        <v>78</v>
      </c>
      <c r="C66" s="705">
        <v>423.01184433164127</v>
      </c>
      <c r="D66" s="702">
        <f>C66/C12</f>
        <v>4.6140058646618545E-4</v>
      </c>
      <c r="E66" s="705">
        <v>423.01184433164127</v>
      </c>
      <c r="F66" s="702">
        <f>E66/E12</f>
        <v>5.9305876394153724E-4</v>
      </c>
      <c r="G66" s="705">
        <v>423.01184433164127</v>
      </c>
      <c r="H66" s="702">
        <f>G66/G12</f>
        <v>3.5752759518419594E-4</v>
      </c>
      <c r="I66" s="705">
        <v>423.01184433164127</v>
      </c>
      <c r="J66" s="702">
        <f>I66/I12</f>
        <v>4.0490364279640423E-4</v>
      </c>
      <c r="K66" s="705">
        <v>423.01184433164127</v>
      </c>
      <c r="L66" s="702">
        <f>K66/K12</f>
        <v>4.4271027174796058E-4</v>
      </c>
      <c r="M66" s="705">
        <v>423.01184433164127</v>
      </c>
      <c r="N66" s="702">
        <f>M66/M12</f>
        <v>3.1221057431054334E-4</v>
      </c>
      <c r="O66" s="705">
        <v>423.01184433164127</v>
      </c>
      <c r="P66" s="702">
        <f>O66/O12</f>
        <v>4.9313755483130334E-4</v>
      </c>
      <c r="Q66" s="705">
        <v>423.01184433164127</v>
      </c>
      <c r="R66" s="702">
        <f>Q66/Q12</f>
        <v>3.9713461471951465E-4</v>
      </c>
      <c r="S66" s="705">
        <v>423.01184433164127</v>
      </c>
      <c r="T66" s="702">
        <f>S66/S12</f>
        <v>3.9422551591702812E-4</v>
      </c>
      <c r="U66" s="705">
        <v>423.01184433164127</v>
      </c>
      <c r="V66" s="702">
        <f>U66/U12</f>
        <v>4.9700235861884336E-4</v>
      </c>
      <c r="W66" s="705">
        <v>423.01184433164127</v>
      </c>
      <c r="X66" s="702">
        <f>W66/W12</f>
        <v>4.8848247717099514E-4</v>
      </c>
      <c r="Y66" s="705">
        <v>423.01184433164127</v>
      </c>
      <c r="Z66" s="702">
        <f>Y66/Y12</f>
        <v>3.2335624903239373E-4</v>
      </c>
      <c r="AA66" s="144">
        <f t="shared" si="23"/>
        <v>5076.1421319796964</v>
      </c>
      <c r="AB66" s="68">
        <f>AA66/AA12</f>
        <v>4.1643169486606718E-4</v>
      </c>
      <c r="AC66" s="128">
        <f t="shared" si="24"/>
        <v>423.01184433164138</v>
      </c>
      <c r="AD66" s="68">
        <f>AC66/AC12</f>
        <v>4.1643169486606712E-4</v>
      </c>
      <c r="AE66" s="658"/>
      <c r="AF66" s="393"/>
    </row>
    <row r="67" spans="1:33" s="1" customFormat="1">
      <c r="A67" s="188">
        <v>6126</v>
      </c>
      <c r="B67" s="227" t="s">
        <v>116</v>
      </c>
      <c r="C67" s="26"/>
      <c r="D67" s="702" t="e">
        <f>C67/C13</f>
        <v>#DIV/0!</v>
      </c>
      <c r="E67" s="26"/>
      <c r="F67" s="702" t="e">
        <f>E67/E13</f>
        <v>#DIV/0!</v>
      </c>
      <c r="G67" s="26"/>
      <c r="H67" s="702" t="e">
        <f>G67/G13</f>
        <v>#DIV/0!</v>
      </c>
      <c r="I67" s="26"/>
      <c r="J67" s="702" t="e">
        <f>I67/I13</f>
        <v>#DIV/0!</v>
      </c>
      <c r="K67" s="26"/>
      <c r="L67" s="702" t="e">
        <f>K67/K13</f>
        <v>#DIV/0!</v>
      </c>
      <c r="M67" s="26"/>
      <c r="N67" s="702" t="e">
        <f>M67/M13</f>
        <v>#DIV/0!</v>
      </c>
      <c r="O67" s="26"/>
      <c r="P67" s="702" t="e">
        <f>O67/O13</f>
        <v>#DIV/0!</v>
      </c>
      <c r="Q67" s="26"/>
      <c r="R67" s="702" t="e">
        <f>Q67/Q13</f>
        <v>#DIV/0!</v>
      </c>
      <c r="S67" s="26"/>
      <c r="T67" s="702" t="e">
        <f>S67/S13</f>
        <v>#DIV/0!</v>
      </c>
      <c r="U67" s="26"/>
      <c r="V67" s="702" t="e">
        <f>U67/U13</f>
        <v>#DIV/0!</v>
      </c>
      <c r="W67" s="26"/>
      <c r="X67" s="702" t="e">
        <f>W67/W13</f>
        <v>#DIV/0!</v>
      </c>
      <c r="Y67" s="26"/>
      <c r="Z67" s="702" t="e">
        <f>Y67/Y13</f>
        <v>#DIV/0!</v>
      </c>
      <c r="AA67" s="144">
        <f t="shared" si="23"/>
        <v>0</v>
      </c>
      <c r="AB67" s="68"/>
      <c r="AC67" s="128">
        <f t="shared" si="24"/>
        <v>0</v>
      </c>
      <c r="AD67" s="68"/>
      <c r="AE67" s="595"/>
      <c r="AF67" s="393"/>
    </row>
    <row r="68" spans="1:33" s="1" customFormat="1">
      <c r="A68" s="188">
        <v>6127</v>
      </c>
      <c r="B68" s="188" t="s">
        <v>76</v>
      </c>
      <c r="C68" s="705">
        <v>382</v>
      </c>
      <c r="D68" s="702">
        <f>C68/C$12</f>
        <v>4.166668768071159E-4</v>
      </c>
      <c r="E68" s="705">
        <v>382</v>
      </c>
      <c r="F68" s="702">
        <f>E68/E$12</f>
        <v>5.3556053065987729E-4</v>
      </c>
      <c r="G68" s="705">
        <v>382</v>
      </c>
      <c r="H68" s="702">
        <f>G68/G$12</f>
        <v>3.2286457977589777E-4</v>
      </c>
      <c r="I68" s="705">
        <v>382</v>
      </c>
      <c r="J68" s="702">
        <f>I68/I$12</f>
        <v>3.6564742482000727E-4</v>
      </c>
      <c r="K68" s="705">
        <v>382</v>
      </c>
      <c r="L68" s="702">
        <f>K68/K$12</f>
        <v>3.9978862548145232E-4</v>
      </c>
      <c r="M68" s="705">
        <v>382</v>
      </c>
      <c r="N68" s="702">
        <f>M68/M$12</f>
        <v>2.8194113470998759E-4</v>
      </c>
      <c r="O68" s="705">
        <v>382</v>
      </c>
      <c r="P68" s="702">
        <f>O68/O$12</f>
        <v>4.4532688261529878E-4</v>
      </c>
      <c r="Q68" s="705">
        <v>382</v>
      </c>
      <c r="R68" s="702">
        <f>Q68/Q$12</f>
        <v>3.5863161955322826E-4</v>
      </c>
      <c r="S68" s="705">
        <v>382</v>
      </c>
      <c r="T68" s="702">
        <f>S68/S$12</f>
        <v>3.560045636978404E-4</v>
      </c>
      <c r="U68" s="705">
        <v>382</v>
      </c>
      <c r="V68" s="702">
        <f>U68/U$12</f>
        <v>4.4881698594602929E-4</v>
      </c>
      <c r="W68" s="705">
        <v>382</v>
      </c>
      <c r="X68" s="702">
        <f>W68/W$12</f>
        <v>4.4112312404431282E-4</v>
      </c>
      <c r="Y68" s="705">
        <v>382</v>
      </c>
      <c r="Z68" s="702">
        <f>Y68/Y$12</f>
        <v>2.9200621397620512E-4</v>
      </c>
      <c r="AA68" s="144">
        <f t="shared" si="23"/>
        <v>4584</v>
      </c>
      <c r="AB68" s="702">
        <f>AA68/AA12</f>
        <v>3.7605780918541215E-4</v>
      </c>
      <c r="AC68" s="128">
        <f t="shared" si="24"/>
        <v>382</v>
      </c>
      <c r="AD68" s="702">
        <f>AC68/AC12</f>
        <v>3.760578091854121E-4</v>
      </c>
      <c r="AE68" s="645"/>
      <c r="AF68" s="226"/>
      <c r="AG68" s="226"/>
    </row>
    <row r="69" spans="1:33" s="1" customFormat="1">
      <c r="A69" s="188">
        <v>6128</v>
      </c>
      <c r="B69" s="188" t="s">
        <v>270</v>
      </c>
      <c r="C69" s="678">
        <v>0</v>
      </c>
      <c r="D69" s="702">
        <f>C69/C$12</f>
        <v>0</v>
      </c>
      <c r="E69" s="678">
        <v>0</v>
      </c>
      <c r="F69" s="702">
        <f>E69/E$12</f>
        <v>0</v>
      </c>
      <c r="G69" s="678">
        <v>0</v>
      </c>
      <c r="H69" s="702">
        <f>G69/G$12</f>
        <v>0</v>
      </c>
      <c r="I69" s="678">
        <v>0</v>
      </c>
      <c r="J69" s="702">
        <f>I69/I$12</f>
        <v>0</v>
      </c>
      <c r="K69" s="678">
        <v>0</v>
      </c>
      <c r="L69" s="702">
        <f>K69/K$12</f>
        <v>0</v>
      </c>
      <c r="M69" s="678">
        <v>0</v>
      </c>
      <c r="N69" s="702">
        <f>M69/M$12</f>
        <v>0</v>
      </c>
      <c r="O69" s="678">
        <v>0</v>
      </c>
      <c r="P69" s="702">
        <f>O69/O$12</f>
        <v>0</v>
      </c>
      <c r="Q69" s="678">
        <v>0</v>
      </c>
      <c r="R69" s="702">
        <f>Q69/Q$12</f>
        <v>0</v>
      </c>
      <c r="S69" s="678">
        <v>0</v>
      </c>
      <c r="T69" s="702">
        <f>S69/S$12</f>
        <v>0</v>
      </c>
      <c r="U69" s="678">
        <v>0</v>
      </c>
      <c r="V69" s="702">
        <f>U69/U$12</f>
        <v>0</v>
      </c>
      <c r="W69" s="678">
        <v>0</v>
      </c>
      <c r="X69" s="702">
        <f>W69/W$12</f>
        <v>0</v>
      </c>
      <c r="Y69" s="678">
        <v>0</v>
      </c>
      <c r="Z69" s="702">
        <f>Y69/Y$12</f>
        <v>0</v>
      </c>
      <c r="AA69" s="144">
        <f t="shared" si="23"/>
        <v>0</v>
      </c>
      <c r="AB69" s="677">
        <f>AA69/AA$12</f>
        <v>0</v>
      </c>
      <c r="AC69" s="128">
        <f t="shared" si="24"/>
        <v>0</v>
      </c>
      <c r="AD69" s="677">
        <f>AC69/AC$12</f>
        <v>0</v>
      </c>
      <c r="AE69" s="595"/>
      <c r="AF69" s="393"/>
    </row>
    <row r="70" spans="1:33" s="1" customFormat="1">
      <c r="A70" s="2">
        <v>6131</v>
      </c>
      <c r="B70" s="188" t="s">
        <v>314</v>
      </c>
      <c r="C70" s="766">
        <v>676.8189509306261</v>
      </c>
      <c r="D70" s="702">
        <f t="shared" ref="D70:D75" si="25">C70/C$12</f>
        <v>7.3824093834589679E-4</v>
      </c>
      <c r="E70" s="766">
        <v>676.8189509306261</v>
      </c>
      <c r="F70" s="702">
        <f t="shared" ref="F70:F75" si="26">E70/E$12</f>
        <v>9.4889402230645967E-4</v>
      </c>
      <c r="G70" s="766">
        <v>676.8189509306261</v>
      </c>
      <c r="H70" s="702">
        <f t="shared" ref="H70:H75" si="27">G70/G$12</f>
        <v>5.7204415229471358E-4</v>
      </c>
      <c r="I70" s="766">
        <v>676.8189509306261</v>
      </c>
      <c r="J70" s="702">
        <f t="shared" ref="J70:J75" si="28">I70/I$12</f>
        <v>6.4784582847424686E-4</v>
      </c>
      <c r="K70" s="766">
        <v>676.8189509306261</v>
      </c>
      <c r="L70" s="702">
        <f t="shared" ref="L70:L75" si="29">K70/K$12</f>
        <v>7.0833643479673697E-4</v>
      </c>
      <c r="M70" s="766">
        <v>676.8189509306261</v>
      </c>
      <c r="N70" s="702">
        <f t="shared" ref="N70:N75" si="30">M70/M$12</f>
        <v>4.9953691889686948E-4</v>
      </c>
      <c r="O70" s="766">
        <v>676.8189509306261</v>
      </c>
      <c r="P70" s="702">
        <f t="shared" ref="P70:P75" si="31">O70/O$12</f>
        <v>7.8902008773008533E-4</v>
      </c>
      <c r="Q70" s="766">
        <v>676.8189509306261</v>
      </c>
      <c r="R70" s="702">
        <f t="shared" ref="R70:R75" si="32">Q70/Q$12</f>
        <v>6.3541538355122351E-4</v>
      </c>
      <c r="S70" s="766">
        <v>676.8189509306261</v>
      </c>
      <c r="T70" s="702">
        <f t="shared" ref="T70:T75" si="33">S70/S$12</f>
        <v>6.3076082546724508E-4</v>
      </c>
      <c r="U70" s="766">
        <v>676.8189509306261</v>
      </c>
      <c r="V70" s="702">
        <f t="shared" ref="V70:V75" si="34">U70/U$12</f>
        <v>7.9520377379014955E-4</v>
      </c>
      <c r="W70" s="766">
        <v>676.8189509306261</v>
      </c>
      <c r="X70" s="702">
        <f t="shared" ref="X70:X75" si="35">W70/W$12</f>
        <v>7.8157196347359225E-4</v>
      </c>
      <c r="Y70" s="766">
        <v>676.8189509306261</v>
      </c>
      <c r="Z70" s="702">
        <f t="shared" ref="Z70:Z75" si="36">Y70/Y$12</f>
        <v>5.1736999845183006E-4</v>
      </c>
      <c r="AA70" s="144">
        <f t="shared" si="23"/>
        <v>8121.8274111675119</v>
      </c>
      <c r="AB70" s="702">
        <f t="shared" ref="AB70:AB74" si="37">AA70/AA$12</f>
        <v>6.6629071178570735E-4</v>
      </c>
      <c r="AC70" s="128">
        <f t="shared" si="24"/>
        <v>676.81895093062599</v>
      </c>
      <c r="AD70" s="702">
        <f t="shared" ref="AD70:AD74" si="38">AC70/AC$12</f>
        <v>6.6629071178570724E-4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766">
        <v>46.531302876480538</v>
      </c>
      <c r="D71" s="702">
        <f t="shared" si="25"/>
        <v>5.0754064511280401E-5</v>
      </c>
      <c r="E71" s="766">
        <v>46.531302876480538</v>
      </c>
      <c r="F71" s="702">
        <f t="shared" si="26"/>
        <v>6.5236464033569094E-5</v>
      </c>
      <c r="G71" s="766">
        <v>46.531302876480538</v>
      </c>
      <c r="H71" s="702">
        <f t="shared" si="27"/>
        <v>3.9328035470261548E-5</v>
      </c>
      <c r="I71" s="766">
        <v>46.531302876480538</v>
      </c>
      <c r="J71" s="702">
        <f t="shared" si="28"/>
        <v>4.4539400707604469E-5</v>
      </c>
      <c r="K71" s="766">
        <v>46.531302876480538</v>
      </c>
      <c r="L71" s="702">
        <f t="shared" si="29"/>
        <v>4.869812989227566E-5</v>
      </c>
      <c r="M71" s="766">
        <v>46.531302876480538</v>
      </c>
      <c r="N71" s="702">
        <f t="shared" si="30"/>
        <v>3.4343163174159771E-5</v>
      </c>
      <c r="O71" s="766">
        <v>46.531302876480538</v>
      </c>
      <c r="P71" s="702">
        <f t="shared" si="31"/>
        <v>5.4245131031443359E-5</v>
      </c>
      <c r="Q71" s="766">
        <v>46.531302876480538</v>
      </c>
      <c r="R71" s="702">
        <f t="shared" si="32"/>
        <v>4.3684807619146612E-5</v>
      </c>
      <c r="S71" s="766">
        <v>46.531302876480538</v>
      </c>
      <c r="T71" s="702">
        <f t="shared" si="33"/>
        <v>4.336480675087309E-5</v>
      </c>
      <c r="U71" s="766">
        <v>46.531302876480538</v>
      </c>
      <c r="V71" s="702">
        <f t="shared" si="34"/>
        <v>5.467025944807277E-5</v>
      </c>
      <c r="W71" s="766">
        <v>46.531302876480538</v>
      </c>
      <c r="X71" s="702">
        <f t="shared" si="35"/>
        <v>5.3733072488809465E-5</v>
      </c>
      <c r="Y71" s="766">
        <v>46.531302876480538</v>
      </c>
      <c r="Z71" s="702">
        <f t="shared" si="36"/>
        <v>3.5569187393563311E-5</v>
      </c>
      <c r="AA71" s="144">
        <f t="shared" si="23"/>
        <v>558.37563451776646</v>
      </c>
      <c r="AB71" s="702">
        <f t="shared" si="37"/>
        <v>4.5807486435267382E-5</v>
      </c>
      <c r="AC71" s="128">
        <f t="shared" si="24"/>
        <v>46.531302876480538</v>
      </c>
      <c r="AD71" s="702">
        <f t="shared" si="38"/>
        <v>4.5807486435267375E-5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25"/>
        <v>1.0907509864060624E-4</v>
      </c>
      <c r="E72" s="676">
        <v>100</v>
      </c>
      <c r="F72" s="702">
        <f t="shared" si="26"/>
        <v>1.401990917957794E-4</v>
      </c>
      <c r="G72" s="676">
        <v>100</v>
      </c>
      <c r="H72" s="702">
        <f t="shared" si="27"/>
        <v>8.4519523501543921E-5</v>
      </c>
      <c r="I72" s="676">
        <v>100</v>
      </c>
      <c r="J72" s="702">
        <f t="shared" si="28"/>
        <v>9.5719221157069962E-5</v>
      </c>
      <c r="K72" s="676">
        <v>100</v>
      </c>
      <c r="L72" s="702">
        <f t="shared" si="29"/>
        <v>1.0465670824121789E-4</v>
      </c>
      <c r="M72" s="676">
        <v>100</v>
      </c>
      <c r="N72" s="702">
        <f t="shared" si="30"/>
        <v>7.3806579767012452E-5</v>
      </c>
      <c r="O72" s="676">
        <v>100</v>
      </c>
      <c r="P72" s="702">
        <f t="shared" si="31"/>
        <v>1.165777179621201E-4</v>
      </c>
      <c r="Q72" s="676">
        <v>100</v>
      </c>
      <c r="R72" s="702">
        <f t="shared" si="32"/>
        <v>9.3882622919693265E-5</v>
      </c>
      <c r="S72" s="676">
        <v>100</v>
      </c>
      <c r="T72" s="702">
        <f t="shared" si="33"/>
        <v>9.3194911962785442E-5</v>
      </c>
      <c r="U72" s="676">
        <v>100</v>
      </c>
      <c r="V72" s="702">
        <f t="shared" si="34"/>
        <v>1.1749135757749458E-4</v>
      </c>
      <c r="W72" s="676">
        <v>100</v>
      </c>
      <c r="X72" s="702">
        <f t="shared" si="35"/>
        <v>1.1547725760322325E-4</v>
      </c>
      <c r="Y72" s="676">
        <v>100</v>
      </c>
      <c r="Z72" s="702">
        <f t="shared" si="36"/>
        <v>7.6441417271257893E-5</v>
      </c>
      <c r="AA72" s="144">
        <f t="shared" si="23"/>
        <v>1200</v>
      </c>
      <c r="AB72" s="702">
        <f t="shared" si="37"/>
        <v>9.8444452666338259E-5</v>
      </c>
      <c r="AC72" s="128">
        <f t="shared" si="24"/>
        <v>100</v>
      </c>
      <c r="AD72" s="702">
        <f t="shared" si="38"/>
        <v>9.8444452666338246E-5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676">
        <v>118.44331641285957</v>
      </c>
      <c r="D73" s="702">
        <f t="shared" si="25"/>
        <v>1.2919216421053195E-4</v>
      </c>
      <c r="E73" s="676">
        <v>118.44331641285957</v>
      </c>
      <c r="F73" s="702">
        <f t="shared" si="26"/>
        <v>1.6605645390363043E-4</v>
      </c>
      <c r="G73" s="676">
        <v>118.44331641285957</v>
      </c>
      <c r="H73" s="702">
        <f t="shared" si="27"/>
        <v>1.0010772665157487E-4</v>
      </c>
      <c r="I73" s="676">
        <v>118.44331641285957</v>
      </c>
      <c r="J73" s="702">
        <f t="shared" si="28"/>
        <v>1.1337301998299321E-4</v>
      </c>
      <c r="K73" s="676">
        <v>118.44331641285957</v>
      </c>
      <c r="L73" s="702">
        <f t="shared" si="29"/>
        <v>1.2395887608942897E-4</v>
      </c>
      <c r="M73" s="676">
        <v>118.44331641285957</v>
      </c>
      <c r="N73" s="702">
        <f t="shared" si="30"/>
        <v>8.7418960806952156E-5</v>
      </c>
      <c r="O73" s="676">
        <v>118.44331641285957</v>
      </c>
      <c r="P73" s="702">
        <f t="shared" si="31"/>
        <v>1.3807851535276494E-4</v>
      </c>
      <c r="Q73" s="676">
        <v>118.44331641285957</v>
      </c>
      <c r="R73" s="702">
        <f t="shared" si="32"/>
        <v>1.1119769212146412E-4</v>
      </c>
      <c r="S73" s="676">
        <v>118.44331641285957</v>
      </c>
      <c r="T73" s="702">
        <f t="shared" si="33"/>
        <v>1.1038314445676788E-4</v>
      </c>
      <c r="U73" s="676">
        <v>118.44331641285957</v>
      </c>
      <c r="V73" s="702">
        <f t="shared" si="34"/>
        <v>1.3916066041327617E-4</v>
      </c>
      <c r="W73" s="676">
        <v>118.44331641285957</v>
      </c>
      <c r="X73" s="702">
        <f t="shared" si="35"/>
        <v>1.3677509360787867E-4</v>
      </c>
      <c r="Y73" s="676">
        <v>118.44331641285957</v>
      </c>
      <c r="Z73" s="702">
        <f t="shared" si="36"/>
        <v>9.0539749729070271E-5</v>
      </c>
      <c r="AA73" s="144">
        <f t="shared" si="23"/>
        <v>1421.3197969543146</v>
      </c>
      <c r="AB73" s="702">
        <f t="shared" si="37"/>
        <v>1.1660087456249878E-4</v>
      </c>
      <c r="AC73" s="128">
        <f t="shared" si="24"/>
        <v>118.44331641285955</v>
      </c>
      <c r="AD73" s="702">
        <f t="shared" si="38"/>
        <v>1.1660087456249876E-4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25"/>
        <v>0</v>
      </c>
      <c r="E74" s="676">
        <v>0</v>
      </c>
      <c r="F74" s="702">
        <f t="shared" si="26"/>
        <v>0</v>
      </c>
      <c r="G74" s="676">
        <v>0</v>
      </c>
      <c r="H74" s="702">
        <f t="shared" si="27"/>
        <v>0</v>
      </c>
      <c r="I74" s="676">
        <v>0</v>
      </c>
      <c r="J74" s="702">
        <f t="shared" si="28"/>
        <v>0</v>
      </c>
      <c r="K74" s="676">
        <v>0</v>
      </c>
      <c r="L74" s="702">
        <f t="shared" si="29"/>
        <v>0</v>
      </c>
      <c r="M74" s="676">
        <v>0</v>
      </c>
      <c r="N74" s="702">
        <f t="shared" si="30"/>
        <v>0</v>
      </c>
      <c r="O74" s="676">
        <v>0</v>
      </c>
      <c r="P74" s="702">
        <f t="shared" si="31"/>
        <v>0</v>
      </c>
      <c r="Q74" s="676">
        <v>0</v>
      </c>
      <c r="R74" s="702">
        <f t="shared" si="32"/>
        <v>0</v>
      </c>
      <c r="S74" s="676">
        <v>0</v>
      </c>
      <c r="T74" s="702">
        <f t="shared" si="33"/>
        <v>0</v>
      </c>
      <c r="U74" s="676">
        <v>0</v>
      </c>
      <c r="V74" s="702">
        <f t="shared" si="34"/>
        <v>0</v>
      </c>
      <c r="W74" s="676">
        <v>0</v>
      </c>
      <c r="X74" s="702">
        <f t="shared" si="35"/>
        <v>0</v>
      </c>
      <c r="Y74" s="676">
        <v>0</v>
      </c>
      <c r="Z74" s="702">
        <f t="shared" si="36"/>
        <v>0</v>
      </c>
      <c r="AA74" s="144">
        <f t="shared" si="23"/>
        <v>0</v>
      </c>
      <c r="AB74" s="702">
        <f t="shared" si="37"/>
        <v>0</v>
      </c>
      <c r="AC74" s="128">
        <f t="shared" si="24"/>
        <v>0</v>
      </c>
      <c r="AD74" s="702">
        <f t="shared" si="38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766">
        <v>155</v>
      </c>
      <c r="D75" s="702">
        <f t="shared" si="25"/>
        <v>1.6906640289293968E-4</v>
      </c>
      <c r="E75" s="766">
        <v>155</v>
      </c>
      <c r="F75" s="702">
        <f t="shared" si="26"/>
        <v>2.1730859228345808E-4</v>
      </c>
      <c r="G75" s="766">
        <v>155</v>
      </c>
      <c r="H75" s="702">
        <f t="shared" si="27"/>
        <v>1.3100526142739306E-4</v>
      </c>
      <c r="I75" s="766">
        <v>155</v>
      </c>
      <c r="J75" s="702">
        <f t="shared" si="28"/>
        <v>1.4836479279345846E-4</v>
      </c>
      <c r="K75" s="766">
        <v>155</v>
      </c>
      <c r="L75" s="702">
        <f t="shared" si="29"/>
        <v>1.6221789777388771E-4</v>
      </c>
      <c r="M75" s="766">
        <v>155</v>
      </c>
      <c r="N75" s="805">
        <f t="shared" si="30"/>
        <v>1.144001986388693E-4</v>
      </c>
      <c r="O75" s="766">
        <v>155</v>
      </c>
      <c r="P75" s="702">
        <f t="shared" si="31"/>
        <v>1.8069546284128616E-4</v>
      </c>
      <c r="Q75" s="766">
        <v>155</v>
      </c>
      <c r="R75" s="702">
        <f t="shared" si="32"/>
        <v>1.4551806552552457E-4</v>
      </c>
      <c r="S75" s="766">
        <v>155</v>
      </c>
      <c r="T75" s="702">
        <f t="shared" si="33"/>
        <v>1.4445211354231744E-4</v>
      </c>
      <c r="U75" s="766">
        <v>155</v>
      </c>
      <c r="V75" s="702">
        <f t="shared" si="34"/>
        <v>1.8211160424511661E-4</v>
      </c>
      <c r="W75" s="766">
        <v>155</v>
      </c>
      <c r="X75" s="702">
        <f t="shared" si="35"/>
        <v>1.7898974928499606E-4</v>
      </c>
      <c r="Y75" s="766">
        <v>155</v>
      </c>
      <c r="Z75" s="702">
        <f t="shared" si="36"/>
        <v>1.1848419677044972E-4</v>
      </c>
      <c r="AA75" s="144">
        <f t="shared" si="23"/>
        <v>1860</v>
      </c>
      <c r="AB75" s="702">
        <f t="shared" ref="AB75:AD75" si="39">AA75/AA$12</f>
        <v>1.5258890163282431E-4</v>
      </c>
      <c r="AC75" s="128">
        <f t="shared" si="24"/>
        <v>155</v>
      </c>
      <c r="AD75" s="702">
        <f t="shared" si="39"/>
        <v>1.5258890163282428E-4</v>
      </c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397">
        <f>SUM(C42:C75)</f>
        <v>275372.90430484916</v>
      </c>
      <c r="D76" s="23">
        <f>C76/C12</f>
        <v>0.30036326700001648</v>
      </c>
      <c r="E76" s="397">
        <f>SUM(E42:E75)</f>
        <v>258899.44339869751</v>
      </c>
      <c r="F76" s="23">
        <f>E76/E12</f>
        <v>0.36297466830930186</v>
      </c>
      <c r="G76" s="397">
        <f>SUM(G42:G75)</f>
        <v>260209.87269001827</v>
      </c>
      <c r="H76" s="23">
        <f>G76/G12</f>
        <v>0.21992814450157749</v>
      </c>
      <c r="I76" s="397">
        <f>SUM(I42:I75)</f>
        <v>257790.09547882469</v>
      </c>
      <c r="J76" s="23">
        <f>I76/I12</f>
        <v>0.24675467161239803</v>
      </c>
      <c r="K76" s="397">
        <f>SUM(K42:K75)</f>
        <v>258295.86389757728</v>
      </c>
      <c r="L76" s="23">
        <f>K76/K12</f>
        <v>0.27032394867842069</v>
      </c>
      <c r="M76" s="397">
        <f>SUM(M42:M75)</f>
        <v>260988.77468679103</v>
      </c>
      <c r="N76" s="23">
        <f>M76/M12</f>
        <v>0.19262688817215484</v>
      </c>
      <c r="O76" s="397">
        <f>SUM(O42:O75)</f>
        <v>259925.51453669782</v>
      </c>
      <c r="P76" s="23">
        <f>O76/O12</f>
        <v>0.30301523324818108</v>
      </c>
      <c r="Q76" s="397">
        <f>SUM(Q42:Q75)</f>
        <v>259533.19570724131</v>
      </c>
      <c r="R76" s="23">
        <f>Q76/Q12</f>
        <v>0.24365657147725892</v>
      </c>
      <c r="S76" s="397">
        <f>SUM(S42:S75)</f>
        <v>259095.74996702385</v>
      </c>
      <c r="T76" s="23">
        <f>S76/S12</f>
        <v>0.24146405608108659</v>
      </c>
      <c r="U76" s="397">
        <f>SUM(U42:U75)</f>
        <v>259953.57851871749</v>
      </c>
      <c r="V76" s="23">
        <f>U76/U12</f>
        <v>0.30542298847291949</v>
      </c>
      <c r="W76" s="397">
        <f>SUM(W42:W75)</f>
        <v>260409.35339061453</v>
      </c>
      <c r="X76" s="23">
        <f>W76/W12</f>
        <v>0.30071357983776792</v>
      </c>
      <c r="Y76" s="397">
        <f>SUM(Y42:Y75)</f>
        <v>261970.68129434276</v>
      </c>
      <c r="Z76" s="23">
        <f>Y76/Y12</f>
        <v>0.20025410161656568</v>
      </c>
      <c r="AA76" s="196">
        <f>SUM(AA42:AA75)</f>
        <v>3132445.0278713964</v>
      </c>
      <c r="AB76" s="89">
        <f>AA76/AA12</f>
        <v>0.25697653023016026</v>
      </c>
      <c r="AC76" s="52">
        <f>SUM(AC42:AC75)</f>
        <v>261037.08565594966</v>
      </c>
      <c r="AD76" s="89">
        <f>AC76/AC12</f>
        <v>0.25697653023016021</v>
      </c>
      <c r="AE76" s="596"/>
      <c r="AF76" s="562"/>
    </row>
    <row r="77" spans="1:33" s="1" customFormat="1" ht="15.75" thickTop="1">
      <c r="A77" s="2">
        <v>6201</v>
      </c>
      <c r="B77" s="228" t="s">
        <v>24</v>
      </c>
      <c r="C77" s="704">
        <v>55500</v>
      </c>
      <c r="D77" s="24">
        <f>C77/C12</f>
        <v>6.0536679745536469E-2</v>
      </c>
      <c r="E77" s="704">
        <v>55500</v>
      </c>
      <c r="F77" s="24">
        <f>E77/E12</f>
        <v>7.7810495946657565E-2</v>
      </c>
      <c r="G77" s="704">
        <v>55500</v>
      </c>
      <c r="H77" s="24">
        <f>G77/G12</f>
        <v>4.6908335543356876E-2</v>
      </c>
      <c r="I77" s="704">
        <v>55500</v>
      </c>
      <c r="J77" s="24">
        <f>I77/I12</f>
        <v>5.3124167742173829E-2</v>
      </c>
      <c r="K77" s="704">
        <v>55500</v>
      </c>
      <c r="L77" s="24">
        <f>K77/K12</f>
        <v>5.8084473073875924E-2</v>
      </c>
      <c r="M77" s="704">
        <v>55500</v>
      </c>
      <c r="N77" s="24">
        <f>M77/M12</f>
        <v>4.0962651770691909E-2</v>
      </c>
      <c r="O77" s="704">
        <v>55500</v>
      </c>
      <c r="P77" s="24">
        <f>O77/O12</f>
        <v>6.4700633468976657E-2</v>
      </c>
      <c r="Q77" s="704">
        <v>55500</v>
      </c>
      <c r="R77" s="24">
        <f>Q77/Q12</f>
        <v>5.2104855720429763E-2</v>
      </c>
      <c r="S77" s="704">
        <v>55500</v>
      </c>
      <c r="T77" s="24">
        <f>S77/S12</f>
        <v>5.1723176139345926E-2</v>
      </c>
      <c r="U77" s="704">
        <v>55500</v>
      </c>
      <c r="V77" s="24">
        <f>U77/U12</f>
        <v>6.5207703455509497E-2</v>
      </c>
      <c r="W77" s="704">
        <v>55500</v>
      </c>
      <c r="X77" s="24">
        <f>W77/W12</f>
        <v>6.4089877969788905E-2</v>
      </c>
      <c r="Y77" s="704">
        <v>55500</v>
      </c>
      <c r="Z77" s="24">
        <f>Y77/Y12</f>
        <v>4.2424986585548129E-2</v>
      </c>
      <c r="AA77" s="144">
        <f t="shared" ref="AA77:AA92" si="40">C77+E77+G77+I77+K77+M77+O77+Q77+S77+U77+W77+Y77</f>
        <v>666000</v>
      </c>
      <c r="AB77" s="24">
        <f>AA77/AA12</f>
        <v>5.4636671229817739E-2</v>
      </c>
      <c r="AC77" s="128">
        <f t="shared" ref="AC77:AC92" si="41">AA77/12</f>
        <v>55500</v>
      </c>
      <c r="AD77" s="24">
        <f>AC77/AC12</f>
        <v>5.4636671229817732E-2</v>
      </c>
      <c r="AE77" s="595"/>
      <c r="AF77" s="579"/>
    </row>
    <row r="78" spans="1:33" s="1" customFormat="1">
      <c r="A78" s="2">
        <v>6202</v>
      </c>
      <c r="B78" s="228" t="s">
        <v>25</v>
      </c>
      <c r="C78" s="704">
        <v>27750</v>
      </c>
      <c r="D78" s="24">
        <f>C78/C12</f>
        <v>3.0268339872768234E-2</v>
      </c>
      <c r="E78" s="704">
        <v>27750</v>
      </c>
      <c r="F78" s="24">
        <f>E78/E12</f>
        <v>3.8905247973328783E-2</v>
      </c>
      <c r="G78" s="704">
        <v>27750</v>
      </c>
      <c r="H78" s="24">
        <f>G78/G12</f>
        <v>2.3454167771678438E-2</v>
      </c>
      <c r="I78" s="704">
        <v>27750</v>
      </c>
      <c r="J78" s="24">
        <f>I78/I12</f>
        <v>2.6562083871086915E-2</v>
      </c>
      <c r="K78" s="704">
        <v>27750</v>
      </c>
      <c r="L78" s="24">
        <f>K78/K12</f>
        <v>2.9042236536937962E-2</v>
      </c>
      <c r="M78" s="704">
        <v>27750</v>
      </c>
      <c r="N78" s="24">
        <f>M78/M12</f>
        <v>2.0481325885345954E-2</v>
      </c>
      <c r="O78" s="704">
        <v>27750</v>
      </c>
      <c r="P78" s="24">
        <f>O78/O12</f>
        <v>3.2350316734488328E-2</v>
      </c>
      <c r="Q78" s="704">
        <v>27750</v>
      </c>
      <c r="R78" s="24">
        <f>Q78/Q12</f>
        <v>2.6052427860214881E-2</v>
      </c>
      <c r="S78" s="704">
        <v>27750</v>
      </c>
      <c r="T78" s="24">
        <f>S78/S12</f>
        <v>2.5861588069672963E-2</v>
      </c>
      <c r="U78" s="704">
        <v>27750</v>
      </c>
      <c r="V78" s="24">
        <f>U78/U12</f>
        <v>3.2603851727754748E-2</v>
      </c>
      <c r="W78" s="704">
        <v>27750</v>
      </c>
      <c r="X78" s="24">
        <f>W78/W12</f>
        <v>3.2044938984894453E-2</v>
      </c>
      <c r="Y78" s="704">
        <v>27750</v>
      </c>
      <c r="Z78" s="24">
        <f>Y78/Y12</f>
        <v>2.1212493292774064E-2</v>
      </c>
      <c r="AA78" s="144">
        <f t="shared" si="40"/>
        <v>333000</v>
      </c>
      <c r="AB78" s="24">
        <f>AA78/AA12</f>
        <v>2.7318335614908869E-2</v>
      </c>
      <c r="AC78" s="128">
        <f t="shared" si="41"/>
        <v>27750</v>
      </c>
      <c r="AD78" s="24">
        <f>AC78/AC12</f>
        <v>2.7318335614908866E-2</v>
      </c>
      <c r="AE78" s="595"/>
      <c r="AF78" s="579"/>
    </row>
    <row r="79" spans="1:33" s="1" customFormat="1">
      <c r="A79" s="2">
        <v>6203</v>
      </c>
      <c r="B79" s="228" t="s">
        <v>26</v>
      </c>
      <c r="C79" s="704">
        <v>9250</v>
      </c>
      <c r="D79" s="24">
        <f>C79/C12</f>
        <v>1.0089446624256078E-2</v>
      </c>
      <c r="E79" s="704">
        <v>9250</v>
      </c>
      <c r="F79" s="24">
        <f>E79/E12</f>
        <v>1.2968415991109594E-2</v>
      </c>
      <c r="G79" s="704">
        <v>9250</v>
      </c>
      <c r="H79" s="24">
        <f>G79/G12</f>
        <v>7.8180559238928121E-3</v>
      </c>
      <c r="I79" s="704">
        <v>9250</v>
      </c>
      <c r="J79" s="24">
        <f>I79/I12</f>
        <v>8.8540279570289721E-3</v>
      </c>
      <c r="K79" s="704">
        <v>9250</v>
      </c>
      <c r="L79" s="24">
        <f>K79/K12</f>
        <v>9.6807455123126551E-3</v>
      </c>
      <c r="M79" s="704">
        <v>9250</v>
      </c>
      <c r="N79" s="24">
        <f>M79/M12</f>
        <v>6.8271086284486518E-3</v>
      </c>
      <c r="O79" s="704">
        <v>9250</v>
      </c>
      <c r="P79" s="24">
        <f>O79/O12</f>
        <v>1.0783438911496109E-2</v>
      </c>
      <c r="Q79" s="704">
        <v>9250</v>
      </c>
      <c r="R79" s="24">
        <f>Q79/Q12</f>
        <v>8.6841426200716266E-3</v>
      </c>
      <c r="S79" s="704">
        <v>9250</v>
      </c>
      <c r="T79" s="24">
        <f>S79/S12</f>
        <v>8.6205293565576532E-3</v>
      </c>
      <c r="U79" s="704">
        <v>9250</v>
      </c>
      <c r="V79" s="24">
        <f>U79/U12</f>
        <v>1.0867950575918248E-2</v>
      </c>
      <c r="W79" s="704">
        <v>9250</v>
      </c>
      <c r="X79" s="24">
        <f>W79/W12</f>
        <v>1.068164632829815E-2</v>
      </c>
      <c r="Y79" s="704">
        <v>9250</v>
      </c>
      <c r="Z79" s="24">
        <f>Y79/Y12</f>
        <v>7.0708310975913548E-3</v>
      </c>
      <c r="AA79" s="144">
        <f t="shared" si="40"/>
        <v>111000</v>
      </c>
      <c r="AB79" s="24">
        <f>AA79/AA12</f>
        <v>9.1061118716362893E-3</v>
      </c>
      <c r="AC79" s="128">
        <f t="shared" si="41"/>
        <v>9250</v>
      </c>
      <c r="AD79" s="24">
        <f>AC79/AC12</f>
        <v>9.1061118716362875E-3</v>
      </c>
      <c r="AE79" s="595"/>
      <c r="AF79" s="579"/>
    </row>
    <row r="80" spans="1:33" s="1" customFormat="1">
      <c r="A80" s="2">
        <v>6204</v>
      </c>
      <c r="B80" s="228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24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40"/>
        <v>0</v>
      </c>
      <c r="AB80" s="24">
        <f>AA80/AA12</f>
        <v>0</v>
      </c>
      <c r="AC80" s="128">
        <f t="shared" si="41"/>
        <v>0</v>
      </c>
      <c r="AD80" s="24">
        <f>AC80/AC12</f>
        <v>0</v>
      </c>
      <c r="AE80" s="595"/>
      <c r="AF80" s="579"/>
    </row>
    <row r="81" spans="1:32" s="1" customFormat="1">
      <c r="A81" s="2">
        <v>6205</v>
      </c>
      <c r="B81" s="228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24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40"/>
        <v>0</v>
      </c>
      <c r="AB81" s="24">
        <f>AA81/AA12</f>
        <v>0</v>
      </c>
      <c r="AC81" s="128">
        <f t="shared" si="41"/>
        <v>0</v>
      </c>
      <c r="AD81" s="24">
        <f>AC81/AC12</f>
        <v>0</v>
      </c>
      <c r="AE81" s="595"/>
      <c r="AF81" s="579"/>
    </row>
    <row r="82" spans="1:32" s="1" customFormat="1">
      <c r="A82" s="2">
        <v>6206</v>
      </c>
      <c r="B82" s="2" t="s">
        <v>217</v>
      </c>
      <c r="C82" s="61">
        <v>1557.25</v>
      </c>
      <c r="D82" s="24">
        <f>C82/C12</f>
        <v>1.6985719735808408E-3</v>
      </c>
      <c r="E82" s="61">
        <v>1557.25</v>
      </c>
      <c r="F82" s="24">
        <f>E82/E12</f>
        <v>2.1832503569897748E-3</v>
      </c>
      <c r="G82" s="61">
        <v>1557.25</v>
      </c>
      <c r="H82" s="24">
        <f>G82/G12</f>
        <v>1.3161802797277927E-3</v>
      </c>
      <c r="I82" s="61">
        <v>1557.25</v>
      </c>
      <c r="J82" s="24">
        <f>I82/I12</f>
        <v>1.490587571468472E-3</v>
      </c>
      <c r="K82" s="61">
        <v>1557.25</v>
      </c>
      <c r="L82" s="24">
        <f>K82/K12</f>
        <v>1.6297665890863656E-3</v>
      </c>
      <c r="M82" s="61">
        <v>1557.25</v>
      </c>
      <c r="N82" s="24">
        <f>M82/M12</f>
        <v>1.1493529634218015E-3</v>
      </c>
      <c r="O82" s="61">
        <v>1557.25</v>
      </c>
      <c r="P82" s="24">
        <f>O82/O12</f>
        <v>1.8154065129651154E-3</v>
      </c>
      <c r="Q82" s="61">
        <v>1557.25</v>
      </c>
      <c r="R82" s="24">
        <f>Q82/Q12</f>
        <v>1.4619871454169234E-3</v>
      </c>
      <c r="S82" s="61">
        <v>1557.25</v>
      </c>
      <c r="T82" s="24">
        <f>S82/S12</f>
        <v>1.4512777665404764E-3</v>
      </c>
      <c r="U82" s="61">
        <v>1557.25</v>
      </c>
      <c r="V82" s="24">
        <f>U82/U12</f>
        <v>1.8296341658755343E-3</v>
      </c>
      <c r="W82" s="61">
        <v>1557.25</v>
      </c>
      <c r="X82" s="24">
        <f>W82/W12</f>
        <v>1.7982695940261942E-3</v>
      </c>
      <c r="Y82" s="61">
        <v>1557.25</v>
      </c>
      <c r="Z82" s="24">
        <f>Y82/Y12</f>
        <v>1.1903839704566635E-3</v>
      </c>
      <c r="AA82" s="144">
        <f t="shared" si="40"/>
        <v>18687</v>
      </c>
      <c r="AB82" s="24">
        <f>AA82/AA12</f>
        <v>1.5330262391465527E-3</v>
      </c>
      <c r="AC82" s="128">
        <f t="shared" si="41"/>
        <v>1557.25</v>
      </c>
      <c r="AD82" s="24">
        <f>AC82/AC12</f>
        <v>1.5330262391465524E-3</v>
      </c>
      <c r="AE82" s="595" t="s">
        <v>303</v>
      </c>
      <c r="AF82" s="579"/>
    </row>
    <row r="83" spans="1:32" s="1" customFormat="1">
      <c r="A83" s="2">
        <v>6207</v>
      </c>
      <c r="B83" s="2" t="s">
        <v>218</v>
      </c>
      <c r="C83" s="113">
        <v>5075</v>
      </c>
      <c r="D83" s="24">
        <f>C83/C$12</f>
        <v>5.5355612560107669E-3</v>
      </c>
      <c r="E83" s="113">
        <v>5075</v>
      </c>
      <c r="F83" s="24">
        <f>E83/E$12</f>
        <v>7.1151039086358048E-3</v>
      </c>
      <c r="G83" s="113">
        <v>5075</v>
      </c>
      <c r="H83" s="24">
        <f>G83/G$12</f>
        <v>4.2893658177033537E-3</v>
      </c>
      <c r="I83" s="113">
        <v>5075</v>
      </c>
      <c r="J83" s="24">
        <f>I83/I$12</f>
        <v>4.857750473721301E-3</v>
      </c>
      <c r="K83" s="113">
        <v>5075</v>
      </c>
      <c r="L83" s="24">
        <f>K83/K$12</f>
        <v>5.3113279432418078E-3</v>
      </c>
      <c r="M83" s="113">
        <v>5075</v>
      </c>
      <c r="N83" s="24">
        <f>M83/M$12</f>
        <v>3.7456839231758822E-3</v>
      </c>
      <c r="O83" s="113">
        <v>5075</v>
      </c>
      <c r="P83" s="24">
        <f>O83/O$12</f>
        <v>5.9163191865775951E-3</v>
      </c>
      <c r="Q83" s="113">
        <v>5075</v>
      </c>
      <c r="R83" s="24">
        <f>Q83/Q$12</f>
        <v>4.7645431131744329E-3</v>
      </c>
      <c r="S83" s="113">
        <v>5075</v>
      </c>
      <c r="T83" s="24">
        <f>S83/S$12</f>
        <v>4.7296417821113615E-3</v>
      </c>
      <c r="U83" s="113">
        <v>5075</v>
      </c>
      <c r="V83" s="24">
        <f>U83/U$12</f>
        <v>5.9626863970578502E-3</v>
      </c>
      <c r="W83" s="113">
        <v>5075</v>
      </c>
      <c r="X83" s="24">
        <f>W83/W$12</f>
        <v>5.86047082336358E-3</v>
      </c>
      <c r="Y83" s="113">
        <v>5075</v>
      </c>
      <c r="Z83" s="24">
        <f>Y83/Y$12</f>
        <v>3.8794019265163378E-3</v>
      </c>
      <c r="AA83" s="144">
        <f t="shared" si="40"/>
        <v>60900</v>
      </c>
      <c r="AB83" s="68">
        <f>AA83/AA$12</f>
        <v>4.9960559728166667E-3</v>
      </c>
      <c r="AC83" s="128">
        <f t="shared" si="41"/>
        <v>5075</v>
      </c>
      <c r="AD83" s="68">
        <f>AC83/AC$12</f>
        <v>4.9960559728166659E-3</v>
      </c>
      <c r="AE83" s="595"/>
      <c r="AF83" s="393"/>
    </row>
    <row r="84" spans="1:32" s="1" customFormat="1">
      <c r="A84" s="2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24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40"/>
        <v>0</v>
      </c>
      <c r="AB84" s="24">
        <f>AA84/AA12</f>
        <v>0</v>
      </c>
      <c r="AC84" s="128">
        <f t="shared" si="41"/>
        <v>0</v>
      </c>
      <c r="AD84" s="24">
        <f>AC84/AC12</f>
        <v>0</v>
      </c>
      <c r="AE84" s="595"/>
      <c r="AF84" s="579"/>
    </row>
    <row r="85" spans="1:32" s="1" customFormat="1">
      <c r="A85" s="2">
        <v>6209</v>
      </c>
      <c r="B85" s="228" t="s">
        <v>29</v>
      </c>
      <c r="C85" s="61">
        <v>6937.5</v>
      </c>
      <c r="D85" s="68">
        <f>C85/C12</f>
        <v>7.5670849681920586E-3</v>
      </c>
      <c r="E85" s="61">
        <v>6937.5</v>
      </c>
      <c r="F85" s="68">
        <f>E85/E12</f>
        <v>9.7263119933321956E-3</v>
      </c>
      <c r="G85" s="61">
        <v>6937.5</v>
      </c>
      <c r="H85" s="68">
        <f>G85/G12</f>
        <v>5.8635419429196095E-3</v>
      </c>
      <c r="I85" s="61">
        <v>6937.5</v>
      </c>
      <c r="J85" s="68">
        <f>I85/I12</f>
        <v>6.6405209677717287E-3</v>
      </c>
      <c r="K85" s="61">
        <v>6937.5</v>
      </c>
      <c r="L85" s="68">
        <f>K85/K12</f>
        <v>7.2605591342344905E-3</v>
      </c>
      <c r="M85" s="61">
        <v>6937.5</v>
      </c>
      <c r="N85" s="702">
        <f>M85/M12</f>
        <v>5.1203314713364886E-3</v>
      </c>
      <c r="O85" s="61">
        <v>6937.5</v>
      </c>
      <c r="P85" s="702">
        <f>O85/O12</f>
        <v>8.0875791836220821E-3</v>
      </c>
      <c r="Q85" s="61">
        <v>6937.5</v>
      </c>
      <c r="R85" s="68">
        <f>Q85/Q12</f>
        <v>6.5131069650537204E-3</v>
      </c>
      <c r="S85" s="61">
        <v>6937.5</v>
      </c>
      <c r="T85" s="68">
        <f>S85/S12</f>
        <v>6.4653970174182408E-3</v>
      </c>
      <c r="U85" s="61">
        <v>6937.5</v>
      </c>
      <c r="V85" s="68">
        <f>U85/U12</f>
        <v>8.1509629319386871E-3</v>
      </c>
      <c r="W85" s="61">
        <v>6937.5</v>
      </c>
      <c r="X85" s="68">
        <f>W85/W12</f>
        <v>8.0112347462236132E-3</v>
      </c>
      <c r="Y85" s="61">
        <v>6937.5</v>
      </c>
      <c r="Z85" s="68">
        <f>Y85/Y12</f>
        <v>5.3031233231935161E-3</v>
      </c>
      <c r="AA85" s="144">
        <f t="shared" si="40"/>
        <v>83250</v>
      </c>
      <c r="AB85" s="68">
        <f>AA85/AA12</f>
        <v>6.8295839037272174E-3</v>
      </c>
      <c r="AC85" s="128">
        <f t="shared" si="41"/>
        <v>6937.5</v>
      </c>
      <c r="AD85" s="68">
        <f>AC85/AC12</f>
        <v>6.8295839037272165E-3</v>
      </c>
      <c r="AE85" s="595"/>
      <c r="AF85" s="393"/>
    </row>
    <row r="86" spans="1:32" s="1" customFormat="1">
      <c r="A86" s="2">
        <v>6210</v>
      </c>
      <c r="B86" s="228" t="s">
        <v>30</v>
      </c>
      <c r="C86" s="61">
        <v>3193.1506849315069</v>
      </c>
      <c r="D86" s="24">
        <f>C86/C12</f>
        <v>3.4829322593322352E-3</v>
      </c>
      <c r="E86" s="61">
        <v>3193.1506849315069</v>
      </c>
      <c r="F86" s="24">
        <f>E86/E12</f>
        <v>4.476768259944682E-3</v>
      </c>
      <c r="G86" s="61">
        <v>3193.1506849315069</v>
      </c>
      <c r="H86" s="24">
        <f>G86/G12</f>
        <v>2.6988357435903955E-3</v>
      </c>
      <c r="I86" s="61">
        <v>3193.1506849315069</v>
      </c>
      <c r="J86" s="24">
        <f>I86/I12</f>
        <v>3.0564589659880835E-3</v>
      </c>
      <c r="K86" s="61">
        <v>3193.1506849315069</v>
      </c>
      <c r="L86" s="24">
        <f>K86/K12</f>
        <v>3.3418463960312177E-3</v>
      </c>
      <c r="M86" s="61">
        <v>3193.1506849315069</v>
      </c>
      <c r="N86" s="24">
        <f>M86/M12</f>
        <v>2.3567553073548771E-3</v>
      </c>
      <c r="O86" s="61">
        <v>3193.1506849315069</v>
      </c>
      <c r="P86" s="24">
        <f>O86/O12</f>
        <v>3.7225021995849583E-3</v>
      </c>
      <c r="Q86" s="61">
        <v>3193.1506849315069</v>
      </c>
      <c r="R86" s="24">
        <f>Q86/Q12</f>
        <v>2.9978136167918496E-3</v>
      </c>
      <c r="S86" s="61">
        <v>3193.1506849315069</v>
      </c>
      <c r="T86" s="24">
        <f>S86/S12</f>
        <v>2.9758539696609983E-3</v>
      </c>
      <c r="U86" s="61">
        <v>3193.1506849315069</v>
      </c>
      <c r="V86" s="24">
        <f>U86/U12</f>
        <v>3.7516760892210943E-3</v>
      </c>
      <c r="W86" s="61">
        <v>3193.1506849315069</v>
      </c>
      <c r="X86" s="24">
        <f>W86/W12</f>
        <v>3.6873628420974439E-3</v>
      </c>
      <c r="Y86" s="61">
        <v>3193.1506849315069</v>
      </c>
      <c r="Z86" s="24">
        <f>Y86/Y12</f>
        <v>2.4408896391685223E-3</v>
      </c>
      <c r="AA86" s="144">
        <f t="shared" si="40"/>
        <v>38317.808219178085</v>
      </c>
      <c r="AB86" s="24">
        <f>AA86/AA12</f>
        <v>3.1434797145922537E-3</v>
      </c>
      <c r="AC86" s="128">
        <f t="shared" si="41"/>
        <v>3193.1506849315069</v>
      </c>
      <c r="AD86" s="24">
        <f>AC86/AC12</f>
        <v>3.1434797145922528E-3</v>
      </c>
      <c r="AE86" s="595"/>
      <c r="AF86" s="579"/>
    </row>
    <row r="87" spans="1:32" s="1" customFormat="1">
      <c r="A87" s="2">
        <v>6211</v>
      </c>
      <c r="B87" s="228" t="s">
        <v>31</v>
      </c>
      <c r="C87" s="61">
        <v>3625</v>
      </c>
      <c r="D87" s="24">
        <f>C87/C12</f>
        <v>3.9539723257219763E-3</v>
      </c>
      <c r="E87" s="61">
        <v>3625</v>
      </c>
      <c r="F87" s="24">
        <f>E87/E12</f>
        <v>5.0822170775970035E-3</v>
      </c>
      <c r="G87" s="61">
        <v>3625</v>
      </c>
      <c r="H87" s="24">
        <f>G87/G12</f>
        <v>3.0638327269309671E-3</v>
      </c>
      <c r="I87" s="61">
        <v>3625</v>
      </c>
      <c r="J87" s="24">
        <f>I87/I12</f>
        <v>3.4698217669437864E-3</v>
      </c>
      <c r="K87" s="61">
        <v>3625</v>
      </c>
      <c r="L87" s="24">
        <f>K87/K12</f>
        <v>3.7938056737441485E-3</v>
      </c>
      <c r="M87" s="61">
        <v>3625</v>
      </c>
      <c r="N87" s="24">
        <f>M87/M12</f>
        <v>2.6754885165542015E-3</v>
      </c>
      <c r="O87" s="61">
        <v>3625</v>
      </c>
      <c r="P87" s="24">
        <f>O87/O12</f>
        <v>4.2259422761268539E-3</v>
      </c>
      <c r="Q87" s="61">
        <v>3625</v>
      </c>
      <c r="R87" s="24">
        <f>Q87/Q12</f>
        <v>3.4032450808388808E-3</v>
      </c>
      <c r="S87" s="61">
        <v>3625</v>
      </c>
      <c r="T87" s="24">
        <f>S87/S12</f>
        <v>3.3783155586509725E-3</v>
      </c>
      <c r="U87" s="61">
        <v>3625</v>
      </c>
      <c r="V87" s="24">
        <f>U87/U12</f>
        <v>4.2590617121841786E-3</v>
      </c>
      <c r="W87" s="61">
        <v>3625</v>
      </c>
      <c r="X87" s="24">
        <f>W87/W12</f>
        <v>4.1860505881168427E-3</v>
      </c>
      <c r="Y87" s="61">
        <v>3625</v>
      </c>
      <c r="Z87" s="24">
        <f>Y87/Y12</f>
        <v>2.7710013760830982E-3</v>
      </c>
      <c r="AA87" s="144">
        <f t="shared" si="40"/>
        <v>43500</v>
      </c>
      <c r="AB87" s="24">
        <f>AA87/AA12</f>
        <v>3.5686114091547623E-3</v>
      </c>
      <c r="AC87" s="128">
        <f t="shared" si="41"/>
        <v>3625</v>
      </c>
      <c r="AD87" s="24">
        <f>AC87/AC12</f>
        <v>3.5686114091547615E-3</v>
      </c>
      <c r="AE87" s="595"/>
      <c r="AF87" s="579"/>
    </row>
    <row r="88" spans="1:32" s="1" customFormat="1">
      <c r="A88" s="2">
        <v>6212</v>
      </c>
      <c r="B88" s="228" t="s">
        <v>32</v>
      </c>
      <c r="C88" s="75">
        <v>100</v>
      </c>
      <c r="D88" s="702">
        <f>C88/C12</f>
        <v>1.0907509864060624E-4</v>
      </c>
      <c r="E88" s="75">
        <v>100</v>
      </c>
      <c r="F88" s="702">
        <f>E88/E12</f>
        <v>1.401990917957794E-4</v>
      </c>
      <c r="G88" s="75">
        <v>100</v>
      </c>
      <c r="H88" s="702">
        <f>G88/G12</f>
        <v>8.4519523501543921E-5</v>
      </c>
      <c r="I88" s="75">
        <v>100</v>
      </c>
      <c r="J88" s="702">
        <f>I88/I12</f>
        <v>9.5719221157069962E-5</v>
      </c>
      <c r="K88" s="75">
        <v>100</v>
      </c>
      <c r="L88" s="702">
        <f>K88/K12</f>
        <v>1.0465670824121789E-4</v>
      </c>
      <c r="M88" s="75">
        <v>100</v>
      </c>
      <c r="N88" s="702">
        <f>M88/M12</f>
        <v>7.3806579767012452E-5</v>
      </c>
      <c r="O88" s="75">
        <v>100</v>
      </c>
      <c r="P88" s="702">
        <f>O88/O12</f>
        <v>1.165777179621201E-4</v>
      </c>
      <c r="Q88" s="75">
        <v>100</v>
      </c>
      <c r="R88" s="702">
        <f>Q88/Q12</f>
        <v>9.3882622919693265E-5</v>
      </c>
      <c r="S88" s="75">
        <v>100</v>
      </c>
      <c r="T88" s="702">
        <f>S88/S12</f>
        <v>9.3194911962785442E-5</v>
      </c>
      <c r="U88" s="75">
        <v>100</v>
      </c>
      <c r="V88" s="702">
        <f>U88/U12</f>
        <v>1.1749135757749458E-4</v>
      </c>
      <c r="W88" s="75">
        <v>100</v>
      </c>
      <c r="X88" s="702">
        <f>W88/W12</f>
        <v>1.1547725760322325E-4</v>
      </c>
      <c r="Y88" s="75">
        <v>100</v>
      </c>
      <c r="Z88" s="702">
        <f>Y88/Y12</f>
        <v>7.6441417271257893E-5</v>
      </c>
      <c r="AA88" s="144">
        <f t="shared" si="40"/>
        <v>1200</v>
      </c>
      <c r="AB88" s="68">
        <f>AA88/AA12</f>
        <v>9.8444452666338259E-5</v>
      </c>
      <c r="AC88" s="128">
        <f t="shared" si="41"/>
        <v>100</v>
      </c>
      <c r="AD88" s="68">
        <f>AC88/AC12</f>
        <v>9.8444452666338246E-5</v>
      </c>
      <c r="AE88" s="595"/>
      <c r="AF88" s="393"/>
    </row>
    <row r="89" spans="1:32" s="1" customFormat="1">
      <c r="A89" s="2">
        <v>6213</v>
      </c>
      <c r="B89" s="228" t="s">
        <v>33</v>
      </c>
      <c r="C89" s="113"/>
      <c r="D89" s="68">
        <f>C89/C12</f>
        <v>0</v>
      </c>
      <c r="E89" s="113"/>
      <c r="F89" s="68">
        <f>E89/E12</f>
        <v>0</v>
      </c>
      <c r="G89" s="113"/>
      <c r="H89" s="68">
        <f>G89/G12</f>
        <v>0</v>
      </c>
      <c r="I89" s="113"/>
      <c r="J89" s="68">
        <f>I89/I12</f>
        <v>0</v>
      </c>
      <c r="K89" s="113"/>
      <c r="L89" s="68">
        <f>K89/K12</f>
        <v>0</v>
      </c>
      <c r="M89" s="113"/>
      <c r="N89" s="702">
        <f>M89/M12</f>
        <v>0</v>
      </c>
      <c r="O89" s="113"/>
      <c r="P89" s="702">
        <f>O89/O12</f>
        <v>0</v>
      </c>
      <c r="Q89" s="113"/>
      <c r="R89" s="68">
        <f>Q89/Q12</f>
        <v>0</v>
      </c>
      <c r="S89" s="113"/>
      <c r="T89" s="68">
        <f>S89/S12</f>
        <v>0</v>
      </c>
      <c r="U89" s="113"/>
      <c r="V89" s="68">
        <f>U89/U12</f>
        <v>0</v>
      </c>
      <c r="W89" s="113"/>
      <c r="X89" s="68">
        <f>W89/W12</f>
        <v>0</v>
      </c>
      <c r="Y89" s="113"/>
      <c r="Z89" s="68">
        <f>Y89/Y12</f>
        <v>0</v>
      </c>
      <c r="AA89" s="144">
        <f t="shared" si="40"/>
        <v>0</v>
      </c>
      <c r="AB89" s="68">
        <f>AA89/AA12</f>
        <v>0</v>
      </c>
      <c r="AC89" s="128">
        <f t="shared" si="41"/>
        <v>0</v>
      </c>
      <c r="AD89" s="68">
        <f>AC89/AC12</f>
        <v>0</v>
      </c>
      <c r="AE89" s="595"/>
      <c r="AF89" s="393"/>
    </row>
    <row r="90" spans="1:32" s="1" customFormat="1">
      <c r="A90" s="2">
        <v>6214</v>
      </c>
      <c r="B90" s="228" t="s">
        <v>34</v>
      </c>
      <c r="C90" s="75">
        <v>1850</v>
      </c>
      <c r="D90" s="68">
        <f>C90/C12</f>
        <v>2.0178893248512155E-3</v>
      </c>
      <c r="E90" s="75">
        <v>1850</v>
      </c>
      <c r="F90" s="68">
        <f>E90/E12</f>
        <v>2.5936831982219188E-3</v>
      </c>
      <c r="G90" s="75">
        <v>1850</v>
      </c>
      <c r="H90" s="68">
        <f>G90/G12</f>
        <v>1.5636111847785626E-3</v>
      </c>
      <c r="I90" s="75">
        <v>1850</v>
      </c>
      <c r="J90" s="68">
        <f>I90/I12</f>
        <v>1.7708055914057944E-3</v>
      </c>
      <c r="K90" s="75">
        <v>1850</v>
      </c>
      <c r="L90" s="68">
        <f>K90/K12</f>
        <v>1.9361491024625309E-3</v>
      </c>
      <c r="M90" s="75">
        <v>1850</v>
      </c>
      <c r="N90" s="702">
        <f>M90/M12</f>
        <v>1.3654217256897304E-3</v>
      </c>
      <c r="O90" s="75">
        <v>1850</v>
      </c>
      <c r="P90" s="702">
        <f>O90/O12</f>
        <v>2.1566877822992219E-3</v>
      </c>
      <c r="Q90" s="75">
        <v>1850</v>
      </c>
      <c r="R90" s="68">
        <f>Q90/Q12</f>
        <v>1.7368285240143254E-3</v>
      </c>
      <c r="S90" s="75">
        <v>1850</v>
      </c>
      <c r="T90" s="68">
        <f>S90/S12</f>
        <v>1.7241058713115308E-3</v>
      </c>
      <c r="U90" s="75">
        <v>1850</v>
      </c>
      <c r="V90" s="68">
        <f>U90/U12</f>
        <v>2.1735901151836499E-3</v>
      </c>
      <c r="W90" s="75">
        <v>1850</v>
      </c>
      <c r="X90" s="68">
        <f>W90/W12</f>
        <v>2.1363292656596303E-3</v>
      </c>
      <c r="Y90" s="75">
        <v>1850</v>
      </c>
      <c r="Z90" s="68">
        <f>Y90/Y12</f>
        <v>1.4141662195182709E-3</v>
      </c>
      <c r="AA90" s="144">
        <f t="shared" si="40"/>
        <v>22200</v>
      </c>
      <c r="AB90" s="68">
        <f>AA90/AA12</f>
        <v>1.8212223743272579E-3</v>
      </c>
      <c r="AC90" s="128">
        <f t="shared" si="41"/>
        <v>1850</v>
      </c>
      <c r="AD90" s="68">
        <f>AC90/AC12</f>
        <v>1.8212223743272577E-3</v>
      </c>
      <c r="AE90" s="595"/>
      <c r="AF90" s="393"/>
    </row>
    <row r="91" spans="1:32" s="1" customFormat="1">
      <c r="A91" s="2">
        <v>6215</v>
      </c>
      <c r="B91" s="228" t="s">
        <v>35</v>
      </c>
      <c r="C91" s="61"/>
      <c r="D91" s="24">
        <f>C91/C12</f>
        <v>0</v>
      </c>
      <c r="E91" s="61"/>
      <c r="F91" s="24">
        <f>E91/E12</f>
        <v>0</v>
      </c>
      <c r="G91" s="61"/>
      <c r="H91" s="24">
        <f>G91/G12</f>
        <v>0</v>
      </c>
      <c r="I91" s="61"/>
      <c r="J91" s="24">
        <f>I91/I12</f>
        <v>0</v>
      </c>
      <c r="K91" s="61"/>
      <c r="L91" s="24">
        <f>K91/K12</f>
        <v>0</v>
      </c>
      <c r="M91" s="61"/>
      <c r="N91" s="24">
        <f>M91/M12</f>
        <v>0</v>
      </c>
      <c r="O91" s="61"/>
      <c r="P91" s="24">
        <f>O91/O12</f>
        <v>0</v>
      </c>
      <c r="Q91" s="61"/>
      <c r="R91" s="24">
        <f>Q91/Q12</f>
        <v>0</v>
      </c>
      <c r="S91" s="61"/>
      <c r="T91" s="24">
        <f>S91/S12</f>
        <v>0</v>
      </c>
      <c r="U91" s="61"/>
      <c r="V91" s="24">
        <f>U91/U12</f>
        <v>0</v>
      </c>
      <c r="W91" s="61"/>
      <c r="X91" s="24">
        <f>W91/W12</f>
        <v>0</v>
      </c>
      <c r="Y91" s="61"/>
      <c r="Z91" s="24">
        <f>Y91/Y12</f>
        <v>0</v>
      </c>
      <c r="AA91" s="144">
        <f t="shared" si="40"/>
        <v>0</v>
      </c>
      <c r="AB91" s="24">
        <f>AA91/AA12</f>
        <v>0</v>
      </c>
      <c r="AC91" s="128">
        <f t="shared" si="41"/>
        <v>0</v>
      </c>
      <c r="AD91" s="24">
        <f>AC91/AC12</f>
        <v>0</v>
      </c>
      <c r="AE91" s="595"/>
      <c r="AF91" s="579"/>
    </row>
    <row r="92" spans="1:32" s="1" customFormat="1">
      <c r="A92" s="2">
        <v>6216</v>
      </c>
      <c r="B92" s="228" t="s">
        <v>91</v>
      </c>
      <c r="C92" s="61"/>
      <c r="D92" s="24">
        <f>C92/C12</f>
        <v>0</v>
      </c>
      <c r="E92" s="61"/>
      <c r="F92" s="24">
        <f>E92/E12</f>
        <v>0</v>
      </c>
      <c r="G92" s="61"/>
      <c r="H92" s="24">
        <f>G92/G12</f>
        <v>0</v>
      </c>
      <c r="I92" s="61"/>
      <c r="J92" s="24">
        <f>I92/I12</f>
        <v>0</v>
      </c>
      <c r="K92" s="61"/>
      <c r="L92" s="24">
        <f>K92/K12</f>
        <v>0</v>
      </c>
      <c r="M92" s="61"/>
      <c r="N92" s="24">
        <f>M92/M12</f>
        <v>0</v>
      </c>
      <c r="O92" s="61"/>
      <c r="P92" s="24">
        <f>O92/O12</f>
        <v>0</v>
      </c>
      <c r="Q92" s="61"/>
      <c r="R92" s="24">
        <f>Q92/Q12</f>
        <v>0</v>
      </c>
      <c r="S92" s="61"/>
      <c r="T92" s="24">
        <f>S92/S12</f>
        <v>0</v>
      </c>
      <c r="U92" s="61"/>
      <c r="V92" s="24">
        <f>U92/U12</f>
        <v>0</v>
      </c>
      <c r="W92" s="61"/>
      <c r="X92" s="24">
        <f>W92/W12</f>
        <v>0</v>
      </c>
      <c r="Y92" s="61"/>
      <c r="Z92" s="24">
        <f>Y92/Y12</f>
        <v>0</v>
      </c>
      <c r="AA92" s="144">
        <f t="shared" si="40"/>
        <v>0</v>
      </c>
      <c r="AB92" s="24">
        <f>AA92/AA12</f>
        <v>0</v>
      </c>
      <c r="AC92" s="128">
        <f t="shared" si="41"/>
        <v>0</v>
      </c>
      <c r="AD92" s="24">
        <f>AC92/AC12</f>
        <v>0</v>
      </c>
      <c r="AE92" s="595"/>
      <c r="AF92" s="579"/>
    </row>
    <row r="93" spans="1:32" s="1" customFormat="1" ht="15.75" thickBot="1">
      <c r="A93" s="4">
        <v>6299</v>
      </c>
      <c r="B93" s="229" t="s">
        <v>112</v>
      </c>
      <c r="C93" s="79">
        <f>SUM(C77:C92)</f>
        <v>114837.9006849315</v>
      </c>
      <c r="D93" s="396">
        <f>C93/C12</f>
        <v>0.12525955344889048</v>
      </c>
      <c r="E93" s="119">
        <f>SUM(E77:E92)</f>
        <v>114837.9006849315</v>
      </c>
      <c r="F93" s="396">
        <f>E93/E12</f>
        <v>0.16100169379761312</v>
      </c>
      <c r="G93" s="79">
        <f>SUM(G77:G92)</f>
        <v>114837.9006849315</v>
      </c>
      <c r="H93" s="396">
        <f>G93/G12</f>
        <v>9.7060446458080346E-2</v>
      </c>
      <c r="I93" s="79">
        <f>SUM(I77:I92)</f>
        <v>114837.9006849315</v>
      </c>
      <c r="J93" s="396">
        <f>I93/I12</f>
        <v>0.10992194412874595</v>
      </c>
      <c r="K93" s="29">
        <f>SUM(K77:K91)</f>
        <v>114837.9006849315</v>
      </c>
      <c r="L93" s="396">
        <f>K93/K12</f>
        <v>0.12018556667016832</v>
      </c>
      <c r="M93" s="29">
        <f>SUM(M77:M91)</f>
        <v>114837.9006849315</v>
      </c>
      <c r="N93" s="396">
        <f>M93/M12</f>
        <v>8.4757926771786507E-2</v>
      </c>
      <c r="O93" s="29">
        <f>SUM(O77:O91)</f>
        <v>114837.9006849315</v>
      </c>
      <c r="P93" s="396">
        <f>O93/O12</f>
        <v>0.13387540397409903</v>
      </c>
      <c r="Q93" s="29">
        <f>SUM(Q77:Q91)</f>
        <v>114837.9006849315</v>
      </c>
      <c r="R93" s="396">
        <f>Q93/Q12</f>
        <v>0.1078128332689261</v>
      </c>
      <c r="S93" s="29">
        <f>SUM(S77:S91)</f>
        <v>114837.9006849315</v>
      </c>
      <c r="T93" s="396">
        <f>S93/S12</f>
        <v>0.1070230804432329</v>
      </c>
      <c r="U93" s="79">
        <f>SUM(U77:U91)</f>
        <v>114837.9006849315</v>
      </c>
      <c r="V93" s="396">
        <f>U93/U12</f>
        <v>0.13492460852822097</v>
      </c>
      <c r="W93" s="79">
        <f>SUM(W77:W91)</f>
        <v>114837.9006849315</v>
      </c>
      <c r="X93" s="396">
        <f>W93/W12</f>
        <v>0.13261165840007202</v>
      </c>
      <c r="Y93" s="79">
        <f>SUM(Y77:Y91)</f>
        <v>114837.9006849315</v>
      </c>
      <c r="Z93" s="396">
        <f>Y93/Y12</f>
        <v>8.7783718848121209E-2</v>
      </c>
      <c r="AA93" s="196">
        <f>SUM(AA77:AA92)</f>
        <v>1378054.8082191781</v>
      </c>
      <c r="AB93" s="89">
        <f>AA93/AA12</f>
        <v>0.11305154278279395</v>
      </c>
      <c r="AC93" s="52">
        <f>SUM(AC77:AC92)</f>
        <v>114837.9006849315</v>
      </c>
      <c r="AD93" s="89">
        <f>AC93/AC12</f>
        <v>0.11305154278279392</v>
      </c>
      <c r="AE93" s="596"/>
      <c r="AF93" s="562"/>
    </row>
    <row r="94" spans="1:32" s="1" customFormat="1" ht="15.75" thickTop="1">
      <c r="A94" s="2">
        <v>6301</v>
      </c>
      <c r="B94" s="231" t="s">
        <v>36</v>
      </c>
      <c r="C94" s="678"/>
      <c r="D94" s="702">
        <f t="shared" ref="D94:D101" si="42">C94/C$12</f>
        <v>0</v>
      </c>
      <c r="E94" s="678"/>
      <c r="F94" s="702">
        <f t="shared" ref="F94:F101" si="43">E94/E$12</f>
        <v>0</v>
      </c>
      <c r="G94" s="678"/>
      <c r="H94" s="702">
        <f t="shared" ref="H94:H101" si="44">G94/G$12</f>
        <v>0</v>
      </c>
      <c r="I94" s="678"/>
      <c r="J94" s="702">
        <f t="shared" ref="J94:J101" si="45">I94/I$12</f>
        <v>0</v>
      </c>
      <c r="K94" s="678"/>
      <c r="L94" s="702">
        <f t="shared" ref="L94:L101" si="46">K94/K$12</f>
        <v>0</v>
      </c>
      <c r="M94" s="678"/>
      <c r="N94" s="702">
        <f t="shared" ref="N94:N101" si="47">M94/M$12</f>
        <v>0</v>
      </c>
      <c r="O94" s="678"/>
      <c r="P94" s="702">
        <f t="shared" ref="P94:P101" si="48">O94/O$12</f>
        <v>0</v>
      </c>
      <c r="Q94" s="678"/>
      <c r="R94" s="702">
        <f t="shared" ref="R94:R101" si="49">Q94/Q$12</f>
        <v>0</v>
      </c>
      <c r="S94" s="678"/>
      <c r="T94" s="702">
        <f t="shared" ref="T94:T101" si="50">S94/S$12</f>
        <v>0</v>
      </c>
      <c r="U94" s="678"/>
      <c r="V94" s="702">
        <f t="shared" ref="V94:V101" si="51">U94/U$12</f>
        <v>0</v>
      </c>
      <c r="W94" s="678"/>
      <c r="X94" s="702">
        <f t="shared" ref="X94:X101" si="52">W94/W$12</f>
        <v>0</v>
      </c>
      <c r="Y94" s="678"/>
      <c r="Z94" s="702">
        <f t="shared" ref="Z94:Z101" si="53">Y94/Y$12</f>
        <v>0</v>
      </c>
      <c r="AA94" s="144">
        <f t="shared" ref="AA94:AA114" si="54">C94+E94+G94+I94+K94+M94+O94+Q94+S94+U94+W94+Y94</f>
        <v>0</v>
      </c>
      <c r="AB94" s="702">
        <f>AA94/AA$12</f>
        <v>0</v>
      </c>
      <c r="AC94" s="128">
        <f t="shared" ref="AC94:AC115" si="55">AA94/12</f>
        <v>0</v>
      </c>
      <c r="AD94" s="702">
        <f>AC94/AC$12</f>
        <v>0</v>
      </c>
      <c r="AE94" s="595"/>
      <c r="AF94" s="579"/>
    </row>
    <row r="95" spans="1:32" s="1" customFormat="1">
      <c r="A95" s="2">
        <v>6302</v>
      </c>
      <c r="B95" s="231" t="s">
        <v>37</v>
      </c>
      <c r="C95" s="678"/>
      <c r="D95" s="702">
        <f t="shared" si="42"/>
        <v>0</v>
      </c>
      <c r="E95" s="678"/>
      <c r="F95" s="702">
        <f t="shared" si="43"/>
        <v>0</v>
      </c>
      <c r="G95" s="678"/>
      <c r="H95" s="702">
        <f t="shared" si="44"/>
        <v>0</v>
      </c>
      <c r="I95" s="678"/>
      <c r="J95" s="702">
        <f t="shared" si="45"/>
        <v>0</v>
      </c>
      <c r="K95" s="678"/>
      <c r="L95" s="702">
        <f t="shared" si="46"/>
        <v>0</v>
      </c>
      <c r="M95" s="678"/>
      <c r="N95" s="702">
        <f t="shared" si="47"/>
        <v>0</v>
      </c>
      <c r="O95" s="678"/>
      <c r="P95" s="702">
        <f t="shared" si="48"/>
        <v>0</v>
      </c>
      <c r="Q95" s="678"/>
      <c r="R95" s="702">
        <f t="shared" si="49"/>
        <v>0</v>
      </c>
      <c r="S95" s="678"/>
      <c r="T95" s="702">
        <f t="shared" si="50"/>
        <v>0</v>
      </c>
      <c r="U95" s="678"/>
      <c r="V95" s="702">
        <f t="shared" si="51"/>
        <v>0</v>
      </c>
      <c r="W95" s="678"/>
      <c r="X95" s="702">
        <f t="shared" si="52"/>
        <v>0</v>
      </c>
      <c r="Y95" s="678"/>
      <c r="Z95" s="702">
        <f t="shared" si="53"/>
        <v>0</v>
      </c>
      <c r="AA95" s="144">
        <f t="shared" si="54"/>
        <v>0</v>
      </c>
      <c r="AB95" s="702">
        <f t="shared" ref="AB95:AB99" si="56">AA95/AA$12</f>
        <v>0</v>
      </c>
      <c r="AC95" s="128">
        <f t="shared" si="55"/>
        <v>0</v>
      </c>
      <c r="AD95" s="702">
        <f t="shared" ref="AD95:AD99" si="57">AC95/AC$12</f>
        <v>0</v>
      </c>
      <c r="AE95" s="595"/>
      <c r="AF95" s="393"/>
    </row>
    <row r="96" spans="1:32" s="1" customFormat="1">
      <c r="A96" s="2">
        <v>6303</v>
      </c>
      <c r="B96" s="2" t="s">
        <v>132</v>
      </c>
      <c r="C96" s="678"/>
      <c r="D96" s="702">
        <f t="shared" si="42"/>
        <v>0</v>
      </c>
      <c r="E96" s="678"/>
      <c r="F96" s="702">
        <f t="shared" si="43"/>
        <v>0</v>
      </c>
      <c r="G96" s="678"/>
      <c r="H96" s="702">
        <f t="shared" si="44"/>
        <v>0</v>
      </c>
      <c r="I96" s="678"/>
      <c r="J96" s="702">
        <f t="shared" si="45"/>
        <v>0</v>
      </c>
      <c r="K96" s="678"/>
      <c r="L96" s="702">
        <f t="shared" si="46"/>
        <v>0</v>
      </c>
      <c r="M96" s="678"/>
      <c r="N96" s="702">
        <f t="shared" si="47"/>
        <v>0</v>
      </c>
      <c r="O96" s="678"/>
      <c r="P96" s="702">
        <f t="shared" si="48"/>
        <v>0</v>
      </c>
      <c r="Q96" s="678"/>
      <c r="R96" s="702">
        <f t="shared" si="49"/>
        <v>0</v>
      </c>
      <c r="S96" s="678"/>
      <c r="T96" s="702">
        <f t="shared" si="50"/>
        <v>0</v>
      </c>
      <c r="U96" s="678"/>
      <c r="V96" s="702">
        <f t="shared" si="51"/>
        <v>0</v>
      </c>
      <c r="W96" s="678"/>
      <c r="X96" s="702">
        <f t="shared" si="52"/>
        <v>0</v>
      </c>
      <c r="Y96" s="678"/>
      <c r="Z96" s="702">
        <f t="shared" si="53"/>
        <v>0</v>
      </c>
      <c r="AA96" s="144">
        <f t="shared" si="54"/>
        <v>0</v>
      </c>
      <c r="AB96" s="702">
        <f t="shared" si="56"/>
        <v>0</v>
      </c>
      <c r="AC96" s="128">
        <f t="shared" si="55"/>
        <v>0</v>
      </c>
      <c r="AD96" s="702">
        <f t="shared" si="57"/>
        <v>0</v>
      </c>
      <c r="AE96" s="595"/>
      <c r="AF96" s="579"/>
    </row>
    <row r="97" spans="1:32" s="1" customFormat="1">
      <c r="A97" s="2">
        <v>6304</v>
      </c>
      <c r="B97" s="2" t="s">
        <v>38</v>
      </c>
      <c r="C97" s="753"/>
      <c r="D97" s="702">
        <f t="shared" si="42"/>
        <v>0</v>
      </c>
      <c r="E97" s="753"/>
      <c r="F97" s="702">
        <f t="shared" si="43"/>
        <v>0</v>
      </c>
      <c r="G97" s="753"/>
      <c r="H97" s="702">
        <f t="shared" si="44"/>
        <v>0</v>
      </c>
      <c r="I97" s="753"/>
      <c r="J97" s="702">
        <f t="shared" si="45"/>
        <v>0</v>
      </c>
      <c r="K97" s="753"/>
      <c r="L97" s="702">
        <f t="shared" si="46"/>
        <v>0</v>
      </c>
      <c r="M97" s="753"/>
      <c r="N97" s="702">
        <f t="shared" si="47"/>
        <v>0</v>
      </c>
      <c r="O97" s="753"/>
      <c r="P97" s="702">
        <f t="shared" si="48"/>
        <v>0</v>
      </c>
      <c r="Q97" s="753"/>
      <c r="R97" s="702">
        <f t="shared" si="49"/>
        <v>0</v>
      </c>
      <c r="S97" s="753"/>
      <c r="T97" s="702">
        <f t="shared" si="50"/>
        <v>0</v>
      </c>
      <c r="U97" s="753"/>
      <c r="V97" s="702">
        <f t="shared" si="51"/>
        <v>0</v>
      </c>
      <c r="W97" s="753"/>
      <c r="X97" s="702">
        <f t="shared" si="52"/>
        <v>0</v>
      </c>
      <c r="Y97" s="753"/>
      <c r="Z97" s="702">
        <f t="shared" si="53"/>
        <v>0</v>
      </c>
      <c r="AA97" s="144">
        <f t="shared" si="54"/>
        <v>0</v>
      </c>
      <c r="AB97" s="702">
        <f t="shared" si="56"/>
        <v>0</v>
      </c>
      <c r="AC97" s="128">
        <f t="shared" si="55"/>
        <v>0</v>
      </c>
      <c r="AD97" s="702">
        <f t="shared" si="57"/>
        <v>0</v>
      </c>
      <c r="AE97" s="595"/>
      <c r="AF97" s="393"/>
    </row>
    <row r="98" spans="1:32" s="1" customFormat="1">
      <c r="A98" s="188">
        <v>6305</v>
      </c>
      <c r="B98" s="2" t="s">
        <v>39</v>
      </c>
      <c r="C98" s="678"/>
      <c r="D98" s="702">
        <f t="shared" si="42"/>
        <v>0</v>
      </c>
      <c r="E98" s="678"/>
      <c r="F98" s="702">
        <f t="shared" si="43"/>
        <v>0</v>
      </c>
      <c r="G98" s="678"/>
      <c r="H98" s="702">
        <f t="shared" si="44"/>
        <v>0</v>
      </c>
      <c r="I98" s="678"/>
      <c r="J98" s="702">
        <f t="shared" si="45"/>
        <v>0</v>
      </c>
      <c r="K98" s="678"/>
      <c r="L98" s="702">
        <f t="shared" si="46"/>
        <v>0</v>
      </c>
      <c r="M98" s="678"/>
      <c r="N98" s="702">
        <f t="shared" si="47"/>
        <v>0</v>
      </c>
      <c r="O98" s="678"/>
      <c r="P98" s="702">
        <f t="shared" si="48"/>
        <v>0</v>
      </c>
      <c r="Q98" s="678"/>
      <c r="R98" s="702">
        <f t="shared" si="49"/>
        <v>0</v>
      </c>
      <c r="S98" s="678"/>
      <c r="T98" s="702">
        <f t="shared" si="50"/>
        <v>0</v>
      </c>
      <c r="U98" s="678"/>
      <c r="V98" s="702">
        <f t="shared" si="51"/>
        <v>0</v>
      </c>
      <c r="W98" s="678"/>
      <c r="X98" s="702">
        <f t="shared" si="52"/>
        <v>0</v>
      </c>
      <c r="Y98" s="678"/>
      <c r="Z98" s="702">
        <f t="shared" si="53"/>
        <v>0</v>
      </c>
      <c r="AA98" s="144">
        <f t="shared" si="54"/>
        <v>0</v>
      </c>
      <c r="AB98" s="702">
        <f t="shared" si="56"/>
        <v>0</v>
      </c>
      <c r="AC98" s="128">
        <f t="shared" si="55"/>
        <v>0</v>
      </c>
      <c r="AD98" s="702">
        <f t="shared" si="57"/>
        <v>0</v>
      </c>
      <c r="AE98" s="595"/>
      <c r="AF98" s="393"/>
    </row>
    <row r="99" spans="1:32" s="1" customFormat="1">
      <c r="A99" s="2">
        <v>6306</v>
      </c>
      <c r="B99" s="2" t="s">
        <v>40</v>
      </c>
      <c r="C99" s="678"/>
      <c r="D99" s="702">
        <f t="shared" si="42"/>
        <v>0</v>
      </c>
      <c r="E99" s="678"/>
      <c r="F99" s="702">
        <f t="shared" si="43"/>
        <v>0</v>
      </c>
      <c r="G99" s="678"/>
      <c r="H99" s="702">
        <f t="shared" si="44"/>
        <v>0</v>
      </c>
      <c r="I99" s="678"/>
      <c r="J99" s="702">
        <f t="shared" si="45"/>
        <v>0</v>
      </c>
      <c r="K99" s="678"/>
      <c r="L99" s="702">
        <f t="shared" si="46"/>
        <v>0</v>
      </c>
      <c r="M99" s="678"/>
      <c r="N99" s="702">
        <f t="shared" si="47"/>
        <v>0</v>
      </c>
      <c r="O99" s="678"/>
      <c r="P99" s="702">
        <f t="shared" si="48"/>
        <v>0</v>
      </c>
      <c r="Q99" s="678"/>
      <c r="R99" s="702">
        <f t="shared" si="49"/>
        <v>0</v>
      </c>
      <c r="S99" s="678"/>
      <c r="T99" s="702">
        <f t="shared" si="50"/>
        <v>0</v>
      </c>
      <c r="U99" s="678"/>
      <c r="V99" s="702">
        <f t="shared" si="51"/>
        <v>0</v>
      </c>
      <c r="W99" s="678"/>
      <c r="X99" s="702">
        <f t="shared" si="52"/>
        <v>0</v>
      </c>
      <c r="Y99" s="678"/>
      <c r="Z99" s="702">
        <f t="shared" si="53"/>
        <v>0</v>
      </c>
      <c r="AA99" s="144">
        <f t="shared" si="54"/>
        <v>0</v>
      </c>
      <c r="AB99" s="702">
        <f t="shared" si="56"/>
        <v>0</v>
      </c>
      <c r="AC99" s="128">
        <f t="shared" si="55"/>
        <v>0</v>
      </c>
      <c r="AD99" s="702">
        <f t="shared" si="57"/>
        <v>0</v>
      </c>
      <c r="AE99" s="595"/>
      <c r="AF99" s="579"/>
    </row>
    <row r="100" spans="1:32" s="1" customFormat="1">
      <c r="A100" s="2">
        <v>6307</v>
      </c>
      <c r="B100" s="2" t="s">
        <v>322</v>
      </c>
      <c r="C100" s="753"/>
      <c r="D100" s="702">
        <f t="shared" si="42"/>
        <v>0</v>
      </c>
      <c r="E100" s="678">
        <v>450</v>
      </c>
      <c r="F100" s="702">
        <f t="shared" si="43"/>
        <v>6.3089591308100731E-4</v>
      </c>
      <c r="G100" s="678">
        <v>450</v>
      </c>
      <c r="H100" s="702">
        <f t="shared" si="44"/>
        <v>3.8033785575694763E-4</v>
      </c>
      <c r="I100" s="678">
        <v>1090</v>
      </c>
      <c r="J100" s="702">
        <f t="shared" si="45"/>
        <v>1.0433395106120627E-3</v>
      </c>
      <c r="K100" s="678">
        <v>450</v>
      </c>
      <c r="L100" s="702">
        <f t="shared" si="46"/>
        <v>4.7095518708548047E-4</v>
      </c>
      <c r="M100" s="678"/>
      <c r="N100" s="702">
        <f t="shared" si="47"/>
        <v>0</v>
      </c>
      <c r="O100" s="678">
        <v>450</v>
      </c>
      <c r="P100" s="702">
        <f t="shared" si="48"/>
        <v>5.2459973082954049E-4</v>
      </c>
      <c r="Q100" s="678">
        <v>450</v>
      </c>
      <c r="R100" s="702">
        <f t="shared" si="49"/>
        <v>4.2247180313861968E-4</v>
      </c>
      <c r="S100" s="678">
        <v>450</v>
      </c>
      <c r="T100" s="702">
        <f t="shared" si="50"/>
        <v>4.193771038325345E-4</v>
      </c>
      <c r="U100" s="678">
        <v>450</v>
      </c>
      <c r="V100" s="702">
        <f t="shared" si="51"/>
        <v>5.2871110909872567E-4</v>
      </c>
      <c r="W100" s="678">
        <v>450</v>
      </c>
      <c r="X100" s="702">
        <f t="shared" si="52"/>
        <v>5.1964765921450463E-4</v>
      </c>
      <c r="Y100" s="678">
        <v>450</v>
      </c>
      <c r="Z100" s="702">
        <f t="shared" si="53"/>
        <v>3.4398637772066048E-4</v>
      </c>
      <c r="AA100" s="144">
        <f t="shared" si="54"/>
        <v>5140</v>
      </c>
      <c r="AB100" s="226">
        <f>AA100/AA$12</f>
        <v>4.2167040558748224E-4</v>
      </c>
      <c r="AC100" s="128">
        <f t="shared" si="55"/>
        <v>428.33333333333331</v>
      </c>
      <c r="AD100" s="226">
        <f>AC100/AC$12</f>
        <v>4.2167040558748213E-4</v>
      </c>
      <c r="AE100" s="595"/>
      <c r="AF100" s="579"/>
    </row>
    <row r="101" spans="1:32" s="1" customFormat="1">
      <c r="A101" s="2">
        <v>6308</v>
      </c>
      <c r="B101" s="2" t="s">
        <v>151</v>
      </c>
      <c r="C101" s="678"/>
      <c r="D101" s="702">
        <f t="shared" si="42"/>
        <v>0</v>
      </c>
      <c r="E101" s="678"/>
      <c r="F101" s="702">
        <f t="shared" si="43"/>
        <v>0</v>
      </c>
      <c r="G101" s="678"/>
      <c r="H101" s="702">
        <f t="shared" si="44"/>
        <v>0</v>
      </c>
      <c r="I101" s="678"/>
      <c r="J101" s="702">
        <f t="shared" si="45"/>
        <v>0</v>
      </c>
      <c r="K101" s="678"/>
      <c r="L101" s="702">
        <f t="shared" si="46"/>
        <v>0</v>
      </c>
      <c r="M101" s="678"/>
      <c r="N101" s="702">
        <f t="shared" si="47"/>
        <v>0</v>
      </c>
      <c r="O101" s="678"/>
      <c r="P101" s="702">
        <f t="shared" si="48"/>
        <v>0</v>
      </c>
      <c r="Q101" s="678"/>
      <c r="R101" s="702">
        <f t="shared" si="49"/>
        <v>0</v>
      </c>
      <c r="S101" s="678"/>
      <c r="T101" s="702">
        <f t="shared" si="50"/>
        <v>0</v>
      </c>
      <c r="U101" s="678"/>
      <c r="V101" s="702">
        <f t="shared" si="51"/>
        <v>0</v>
      </c>
      <c r="W101" s="678"/>
      <c r="X101" s="702">
        <f t="shared" si="52"/>
        <v>0</v>
      </c>
      <c r="Y101" s="678"/>
      <c r="Z101" s="702">
        <f t="shared" si="53"/>
        <v>0</v>
      </c>
      <c r="AA101" s="144">
        <f t="shared" si="54"/>
        <v>0</v>
      </c>
      <c r="AB101" s="226">
        <f>AA101/AA$12</f>
        <v>0</v>
      </c>
      <c r="AC101" s="128">
        <f t="shared" si="55"/>
        <v>0</v>
      </c>
      <c r="AD101" s="226">
        <f>AC101/AC$12</f>
        <v>0</v>
      </c>
      <c r="AE101" s="595"/>
      <c r="AF101" s="579"/>
    </row>
    <row r="102" spans="1:32" s="1" customFormat="1">
      <c r="A102" s="2">
        <v>6309</v>
      </c>
      <c r="B102" s="2" t="s">
        <v>152</v>
      </c>
      <c r="C102" s="753">
        <f>(15945.92736496/5)*2</f>
        <v>6378.3709459840002</v>
      </c>
      <c r="D102" s="702">
        <f>C102/C$12</f>
        <v>6.9572144009958179E-3</v>
      </c>
      <c r="E102" s="678">
        <f>(16105.3866386096/5)*2</f>
        <v>6442.1546554438401</v>
      </c>
      <c r="F102" s="702">
        <f>E102/E$12</f>
        <v>9.0318423190117857E-3</v>
      </c>
      <c r="G102" s="678">
        <f>16266.4405049957/5</f>
        <v>3253.2881009991402</v>
      </c>
      <c r="H102" s="702">
        <f>G102/G$12</f>
        <v>2.7496636010969E-3</v>
      </c>
      <c r="I102" s="678">
        <f>16429.1049100457/5</f>
        <v>3285.8209820091397</v>
      </c>
      <c r="J102" s="702">
        <f>I102/I$12</f>
        <v>3.1451622525947368E-3</v>
      </c>
      <c r="K102" s="753">
        <f>(16593.3959591461/5)*2</f>
        <v>6637.3583836584394</v>
      </c>
      <c r="L102" s="702">
        <f>K102/K$12</f>
        <v>6.9464407985094286E-3</v>
      </c>
      <c r="M102" s="678">
        <f>16759.3299187376/5</f>
        <v>3351.8659837475197</v>
      </c>
      <c r="N102" s="702">
        <f>M102/M$12</f>
        <v>2.47389764097797E-3</v>
      </c>
      <c r="O102" s="993">
        <f>16926.9232179249/5</f>
        <v>3385.38464358498</v>
      </c>
      <c r="P102" s="702">
        <f>O102/O$12</f>
        <v>3.9466041617314228E-3</v>
      </c>
      <c r="Q102" s="678">
        <f>17096.1924501042/5</f>
        <v>3419.2384900208403</v>
      </c>
      <c r="R102" s="702">
        <f>Q102/Q$12</f>
        <v>3.2100707783112793E-3</v>
      </c>
      <c r="S102" s="753">
        <f>(17267.1543746052/5)*2</f>
        <v>6906.8617498420808</v>
      </c>
      <c r="T102" s="702">
        <f>S102/S$12</f>
        <v>6.4368437271566294E-3</v>
      </c>
      <c r="U102" s="678">
        <f>(17439.8259183513/5)*2</f>
        <v>6975.9303673405202</v>
      </c>
      <c r="V102" s="702">
        <f>U102/U$12</f>
        <v>8.1961152922490812E-3</v>
      </c>
      <c r="W102" s="753">
        <f>17614.2241775348/5</f>
        <v>3522.8448355069604</v>
      </c>
      <c r="X102" s="702">
        <f>W102/W$12</f>
        <v>4.0680846056602195E-3</v>
      </c>
      <c r="Y102" s="678">
        <f>17790.3664193102/5</f>
        <v>3558.0732838620402</v>
      </c>
      <c r="Z102" s="702">
        <f>Y102/Y$12</f>
        <v>2.7198416457341304E-3</v>
      </c>
      <c r="AA102" s="144">
        <f t="shared" si="54"/>
        <v>57117.192421999505</v>
      </c>
      <c r="AB102" s="226">
        <f>AA102/AA$12</f>
        <v>4.685725621518054E-3</v>
      </c>
      <c r="AC102" s="128">
        <f t="shared" si="55"/>
        <v>4759.7660351666254</v>
      </c>
      <c r="AD102" s="226">
        <f>AC102/AC$12</f>
        <v>4.6857256215180531E-3</v>
      </c>
      <c r="AE102" s="595"/>
      <c r="AF102" s="579"/>
    </row>
    <row r="103" spans="1:32" s="1" customFormat="1">
      <c r="A103" s="2">
        <v>6310</v>
      </c>
      <c r="B103" s="2" t="s">
        <v>153</v>
      </c>
      <c r="C103" s="678"/>
      <c r="D103" s="702">
        <f t="shared" ref="D103:D114" si="58">C103/C$12</f>
        <v>0</v>
      </c>
      <c r="E103" s="678">
        <v>14000</v>
      </c>
      <c r="F103" s="702">
        <f t="shared" ref="F103:F114" si="59">E103/E$12</f>
        <v>1.9627872851409118E-2</v>
      </c>
      <c r="G103" s="678">
        <v>12800</v>
      </c>
      <c r="H103" s="702">
        <f t="shared" ref="H103:H114" si="60">G103/G$12</f>
        <v>1.0818499008197622E-2</v>
      </c>
      <c r="I103" s="678">
        <v>6000</v>
      </c>
      <c r="J103" s="702">
        <f t="shared" ref="J103:J114" si="61">I103/I$12</f>
        <v>5.7431532694241982E-3</v>
      </c>
      <c r="K103" s="678">
        <v>7400</v>
      </c>
      <c r="L103" s="702">
        <f t="shared" ref="L103:L114" si="62">K103/K$12</f>
        <v>7.7445964098501237E-3</v>
      </c>
      <c r="M103" s="678"/>
      <c r="N103" s="702">
        <f t="shared" ref="N103:P114" si="63">M103/M$12</f>
        <v>0</v>
      </c>
      <c r="O103" s="678">
        <v>1500</v>
      </c>
      <c r="P103" s="702">
        <f t="shared" ref="P103:P114" si="64">O103/O$12</f>
        <v>1.7486657694318016E-3</v>
      </c>
      <c r="Q103" s="678">
        <v>12000</v>
      </c>
      <c r="R103" s="702">
        <f t="shared" ref="R103:R114" si="65">Q103/Q$12</f>
        <v>1.1265914750363192E-2</v>
      </c>
      <c r="S103" s="678">
        <v>12300</v>
      </c>
      <c r="T103" s="702">
        <f t="shared" ref="T103:T114" si="66">S103/S$12</f>
        <v>1.146297417142261E-2</v>
      </c>
      <c r="U103" s="678">
        <v>7000</v>
      </c>
      <c r="V103" s="702">
        <f t="shared" ref="V103:V114" si="67">U103/U$12</f>
        <v>8.2243950304246201E-3</v>
      </c>
      <c r="W103" s="678"/>
      <c r="X103" s="702">
        <f t="shared" ref="X103:X114" si="68">W103/W$12</f>
        <v>0</v>
      </c>
      <c r="Y103" s="678">
        <v>13000</v>
      </c>
      <c r="Z103" s="702">
        <f t="shared" ref="Z103:Z114" si="69">Y103/Y$12</f>
        <v>9.9373842452635253E-3</v>
      </c>
      <c r="AA103" s="144">
        <f t="shared" si="54"/>
        <v>86000</v>
      </c>
      <c r="AB103" s="226">
        <f t="shared" ref="AB103:AB114" si="70">AA103/AA$12</f>
        <v>7.0551857744209088E-3</v>
      </c>
      <c r="AC103" s="128">
        <f t="shared" si="55"/>
        <v>7166.666666666667</v>
      </c>
      <c r="AD103" s="226">
        <f t="shared" ref="AD103:AD114" si="71">AC103/AC$12</f>
        <v>7.0551857744209079E-3</v>
      </c>
      <c r="AE103" s="595"/>
      <c r="AF103" s="393"/>
    </row>
    <row r="104" spans="1:32" s="1" customFormat="1">
      <c r="A104" s="2">
        <v>6311</v>
      </c>
      <c r="B104" s="2" t="s">
        <v>154</v>
      </c>
      <c r="C104" s="753">
        <v>10284.905617732022</v>
      </c>
      <c r="D104" s="702">
        <f t="shared" si="58"/>
        <v>1.1218270947634456E-2</v>
      </c>
      <c r="E104" s="678"/>
      <c r="F104" s="702">
        <f t="shared" si="59"/>
        <v>0</v>
      </c>
      <c r="G104" s="678"/>
      <c r="H104" s="702">
        <f t="shared" si="60"/>
        <v>0</v>
      </c>
      <c r="I104" s="678"/>
      <c r="J104" s="702">
        <f t="shared" si="61"/>
        <v>0</v>
      </c>
      <c r="K104" s="678"/>
      <c r="L104" s="702">
        <f t="shared" si="62"/>
        <v>0</v>
      </c>
      <c r="M104" s="678"/>
      <c r="N104" s="702">
        <f t="shared" si="63"/>
        <v>0</v>
      </c>
      <c r="O104" s="678"/>
      <c r="P104" s="702">
        <f t="shared" si="64"/>
        <v>0</v>
      </c>
      <c r="Q104" s="678"/>
      <c r="R104" s="702">
        <f t="shared" si="65"/>
        <v>0</v>
      </c>
      <c r="S104" s="678"/>
      <c r="T104" s="702">
        <f t="shared" si="66"/>
        <v>0</v>
      </c>
      <c r="U104" s="678"/>
      <c r="V104" s="702">
        <f t="shared" si="67"/>
        <v>0</v>
      </c>
      <c r="W104" s="678"/>
      <c r="X104" s="702">
        <f t="shared" si="68"/>
        <v>0</v>
      </c>
      <c r="Y104" s="678"/>
      <c r="Z104" s="702">
        <f t="shared" si="69"/>
        <v>0</v>
      </c>
      <c r="AA104" s="144">
        <f t="shared" si="54"/>
        <v>10284.905617732022</v>
      </c>
      <c r="AB104" s="226">
        <f t="shared" si="70"/>
        <v>8.4374325355214715E-4</v>
      </c>
      <c r="AC104" s="128">
        <f t="shared" si="55"/>
        <v>857.0754681443351</v>
      </c>
      <c r="AD104" s="226">
        <f t="shared" si="71"/>
        <v>8.4374325355214693E-4</v>
      </c>
      <c r="AE104" s="595"/>
      <c r="AF104" s="579"/>
    </row>
    <row r="105" spans="1:32" s="1" customFormat="1">
      <c r="A105" s="2">
        <v>6312</v>
      </c>
      <c r="B105" s="2" t="s">
        <v>155</v>
      </c>
      <c r="C105" s="678"/>
      <c r="D105" s="702">
        <f t="shared" si="58"/>
        <v>0</v>
      </c>
      <c r="E105" s="678"/>
      <c r="F105" s="702">
        <f t="shared" si="59"/>
        <v>0</v>
      </c>
      <c r="G105" s="678"/>
      <c r="H105" s="702">
        <f t="shared" si="60"/>
        <v>0</v>
      </c>
      <c r="I105" s="678"/>
      <c r="J105" s="702">
        <f t="shared" si="61"/>
        <v>0</v>
      </c>
      <c r="K105" s="678"/>
      <c r="L105" s="702">
        <f t="shared" si="62"/>
        <v>0</v>
      </c>
      <c r="M105" s="678"/>
      <c r="N105" s="702">
        <f t="shared" si="63"/>
        <v>0</v>
      </c>
      <c r="O105" s="678"/>
      <c r="P105" s="702">
        <f t="shared" si="64"/>
        <v>0</v>
      </c>
      <c r="Q105" s="678"/>
      <c r="R105" s="702">
        <f t="shared" si="65"/>
        <v>0</v>
      </c>
      <c r="S105" s="678"/>
      <c r="T105" s="702">
        <f t="shared" si="66"/>
        <v>0</v>
      </c>
      <c r="U105" s="678"/>
      <c r="V105" s="702">
        <f t="shared" si="67"/>
        <v>0</v>
      </c>
      <c r="W105" s="678"/>
      <c r="X105" s="702">
        <f t="shared" si="68"/>
        <v>0</v>
      </c>
      <c r="Y105" s="678"/>
      <c r="Z105" s="702">
        <f t="shared" si="69"/>
        <v>0</v>
      </c>
      <c r="AA105" s="144">
        <f t="shared" si="54"/>
        <v>0</v>
      </c>
      <c r="AB105" s="226">
        <f t="shared" si="70"/>
        <v>0</v>
      </c>
      <c r="AC105" s="128">
        <f t="shared" si="55"/>
        <v>0</v>
      </c>
      <c r="AD105" s="226">
        <f t="shared" si="71"/>
        <v>0</v>
      </c>
      <c r="AE105" s="595"/>
      <c r="AF105" s="579"/>
    </row>
    <row r="106" spans="1:32" s="1" customFormat="1">
      <c r="A106" s="2">
        <v>6313</v>
      </c>
      <c r="B106" s="2" t="s">
        <v>156</v>
      </c>
      <c r="C106" s="753"/>
      <c r="D106" s="702">
        <f t="shared" si="58"/>
        <v>0</v>
      </c>
      <c r="E106" s="753"/>
      <c r="F106" s="702">
        <f t="shared" si="59"/>
        <v>0</v>
      </c>
      <c r="G106" s="753">
        <f>(27272.7272727273/0.985)/12</f>
        <v>2307.3373327180457</v>
      </c>
      <c r="H106" s="702">
        <f t="shared" si="60"/>
        <v>1.9501505191865253E-3</v>
      </c>
      <c r="I106" s="753"/>
      <c r="J106" s="702">
        <f t="shared" si="61"/>
        <v>0</v>
      </c>
      <c r="K106" s="753">
        <f>(27272.7272727273/0.985)/12</f>
        <v>2307.3373327180457</v>
      </c>
      <c r="L106" s="702">
        <f t="shared" si="62"/>
        <v>2.4147833004434238E-3</v>
      </c>
      <c r="M106" s="753"/>
      <c r="N106" s="702">
        <f t="shared" si="63"/>
        <v>0</v>
      </c>
      <c r="O106" s="753"/>
      <c r="P106" s="702">
        <f t="shared" si="63"/>
        <v>0</v>
      </c>
      <c r="Q106" s="753">
        <f>(27272.7272727273/0.985)/12</f>
        <v>2307.3373327180457</v>
      </c>
      <c r="R106" s="702">
        <f t="shared" si="65"/>
        <v>2.166188807560991E-3</v>
      </c>
      <c r="S106" s="753"/>
      <c r="T106" s="702">
        <f t="shared" si="66"/>
        <v>0</v>
      </c>
      <c r="U106" s="753"/>
      <c r="V106" s="702">
        <f t="shared" si="67"/>
        <v>0</v>
      </c>
      <c r="W106" s="753"/>
      <c r="X106" s="702">
        <f t="shared" si="68"/>
        <v>0</v>
      </c>
      <c r="Y106" s="753">
        <f>(27272.7272727273/0.985)/12</f>
        <v>2307.3373327180457</v>
      </c>
      <c r="Z106" s="702">
        <f t="shared" si="69"/>
        <v>1.7637613583585132E-3</v>
      </c>
      <c r="AA106" s="144">
        <f t="shared" si="54"/>
        <v>9229.3493308721827</v>
      </c>
      <c r="AB106" s="226">
        <f t="shared" si="70"/>
        <v>7.5714853612012282E-4</v>
      </c>
      <c r="AC106" s="128">
        <f t="shared" si="55"/>
        <v>769.11244423934852</v>
      </c>
      <c r="AD106" s="226">
        <f t="shared" si="71"/>
        <v>7.571485361201226E-4</v>
      </c>
      <c r="AE106" s="595"/>
      <c r="AF106" s="579"/>
    </row>
    <row r="107" spans="1:32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58"/>
        <v>1.363438733007578E-2</v>
      </c>
      <c r="E107" s="678">
        <f>(206850/12)/0.985</f>
        <v>17500</v>
      </c>
      <c r="F107" s="702">
        <f t="shared" si="59"/>
        <v>2.4534841064261396E-2</v>
      </c>
      <c r="G107" s="678">
        <f>(159570/12)/0.985</f>
        <v>13500</v>
      </c>
      <c r="H107" s="702">
        <f t="shared" si="60"/>
        <v>1.1410135672708429E-2</v>
      </c>
      <c r="I107" s="678">
        <f>(159570/12)/0.985</f>
        <v>13500</v>
      </c>
      <c r="J107" s="702">
        <f t="shared" si="61"/>
        <v>1.2922094856204446E-2</v>
      </c>
      <c r="K107" s="678">
        <f>(206850/12)/0.985</f>
        <v>17500</v>
      </c>
      <c r="L107" s="702">
        <f t="shared" si="62"/>
        <v>1.8314923942213131E-2</v>
      </c>
      <c r="M107" s="678">
        <f>(159570/12)/0.985</f>
        <v>13500</v>
      </c>
      <c r="N107" s="702">
        <f t="shared" si="63"/>
        <v>9.963888268546682E-3</v>
      </c>
      <c r="O107" s="678">
        <f>(159570/12)/0.985</f>
        <v>13500</v>
      </c>
      <c r="P107" s="702">
        <f t="shared" si="63"/>
        <v>1.5737991924886213E-2</v>
      </c>
      <c r="Q107" s="678">
        <f>(206850/12)/0.985</f>
        <v>17500</v>
      </c>
      <c r="R107" s="702">
        <f t="shared" si="65"/>
        <v>1.6429459010946321E-2</v>
      </c>
      <c r="S107" s="678">
        <f>(159570/12)/0.985</f>
        <v>13500</v>
      </c>
      <c r="T107" s="702">
        <f t="shared" si="66"/>
        <v>1.2581313114976036E-2</v>
      </c>
      <c r="U107" s="678">
        <f>(159570/12)/0.985</f>
        <v>13500</v>
      </c>
      <c r="V107" s="702">
        <f t="shared" si="67"/>
        <v>1.586133327296177E-2</v>
      </c>
      <c r="W107" s="678">
        <f>(206850/12)/0.985</f>
        <v>17500</v>
      </c>
      <c r="X107" s="702">
        <f t="shared" si="68"/>
        <v>2.020852008056407E-2</v>
      </c>
      <c r="Y107" s="678">
        <f>(159570/12)/0.985</f>
        <v>13500</v>
      </c>
      <c r="Z107" s="702">
        <f t="shared" si="69"/>
        <v>1.0319591331619814E-2</v>
      </c>
      <c r="AA107" s="144">
        <f t="shared" si="54"/>
        <v>177000</v>
      </c>
      <c r="AB107" s="226">
        <f t="shared" si="70"/>
        <v>1.4520556768284894E-2</v>
      </c>
      <c r="AC107" s="128">
        <f t="shared" si="55"/>
        <v>14750</v>
      </c>
      <c r="AD107" s="226">
        <f t="shared" si="71"/>
        <v>1.4520556768284893E-2</v>
      </c>
      <c r="AE107" s="595"/>
      <c r="AF107" s="579"/>
    </row>
    <row r="108" spans="1:32" s="1" customFormat="1">
      <c r="A108" s="2">
        <v>6315</v>
      </c>
      <c r="B108" s="2" t="s">
        <v>323</v>
      </c>
      <c r="C108" s="678"/>
      <c r="D108" s="702">
        <f t="shared" si="58"/>
        <v>0</v>
      </c>
      <c r="E108" s="753">
        <v>4004</v>
      </c>
      <c r="F108" s="702">
        <f t="shared" si="59"/>
        <v>5.6135716355030073E-3</v>
      </c>
      <c r="G108" s="753">
        <v>5254</v>
      </c>
      <c r="H108" s="702">
        <f t="shared" si="60"/>
        <v>4.4406557647711179E-3</v>
      </c>
      <c r="I108" s="753">
        <v>4004</v>
      </c>
      <c r="J108" s="702">
        <f t="shared" si="61"/>
        <v>3.8325976151290814E-3</v>
      </c>
      <c r="K108" s="678">
        <v>1250</v>
      </c>
      <c r="L108" s="702">
        <f t="shared" si="62"/>
        <v>1.3082088530152235E-3</v>
      </c>
      <c r="M108" s="753"/>
      <c r="N108" s="702">
        <f t="shared" si="63"/>
        <v>0</v>
      </c>
      <c r="O108" s="678">
        <v>875</v>
      </c>
      <c r="P108" s="702">
        <f t="shared" si="63"/>
        <v>1.020055032168551E-3</v>
      </c>
      <c r="Q108" s="678">
        <v>1250</v>
      </c>
      <c r="R108" s="702">
        <f t="shared" si="65"/>
        <v>1.1735327864961659E-3</v>
      </c>
      <c r="S108" s="753"/>
      <c r="T108" s="702">
        <f t="shared" si="66"/>
        <v>0</v>
      </c>
      <c r="U108" s="678">
        <v>875</v>
      </c>
      <c r="V108" s="702">
        <f t="shared" si="67"/>
        <v>1.0280493788030775E-3</v>
      </c>
      <c r="W108" s="753"/>
      <c r="X108" s="702">
        <f t="shared" si="68"/>
        <v>0</v>
      </c>
      <c r="Y108" s="678">
        <v>1250</v>
      </c>
      <c r="Z108" s="702">
        <f t="shared" si="69"/>
        <v>9.5551771589072357E-4</v>
      </c>
      <c r="AA108" s="144">
        <f t="shared" si="54"/>
        <v>18762</v>
      </c>
      <c r="AB108" s="226">
        <f t="shared" si="70"/>
        <v>1.5391790174381988E-3</v>
      </c>
      <c r="AC108" s="128">
        <f t="shared" si="55"/>
        <v>1563.5</v>
      </c>
      <c r="AD108" s="226">
        <f t="shared" si="71"/>
        <v>1.5391790174381986E-3</v>
      </c>
      <c r="AE108" s="595"/>
      <c r="AF108" s="579"/>
    </row>
    <row r="109" spans="1:32" s="1" customFormat="1">
      <c r="A109" s="2">
        <v>6316</v>
      </c>
      <c r="B109" s="2" t="s">
        <v>324</v>
      </c>
      <c r="C109" s="678"/>
      <c r="D109" s="702">
        <f t="shared" si="58"/>
        <v>0</v>
      </c>
      <c r="E109" s="678"/>
      <c r="F109" s="702">
        <f t="shared" si="59"/>
        <v>0</v>
      </c>
      <c r="G109" s="678"/>
      <c r="H109" s="702">
        <f t="shared" si="60"/>
        <v>0</v>
      </c>
      <c r="I109" s="678"/>
      <c r="J109" s="702">
        <f t="shared" si="61"/>
        <v>0</v>
      </c>
      <c r="K109" s="678"/>
      <c r="L109" s="702">
        <f t="shared" si="62"/>
        <v>0</v>
      </c>
      <c r="M109" s="678"/>
      <c r="N109" s="702">
        <f t="shared" si="63"/>
        <v>0</v>
      </c>
      <c r="O109" s="678"/>
      <c r="P109" s="702">
        <f t="shared" si="64"/>
        <v>0</v>
      </c>
      <c r="Q109" s="678"/>
      <c r="R109" s="702">
        <f t="shared" si="65"/>
        <v>0</v>
      </c>
      <c r="S109" s="678"/>
      <c r="T109" s="702">
        <f t="shared" si="66"/>
        <v>0</v>
      </c>
      <c r="U109" s="678"/>
      <c r="V109" s="702">
        <f t="shared" si="67"/>
        <v>0</v>
      </c>
      <c r="W109" s="678"/>
      <c r="X109" s="702">
        <f t="shared" si="68"/>
        <v>0</v>
      </c>
      <c r="Y109" s="678"/>
      <c r="Z109" s="702">
        <f t="shared" si="69"/>
        <v>0</v>
      </c>
      <c r="AA109" s="144">
        <f t="shared" si="54"/>
        <v>0</v>
      </c>
      <c r="AB109" s="226">
        <f t="shared" si="70"/>
        <v>0</v>
      </c>
      <c r="AC109" s="128">
        <f t="shared" si="55"/>
        <v>0</v>
      </c>
      <c r="AD109" s="226">
        <f t="shared" si="71"/>
        <v>0</v>
      </c>
      <c r="AE109" s="595"/>
      <c r="AF109" s="579"/>
    </row>
    <row r="110" spans="1:32" s="1" customFormat="1">
      <c r="A110" s="2">
        <v>6317</v>
      </c>
      <c r="B110" s="2" t="s">
        <v>325</v>
      </c>
      <c r="C110" s="678"/>
      <c r="D110" s="702">
        <f t="shared" si="58"/>
        <v>0</v>
      </c>
      <c r="E110" s="678">
        <v>2750</v>
      </c>
      <c r="F110" s="702">
        <f t="shared" si="59"/>
        <v>3.8554750243839334E-3</v>
      </c>
      <c r="G110" s="678"/>
      <c r="H110" s="702">
        <f t="shared" si="60"/>
        <v>0</v>
      </c>
      <c r="I110" s="678">
        <v>16120</v>
      </c>
      <c r="J110" s="702">
        <f t="shared" si="61"/>
        <v>1.542993845051968E-2</v>
      </c>
      <c r="K110" s="678">
        <v>3100</v>
      </c>
      <c r="L110" s="702">
        <f t="shared" si="62"/>
        <v>3.2443579554777544E-3</v>
      </c>
      <c r="M110" s="678"/>
      <c r="N110" s="702">
        <f t="shared" si="63"/>
        <v>0</v>
      </c>
      <c r="O110" s="678"/>
      <c r="P110" s="702">
        <f t="shared" si="64"/>
        <v>0</v>
      </c>
      <c r="Q110" s="678">
        <v>10466</v>
      </c>
      <c r="R110" s="702">
        <f t="shared" si="65"/>
        <v>9.8257553147750969E-3</v>
      </c>
      <c r="S110" s="678"/>
      <c r="T110" s="702">
        <f t="shared" si="66"/>
        <v>0</v>
      </c>
      <c r="U110" s="678">
        <v>2750</v>
      </c>
      <c r="V110" s="702">
        <f t="shared" si="67"/>
        <v>3.2310123333811011E-3</v>
      </c>
      <c r="W110" s="678"/>
      <c r="X110" s="702">
        <f t="shared" si="68"/>
        <v>0</v>
      </c>
      <c r="Y110" s="678"/>
      <c r="Z110" s="702">
        <f t="shared" si="69"/>
        <v>0</v>
      </c>
      <c r="AA110" s="144">
        <f t="shared" si="54"/>
        <v>35186</v>
      </c>
      <c r="AB110" s="226">
        <f t="shared" si="70"/>
        <v>2.886555426264815E-3</v>
      </c>
      <c r="AC110" s="128">
        <f t="shared" si="55"/>
        <v>2932.1666666666665</v>
      </c>
      <c r="AD110" s="226">
        <f t="shared" si="71"/>
        <v>2.8865554262648145E-3</v>
      </c>
      <c r="AE110" s="595"/>
      <c r="AF110" s="579"/>
    </row>
    <row r="111" spans="1:32" s="1" customFormat="1">
      <c r="A111" s="2">
        <v>6318</v>
      </c>
      <c r="B111" s="2" t="s">
        <v>326</v>
      </c>
      <c r="C111" s="678">
        <f>(6660/12)</f>
        <v>555</v>
      </c>
      <c r="D111" s="702">
        <f t="shared" si="58"/>
        <v>6.0536679745536474E-4</v>
      </c>
      <c r="E111" s="678">
        <f>(6660/12)</f>
        <v>555</v>
      </c>
      <c r="F111" s="702">
        <f t="shared" si="59"/>
        <v>7.7810495946657569E-4</v>
      </c>
      <c r="G111" s="678">
        <f>(6660/12)</f>
        <v>555</v>
      </c>
      <c r="H111" s="702">
        <f t="shared" si="60"/>
        <v>4.6908335543356878E-4</v>
      </c>
      <c r="I111" s="678">
        <f>(6660/12)</f>
        <v>555</v>
      </c>
      <c r="J111" s="702">
        <f t="shared" si="61"/>
        <v>5.3124167742173828E-4</v>
      </c>
      <c r="K111" s="678">
        <f>(6660/12)</f>
        <v>555</v>
      </c>
      <c r="L111" s="702">
        <f t="shared" si="62"/>
        <v>5.8084473073875928E-4</v>
      </c>
      <c r="M111" s="678">
        <f>(6660/12)</f>
        <v>555</v>
      </c>
      <c r="N111" s="702">
        <f t="shared" si="63"/>
        <v>4.0962651770691912E-4</v>
      </c>
      <c r="O111" s="678">
        <f>(6660/12)</f>
        <v>555</v>
      </c>
      <c r="P111" s="702">
        <f t="shared" si="63"/>
        <v>6.4700633468976656E-4</v>
      </c>
      <c r="Q111" s="678">
        <f>(6660/12)</f>
        <v>555</v>
      </c>
      <c r="R111" s="702">
        <f t="shared" si="65"/>
        <v>5.2104855720429765E-4</v>
      </c>
      <c r="S111" s="678">
        <f>(6660/12)</f>
        <v>555</v>
      </c>
      <c r="T111" s="702">
        <f t="shared" si="66"/>
        <v>5.1723176139345918E-4</v>
      </c>
      <c r="U111" s="678">
        <f>(6660/12)</f>
        <v>555</v>
      </c>
      <c r="V111" s="702">
        <f t="shared" si="67"/>
        <v>6.5207703455509494E-4</v>
      </c>
      <c r="W111" s="678">
        <f>(6660/12)</f>
        <v>555</v>
      </c>
      <c r="X111" s="702">
        <f t="shared" si="68"/>
        <v>6.4089877969788903E-4</v>
      </c>
      <c r="Y111" s="678">
        <f>(6660/12)</f>
        <v>555</v>
      </c>
      <c r="Z111" s="702">
        <f t="shared" si="69"/>
        <v>4.2424986585548125E-4</v>
      </c>
      <c r="AA111" s="144">
        <f t="shared" si="54"/>
        <v>6660</v>
      </c>
      <c r="AB111" s="226">
        <f t="shared" si="70"/>
        <v>5.4636671229817742E-4</v>
      </c>
      <c r="AC111" s="128">
        <f t="shared" si="55"/>
        <v>555</v>
      </c>
      <c r="AD111" s="226">
        <f t="shared" si="71"/>
        <v>5.4636671229817732E-4</v>
      </c>
      <c r="AE111" s="595"/>
      <c r="AF111" s="579"/>
    </row>
    <row r="112" spans="1:32" s="1" customFormat="1">
      <c r="A112" s="2">
        <v>6319</v>
      </c>
      <c r="B112" s="2" t="s">
        <v>327</v>
      </c>
      <c r="C112" s="678"/>
      <c r="D112" s="702">
        <f t="shared" si="58"/>
        <v>0</v>
      </c>
      <c r="E112" s="678">
        <f>(43504.1666666667/12)/0.985</f>
        <v>3680.5555555555584</v>
      </c>
      <c r="F112" s="702">
        <f t="shared" si="59"/>
        <v>5.1601054619279958E-3</v>
      </c>
      <c r="G112" s="678">
        <f>(43504.1666666667/12)/0.985</f>
        <v>3680.5555555555584</v>
      </c>
      <c r="H112" s="702">
        <f t="shared" si="60"/>
        <v>3.1107880177651606E-3</v>
      </c>
      <c r="I112" s="678">
        <f>(43504.1666666667/12)/0.985</f>
        <v>3680.5555555555584</v>
      </c>
      <c r="J112" s="702">
        <f t="shared" si="61"/>
        <v>3.52299911203105E-3</v>
      </c>
      <c r="K112" s="678">
        <f>(43504.1666666667/12)/0.985</f>
        <v>3680.5555555555584</v>
      </c>
      <c r="L112" s="702">
        <f t="shared" si="62"/>
        <v>3.851948289433717E-3</v>
      </c>
      <c r="M112" s="678"/>
      <c r="N112" s="702">
        <f t="shared" si="63"/>
        <v>0</v>
      </c>
      <c r="O112" s="678">
        <f>(43504.1666666667/12)/0.985</f>
        <v>3680.5555555555584</v>
      </c>
      <c r="P112" s="702">
        <f t="shared" si="63"/>
        <v>4.2907076749947011E-3</v>
      </c>
      <c r="Q112" s="678">
        <f>(43504.1666666667/12)/0.985</f>
        <v>3680.5555555555584</v>
      </c>
      <c r="R112" s="702">
        <f t="shared" si="65"/>
        <v>3.4554020935720466E-3</v>
      </c>
      <c r="S112" s="678">
        <f>(43504.1666666667/12)/0.985</f>
        <v>3680.5555555555584</v>
      </c>
      <c r="T112" s="702">
        <f t="shared" si="66"/>
        <v>3.4300905097414116E-3</v>
      </c>
      <c r="U112" s="678">
        <f>(43504.1666666667/12)/0.985</f>
        <v>3680.5555555555584</v>
      </c>
      <c r="V112" s="702">
        <f t="shared" si="67"/>
        <v>4.3243346886161233E-3</v>
      </c>
      <c r="W112" s="678">
        <f>(43504.1666666667/12)/0.985</f>
        <v>3680.5555555555584</v>
      </c>
      <c r="X112" s="702">
        <f t="shared" si="68"/>
        <v>4.2502046201186366E-3</v>
      </c>
      <c r="Y112" s="678">
        <f>(43504.1666666667/12)/0.985</f>
        <v>3680.5555555555584</v>
      </c>
      <c r="Z112" s="702">
        <f t="shared" si="69"/>
        <v>2.8134688301226884E-3</v>
      </c>
      <c r="AA112" s="144">
        <f t="shared" si="54"/>
        <v>36805.555555555591</v>
      </c>
      <c r="AB112" s="226">
        <f t="shared" si="70"/>
        <v>3.0194189764559797E-3</v>
      </c>
      <c r="AC112" s="128">
        <f t="shared" si="55"/>
        <v>3067.1296296296327</v>
      </c>
      <c r="AD112" s="226">
        <f t="shared" si="71"/>
        <v>3.0194189764559797E-3</v>
      </c>
      <c r="AE112" s="595"/>
      <c r="AF112" s="579"/>
    </row>
    <row r="113" spans="1:33" s="1" customFormat="1">
      <c r="A113" s="2">
        <v>6320</v>
      </c>
      <c r="B113" s="2" t="s">
        <v>328</v>
      </c>
      <c r="C113" s="678"/>
      <c r="D113" s="702">
        <f t="shared" si="58"/>
        <v>0</v>
      </c>
      <c r="E113" s="678"/>
      <c r="F113" s="702">
        <f t="shared" si="59"/>
        <v>0</v>
      </c>
      <c r="G113" s="678"/>
      <c r="H113" s="702">
        <f t="shared" si="60"/>
        <v>0</v>
      </c>
      <c r="I113" s="678"/>
      <c r="J113" s="702">
        <f t="shared" si="61"/>
        <v>0</v>
      </c>
      <c r="K113" s="678"/>
      <c r="L113" s="702">
        <f t="shared" si="62"/>
        <v>0</v>
      </c>
      <c r="M113" s="678"/>
      <c r="N113" s="702">
        <f t="shared" si="63"/>
        <v>0</v>
      </c>
      <c r="O113" s="678"/>
      <c r="P113" s="702">
        <f t="shared" si="64"/>
        <v>0</v>
      </c>
      <c r="Q113" s="678"/>
      <c r="R113" s="702">
        <f t="shared" si="65"/>
        <v>0</v>
      </c>
      <c r="S113" s="678"/>
      <c r="T113" s="702">
        <f t="shared" si="66"/>
        <v>0</v>
      </c>
      <c r="U113" s="678"/>
      <c r="V113" s="702">
        <f t="shared" si="67"/>
        <v>0</v>
      </c>
      <c r="W113" s="678"/>
      <c r="X113" s="702">
        <f t="shared" si="68"/>
        <v>0</v>
      </c>
      <c r="Y113" s="678"/>
      <c r="Z113" s="702">
        <f t="shared" si="69"/>
        <v>0</v>
      </c>
      <c r="AA113" s="144">
        <f t="shared" si="54"/>
        <v>0</v>
      </c>
      <c r="AB113" s="226">
        <f t="shared" si="70"/>
        <v>0</v>
      </c>
      <c r="AC113" s="128">
        <f t="shared" si="55"/>
        <v>0</v>
      </c>
      <c r="AD113" s="226">
        <f t="shared" si="71"/>
        <v>0</v>
      </c>
      <c r="AE113" s="595"/>
      <c r="AF113" s="579"/>
    </row>
    <row r="114" spans="1:33" s="1" customFormat="1">
      <c r="A114" s="2">
        <v>6321</v>
      </c>
      <c r="B114" s="2" t="s">
        <v>329</v>
      </c>
      <c r="C114" s="678"/>
      <c r="D114" s="702">
        <f t="shared" si="58"/>
        <v>0</v>
      </c>
      <c r="E114" s="678"/>
      <c r="F114" s="702">
        <f t="shared" si="59"/>
        <v>0</v>
      </c>
      <c r="G114" s="678"/>
      <c r="H114" s="702">
        <f t="shared" si="60"/>
        <v>0</v>
      </c>
      <c r="I114" s="678"/>
      <c r="J114" s="702">
        <f t="shared" si="61"/>
        <v>0</v>
      </c>
      <c r="K114" s="678"/>
      <c r="L114" s="702">
        <f t="shared" si="62"/>
        <v>0</v>
      </c>
      <c r="M114" s="678"/>
      <c r="N114" s="702">
        <f t="shared" si="63"/>
        <v>0</v>
      </c>
      <c r="O114" s="678"/>
      <c r="P114" s="702">
        <f t="shared" si="64"/>
        <v>0</v>
      </c>
      <c r="Q114" s="678"/>
      <c r="R114" s="702">
        <f t="shared" si="65"/>
        <v>0</v>
      </c>
      <c r="S114" s="678"/>
      <c r="T114" s="702">
        <f t="shared" si="66"/>
        <v>0</v>
      </c>
      <c r="U114" s="678"/>
      <c r="V114" s="702">
        <f t="shared" si="67"/>
        <v>0</v>
      </c>
      <c r="W114" s="754">
        <f>100000/12</f>
        <v>8333.3333333333339</v>
      </c>
      <c r="X114" s="702">
        <f t="shared" si="68"/>
        <v>9.6231048002686052E-3</v>
      </c>
      <c r="Y114" s="678"/>
      <c r="Z114" s="702">
        <f t="shared" si="69"/>
        <v>0</v>
      </c>
      <c r="AA114" s="144">
        <f t="shared" si="54"/>
        <v>8333.3333333333339</v>
      </c>
      <c r="AB114" s="226">
        <f t="shared" si="70"/>
        <v>6.8364203240512691E-4</v>
      </c>
      <c r="AC114" s="128">
        <f t="shared" si="55"/>
        <v>694.44444444444446</v>
      </c>
      <c r="AD114" s="226">
        <f t="shared" si="71"/>
        <v>6.836420324051268E-4</v>
      </c>
      <c r="AE114" s="595"/>
      <c r="AF114" s="579"/>
    </row>
    <row r="115" spans="1:33" s="1" customFormat="1" ht="15.75" thickBot="1">
      <c r="A115" s="4">
        <v>6399</v>
      </c>
      <c r="B115" s="229" t="s">
        <v>113</v>
      </c>
      <c r="C115" s="298">
        <f>SUM(C94:C114)</f>
        <v>29718.276563716023</v>
      </c>
      <c r="D115" s="987">
        <f>C115/C12</f>
        <v>3.2415239476161421E-2</v>
      </c>
      <c r="E115" s="298">
        <f>SUM(E94:E114)</f>
        <v>49381.710210999401</v>
      </c>
      <c r="F115" s="987">
        <f>E115/E12</f>
        <v>6.9232709229044814E-2</v>
      </c>
      <c r="G115" s="298">
        <f>SUM(G94:G114)</f>
        <v>41800.180989272747</v>
      </c>
      <c r="H115" s="987">
        <f>G115/G12</f>
        <v>3.5329313794916273E-2</v>
      </c>
      <c r="I115" s="298">
        <f>SUM(I94:I114)</f>
        <v>48235.376537564705</v>
      </c>
      <c r="J115" s="987">
        <f>I115/I12</f>
        <v>4.6170526743936999E-2</v>
      </c>
      <c r="K115" s="298">
        <f>SUM(K94:K114)</f>
        <v>42880.251271932051</v>
      </c>
      <c r="L115" s="987">
        <f>K115/K12</f>
        <v>4.4877059466767046E-2</v>
      </c>
      <c r="M115" s="298">
        <f>SUM(M94:M114)</f>
        <v>17406.865983747521</v>
      </c>
      <c r="N115" s="987">
        <f>M115/M12</f>
        <v>1.284741242723157E-2</v>
      </c>
      <c r="O115" s="298">
        <f>SUM(O94:O114)</f>
        <v>23945.940199140539</v>
      </c>
      <c r="P115" s="987">
        <f>O115/O12</f>
        <v>2.7915630628731997E-2</v>
      </c>
      <c r="Q115" s="298">
        <f>SUM(Q94:Q114)</f>
        <v>51628.131378294449</v>
      </c>
      <c r="R115" s="97">
        <f>Q115/Q12</f>
        <v>4.8469843902368012E-2</v>
      </c>
      <c r="S115" s="298">
        <f>SUM(S94:S114)</f>
        <v>37392.417305397641</v>
      </c>
      <c r="T115" s="987">
        <f>S115/S12</f>
        <v>3.4847830388522683E-2</v>
      </c>
      <c r="U115" s="298">
        <f>SUM(U94:U114)</f>
        <v>35786.485922896078</v>
      </c>
      <c r="V115" s="987">
        <f>U115/U12</f>
        <v>4.2046028140089592E-2</v>
      </c>
      <c r="W115" s="298">
        <f>SUM(W94:W114)</f>
        <v>34041.733724395854</v>
      </c>
      <c r="X115" s="987">
        <f>W115/W12</f>
        <v>3.9310460545523923E-2</v>
      </c>
      <c r="Y115" s="298">
        <f>SUM(Y94:Y114)</f>
        <v>38300.966172135639</v>
      </c>
      <c r="Z115" s="987">
        <f>Y115/Y12</f>
        <v>2.9277801370565532E-2</v>
      </c>
      <c r="AA115" s="298">
        <f>SUM(AA94:AA114)</f>
        <v>450518.33625949261</v>
      </c>
      <c r="AB115" s="97">
        <f>AA115/AA12</f>
        <v>3.6959192524345909E-2</v>
      </c>
      <c r="AC115" s="137">
        <f t="shared" si="55"/>
        <v>37543.194688291049</v>
      </c>
      <c r="AD115" s="97">
        <f>AC115/AC12</f>
        <v>3.6959192524345895E-2</v>
      </c>
      <c r="AE115" s="596"/>
      <c r="AF115" s="575"/>
    </row>
    <row r="116" spans="1:33" s="1" customFormat="1" ht="15.75" thickTop="1">
      <c r="A116" s="21">
        <v>6401</v>
      </c>
      <c r="B116" s="21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464">
        <f t="shared" ref="AA116:AA128" si="72">C116+E116+G116+I116+K116+M116+O116+Q116+S116+U116+W116+Y116</f>
        <v>0</v>
      </c>
      <c r="AB116" s="487">
        <f>AA116/AA12</f>
        <v>0</v>
      </c>
      <c r="AC116" s="472">
        <f t="shared" ref="AC116:AC128" si="73">AA116/12</f>
        <v>0</v>
      </c>
      <c r="AD116" s="487">
        <f>AC116/AC12</f>
        <v>0</v>
      </c>
      <c r="AE116" s="595"/>
      <c r="AF116" s="579"/>
    </row>
    <row r="117" spans="1:33" s="1" customFormat="1">
      <c r="A117" s="188">
        <v>6402</v>
      </c>
      <c r="B117" s="2" t="s">
        <v>75</v>
      </c>
      <c r="C117" s="452">
        <v>500</v>
      </c>
      <c r="D117" s="467">
        <f>C117/C12</f>
        <v>5.4537549320303122E-4</v>
      </c>
      <c r="E117" s="452">
        <v>500</v>
      </c>
      <c r="F117" s="467">
        <f>E117/E12</f>
        <v>7.0099545897889704E-4</v>
      </c>
      <c r="G117" s="452">
        <v>500</v>
      </c>
      <c r="H117" s="467">
        <f>G117/G12</f>
        <v>4.2259761750771958E-4</v>
      </c>
      <c r="I117" s="452">
        <v>500</v>
      </c>
      <c r="J117" s="467">
        <f>I117/I12</f>
        <v>4.7859610578534985E-4</v>
      </c>
      <c r="K117" s="452">
        <v>500</v>
      </c>
      <c r="L117" s="467">
        <f>K117/K12</f>
        <v>5.2328354120608942E-4</v>
      </c>
      <c r="M117" s="452">
        <v>500</v>
      </c>
      <c r="N117" s="467">
        <f>M117/M12</f>
        <v>3.6903289883506225E-4</v>
      </c>
      <c r="O117" s="452">
        <v>500</v>
      </c>
      <c r="P117" s="467">
        <f>O117/O12</f>
        <v>5.8288858981060047E-4</v>
      </c>
      <c r="Q117" s="452">
        <v>500</v>
      </c>
      <c r="R117" s="467">
        <f>Q117/Q12</f>
        <v>4.6941311459846631E-4</v>
      </c>
      <c r="S117" s="452">
        <v>500</v>
      </c>
      <c r="T117" s="467">
        <f>S117/S12</f>
        <v>4.6597455981392722E-4</v>
      </c>
      <c r="U117" s="452">
        <v>500</v>
      </c>
      <c r="V117" s="467">
        <f>U117/U12</f>
        <v>5.8745678788747291E-4</v>
      </c>
      <c r="W117" s="452">
        <v>500</v>
      </c>
      <c r="X117" s="467">
        <f>W117/W12</f>
        <v>5.7738628801611632E-4</v>
      </c>
      <c r="Y117" s="452">
        <v>500</v>
      </c>
      <c r="Z117" s="467">
        <f>Y117/Y12</f>
        <v>3.8220708635628944E-4</v>
      </c>
      <c r="AA117" s="464">
        <f t="shared" si="72"/>
        <v>6000</v>
      </c>
      <c r="AB117" s="467">
        <f>AA117/AA12</f>
        <v>4.9222226333169136E-4</v>
      </c>
      <c r="AC117" s="472">
        <f t="shared" si="73"/>
        <v>500</v>
      </c>
      <c r="AD117" s="467">
        <f>AC117/AC12</f>
        <v>4.9222226333169126E-4</v>
      </c>
      <c r="AE117" s="595"/>
      <c r="AF117" s="393"/>
    </row>
    <row r="118" spans="1:33" s="1" customFormat="1">
      <c r="A118" s="188">
        <v>4603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464">
        <f t="shared" si="72"/>
        <v>0</v>
      </c>
      <c r="AB118" s="467">
        <f>AA118/AA12</f>
        <v>0</v>
      </c>
      <c r="AC118" s="472">
        <f t="shared" si="73"/>
        <v>0</v>
      </c>
      <c r="AD118" s="467">
        <f>AC118/AC12</f>
        <v>0</v>
      </c>
      <c r="AE118" s="595"/>
      <c r="AF118" s="393"/>
    </row>
    <row r="119" spans="1:33" s="1" customFormat="1">
      <c r="A119" s="188">
        <v>6404</v>
      </c>
      <c r="B119" s="188" t="s">
        <v>92</v>
      </c>
      <c r="C119" s="707">
        <v>2000</v>
      </c>
      <c r="D119" s="467">
        <f>C119/C12</f>
        <v>2.1815019728121249E-3</v>
      </c>
      <c r="E119" s="707">
        <v>2000</v>
      </c>
      <c r="F119" s="467">
        <f>E119/E12</f>
        <v>2.8039818359155881E-3</v>
      </c>
      <c r="G119" s="707">
        <v>2000</v>
      </c>
      <c r="H119" s="467">
        <f>G119/G12</f>
        <v>1.6903904700308783E-3</v>
      </c>
      <c r="I119" s="707">
        <v>2000</v>
      </c>
      <c r="J119" s="467">
        <f>I119/I12</f>
        <v>1.9143844231413994E-3</v>
      </c>
      <c r="K119" s="707">
        <v>2000</v>
      </c>
      <c r="L119" s="467">
        <f>K119/K12</f>
        <v>2.0931341648243577E-3</v>
      </c>
      <c r="M119" s="707">
        <v>2000</v>
      </c>
      <c r="N119" s="467">
        <f>M119/M12</f>
        <v>1.476131595340249E-3</v>
      </c>
      <c r="O119" s="707">
        <v>2000</v>
      </c>
      <c r="P119" s="467">
        <f>O119/O12</f>
        <v>2.3315543592424019E-3</v>
      </c>
      <c r="Q119" s="707">
        <v>2000</v>
      </c>
      <c r="R119" s="467">
        <f>Q119/Q12</f>
        <v>1.8776524583938652E-3</v>
      </c>
      <c r="S119" s="707">
        <v>2000</v>
      </c>
      <c r="T119" s="467">
        <f>S119/S12</f>
        <v>1.8638982392557089E-3</v>
      </c>
      <c r="U119" s="707">
        <v>2000</v>
      </c>
      <c r="V119" s="467">
        <f>U119/U12</f>
        <v>2.3498271515498916E-3</v>
      </c>
      <c r="W119" s="707">
        <v>2000</v>
      </c>
      <c r="X119" s="467">
        <f>W119/W12</f>
        <v>2.3095451520644653E-3</v>
      </c>
      <c r="Y119" s="707">
        <v>2000</v>
      </c>
      <c r="Z119" s="467">
        <f>Y119/Y12</f>
        <v>1.5288283454251577E-3</v>
      </c>
      <c r="AA119" s="464">
        <f t="shared" si="72"/>
        <v>24000</v>
      </c>
      <c r="AB119" s="467">
        <f>AA119/AA12</f>
        <v>1.9688890533267655E-3</v>
      </c>
      <c r="AC119" s="472">
        <f t="shared" si="73"/>
        <v>2000</v>
      </c>
      <c r="AD119" s="467">
        <v>0</v>
      </c>
      <c r="AE119" s="645"/>
      <c r="AF119" s="226"/>
      <c r="AG119" s="226"/>
    </row>
    <row r="120" spans="1:33" s="1" customFormat="1">
      <c r="A120" s="188">
        <v>6406</v>
      </c>
      <c r="B120" s="2" t="s">
        <v>72</v>
      </c>
      <c r="C120" s="452">
        <v>750</v>
      </c>
      <c r="D120" s="467">
        <f>C120/C12</f>
        <v>8.1806323980454683E-4</v>
      </c>
      <c r="E120" s="452">
        <v>750</v>
      </c>
      <c r="F120" s="467">
        <f>E120/E12</f>
        <v>1.0514931884683454E-3</v>
      </c>
      <c r="G120" s="452">
        <v>750</v>
      </c>
      <c r="H120" s="467">
        <f>G120/G12</f>
        <v>6.3389642626157942E-4</v>
      </c>
      <c r="I120" s="452">
        <v>750</v>
      </c>
      <c r="J120" s="467">
        <f>I120/I12</f>
        <v>7.1789415867802478E-4</v>
      </c>
      <c r="K120" s="452">
        <v>750</v>
      </c>
      <c r="L120" s="467">
        <f>K120/K12</f>
        <v>7.8492531180913419E-4</v>
      </c>
      <c r="M120" s="452">
        <v>750</v>
      </c>
      <c r="N120" s="467">
        <f>M120/M12</f>
        <v>5.535493482525934E-4</v>
      </c>
      <c r="O120" s="452">
        <v>750</v>
      </c>
      <c r="P120" s="467">
        <f>O120/O12</f>
        <v>8.7433288471590082E-4</v>
      </c>
      <c r="Q120" s="452">
        <v>750</v>
      </c>
      <c r="R120" s="467">
        <f>Q120/Q12</f>
        <v>7.0411967189769949E-4</v>
      </c>
      <c r="S120" s="452">
        <v>750</v>
      </c>
      <c r="T120" s="467">
        <f>S120/S12</f>
        <v>6.9896183972089081E-4</v>
      </c>
      <c r="U120" s="452">
        <v>750</v>
      </c>
      <c r="V120" s="467">
        <f>U120/U12</f>
        <v>8.8118518183120942E-4</v>
      </c>
      <c r="W120" s="452">
        <v>750</v>
      </c>
      <c r="X120" s="467">
        <f>W120/W12</f>
        <v>8.6607943202417442E-4</v>
      </c>
      <c r="Y120" s="452">
        <v>750</v>
      </c>
      <c r="Z120" s="467">
        <f>Y120/Y12</f>
        <v>5.7331062953443418E-4</v>
      </c>
      <c r="AA120" s="464">
        <f t="shared" si="72"/>
        <v>9000</v>
      </c>
      <c r="AB120" s="467">
        <f>AA120/AA12</f>
        <v>7.3833339499753705E-4</v>
      </c>
      <c r="AC120" s="472">
        <f t="shared" si="73"/>
        <v>750</v>
      </c>
      <c r="AD120" s="467">
        <f>AC120/AC12</f>
        <v>7.3833339499753683E-4</v>
      </c>
      <c r="AE120" s="595" t="s">
        <v>231</v>
      </c>
      <c r="AF120" s="393"/>
    </row>
    <row r="121" spans="1:33" s="1" customFormat="1">
      <c r="A121" s="2">
        <v>6407</v>
      </c>
      <c r="B121" s="231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464">
        <f t="shared" si="72"/>
        <v>0</v>
      </c>
      <c r="AB121" s="467">
        <f>AA121/AA12</f>
        <v>0</v>
      </c>
      <c r="AC121" s="472">
        <f t="shared" si="73"/>
        <v>0</v>
      </c>
      <c r="AD121" s="467">
        <f>AC121/AC12</f>
        <v>0</v>
      </c>
      <c r="AE121" s="595"/>
      <c r="AF121" s="393"/>
    </row>
    <row r="122" spans="1:33" s="1" customFormat="1">
      <c r="A122" s="2">
        <v>6408</v>
      </c>
      <c r="B122" s="231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464">
        <f t="shared" si="72"/>
        <v>0</v>
      </c>
      <c r="AB122" s="467">
        <f>AA122/AA12</f>
        <v>0</v>
      </c>
      <c r="AC122" s="472">
        <f t="shared" si="73"/>
        <v>0</v>
      </c>
      <c r="AD122" s="467">
        <f>AC122/AC12</f>
        <v>0</v>
      </c>
      <c r="AE122" s="595"/>
      <c r="AF122" s="393"/>
    </row>
    <row r="123" spans="1:33" s="1" customFormat="1">
      <c r="A123" s="2">
        <v>6410</v>
      </c>
      <c r="B123" s="231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464">
        <f t="shared" si="72"/>
        <v>0</v>
      </c>
      <c r="AB123" s="487"/>
      <c r="AC123" s="472">
        <f t="shared" si="73"/>
        <v>0</v>
      </c>
      <c r="AD123" s="487"/>
      <c r="AE123" s="595"/>
      <c r="AF123" s="579"/>
    </row>
    <row r="124" spans="1:33" s="1" customFormat="1">
      <c r="A124" s="2">
        <v>6411</v>
      </c>
      <c r="B124" s="231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464">
        <f t="shared" si="72"/>
        <v>0</v>
      </c>
      <c r="AB124" s="487"/>
      <c r="AC124" s="472">
        <f t="shared" si="73"/>
        <v>0</v>
      </c>
      <c r="AD124" s="487"/>
      <c r="AE124" s="595"/>
      <c r="AF124" s="579"/>
    </row>
    <row r="125" spans="1:33" s="1" customFormat="1">
      <c r="A125" s="2">
        <v>6412</v>
      </c>
      <c r="B125" s="231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464">
        <f t="shared" si="72"/>
        <v>0</v>
      </c>
      <c r="AB125" s="487">
        <f>AA125/AA12</f>
        <v>0</v>
      </c>
      <c r="AC125" s="472">
        <f t="shared" si="73"/>
        <v>0</v>
      </c>
      <c r="AD125" s="487">
        <f>AC125/AC12</f>
        <v>0</v>
      </c>
      <c r="AE125" s="595"/>
      <c r="AF125" s="579"/>
    </row>
    <row r="126" spans="1:33" s="1" customFormat="1">
      <c r="A126" s="188">
        <v>6413</v>
      </c>
      <c r="B126" s="188" t="s">
        <v>41</v>
      </c>
      <c r="C126" s="452">
        <f>C12*1%</f>
        <v>9167.99537624</v>
      </c>
      <c r="D126" s="467">
        <f>C126/C12</f>
        <v>0.01</v>
      </c>
      <c r="E126" s="452">
        <f>E12*1%</f>
        <v>7132.7138228302301</v>
      </c>
      <c r="F126" s="467">
        <f>E126/E12</f>
        <v>0.01</v>
      </c>
      <c r="G126" s="452">
        <f>G12*1%</f>
        <v>11831.585870000001</v>
      </c>
      <c r="H126" s="467">
        <f>G126/G12</f>
        <v>0.01</v>
      </c>
      <c r="I126" s="452">
        <f>I12*1%</f>
        <v>10447.222490026899</v>
      </c>
      <c r="J126" s="467">
        <f>I126/I12</f>
        <v>0.01</v>
      </c>
      <c r="K126" s="452">
        <f>K12*1%</f>
        <v>9555.0492348292792</v>
      </c>
      <c r="L126" s="467">
        <f>K126/K12</f>
        <v>0.01</v>
      </c>
      <c r="M126" s="452">
        <f>M12*1%</f>
        <v>13548.9275232199</v>
      </c>
      <c r="N126" s="467">
        <f>M126/M12</f>
        <v>0.01</v>
      </c>
      <c r="O126" s="452">
        <f>O12*1%</f>
        <v>8577.968564498171</v>
      </c>
      <c r="P126" s="467">
        <f>O126/O12</f>
        <v>0.01</v>
      </c>
      <c r="Q126" s="452">
        <f>Q12*1%</f>
        <v>10651.598441762701</v>
      </c>
      <c r="R126" s="467">
        <f>Q126/Q12</f>
        <v>0.01</v>
      </c>
      <c r="S126" s="452">
        <f>S12*1%</f>
        <v>10730.1995241899</v>
      </c>
      <c r="T126" s="467">
        <f>S126/S12</f>
        <v>0.01</v>
      </c>
      <c r="U126" s="452">
        <f>U12*1%</f>
        <v>8511.264322913481</v>
      </c>
      <c r="V126" s="467">
        <f>U126/U12</f>
        <v>1.0000000000000002E-2</v>
      </c>
      <c r="W126" s="452">
        <f>W12*1%</f>
        <v>8659.7137891512211</v>
      </c>
      <c r="X126" s="467">
        <f>W126/W12</f>
        <v>1.0000000000000002E-2</v>
      </c>
      <c r="Y126" s="452">
        <f>Y12*1%</f>
        <v>13081.9133880188</v>
      </c>
      <c r="Z126" s="467">
        <f>Y126/Y12</f>
        <v>0.01</v>
      </c>
      <c r="AA126" s="464">
        <f t="shared" si="72"/>
        <v>121896.15234768059</v>
      </c>
      <c r="AB126" s="467">
        <f>AA126/AA12</f>
        <v>0.01</v>
      </c>
      <c r="AC126" s="472">
        <f t="shared" si="73"/>
        <v>10158.012695640049</v>
      </c>
      <c r="AD126" s="467">
        <f>AC126/AC12</f>
        <v>9.9999999999999985E-3</v>
      </c>
      <c r="AE126" s="595" t="s">
        <v>289</v>
      </c>
      <c r="AF126" s="393"/>
    </row>
    <row r="127" spans="1:33" s="1" customFormat="1">
      <c r="A127" s="188">
        <v>6414</v>
      </c>
      <c r="B127" s="188" t="s">
        <v>43</v>
      </c>
      <c r="C127" s="486">
        <v>250</v>
      </c>
      <c r="D127" s="467">
        <f>C127/C12</f>
        <v>2.7268774660151561E-4</v>
      </c>
      <c r="E127" s="486">
        <v>250</v>
      </c>
      <c r="F127" s="467">
        <f>E127/E12</f>
        <v>3.5049772948944852E-4</v>
      </c>
      <c r="G127" s="486">
        <v>250</v>
      </c>
      <c r="H127" s="467">
        <f>G127/G12</f>
        <v>2.1129880875385979E-4</v>
      </c>
      <c r="I127" s="486">
        <v>250</v>
      </c>
      <c r="J127" s="467">
        <f>I127/I12</f>
        <v>2.3929805289267493E-4</v>
      </c>
      <c r="K127" s="486">
        <v>250</v>
      </c>
      <c r="L127" s="467">
        <f>K127/K12</f>
        <v>2.6164177060304471E-4</v>
      </c>
      <c r="M127" s="486">
        <v>250</v>
      </c>
      <c r="N127" s="467">
        <f>M127/M12</f>
        <v>1.8451644941753112E-4</v>
      </c>
      <c r="O127" s="486">
        <v>250</v>
      </c>
      <c r="P127" s="467">
        <f>O127/O12</f>
        <v>2.9144429490530024E-4</v>
      </c>
      <c r="Q127" s="486">
        <v>250</v>
      </c>
      <c r="R127" s="467">
        <f>Q127/Q12</f>
        <v>2.3470655729923315E-4</v>
      </c>
      <c r="S127" s="486">
        <v>250</v>
      </c>
      <c r="T127" s="467">
        <f>S127/S12</f>
        <v>2.3298727990696361E-4</v>
      </c>
      <c r="U127" s="486">
        <v>250</v>
      </c>
      <c r="V127" s="467">
        <f>U127/U12</f>
        <v>2.9372839394373645E-4</v>
      </c>
      <c r="W127" s="486">
        <v>250</v>
      </c>
      <c r="X127" s="467">
        <f>W127/W12</f>
        <v>2.8869314400805816E-4</v>
      </c>
      <c r="Y127" s="486">
        <v>250</v>
      </c>
      <c r="Z127" s="467">
        <f>Y127/Y12</f>
        <v>1.9110354317814472E-4</v>
      </c>
      <c r="AA127" s="464">
        <f t="shared" si="72"/>
        <v>3000</v>
      </c>
      <c r="AB127" s="467">
        <f>AA127/AA12</f>
        <v>2.4611113166584568E-4</v>
      </c>
      <c r="AC127" s="472">
        <f t="shared" si="73"/>
        <v>250</v>
      </c>
      <c r="AD127" s="467">
        <f>AC127/AC12</f>
        <v>2.4611113166584563E-4</v>
      </c>
      <c r="AE127" s="645" t="s">
        <v>284</v>
      </c>
      <c r="AF127" s="393"/>
    </row>
    <row r="128" spans="1:33" s="1" customFormat="1">
      <c r="A128" s="2">
        <v>6415</v>
      </c>
      <c r="B128" s="231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464">
        <f t="shared" si="72"/>
        <v>0</v>
      </c>
      <c r="AB128" s="467">
        <f>AA128/AA12</f>
        <v>0</v>
      </c>
      <c r="AC128" s="472">
        <f t="shared" si="73"/>
        <v>0</v>
      </c>
      <c r="AD128" s="467">
        <f>AC128/AC12</f>
        <v>0</v>
      </c>
      <c r="AE128" s="595"/>
      <c r="AF128" s="393"/>
    </row>
    <row r="129" spans="1:32" s="1" customFormat="1" ht="15.75" thickBot="1">
      <c r="A129" s="4">
        <v>6499</v>
      </c>
      <c r="B129" s="229" t="s">
        <v>114</v>
      </c>
      <c r="C129" s="76">
        <f>SUM(C116:C128)</f>
        <v>12667.99537624</v>
      </c>
      <c r="D129" s="23">
        <f>C129/C12</f>
        <v>1.3817628452421219E-2</v>
      </c>
      <c r="E129" s="116">
        <f>SUM(E116:E128)</f>
        <v>10632.71382283023</v>
      </c>
      <c r="F129" s="23">
        <f>E129/E12</f>
        <v>1.4906968212852279E-2</v>
      </c>
      <c r="G129" s="76">
        <f>SUM(G116:G128)</f>
        <v>15331.585870000001</v>
      </c>
      <c r="H129" s="23">
        <f>G129/G12</f>
        <v>1.2958183322554037E-2</v>
      </c>
      <c r="I129" s="76">
        <f>SUM(I116:I128)</f>
        <v>13947.222490026899</v>
      </c>
      <c r="J129" s="23">
        <f>I129/I12</f>
        <v>1.3350172740497449E-2</v>
      </c>
      <c r="K129" s="28">
        <f>SUM(K116:K128)</f>
        <v>13055.049234829279</v>
      </c>
      <c r="L129" s="23">
        <f>K129/K12</f>
        <v>1.3662984788442627E-2</v>
      </c>
      <c r="M129" s="28">
        <f>SUM(M116:M128)</f>
        <v>17048.9275232199</v>
      </c>
      <c r="N129" s="23">
        <f>M129/M12</f>
        <v>1.2583230291845436E-2</v>
      </c>
      <c r="O129" s="28">
        <f>SUM(O116:O128)</f>
        <v>12077.968564498171</v>
      </c>
      <c r="P129" s="23">
        <f>O129/O12</f>
        <v>1.4080220128674204E-2</v>
      </c>
      <c r="Q129" s="28">
        <f>SUM(Q116:Q128)</f>
        <v>14151.598441762701</v>
      </c>
      <c r="R129" s="23">
        <f>Q129/Q12</f>
        <v>1.3285891802189264E-2</v>
      </c>
      <c r="S129" s="28">
        <f>SUM(S116:S128)</f>
        <v>14230.1995241899</v>
      </c>
      <c r="T129" s="23">
        <f>S129/S12</f>
        <v>1.3261821918697491E-2</v>
      </c>
      <c r="U129" s="76">
        <f>SUM(U116:U128)</f>
        <v>12011.264322913481</v>
      </c>
      <c r="V129" s="23">
        <f>U129/U12</f>
        <v>1.4112197515212312E-2</v>
      </c>
      <c r="W129" s="76">
        <f>SUM(W116:W128)</f>
        <v>12159.713789151221</v>
      </c>
      <c r="X129" s="23">
        <f>W129/W12</f>
        <v>1.4041704016112815E-2</v>
      </c>
      <c r="Y129" s="76">
        <f>SUM(Y116:Y128)</f>
        <v>16581.913388018802</v>
      </c>
      <c r="Z129" s="23">
        <f>Y129/Y12</f>
        <v>1.2675449604494028E-2</v>
      </c>
      <c r="AA129" s="196">
        <f>SUM(AA116:AA128)</f>
        <v>163896.15234768059</v>
      </c>
      <c r="AB129" s="23">
        <f>AA129/AA12</f>
        <v>1.3445555843321839E-2</v>
      </c>
      <c r="AC129" s="52">
        <f>SUM(AC116:AC128)</f>
        <v>13658.012695640049</v>
      </c>
      <c r="AD129" s="23">
        <f>AC129/AC12</f>
        <v>1.3445555843321837E-2</v>
      </c>
      <c r="AE129" s="596"/>
      <c r="AF129" s="575"/>
    </row>
    <row r="130" spans="1:32" s="1" customFormat="1" ht="15.75" thickTop="1">
      <c r="A130" s="222"/>
      <c r="B130" s="230"/>
      <c r="C130" s="82"/>
      <c r="D130" s="233"/>
      <c r="E130" s="114"/>
      <c r="F130" s="233"/>
      <c r="G130" s="82"/>
      <c r="H130" s="233"/>
      <c r="I130" s="82"/>
      <c r="J130" s="233"/>
      <c r="K130" s="32"/>
      <c r="L130" s="233"/>
      <c r="M130" s="32"/>
      <c r="N130" s="233"/>
      <c r="O130" s="32"/>
      <c r="P130" s="233"/>
      <c r="Q130" s="32"/>
      <c r="R130" s="233"/>
      <c r="S130" s="32"/>
      <c r="T130" s="233"/>
      <c r="U130" s="82"/>
      <c r="V130" s="233"/>
      <c r="W130" s="82"/>
      <c r="X130" s="233"/>
      <c r="Y130" s="82"/>
      <c r="Z130" s="233"/>
      <c r="AA130" s="201"/>
      <c r="AB130" s="233"/>
      <c r="AC130" s="201"/>
      <c r="AD130" s="233"/>
      <c r="AE130" s="595"/>
      <c r="AF130" s="574"/>
    </row>
    <row r="131" spans="1:32" s="1" customFormat="1" ht="15.75" thickBot="1">
      <c r="A131" s="4"/>
      <c r="B131" s="229" t="s">
        <v>133</v>
      </c>
      <c r="C131" s="278">
        <f>C37-C41-C76-C93-C115-C129</f>
        <v>349.02464384093037</v>
      </c>
      <c r="D131" s="259">
        <f>C131/C12</f>
        <v>3.8069897454951943E-4</v>
      </c>
      <c r="E131" s="278">
        <f>E37-E41-E76-E93-E115-E129</f>
        <v>-43742.322008645126</v>
      </c>
      <c r="F131" s="259">
        <f>E131/E12</f>
        <v>-6.1326338186505798E-2</v>
      </c>
      <c r="G131" s="278">
        <f>G37-G41-G76-G93-G115-G129</f>
        <v>142212.26961297766</v>
      </c>
      <c r="H131" s="259">
        <f>G131/G12</f>
        <v>0.12019713263761965</v>
      </c>
      <c r="I131" s="278">
        <f>I37-I41-I76-I93-I115-I129</f>
        <v>133890.66939061691</v>
      </c>
      <c r="J131" s="259">
        <f>I131/I12</f>
        <v>0.12815910594268598</v>
      </c>
      <c r="K131" s="287">
        <f>K37-K41-K76-K93-K115-K129</f>
        <v>137873.10699784747</v>
      </c>
      <c r="L131" s="259">
        <f>K131/K12</f>
        <v>0.14429345533383939</v>
      </c>
      <c r="M131" s="287">
        <f>M37-M41-M76-M93-M115-M129</f>
        <v>226367.12471264531</v>
      </c>
      <c r="N131" s="259">
        <f>M131/M12</f>
        <v>0.16707383246733112</v>
      </c>
      <c r="O131" s="287">
        <f>O37-O41-O76-O93-O115-O129</f>
        <v>23965.682234789216</v>
      </c>
      <c r="P131" s="259">
        <f>O131/O12</f>
        <v>2.7938645443370495E-2</v>
      </c>
      <c r="Q131" s="287">
        <f>Q37-Q41-Q76-Q93-Q115-Q129</f>
        <v>184415.42239715249</v>
      </c>
      <c r="R131" s="259">
        <f>Q131/Q12</f>
        <v>0.17313403561487822</v>
      </c>
      <c r="S131" s="287">
        <f>S37-S41-S76-S93-S115-S129</f>
        <v>118314.84839488511</v>
      </c>
      <c r="T131" s="259">
        <f>S131/S12</f>
        <v>0.11026341880051625</v>
      </c>
      <c r="U131" s="252">
        <f>U37-U41-U76-U93-U115-U129</f>
        <v>42826.929013908768</v>
      </c>
      <c r="V131" s="259">
        <f>U131/U12</f>
        <v>5.0317940307191326E-2</v>
      </c>
      <c r="W131" s="252">
        <f>W37-W41-W76-W93-W115-W129</f>
        <v>51481.462712238048</v>
      </c>
      <c r="X131" s="259">
        <f>W131/W12</f>
        <v>5.9449381314118456E-2</v>
      </c>
      <c r="Y131" s="252">
        <f>Y37-Y41-Y76-Y93-Y115-Y129</f>
        <v>215320.79376586142</v>
      </c>
      <c r="Z131" s="259">
        <f>Y131/Y12</f>
        <v>0.16459426643434677</v>
      </c>
      <c r="AA131" s="256">
        <f>AA37-AA41-AA76-AA93-AA115-AA129</f>
        <v>1233275.0118681192</v>
      </c>
      <c r="AB131" s="259">
        <f>AA131/AA12</f>
        <v>0.10117423627535736</v>
      </c>
      <c r="AC131" s="254">
        <f>AC37-AC41-AC76-AC93-AC115-AC129</f>
        <v>102772.91765567682</v>
      </c>
      <c r="AD131" s="259">
        <f>AC131/AC12</f>
        <v>0.10117423627535756</v>
      </c>
      <c r="AE131" s="601"/>
      <c r="AF131" s="565"/>
    </row>
    <row r="132" spans="1:32" s="1" customFormat="1" ht="15.75" thickTop="1">
      <c r="A132" s="222"/>
      <c r="B132" s="230"/>
      <c r="C132" s="82"/>
      <c r="D132" s="233"/>
      <c r="E132" s="114"/>
      <c r="F132" s="233"/>
      <c r="G132" s="82"/>
      <c r="H132" s="233"/>
      <c r="I132" s="82"/>
      <c r="J132" s="233"/>
      <c r="K132" s="32"/>
      <c r="L132" s="233"/>
      <c r="M132" s="32"/>
      <c r="N132" s="233"/>
      <c r="O132" s="32"/>
      <c r="P132" s="233"/>
      <c r="Q132" s="32"/>
      <c r="R132" s="233"/>
      <c r="S132" s="32"/>
      <c r="T132" s="233"/>
      <c r="U132" s="82"/>
      <c r="V132" s="233"/>
      <c r="W132" s="82"/>
      <c r="X132" s="233"/>
      <c r="Y132" s="82"/>
      <c r="Z132" s="233"/>
      <c r="AA132" s="201"/>
      <c r="AB132" s="233"/>
      <c r="AC132" s="201"/>
      <c r="AD132" s="233"/>
      <c r="AE132" s="595"/>
      <c r="AF132" s="574"/>
    </row>
    <row r="133" spans="1:32" s="1" customFormat="1" ht="15.75" thickBot="1">
      <c r="A133" s="72"/>
      <c r="B133" s="4" t="s">
        <v>149</v>
      </c>
      <c r="C133" s="76"/>
      <c r="D133" s="107"/>
      <c r="E133" s="274"/>
      <c r="F133" s="107"/>
      <c r="G133" s="274"/>
      <c r="H133" s="107"/>
      <c r="I133" s="274"/>
      <c r="J133" s="107"/>
      <c r="K133" s="28"/>
      <c r="L133" s="107"/>
      <c r="M133" s="28"/>
      <c r="N133" s="107"/>
      <c r="O133" s="28"/>
      <c r="P133" s="107"/>
      <c r="Q133" s="28"/>
      <c r="R133" s="107"/>
      <c r="S133" s="28"/>
      <c r="T133" s="107"/>
      <c r="U133" s="28"/>
      <c r="V133" s="107"/>
      <c r="W133" s="28"/>
      <c r="X133" s="107"/>
      <c r="Y133" s="28"/>
      <c r="Z133" s="107"/>
      <c r="AA133" s="197">
        <f>C133+E133+G133+I133+K133+M133+O133+Q133+S133+U133+W133+Y133</f>
        <v>0</v>
      </c>
      <c r="AB133" s="107"/>
      <c r="AC133" s="264">
        <f>AA133/12</f>
        <v>0</v>
      </c>
      <c r="AD133" s="107"/>
      <c r="AE133" s="614"/>
      <c r="AF133" s="583"/>
    </row>
    <row r="134" spans="1:32" s="1" customFormat="1" ht="15.75" thickTop="1">
      <c r="A134" s="222"/>
      <c r="B134" s="222"/>
      <c r="C134" s="82"/>
      <c r="D134" s="233"/>
      <c r="E134" s="114"/>
      <c r="F134" s="233"/>
      <c r="G134" s="82"/>
      <c r="H134" s="233"/>
      <c r="I134" s="82"/>
      <c r="J134" s="233"/>
      <c r="K134" s="32"/>
      <c r="L134" s="233"/>
      <c r="M134" s="32"/>
      <c r="N134" s="233"/>
      <c r="O134" s="32"/>
      <c r="P134" s="233"/>
      <c r="Q134" s="32"/>
      <c r="R134" s="233"/>
      <c r="S134" s="32"/>
      <c r="T134" s="233"/>
      <c r="U134" s="82"/>
      <c r="V134" s="233"/>
      <c r="W134" s="82"/>
      <c r="X134" s="233"/>
      <c r="Y134" s="82"/>
      <c r="Z134" s="233"/>
      <c r="AA134" s="201"/>
      <c r="AB134" s="233"/>
      <c r="AC134" s="201"/>
      <c r="AD134" s="233"/>
      <c r="AE134" s="595"/>
      <c r="AF134" s="574"/>
    </row>
    <row r="135" spans="1:32" s="1" customFormat="1" ht="15.75" thickBot="1">
      <c r="A135" s="4"/>
      <c r="B135" s="4" t="s">
        <v>140</v>
      </c>
      <c r="C135" s="76">
        <f>C131-C133</f>
        <v>349.02464384093037</v>
      </c>
      <c r="D135" s="89">
        <f>C135/C12</f>
        <v>3.8069897454951943E-4</v>
      </c>
      <c r="E135" s="76">
        <f>E131-E133</f>
        <v>-43742.322008645126</v>
      </c>
      <c r="F135" s="89">
        <f>E135/E12</f>
        <v>-6.1326338186505798E-2</v>
      </c>
      <c r="G135" s="76">
        <f>G131-G133</f>
        <v>142212.26961297766</v>
      </c>
      <c r="H135" s="89">
        <f>G135/G12</f>
        <v>0.12019713263761965</v>
      </c>
      <c r="I135" s="76">
        <f>I131-I133</f>
        <v>133890.66939061691</v>
      </c>
      <c r="J135" s="89">
        <f>I135/I12</f>
        <v>0.12815910594268598</v>
      </c>
      <c r="K135" s="28">
        <f>K131-K133</f>
        <v>137873.10699784747</v>
      </c>
      <c r="L135" s="89">
        <f>K135/K12</f>
        <v>0.14429345533383939</v>
      </c>
      <c r="M135" s="28">
        <f>M131-M133</f>
        <v>226367.12471264531</v>
      </c>
      <c r="N135" s="89">
        <f>M135/M12</f>
        <v>0.16707383246733112</v>
      </c>
      <c r="O135" s="28">
        <f>O131-O133</f>
        <v>23965.682234789216</v>
      </c>
      <c r="P135" s="89">
        <f>O135/O12</f>
        <v>2.7938645443370495E-2</v>
      </c>
      <c r="Q135" s="28">
        <f>Q131-Q133</f>
        <v>184415.42239715249</v>
      </c>
      <c r="R135" s="89">
        <f>Q135/Q12</f>
        <v>0.17313403561487822</v>
      </c>
      <c r="S135" s="28">
        <f>S131-S133</f>
        <v>118314.84839488511</v>
      </c>
      <c r="T135" s="89">
        <f>S135/S12</f>
        <v>0.11026341880051625</v>
      </c>
      <c r="U135" s="52">
        <f>U131-U133</f>
        <v>42826.929013908768</v>
      </c>
      <c r="V135" s="89">
        <f>U135/U12</f>
        <v>5.0317940307191326E-2</v>
      </c>
      <c r="W135" s="52">
        <f>W131-W133</f>
        <v>51481.462712238048</v>
      </c>
      <c r="X135" s="89">
        <f>W135/W12</f>
        <v>5.9449381314118456E-2</v>
      </c>
      <c r="Y135" s="52">
        <f>Y131-Y133</f>
        <v>215320.79376586142</v>
      </c>
      <c r="Z135" s="89">
        <f>Y135/Y12</f>
        <v>0.16459426643434677</v>
      </c>
      <c r="AA135" s="52">
        <f>AA131-AA133</f>
        <v>1233275.0118681192</v>
      </c>
      <c r="AB135" s="89">
        <f>AA135/AA12</f>
        <v>0.10117423627535736</v>
      </c>
      <c r="AC135" s="52">
        <f>AC131-AC133</f>
        <v>102772.91765567682</v>
      </c>
      <c r="AD135" s="89">
        <f>AC135/AC12</f>
        <v>0.10117423627535756</v>
      </c>
      <c r="AE135" s="596"/>
      <c r="AF135" s="562"/>
    </row>
    <row r="136" spans="1:32" s="1" customFormat="1" ht="15.75" thickTop="1">
      <c r="A136" s="21">
        <v>6501</v>
      </c>
      <c r="B136" s="21" t="s">
        <v>148</v>
      </c>
      <c r="C136" s="82"/>
      <c r="D136" s="24">
        <f>C136/C12</f>
        <v>0</v>
      </c>
      <c r="E136" s="114"/>
      <c r="F136" s="24">
        <f>E136/E12</f>
        <v>0</v>
      </c>
      <c r="G136" s="82"/>
      <c r="H136" s="24">
        <f>G136/G12</f>
        <v>0</v>
      </c>
      <c r="I136" s="82"/>
      <c r="J136" s="24">
        <f>I136/I12</f>
        <v>0</v>
      </c>
      <c r="K136" s="32"/>
      <c r="L136" s="24">
        <f>K136/K12</f>
        <v>0</v>
      </c>
      <c r="M136" s="32"/>
      <c r="N136" s="24">
        <f>M136/M12</f>
        <v>0</v>
      </c>
      <c r="O136" s="32"/>
      <c r="P136" s="24">
        <f>O136/O12</f>
        <v>0</v>
      </c>
      <c r="Q136" s="32"/>
      <c r="R136" s="24">
        <f>Q136/Q12</f>
        <v>0</v>
      </c>
      <c r="S136" s="32"/>
      <c r="T136" s="24">
        <f>S136/S12</f>
        <v>0</v>
      </c>
      <c r="U136" s="82"/>
      <c r="V136" s="24">
        <f>U136/U12</f>
        <v>0</v>
      </c>
      <c r="W136" s="82"/>
      <c r="X136" s="24">
        <f>W136/W12</f>
        <v>0</v>
      </c>
      <c r="Y136" s="82"/>
      <c r="Z136" s="24">
        <f>Y136/Y12</f>
        <v>0</v>
      </c>
      <c r="AA136" s="144">
        <f t="shared" ref="AA136:AC143" si="74">C136+E136+G136+I136+K136+M136+O136+Q136+S136+U136+W136+Y136</f>
        <v>0</v>
      </c>
      <c r="AB136" s="24">
        <f>AA136/AA12</f>
        <v>0</v>
      </c>
      <c r="AC136" s="128">
        <f t="shared" ref="AC136:AC143" si="75">AA136/12</f>
        <v>0</v>
      </c>
      <c r="AD136" s="24">
        <f>AC136/AC12</f>
        <v>0</v>
      </c>
      <c r="AE136" s="595"/>
      <c r="AF136" s="579"/>
    </row>
    <row r="137" spans="1:32" s="1" customFormat="1">
      <c r="A137" s="188">
        <v>6502</v>
      </c>
      <c r="B137" s="21" t="s">
        <v>136</v>
      </c>
      <c r="C137" s="33">
        <f>814.23+5000</f>
        <v>5814.23</v>
      </c>
      <c r="D137" s="24">
        <f>C137/C12</f>
        <v>6.3418771076917202E-3</v>
      </c>
      <c r="E137" s="33">
        <f>814.23+5000</f>
        <v>5814.23</v>
      </c>
      <c r="F137" s="24">
        <f>E137/E12</f>
        <v>8.1514976549177439E-3</v>
      </c>
      <c r="G137" s="33">
        <f>814.23+5000</f>
        <v>5814.23</v>
      </c>
      <c r="H137" s="24">
        <f>G137/G12</f>
        <v>4.914159491283817E-3</v>
      </c>
      <c r="I137" s="33">
        <f>814.23+5000</f>
        <v>5814.23</v>
      </c>
      <c r="J137" s="24">
        <f>I137/I12</f>
        <v>5.5653356722807088E-3</v>
      </c>
      <c r="K137" s="33">
        <f>814.23+5000</f>
        <v>5814.23</v>
      </c>
      <c r="L137" s="24">
        <f>K137/K12</f>
        <v>6.0849817275733624E-3</v>
      </c>
      <c r="M137" s="33">
        <f>814.23+5000</f>
        <v>5814.23</v>
      </c>
      <c r="N137" s="24">
        <f>M137/M12</f>
        <v>4.2912843027875678E-3</v>
      </c>
      <c r="O137" s="33">
        <f>814.23+5000</f>
        <v>5814.23</v>
      </c>
      <c r="P137" s="24">
        <f>O137/O12</f>
        <v>6.7780966510689756E-3</v>
      </c>
      <c r="Q137" s="33">
        <f>814.23+5000</f>
        <v>5814.23</v>
      </c>
      <c r="R137" s="24">
        <f>Q137/Q12</f>
        <v>5.4585516265836815E-3</v>
      </c>
      <c r="S137" s="33">
        <f>814.23+5000</f>
        <v>5814.23</v>
      </c>
      <c r="T137" s="24">
        <f>S137/S12</f>
        <v>5.41856652981386E-3</v>
      </c>
      <c r="U137" s="33">
        <f>814.23+5000</f>
        <v>5814.23</v>
      </c>
      <c r="V137" s="24">
        <f>U137/U12</f>
        <v>6.8312177596779626E-3</v>
      </c>
      <c r="W137" s="33">
        <f>814.23+5000</f>
        <v>5814.23</v>
      </c>
      <c r="X137" s="24">
        <f>W137/W12</f>
        <v>6.7141133547438869E-3</v>
      </c>
      <c r="Y137" s="33">
        <f>814.23+5000</f>
        <v>5814.23</v>
      </c>
      <c r="Z137" s="24">
        <f>Y137/Y12</f>
        <v>4.4444798154106568E-3</v>
      </c>
      <c r="AA137" s="144">
        <f t="shared" si="74"/>
        <v>69770.75999999998</v>
      </c>
      <c r="AB137" s="24">
        <f>AA137/AA12</f>
        <v>5.7237869002620375E-3</v>
      </c>
      <c r="AC137" s="128">
        <f t="shared" si="75"/>
        <v>5814.2299999999987</v>
      </c>
      <c r="AD137" s="24">
        <f>AC137/AC12</f>
        <v>5.7237869002620375E-3</v>
      </c>
      <c r="AE137" s="595" t="s">
        <v>333</v>
      </c>
      <c r="AF137" s="579"/>
    </row>
    <row r="138" spans="1:32" s="1" customFormat="1">
      <c r="A138" s="188">
        <v>6503</v>
      </c>
      <c r="B138" s="21" t="s">
        <v>137</v>
      </c>
      <c r="C138" s="33">
        <v>0</v>
      </c>
      <c r="D138" s="24">
        <f>C138/C12</f>
        <v>0</v>
      </c>
      <c r="E138" s="33"/>
      <c r="F138" s="24">
        <f>E138/E12</f>
        <v>0</v>
      </c>
      <c r="G138" s="33"/>
      <c r="H138" s="24">
        <f>G138/G12</f>
        <v>0</v>
      </c>
      <c r="I138" s="33">
        <v>0</v>
      </c>
      <c r="J138" s="24">
        <f>I138/I12</f>
        <v>0</v>
      </c>
      <c r="K138" s="33"/>
      <c r="L138" s="24">
        <f>K138/K12</f>
        <v>0</v>
      </c>
      <c r="M138" s="33">
        <v>0</v>
      </c>
      <c r="N138" s="702">
        <f>M138/M12</f>
        <v>0</v>
      </c>
      <c r="O138" s="33"/>
      <c r="P138" s="24">
        <f>O138/O12</f>
        <v>0</v>
      </c>
      <c r="Q138" s="33"/>
      <c r="R138" s="24">
        <f>Q138/Q12</f>
        <v>0</v>
      </c>
      <c r="S138" s="33"/>
      <c r="T138" s="24">
        <f>S138/S12</f>
        <v>0</v>
      </c>
      <c r="U138" s="33"/>
      <c r="V138" s="24">
        <f>U138/U12</f>
        <v>0</v>
      </c>
      <c r="W138" s="33"/>
      <c r="X138" s="24">
        <f>W138/W12</f>
        <v>0</v>
      </c>
      <c r="Y138" s="33"/>
      <c r="Z138" s="24">
        <f>Y138/Y12</f>
        <v>0</v>
      </c>
      <c r="AA138" s="144">
        <f t="shared" si="74"/>
        <v>0</v>
      </c>
      <c r="AB138" s="326">
        <f>AA138/AA12</f>
        <v>0</v>
      </c>
      <c r="AC138" s="128">
        <f t="shared" si="75"/>
        <v>0</v>
      </c>
      <c r="AD138" s="326">
        <f>AC138/AC12</f>
        <v>0</v>
      </c>
      <c r="AE138" s="595"/>
      <c r="AF138" s="584"/>
    </row>
    <row r="139" spans="1:32" s="1" customFormat="1">
      <c r="A139" s="188">
        <v>6504</v>
      </c>
      <c r="B139" s="21" t="s">
        <v>138</v>
      </c>
      <c r="C139" s="83"/>
      <c r="D139" s="24">
        <f>C139/C12</f>
        <v>0</v>
      </c>
      <c r="E139" s="121"/>
      <c r="F139" s="24">
        <f>E139/E12</f>
        <v>0</v>
      </c>
      <c r="G139" s="83"/>
      <c r="H139" s="24">
        <f>G139/G12</f>
        <v>0</v>
      </c>
      <c r="I139" s="83"/>
      <c r="J139" s="24">
        <f>I139/I12</f>
        <v>0</v>
      </c>
      <c r="K139" s="33"/>
      <c r="L139" s="24">
        <f>K139/K12</f>
        <v>0</v>
      </c>
      <c r="M139" s="33"/>
      <c r="N139" s="24">
        <f>M139/M12</f>
        <v>0</v>
      </c>
      <c r="O139" s="33"/>
      <c r="P139" s="24">
        <f>O139/O12</f>
        <v>0</v>
      </c>
      <c r="Q139" s="33"/>
      <c r="R139" s="24">
        <f>Q139/Q12</f>
        <v>0</v>
      </c>
      <c r="S139" s="33"/>
      <c r="T139" s="24">
        <f>S139/S12</f>
        <v>0</v>
      </c>
      <c r="U139" s="83"/>
      <c r="V139" s="24">
        <f>U139/U12</f>
        <v>0</v>
      </c>
      <c r="W139" s="83"/>
      <c r="X139" s="24">
        <f>W139/W12</f>
        <v>0</v>
      </c>
      <c r="Y139" s="83"/>
      <c r="Z139" s="24">
        <f>Y139/Y12</f>
        <v>0</v>
      </c>
      <c r="AA139" s="144">
        <f t="shared" si="74"/>
        <v>0</v>
      </c>
      <c r="AB139" s="24">
        <f>AA139/AA12</f>
        <v>0</v>
      </c>
      <c r="AC139" s="128">
        <f t="shared" si="75"/>
        <v>0</v>
      </c>
      <c r="AD139" s="24">
        <f>AC139/AC12</f>
        <v>0</v>
      </c>
      <c r="AE139" s="595"/>
      <c r="AF139" s="579"/>
    </row>
    <row r="140" spans="1:32" s="1" customFormat="1">
      <c r="A140" s="188">
        <v>6505</v>
      </c>
      <c r="B140" s="188" t="s">
        <v>139</v>
      </c>
      <c r="C140" s="83"/>
      <c r="D140" s="24">
        <f>C140/C12</f>
        <v>0</v>
      </c>
      <c r="E140" s="121"/>
      <c r="F140" s="24">
        <f>E140/E12</f>
        <v>0</v>
      </c>
      <c r="G140" s="83"/>
      <c r="H140" s="24">
        <f>G140/G12</f>
        <v>0</v>
      </c>
      <c r="I140" s="83"/>
      <c r="J140" s="24">
        <f>I140/I12</f>
        <v>0</v>
      </c>
      <c r="K140" s="33"/>
      <c r="L140" s="24">
        <f>K140/K12</f>
        <v>0</v>
      </c>
      <c r="M140" s="33"/>
      <c r="N140" s="24">
        <f>M140/M12</f>
        <v>0</v>
      </c>
      <c r="O140" s="33"/>
      <c r="P140" s="24">
        <f>O140/O12</f>
        <v>0</v>
      </c>
      <c r="Q140" s="33"/>
      <c r="R140" s="24">
        <f>Q140/Q12</f>
        <v>0</v>
      </c>
      <c r="S140" s="33"/>
      <c r="T140" s="24">
        <f>S140/S12</f>
        <v>0</v>
      </c>
      <c r="U140" s="83"/>
      <c r="V140" s="24">
        <f>U140/U12</f>
        <v>0</v>
      </c>
      <c r="W140" s="83"/>
      <c r="X140" s="24">
        <f>W140/W12</f>
        <v>0</v>
      </c>
      <c r="Y140" s="83"/>
      <c r="Z140" s="24">
        <f>Y140/Y12</f>
        <v>0</v>
      </c>
      <c r="AA140" s="144">
        <f t="shared" si="74"/>
        <v>0</v>
      </c>
      <c r="AB140" s="24">
        <f>AA140/AA12</f>
        <v>0</v>
      </c>
      <c r="AC140" s="128">
        <f t="shared" si="75"/>
        <v>0</v>
      </c>
      <c r="AD140" s="24">
        <f>AC140/AC12</f>
        <v>0</v>
      </c>
      <c r="AE140" s="595"/>
      <c r="AF140" s="579"/>
    </row>
    <row r="141" spans="1:32" s="1" customFormat="1">
      <c r="A141" s="188">
        <v>6506</v>
      </c>
      <c r="B141" s="188" t="s">
        <v>229</v>
      </c>
      <c r="C141" s="33">
        <v>0</v>
      </c>
      <c r="D141" s="106">
        <f>C141/C12</f>
        <v>0</v>
      </c>
      <c r="E141" s="33">
        <v>0</v>
      </c>
      <c r="F141" s="106">
        <f>E141/E12</f>
        <v>0</v>
      </c>
      <c r="G141" s="33">
        <v>0</v>
      </c>
      <c r="H141" s="106">
        <f>G141/G12</f>
        <v>0</v>
      </c>
      <c r="I141" s="33">
        <v>0</v>
      </c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>
        <v>0</v>
      </c>
      <c r="T141" s="106">
        <f>S141/S12</f>
        <v>0</v>
      </c>
      <c r="U141" s="33">
        <v>0</v>
      </c>
      <c r="V141" s="106">
        <f>U141/U12</f>
        <v>0</v>
      </c>
      <c r="W141" s="33">
        <v>0</v>
      </c>
      <c r="X141" s="106">
        <f>W141/W12</f>
        <v>0</v>
      </c>
      <c r="Y141" s="33">
        <v>0</v>
      </c>
      <c r="Z141" s="106">
        <f>Y141/Y12</f>
        <v>0</v>
      </c>
      <c r="AA141" s="144">
        <f t="shared" si="74"/>
        <v>0</v>
      </c>
      <c r="AB141" s="106">
        <f>AA141/AA12</f>
        <v>0</v>
      </c>
      <c r="AC141" s="144">
        <f t="shared" si="74"/>
        <v>0</v>
      </c>
      <c r="AD141" s="106">
        <f>AC141/AC12</f>
        <v>0</v>
      </c>
      <c r="AE141" s="602"/>
      <c r="AF141" s="567"/>
    </row>
    <row r="142" spans="1:32" s="1" customFormat="1">
      <c r="A142" s="188">
        <v>6604</v>
      </c>
      <c r="B142" s="188" t="s">
        <v>145</v>
      </c>
      <c r="C142" s="26">
        <v>54163</v>
      </c>
      <c r="D142" s="106">
        <f>C142/C12</f>
        <v>5.9078345676711566E-2</v>
      </c>
      <c r="E142" s="26">
        <v>54163</v>
      </c>
      <c r="F142" s="106">
        <f>E142/E12</f>
        <v>7.5936034089348001E-2</v>
      </c>
      <c r="G142" s="26">
        <v>54163</v>
      </c>
      <c r="H142" s="106">
        <f>G142/G12</f>
        <v>4.5778309514141233E-2</v>
      </c>
      <c r="I142" s="26">
        <v>54163</v>
      </c>
      <c r="J142" s="106">
        <f>I142/I12</f>
        <v>5.1844401755303804E-2</v>
      </c>
      <c r="K142" s="26">
        <v>54163</v>
      </c>
      <c r="L142" s="106">
        <f>K142/K12</f>
        <v>5.6685212884690847E-2</v>
      </c>
      <c r="M142" s="26">
        <v>54163</v>
      </c>
      <c r="N142" s="106">
        <f>M142/M12</f>
        <v>3.9975857799206954E-2</v>
      </c>
      <c r="O142" s="26">
        <v>54163</v>
      </c>
      <c r="P142" s="106">
        <f>O142/O12</f>
        <v>6.3141989379823113E-2</v>
      </c>
      <c r="Q142" s="26">
        <v>54163</v>
      </c>
      <c r="R142" s="106">
        <f>Q142/Q12</f>
        <v>5.0849645051993464E-2</v>
      </c>
      <c r="S142" s="26">
        <v>54163</v>
      </c>
      <c r="T142" s="106">
        <f>S142/S12</f>
        <v>5.0477160166403481E-2</v>
      </c>
      <c r="U142" s="26">
        <v>54163</v>
      </c>
      <c r="V142" s="106">
        <f>U142/U12</f>
        <v>6.3636844004698392E-2</v>
      </c>
      <c r="W142" s="26">
        <v>54163</v>
      </c>
      <c r="X142" s="106">
        <f>W142/W12</f>
        <v>6.2545947035633806E-2</v>
      </c>
      <c r="Y142" s="26">
        <v>54163</v>
      </c>
      <c r="Z142" s="106">
        <f>Y142/Y12</f>
        <v>4.140296483663141E-2</v>
      </c>
      <c r="AA142" s="144">
        <f t="shared" si="74"/>
        <v>649956</v>
      </c>
      <c r="AB142" s="106">
        <f>AA142/AA12</f>
        <v>5.3320468897668796E-2</v>
      </c>
      <c r="AC142" s="128">
        <f t="shared" ref="AC142" si="76">AA142/12</f>
        <v>54163</v>
      </c>
      <c r="AD142" s="106">
        <f>AC142/AC12</f>
        <v>5.3320468897668789E-2</v>
      </c>
      <c r="AE142" s="602"/>
      <c r="AF142" s="567"/>
    </row>
    <row r="143" spans="1:32" s="1" customFormat="1">
      <c r="A143" s="2"/>
      <c r="B143" s="2"/>
      <c r="C143" s="61"/>
      <c r="D143" s="24">
        <f>C143/C12</f>
        <v>0</v>
      </c>
      <c r="E143" s="114"/>
      <c r="F143" s="24">
        <f>E143/E12</f>
        <v>0</v>
      </c>
      <c r="G143" s="61"/>
      <c r="H143" s="24">
        <f>G143/G12</f>
        <v>0</v>
      </c>
      <c r="I143" s="61"/>
      <c r="J143" s="24">
        <f>I143/I12</f>
        <v>0</v>
      </c>
      <c r="K143" s="26"/>
      <c r="L143" s="24">
        <f>K143/K12</f>
        <v>0</v>
      </c>
      <c r="M143" s="26"/>
      <c r="N143" s="24">
        <f>M143/M12</f>
        <v>0</v>
      </c>
      <c r="O143" s="26"/>
      <c r="P143" s="24">
        <f>O143/O12</f>
        <v>0</v>
      </c>
      <c r="Q143" s="26"/>
      <c r="R143" s="24">
        <f>Q143/Q12</f>
        <v>0</v>
      </c>
      <c r="S143" s="26"/>
      <c r="T143" s="24">
        <f>S143/S12</f>
        <v>0</v>
      </c>
      <c r="U143" s="61"/>
      <c r="V143" s="24">
        <f>U143/U12</f>
        <v>0</v>
      </c>
      <c r="W143" s="61"/>
      <c r="X143" s="24">
        <f>W143/W12</f>
        <v>0</v>
      </c>
      <c r="Y143" s="61"/>
      <c r="Z143" s="24">
        <f>Y143/Y12</f>
        <v>0</v>
      </c>
      <c r="AA143" s="144">
        <f t="shared" si="74"/>
        <v>0</v>
      </c>
      <c r="AB143" s="24">
        <f>AA143/AA12</f>
        <v>0</v>
      </c>
      <c r="AC143" s="128">
        <f t="shared" si="75"/>
        <v>0</v>
      </c>
      <c r="AD143" s="24">
        <f>AC143/AC12</f>
        <v>0</v>
      </c>
      <c r="AE143" s="595"/>
      <c r="AF143" s="579"/>
    </row>
    <row r="144" spans="1:32" s="1" customFormat="1" ht="15" customHeight="1">
      <c r="A144" s="63">
        <v>6798</v>
      </c>
      <c r="B144" s="63" t="s">
        <v>205</v>
      </c>
      <c r="C144" s="79">
        <f>SUM(C136:C143)</f>
        <v>59977.229999999996</v>
      </c>
      <c r="D144" s="87">
        <f>C144/C12</f>
        <v>6.5420222784403279E-2</v>
      </c>
      <c r="E144" s="79">
        <f>SUM(E136:E143)</f>
        <v>59977.229999999996</v>
      </c>
      <c r="F144" s="87">
        <f>E144/E12</f>
        <v>8.4087531744265739E-2</v>
      </c>
      <c r="G144" s="79">
        <f>SUM(G136:G143)</f>
        <v>59977.229999999996</v>
      </c>
      <c r="H144" s="87">
        <f>G144/G12</f>
        <v>5.0692469005425046E-2</v>
      </c>
      <c r="I144" s="79">
        <f>SUM(I136:I143)</f>
        <v>59977.229999999996</v>
      </c>
      <c r="J144" s="87">
        <f>I144/I12</f>
        <v>5.7409737427584512E-2</v>
      </c>
      <c r="K144" s="79">
        <f>SUM(K136:K143)</f>
        <v>59977.229999999996</v>
      </c>
      <c r="L144" s="87">
        <f>K144/K12</f>
        <v>6.2770194612264199E-2</v>
      </c>
      <c r="M144" s="79">
        <f>SUM(M136:M143)</f>
        <v>59977.229999999996</v>
      </c>
      <c r="N144" s="87">
        <f>M144/M12</f>
        <v>4.4267142101994519E-2</v>
      </c>
      <c r="O144" s="79">
        <f>SUM(O136:O143)</f>
        <v>59977.229999999996</v>
      </c>
      <c r="P144" s="87">
        <f>O144/O12</f>
        <v>6.9920086030892087E-2</v>
      </c>
      <c r="Q144" s="79">
        <f>SUM(Q136:Q143)</f>
        <v>59977.229999999996</v>
      </c>
      <c r="R144" s="87">
        <f>Q144/Q12</f>
        <v>5.6308196678577144E-2</v>
      </c>
      <c r="S144" s="79">
        <f>SUM(S136:S143)</f>
        <v>59977.229999999996</v>
      </c>
      <c r="T144" s="87">
        <f t="shared" ref="T144" si="77">S144/S$12</f>
        <v>5.589572669621734E-2</v>
      </c>
      <c r="U144" s="79">
        <f>SUM(U136:U143)</f>
        <v>59977.229999999996</v>
      </c>
      <c r="V144" s="87">
        <f>U144/U12</f>
        <v>7.0468061764376352E-2</v>
      </c>
      <c r="W144" s="79">
        <f>SUM(W136:W143)</f>
        <v>59977.229999999996</v>
      </c>
      <c r="X144" s="87">
        <f>W144/W12</f>
        <v>6.9260060390377701E-2</v>
      </c>
      <c r="Y144" s="79">
        <f>SUM(Y136:Y143)</f>
        <v>59977.229999999996</v>
      </c>
      <c r="Z144" s="87">
        <f t="shared" ref="Z144" si="78">Y144/Y$12</f>
        <v>4.584744465204206E-2</v>
      </c>
      <c r="AA144" s="152">
        <f>SUM(AA136:AA143)</f>
        <v>719726.76</v>
      </c>
      <c r="AB144" s="153">
        <f t="shared" ref="AB144" si="79">AA144/AA$12</f>
        <v>5.9044255797930836E-2</v>
      </c>
      <c r="AC144" s="137">
        <f>SUM(AC136:AC143)</f>
        <v>59977.229999999996</v>
      </c>
      <c r="AD144" s="138">
        <f t="shared" ref="AD144" si="80">AC144/AC$12</f>
        <v>5.9044255797930822E-2</v>
      </c>
      <c r="AE144" s="603"/>
      <c r="AF144" s="568"/>
    </row>
    <row r="145" spans="1:42" s="1" customFormat="1">
      <c r="A145" s="200">
        <v>6799</v>
      </c>
      <c r="B145" s="63" t="s">
        <v>135</v>
      </c>
      <c r="C145" s="203">
        <f>C41+C76+C93+C115+C129+C144+C133</f>
        <v>492574.30692973663</v>
      </c>
      <c r="D145" s="202">
        <f>C145/C12</f>
        <v>0.53727591116189277</v>
      </c>
      <c r="E145" s="203">
        <f>E41+E76+E93+E115+E129+E144+E133</f>
        <v>493728.99811745866</v>
      </c>
      <c r="F145" s="202">
        <f>E145/E12</f>
        <v>0.69220357129307786</v>
      </c>
      <c r="G145" s="203">
        <f>G41+G76+G93+G115+G129+G144+G133</f>
        <v>492156.77023422247</v>
      </c>
      <c r="H145" s="202">
        <f>G145/G12</f>
        <v>0.41596855708255315</v>
      </c>
      <c r="I145" s="203">
        <f>I41+I76+I93+I115+I129+I144+I133</f>
        <v>494787.8251913478</v>
      </c>
      <c r="J145" s="202">
        <f>I145/I12</f>
        <v>0.47360705265316294</v>
      </c>
      <c r="K145" s="298">
        <f>K41+K76+K93+K115+K129+K144+K133</f>
        <v>489046.29508927005</v>
      </c>
      <c r="L145" s="202">
        <f>K145/K12</f>
        <v>0.51181975421606285</v>
      </c>
      <c r="M145" s="298">
        <f>M41+M76+M93+M115+M129+M144+M133</f>
        <v>470259.69887868996</v>
      </c>
      <c r="N145" s="202">
        <f>M145/M12</f>
        <v>0.34708259976501288</v>
      </c>
      <c r="O145" s="298">
        <f>O41+O76+O93+O115+O129+O144+O133</f>
        <v>470764.55398526799</v>
      </c>
      <c r="P145" s="202">
        <f>O145/O12</f>
        <v>0.54880657401057831</v>
      </c>
      <c r="Q145" s="298">
        <f>Q41+Q76+Q93+Q115+Q129+Q144+Q133</f>
        <v>500128.05621222989</v>
      </c>
      <c r="R145" s="202">
        <f>Q145/Q12</f>
        <v>0.46953333712931938</v>
      </c>
      <c r="S145" s="298">
        <f>S41+S76+S93+S115+S129+S144+S133</f>
        <v>485533.49748154287</v>
      </c>
      <c r="T145" s="202">
        <f>S145/S12</f>
        <v>0.45249251552775699</v>
      </c>
      <c r="U145" s="201">
        <f>U41+U76+U93+U115+U129+U144+U133</f>
        <v>482566.45944945852</v>
      </c>
      <c r="V145" s="202">
        <f>U145/U12</f>
        <v>0.56697388442081875</v>
      </c>
      <c r="W145" s="201">
        <f>W41+W76+W93+W115+W129+W144+W133</f>
        <v>481425.93158909312</v>
      </c>
      <c r="X145" s="202">
        <f>W145/W12</f>
        <v>0.55593746318985438</v>
      </c>
      <c r="Y145" s="201">
        <f>Y41+Y76+Y93+Y115+Y129+Y144+Y133</f>
        <v>491668.69153942872</v>
      </c>
      <c r="Z145" s="202">
        <f>Y145/Y12</f>
        <v>0.37583851609178853</v>
      </c>
      <c r="AA145" s="201">
        <f>AA41+AA76+AA93+AA115+AA129+AA144+AA133</f>
        <v>5844641.0846977467</v>
      </c>
      <c r="AB145" s="202">
        <f>AA145/AA12</f>
        <v>0.4794770771785527</v>
      </c>
      <c r="AC145" s="201">
        <f>AC41+AC76+AC93+AC115+AC129+AC144+AC133</f>
        <v>487053.42372481222</v>
      </c>
      <c r="AD145" s="202">
        <f>AC145/AC12</f>
        <v>0.47947707717855265</v>
      </c>
      <c r="AE145" s="612"/>
      <c r="AF145" s="585"/>
      <c r="AP145" s="686" t="e">
        <f>#REF!-#REF!</f>
        <v>#REF!</v>
      </c>
    </row>
    <row r="146" spans="1:42" s="1" customFormat="1" ht="15.75" thickBot="1">
      <c r="A146" s="11">
        <v>6999</v>
      </c>
      <c r="B146" s="11" t="s">
        <v>144</v>
      </c>
      <c r="C146" s="80">
        <f>C135-C144</f>
        <v>-59628.205356159066</v>
      </c>
      <c r="D146" s="88">
        <f>C146/C12</f>
        <v>-6.5039523809853755E-2</v>
      </c>
      <c r="E146" s="80">
        <f>E135-E144</f>
        <v>-103719.55200864511</v>
      </c>
      <c r="F146" s="88">
        <f>E146/E12</f>
        <v>-0.14541386993077152</v>
      </c>
      <c r="G146" s="80">
        <f>G135-G144</f>
        <v>82235.039612977664</v>
      </c>
      <c r="H146" s="88">
        <f>G146/G12</f>
        <v>6.950466363219461E-2</v>
      </c>
      <c r="I146" s="80">
        <f>I135-I144</f>
        <v>73913.439390616913</v>
      </c>
      <c r="J146" s="88">
        <f>I146/I12</f>
        <v>7.0749368515101468E-2</v>
      </c>
      <c r="K146" s="30">
        <f>K135-K144</f>
        <v>77895.876997847474</v>
      </c>
      <c r="L146" s="88">
        <f>K146/K12</f>
        <v>8.1523260721575189E-2</v>
      </c>
      <c r="M146" s="30">
        <f>M135-M144</f>
        <v>166389.89471264533</v>
      </c>
      <c r="N146" s="88">
        <f>M146/M12</f>
        <v>0.1228066903653366</v>
      </c>
      <c r="O146" s="30">
        <f>O135-O144</f>
        <v>-36011.54776521078</v>
      </c>
      <c r="P146" s="88">
        <f>O146/O12</f>
        <v>-4.1981440587521589E-2</v>
      </c>
      <c r="Q146" s="300">
        <f>Q135-Q144</f>
        <v>124438.1923971525</v>
      </c>
      <c r="R146" s="88">
        <f>Q146/Q12</f>
        <v>0.11682583893630109</v>
      </c>
      <c r="S146" s="30">
        <f>S135-S144</f>
        <v>58337.61839488511</v>
      </c>
      <c r="T146" s="88">
        <f>S146/S12</f>
        <v>5.4367692104298905E-2</v>
      </c>
      <c r="U146" s="30">
        <f>U135-U144</f>
        <v>-17150.300986091228</v>
      </c>
      <c r="V146" s="88">
        <f>U146/U12</f>
        <v>-2.0150121457185022E-2</v>
      </c>
      <c r="W146" s="300">
        <f>W135-W144</f>
        <v>-8495.767287761948</v>
      </c>
      <c r="X146" s="88">
        <f>W146/W12</f>
        <v>-9.8106790762592377E-3</v>
      </c>
      <c r="Y146" s="30">
        <f>Y135-Y144</f>
        <v>155343.56376586144</v>
      </c>
      <c r="Z146" s="88">
        <f>Y146/Y12</f>
        <v>0.11874682178230472</v>
      </c>
      <c r="AA146" s="389">
        <f>AA135-AA144</f>
        <v>513548.25186811923</v>
      </c>
      <c r="AB146" s="88">
        <f>AA146/AA12</f>
        <v>4.2129980477426519E-2</v>
      </c>
      <c r="AC146" s="132">
        <f>AC135-AC144</f>
        <v>42795.687655676826</v>
      </c>
      <c r="AD146" s="88">
        <f>AC146/AC12</f>
        <v>4.2129980477426734E-2</v>
      </c>
      <c r="AE146" s="604"/>
      <c r="AF146" s="569"/>
    </row>
    <row r="147" spans="1:42" s="1" customFormat="1" ht="15.75" thickTop="1">
      <c r="C147" s="83"/>
      <c r="D147" s="19"/>
      <c r="E147" s="83"/>
      <c r="F147" s="19"/>
      <c r="G147" s="83"/>
      <c r="H147" s="19"/>
      <c r="I147" s="83"/>
      <c r="J147" s="19"/>
      <c r="K147" s="3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/>
      <c r="AD147" s="19"/>
      <c r="AE147" s="605"/>
      <c r="AF147" s="586"/>
    </row>
    <row r="148" spans="1:42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ref="AC148" si="81">AA148/12</f>
        <v>0</v>
      </c>
      <c r="AD148" s="246">
        <f>AC148/AC12</f>
        <v>0</v>
      </c>
      <c r="AE148" s="606"/>
      <c r="AF148" s="570"/>
    </row>
    <row r="149" spans="1:42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/>
      <c r="AD149" s="106"/>
      <c r="AE149" s="602"/>
      <c r="AF149" s="567"/>
    </row>
    <row r="150" spans="1:42" s="1" customFormat="1" ht="15.75" customHeight="1" thickBot="1">
      <c r="A150" s="223"/>
      <c r="B150" s="404" t="s">
        <v>232</v>
      </c>
      <c r="C150" s="685">
        <f>C146*10%</f>
        <v>-5962.8205356159069</v>
      </c>
      <c r="D150" s="406"/>
      <c r="E150" s="685">
        <f>E146*10%</f>
        <v>-10371.955200864511</v>
      </c>
      <c r="F150" s="407"/>
      <c r="G150" s="685">
        <f>G146*10%</f>
        <v>8223.5039612977671</v>
      </c>
      <c r="H150" s="407"/>
      <c r="I150" s="685">
        <f>I146*10%</f>
        <v>7391.3439390616913</v>
      </c>
      <c r="J150" s="407"/>
      <c r="K150" s="685">
        <f>K146*10%</f>
        <v>7789.5876997847481</v>
      </c>
      <c r="L150" s="407"/>
      <c r="M150" s="685">
        <f>M146*10%</f>
        <v>16638.989471264533</v>
      </c>
      <c r="N150" s="407"/>
      <c r="O150" s="685">
        <f>O146*10%</f>
        <v>-3601.154776521078</v>
      </c>
      <c r="P150" s="407"/>
      <c r="Q150" s="685">
        <f>Q146*10%</f>
        <v>12443.819239715251</v>
      </c>
      <c r="R150" s="407"/>
      <c r="S150" s="685">
        <f>S146*10%</f>
        <v>5833.7618394885112</v>
      </c>
      <c r="T150" s="407"/>
      <c r="U150" s="685">
        <f>U146*10%</f>
        <v>-1715.0300986091229</v>
      </c>
      <c r="V150" s="407"/>
      <c r="W150" s="685">
        <f>W146*10%</f>
        <v>-849.57672877619484</v>
      </c>
      <c r="X150" s="407"/>
      <c r="Y150" s="685">
        <f>Y146*10%</f>
        <v>15534.356376586145</v>
      </c>
      <c r="Z150" s="407"/>
      <c r="AA150" s="405">
        <f>C150+E150+G150+I150+K150+M150+O150+Q150+S150+U150+W150+Y150</f>
        <v>51354.825186811839</v>
      </c>
      <c r="AB150" s="407"/>
      <c r="AC150" s="405">
        <f t="shared" ref="AC150" si="82">AA150/12</f>
        <v>4279.5687655676529</v>
      </c>
      <c r="AD150" s="407"/>
      <c r="AE150" s="649"/>
      <c r="AF150" s="363" t="s">
        <v>245</v>
      </c>
      <c r="AG150" s="363"/>
    </row>
    <row r="151" spans="1:42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/>
      <c r="AD151" s="106"/>
      <c r="AE151" s="602"/>
      <c r="AF151" s="567"/>
    </row>
    <row r="152" spans="1:42" s="1" customFormat="1" ht="19.5" customHeight="1" thickBot="1">
      <c r="A152" s="224"/>
      <c r="B152" s="232" t="s">
        <v>206</v>
      </c>
      <c r="C152" s="237">
        <f>C146-C148-C150</f>
        <v>-53665.384820543157</v>
      </c>
      <c r="D152" s="246">
        <f>C152/C12</f>
        <v>-5.853557142886838E-2</v>
      </c>
      <c r="E152" s="237">
        <f>E146-E148-E150</f>
        <v>-93347.596807780603</v>
      </c>
      <c r="F152" s="246">
        <f>E152/E12</f>
        <v>-0.13087248293769438</v>
      </c>
      <c r="G152" s="237">
        <f>G146-G148-G150</f>
        <v>74011.535651679893</v>
      </c>
      <c r="H152" s="246">
        <f>G152/G12</f>
        <v>6.255419726897514E-2</v>
      </c>
      <c r="I152" s="237">
        <f>I146-I148-I150</f>
        <v>66522.095451555215</v>
      </c>
      <c r="J152" s="246">
        <f>I152/I12</f>
        <v>6.3674431663591324E-2</v>
      </c>
      <c r="K152" s="237">
        <f>K146-K148-K150</f>
        <v>70106.289298062722</v>
      </c>
      <c r="L152" s="246">
        <f>K152/K12</f>
        <v>7.3370934649417657E-2</v>
      </c>
      <c r="M152" s="237">
        <f>M146-M148-M150</f>
        <v>149750.90524138079</v>
      </c>
      <c r="N152" s="246">
        <f>M152/M12</f>
        <v>0.11052602132880295</v>
      </c>
      <c r="O152" s="237">
        <f>O146-O148-O150</f>
        <v>-32410.392988689702</v>
      </c>
      <c r="P152" s="246">
        <f>O152/O12</f>
        <v>-3.7783296528769432E-2</v>
      </c>
      <c r="Q152" s="237">
        <f>Q146-Q148-Q150</f>
        <v>111994.37315743725</v>
      </c>
      <c r="R152" s="246">
        <f>Q152/Q12</f>
        <v>0.10514325504267098</v>
      </c>
      <c r="S152" s="237">
        <f>S146-S148-S150</f>
        <v>52503.856555396596</v>
      </c>
      <c r="T152" s="246">
        <f>S152/S12</f>
        <v>4.8930922893869015E-2</v>
      </c>
      <c r="U152" s="237">
        <f>U146-U148-U150</f>
        <v>-15435.270887482106</v>
      </c>
      <c r="V152" s="246">
        <f>U152/U12</f>
        <v>-1.8135109311466523E-2</v>
      </c>
      <c r="W152" s="237">
        <f>W146-W148-W150</f>
        <v>-7646.1905589857533</v>
      </c>
      <c r="X152" s="246">
        <f>W152/W12</f>
        <v>-8.829611168633315E-3</v>
      </c>
      <c r="Y152" s="237">
        <f>Y146-Y148-Y150</f>
        <v>139809.20738927531</v>
      </c>
      <c r="Z152" s="246">
        <f>Y152/Y12</f>
        <v>0.10687213960407425</v>
      </c>
      <c r="AA152" s="270">
        <f>AA146-AA148-AA150</f>
        <v>462193.42668130738</v>
      </c>
      <c r="AB152" s="246">
        <f>AA152/AA12</f>
        <v>3.7916982429683874E-2</v>
      </c>
      <c r="AC152" s="271">
        <f>AC146-AC148-AC150</f>
        <v>38516.118890109174</v>
      </c>
      <c r="AD152" s="246">
        <f>AC152/AC12</f>
        <v>3.7916982429684089E-2</v>
      </c>
      <c r="AE152" s="606"/>
      <c r="AF152" s="570"/>
    </row>
    <row r="153" spans="1:42" s="1" customFormat="1" ht="15.75" thickTop="1">
      <c r="C153" s="686">
        <f>C151*0.985</f>
        <v>0</v>
      </c>
      <c r="D153" s="20"/>
      <c r="E153" s="84"/>
      <c r="F153" s="20"/>
      <c r="G153" s="84"/>
      <c r="H153" s="20"/>
      <c r="I153" s="84"/>
      <c r="J153" s="20"/>
      <c r="K153" s="33"/>
      <c r="L153" s="20"/>
      <c r="M153" s="33"/>
      <c r="N153" s="20"/>
      <c r="O153" s="33"/>
      <c r="P153" s="93"/>
      <c r="Q153" s="33"/>
      <c r="R153" s="93"/>
      <c r="S153" s="33"/>
      <c r="T153" s="93"/>
      <c r="U153" s="84"/>
      <c r="V153" s="93"/>
      <c r="W153" s="84"/>
      <c r="X153" s="93"/>
      <c r="Y153" s="84"/>
      <c r="Z153" s="93"/>
      <c r="AA153" s="142"/>
      <c r="AB153" s="143"/>
      <c r="AC153" s="126"/>
      <c r="AD153" s="127"/>
      <c r="AE153" s="593"/>
      <c r="AF153" s="557"/>
    </row>
    <row r="154" spans="1:42" s="1" customFormat="1">
      <c r="B154" s="85" t="s">
        <v>214</v>
      </c>
      <c r="C154" s="84">
        <f>C152</f>
        <v>-53665.384820543157</v>
      </c>
      <c r="D154" s="20"/>
      <c r="E154" s="84">
        <f>E152+C154</f>
        <v>-147012.98162832376</v>
      </c>
      <c r="F154" s="93"/>
      <c r="G154" s="84">
        <f>G152+E154</f>
        <v>-73001.445976643867</v>
      </c>
      <c r="H154" s="93"/>
      <c r="I154" s="84">
        <f>I152+G154</f>
        <v>-6479.3505250886519</v>
      </c>
      <c r="J154" s="93"/>
      <c r="K154" s="84">
        <f>K152+I154</f>
        <v>63626.93877297407</v>
      </c>
      <c r="L154" s="93"/>
      <c r="M154" s="686">
        <f>M152+K154</f>
        <v>213377.84401435487</v>
      </c>
      <c r="N154" s="93"/>
      <c r="O154" s="686">
        <f>O152+M154</f>
        <v>180967.45102566516</v>
      </c>
      <c r="P154" s="93"/>
      <c r="Q154" s="84">
        <f>Q152+O154</f>
        <v>292961.82418310241</v>
      </c>
      <c r="R154" s="93"/>
      <c r="S154" s="84">
        <f>S152+Q154</f>
        <v>345465.68073849898</v>
      </c>
      <c r="T154" s="93"/>
      <c r="U154" s="84">
        <f>U152+S154</f>
        <v>330030.40985101688</v>
      </c>
      <c r="V154" s="93"/>
      <c r="W154" s="84">
        <f>W152+U154</f>
        <v>322384.21929203114</v>
      </c>
      <c r="X154" s="93"/>
      <c r="Y154" s="84">
        <f>Y152+W154</f>
        <v>462193.42668130645</v>
      </c>
      <c r="Z154" s="93"/>
      <c r="AA154" s="142"/>
      <c r="AB154" s="143"/>
      <c r="AC154" s="126"/>
      <c r="AD154" s="127"/>
      <c r="AE154" s="593"/>
      <c r="AF154" s="557"/>
    </row>
    <row r="155" spans="1:42">
      <c r="I155" s="32">
        <f>I16*0.985</f>
        <v>1029051.4152676496</v>
      </c>
    </row>
    <row r="156" spans="1:42">
      <c r="C156" s="269">
        <f>C152</f>
        <v>-53665.384820543157</v>
      </c>
      <c r="E156" s="269">
        <f>E152</f>
        <v>-93347.596807780603</v>
      </c>
      <c r="I156" s="32">
        <f>I36*0.985</f>
        <v>468880.66965441435</v>
      </c>
      <c r="K156" s="32">
        <f>K36*0.985</f>
        <v>382734.31012487307</v>
      </c>
      <c r="M156" s="32">
        <f>M36*0.985</f>
        <v>707469.51134969492</v>
      </c>
      <c r="O156" s="32">
        <f>O36*0.985</f>
        <v>416698.19247631339</v>
      </c>
      <c r="S156" s="32">
        <f>S152</f>
        <v>52503.856555396596</v>
      </c>
    </row>
    <row r="157" spans="1:42">
      <c r="C157" s="269">
        <f>C150</f>
        <v>-5962.8205356159069</v>
      </c>
      <c r="E157" s="269">
        <f>E150+E27</f>
        <v>-8232.1410540154429</v>
      </c>
      <c r="I157" s="32">
        <f>SUM(I145-I142)*0.985</f>
        <v>434015.4528134776</v>
      </c>
      <c r="K157" s="32">
        <f>SUM(K145-K142+K150)*0.985</f>
        <v>436032.78954721894</v>
      </c>
      <c r="M157" s="32">
        <f>SUM(M145-M142+M150)*0.985</f>
        <v>426244.65302470519</v>
      </c>
      <c r="O157" s="32">
        <f>SUM(O145-O142+O150)*0.985</f>
        <v>406805.39322061569</v>
      </c>
      <c r="S157" s="32">
        <f>S87+S86+S85</f>
        <v>13755.650684931506</v>
      </c>
    </row>
    <row r="158" spans="1:42">
      <c r="C158" s="269">
        <f>C156+C157</f>
        <v>-59628.205356159066</v>
      </c>
      <c r="E158" s="269">
        <f>E156+E157</f>
        <v>-101579.73786179605</v>
      </c>
      <c r="I158" s="431">
        <f>SUM(I152+I142)*0.985</f>
        <v>118874.81901978189</v>
      </c>
      <c r="M158" s="431">
        <f>SUM(M152+M142)*0.985</f>
        <v>200855.19666276008</v>
      </c>
      <c r="O158" s="730"/>
      <c r="S158" s="32">
        <f>S156+S157</f>
        <v>66259.507240328108</v>
      </c>
    </row>
    <row r="160" spans="1:42" ht="15" hidden="1" customHeight="1">
      <c r="B160" s="213" t="s">
        <v>144</v>
      </c>
      <c r="C160" s="32">
        <f>C152</f>
        <v>-53665.384820543157</v>
      </c>
      <c r="D160" s="32"/>
      <c r="E160" s="32">
        <f>E152</f>
        <v>-93347.596807780603</v>
      </c>
      <c r="F160" s="32"/>
      <c r="G160" s="32">
        <f>G152</f>
        <v>74011.535651679893</v>
      </c>
      <c r="H160" s="32"/>
      <c r="I160" s="32">
        <f>I152</f>
        <v>66522.095451555215</v>
      </c>
      <c r="J160" s="32"/>
      <c r="K160" s="32">
        <f>K152</f>
        <v>70106.289298062722</v>
      </c>
      <c r="L160" s="32"/>
      <c r="M160" s="32">
        <f>M152</f>
        <v>149750.90524138079</v>
      </c>
      <c r="N160" s="32"/>
      <c r="O160" s="32">
        <f>O152</f>
        <v>-32410.392988689702</v>
      </c>
      <c r="P160" s="32"/>
      <c r="Q160" s="32">
        <f>Q152</f>
        <v>111994.37315743725</v>
      </c>
      <c r="R160" s="32"/>
      <c r="S160" s="32">
        <f>S152</f>
        <v>52503.856555396596</v>
      </c>
      <c r="T160" s="32"/>
      <c r="U160" s="32">
        <f>U152</f>
        <v>-15435.270887482106</v>
      </c>
      <c r="V160" s="32"/>
      <c r="W160" s="32">
        <f>W152</f>
        <v>-7646.1905589857533</v>
      </c>
      <c r="X160" s="32"/>
      <c r="Y160" s="32">
        <f>Y152</f>
        <v>139809.20738927531</v>
      </c>
      <c r="Z160" s="32"/>
      <c r="AA160" s="32">
        <f>AA152</f>
        <v>462193.42668130738</v>
      </c>
      <c r="AB160" s="32"/>
      <c r="AC160" s="32">
        <f>AC152</f>
        <v>38516.118890109174</v>
      </c>
      <c r="AD160" s="32"/>
      <c r="AE160" s="609"/>
      <c r="AF160" s="721"/>
    </row>
    <row r="161" spans="2:32" ht="15" hidden="1" customHeight="1">
      <c r="C161" s="32"/>
      <c r="D161" s="226"/>
      <c r="E161" s="32"/>
      <c r="F161" s="218"/>
      <c r="G161" s="32"/>
      <c r="H161" s="218"/>
      <c r="I161" s="32"/>
      <c r="J161" s="218"/>
      <c r="L161" s="218"/>
      <c r="N161" s="218"/>
      <c r="P161" s="218"/>
      <c r="R161" s="218"/>
      <c r="T161" s="218"/>
      <c r="U161" s="32"/>
      <c r="V161" s="218"/>
      <c r="W161" s="32"/>
      <c r="X161" s="218"/>
      <c r="Y161" s="32"/>
      <c r="Z161" s="218"/>
      <c r="AB161" s="218"/>
      <c r="AD161" s="218"/>
      <c r="AE161" s="595"/>
      <c r="AF161" s="393"/>
    </row>
    <row r="162" spans="2:32" ht="15" hidden="1" customHeight="1">
      <c r="B162" s="213" t="s">
        <v>237</v>
      </c>
      <c r="C162" s="32">
        <f>C150</f>
        <v>-5962.8205356159069</v>
      </c>
      <c r="D162" s="226"/>
      <c r="E162" s="32">
        <f>E150</f>
        <v>-10371.955200864511</v>
      </c>
      <c r="F162" s="218"/>
      <c r="G162" s="32">
        <f>G150</f>
        <v>8223.5039612977671</v>
      </c>
      <c r="H162" s="218"/>
      <c r="I162" s="32">
        <f>I150</f>
        <v>7391.3439390616913</v>
      </c>
      <c r="J162" s="218"/>
      <c r="K162" s="32">
        <f>K150</f>
        <v>7789.5876997847481</v>
      </c>
      <c r="L162" s="218"/>
      <c r="M162" s="32">
        <f>M150</f>
        <v>16638.989471264533</v>
      </c>
      <c r="N162" s="218"/>
      <c r="O162" s="32">
        <f>O150</f>
        <v>-3601.154776521078</v>
      </c>
      <c r="P162" s="218"/>
      <c r="Q162" s="32">
        <f>Q150</f>
        <v>12443.819239715251</v>
      </c>
      <c r="R162" s="218"/>
      <c r="S162" s="32">
        <f>S150</f>
        <v>5833.7618394885112</v>
      </c>
      <c r="T162" s="218"/>
      <c r="U162" s="32">
        <f>U150</f>
        <v>-1715.0300986091229</v>
      </c>
      <c r="V162" s="218"/>
      <c r="W162" s="32">
        <f>W150</f>
        <v>-849.57672877619484</v>
      </c>
      <c r="X162" s="218"/>
      <c r="Y162" s="32">
        <f>Y150</f>
        <v>15534.356376586145</v>
      </c>
      <c r="Z162" s="218"/>
      <c r="AA162" s="32">
        <f>AA150</f>
        <v>51354.825186811839</v>
      </c>
      <c r="AB162" s="218"/>
      <c r="AC162" s="32">
        <f>AC150</f>
        <v>4279.5687655676529</v>
      </c>
      <c r="AD162" s="218"/>
      <c r="AE162" s="595"/>
      <c r="AF162" s="393"/>
    </row>
    <row r="163" spans="2:32" ht="15" hidden="1" customHeight="1">
      <c r="C163" s="32"/>
      <c r="D163" s="226"/>
      <c r="E163" s="32"/>
      <c r="F163" s="218"/>
      <c r="G163" s="32"/>
      <c r="H163" s="218"/>
      <c r="I163" s="32"/>
      <c r="J163" s="218"/>
      <c r="L163" s="218"/>
      <c r="N163" s="218"/>
      <c r="P163" s="218"/>
      <c r="R163" s="218"/>
      <c r="T163" s="218"/>
      <c r="U163" s="32"/>
      <c r="V163" s="218"/>
      <c r="W163" s="32"/>
      <c r="X163" s="218"/>
      <c r="Y163" s="32"/>
      <c r="Z163" s="218"/>
      <c r="AB163" s="218"/>
      <c r="AD163" s="218"/>
      <c r="AE163" s="595"/>
      <c r="AF163" s="393"/>
    </row>
    <row r="164" spans="2:32" ht="15" hidden="1" customHeight="1">
      <c r="B164" s="213" t="s">
        <v>241</v>
      </c>
      <c r="C164" s="32">
        <f>C142</f>
        <v>54163</v>
      </c>
      <c r="D164" s="32"/>
      <c r="E164" s="32">
        <f>E142</f>
        <v>54163</v>
      </c>
      <c r="F164" s="32"/>
      <c r="G164" s="32">
        <f>G142</f>
        <v>54163</v>
      </c>
      <c r="H164" s="32"/>
      <c r="I164" s="32">
        <f>I142</f>
        <v>54163</v>
      </c>
      <c r="J164" s="32"/>
      <c r="K164" s="32">
        <f>K142</f>
        <v>54163</v>
      </c>
      <c r="L164" s="32"/>
      <c r="M164" s="32">
        <f>M142</f>
        <v>54163</v>
      </c>
      <c r="N164" s="32"/>
      <c r="O164" s="32">
        <f>O142</f>
        <v>54163</v>
      </c>
      <c r="P164" s="32"/>
      <c r="Q164" s="32">
        <f>Q142</f>
        <v>54163</v>
      </c>
      <c r="R164" s="32"/>
      <c r="S164" s="32">
        <f>S142</f>
        <v>54163</v>
      </c>
      <c r="T164" s="32"/>
      <c r="U164" s="32">
        <f>U142</f>
        <v>54163</v>
      </c>
      <c r="V164" s="32"/>
      <c r="W164" s="32">
        <f>W142</f>
        <v>54163</v>
      </c>
      <c r="X164" s="32"/>
      <c r="Y164" s="32">
        <f>Y142</f>
        <v>54163</v>
      </c>
      <c r="Z164" s="32"/>
      <c r="AA164" s="32">
        <f>AA142</f>
        <v>649956</v>
      </c>
      <c r="AB164" s="32"/>
      <c r="AC164" s="32">
        <f>AC142</f>
        <v>54163</v>
      </c>
      <c r="AD164" s="32"/>
      <c r="AE164" s="609"/>
      <c r="AF164" s="721"/>
    </row>
    <row r="165" spans="2:32" ht="15" hidden="1" customHeight="1">
      <c r="C165" s="32"/>
      <c r="D165" s="226"/>
      <c r="E165" s="32"/>
      <c r="F165" s="218"/>
      <c r="G165" s="32"/>
      <c r="H165" s="218"/>
      <c r="I165" s="32"/>
      <c r="J165" s="218"/>
      <c r="L165" s="218"/>
      <c r="N165" s="218"/>
      <c r="P165" s="218"/>
      <c r="R165" s="218"/>
      <c r="T165" s="218"/>
      <c r="U165" s="32"/>
      <c r="V165" s="218"/>
      <c r="W165" s="32"/>
      <c r="X165" s="218"/>
      <c r="Y165" s="32"/>
      <c r="Z165" s="218"/>
      <c r="AA165" s="32"/>
      <c r="AB165" s="218"/>
      <c r="AC165" s="32"/>
      <c r="AD165" s="218"/>
      <c r="AE165" s="595"/>
      <c r="AF165" s="393"/>
    </row>
    <row r="166" spans="2:32" ht="15" hidden="1" customHeight="1">
      <c r="B166" s="213" t="s">
        <v>238</v>
      </c>
      <c r="C166" s="32">
        <f>C144-C142</f>
        <v>5814.2299999999959</v>
      </c>
      <c r="D166" s="32"/>
      <c r="E166" s="32">
        <f>E144-E142</f>
        <v>5814.2299999999959</v>
      </c>
      <c r="F166" s="32"/>
      <c r="G166" s="32">
        <f>G144-G142</f>
        <v>5814.2299999999959</v>
      </c>
      <c r="H166" s="32"/>
      <c r="I166" s="32">
        <f>I144-I142</f>
        <v>5814.2299999999959</v>
      </c>
      <c r="J166" s="32"/>
      <c r="K166" s="32">
        <f>K144-K142</f>
        <v>5814.2299999999959</v>
      </c>
      <c r="L166" s="32"/>
      <c r="M166" s="32">
        <f>M144-M142</f>
        <v>5814.2299999999959</v>
      </c>
      <c r="N166" s="32"/>
      <c r="O166" s="32">
        <f>O144-O142</f>
        <v>5814.2299999999959</v>
      </c>
      <c r="P166" s="32"/>
      <c r="Q166" s="32">
        <f>Q144-Q142</f>
        <v>5814.2299999999959</v>
      </c>
      <c r="R166" s="32"/>
      <c r="S166" s="32">
        <f>S144-S142</f>
        <v>5814.2299999999959</v>
      </c>
      <c r="T166" s="32"/>
      <c r="U166" s="32">
        <f>U144-U142</f>
        <v>5814.2299999999959</v>
      </c>
      <c r="V166" s="32"/>
      <c r="W166" s="32">
        <f>W144-W142</f>
        <v>5814.2299999999959</v>
      </c>
      <c r="X166" s="32"/>
      <c r="Y166" s="32">
        <f>Y144-Y142</f>
        <v>5814.2299999999959</v>
      </c>
      <c r="Z166" s="32"/>
      <c r="AA166" s="32">
        <f>AA144-AA142</f>
        <v>69770.760000000009</v>
      </c>
      <c r="AB166" s="32"/>
      <c r="AC166" s="32">
        <f>AC144-AC142</f>
        <v>5814.2299999999959</v>
      </c>
      <c r="AD166" s="32"/>
      <c r="AE166" s="609"/>
      <c r="AF166" s="721"/>
    </row>
    <row r="167" spans="2:32" ht="15" hidden="1" customHeight="1">
      <c r="C167" s="32"/>
      <c r="D167" s="226"/>
      <c r="E167" s="32"/>
      <c r="F167" s="218"/>
      <c r="G167" s="32"/>
      <c r="H167" s="218"/>
      <c r="I167" s="32"/>
      <c r="J167" s="218"/>
      <c r="L167" s="218"/>
      <c r="N167" s="218"/>
      <c r="P167" s="218"/>
      <c r="R167" s="218"/>
      <c r="T167" s="218"/>
      <c r="U167" s="32"/>
      <c r="V167" s="218"/>
      <c r="W167" s="32"/>
      <c r="X167" s="218"/>
      <c r="Y167" s="32"/>
      <c r="Z167" s="218"/>
      <c r="AB167" s="218"/>
      <c r="AC167" s="32"/>
      <c r="AD167" s="218"/>
      <c r="AE167" s="595"/>
      <c r="AF167" s="393"/>
    </row>
    <row r="168" spans="2:32" ht="15" hidden="1" customHeight="1">
      <c r="C168" s="32"/>
      <c r="D168" s="226"/>
      <c r="E168" s="32"/>
      <c r="F168" s="218"/>
      <c r="G168" s="32"/>
      <c r="H168" s="218"/>
      <c r="I168" s="32"/>
      <c r="J168" s="218"/>
      <c r="L168" s="218"/>
      <c r="N168" s="218"/>
      <c r="P168" s="218"/>
      <c r="R168" s="218"/>
      <c r="T168" s="218"/>
      <c r="U168" s="32"/>
      <c r="V168" s="218"/>
      <c r="W168" s="32"/>
      <c r="X168" s="218"/>
      <c r="Y168" s="32"/>
      <c r="Z168" s="218"/>
      <c r="AB168" s="218"/>
      <c r="AD168" s="218"/>
      <c r="AE168" s="595"/>
      <c r="AF168" s="393"/>
    </row>
    <row r="169" spans="2:32" ht="15" hidden="1" customHeight="1">
      <c r="B169" s="722" t="s">
        <v>239</v>
      </c>
      <c r="C169" s="723">
        <f>C162+C160+C164+C166</f>
        <v>349.02464384093037</v>
      </c>
      <c r="D169" s="724"/>
      <c r="E169" s="723">
        <f>E162+E160+E164+E166</f>
        <v>-43742.322008645118</v>
      </c>
      <c r="F169" s="723"/>
      <c r="G169" s="723">
        <f>G162+G160+G164+G166</f>
        <v>142212.26961297763</v>
      </c>
      <c r="H169" s="723"/>
      <c r="I169" s="723">
        <f>I162+I160+I164+I166</f>
        <v>133890.66939061688</v>
      </c>
      <c r="J169" s="723"/>
      <c r="K169" s="723">
        <f>K162+K160+K164+K166</f>
        <v>137873.10699784744</v>
      </c>
      <c r="L169" s="723"/>
      <c r="M169" s="723">
        <f>M162+M160+M164+M166</f>
        <v>226367.12471264531</v>
      </c>
      <c r="N169" s="723"/>
      <c r="O169" s="723">
        <f>O162+O160+O164+O166</f>
        <v>23965.682234789216</v>
      </c>
      <c r="P169" s="723"/>
      <c r="Q169" s="723">
        <f>Q162+Q160+Q164+Q166</f>
        <v>184415.42239715246</v>
      </c>
      <c r="R169" s="723"/>
      <c r="S169" s="723">
        <f>S162+S160+S164+S166</f>
        <v>118314.84839488511</v>
      </c>
      <c r="T169" s="723"/>
      <c r="U169" s="723">
        <f>U162+U160+U164+U166</f>
        <v>42826.929013908768</v>
      </c>
      <c r="V169" s="723"/>
      <c r="W169" s="723">
        <f>W162+W160+W164+W166</f>
        <v>51481.462712238048</v>
      </c>
      <c r="X169" s="723"/>
      <c r="Y169" s="723">
        <f>Y162+Y160+Y164+Y166</f>
        <v>215320.79376586142</v>
      </c>
      <c r="Z169" s="723"/>
      <c r="AA169" s="723">
        <f>AA162+AA160+AA164+AA166</f>
        <v>1233275.0118681192</v>
      </c>
      <c r="AB169" s="218"/>
      <c r="AC169" s="32">
        <f>AA169/12</f>
        <v>102772.9176556766</v>
      </c>
      <c r="AD169" s="218"/>
      <c r="AE169" s="595"/>
      <c r="AF169" s="393"/>
    </row>
    <row r="170" spans="2:32" ht="15" hidden="1" customHeight="1">
      <c r="C170" s="32"/>
      <c r="D170" s="226"/>
      <c r="E170" s="32"/>
      <c r="F170" s="218"/>
      <c r="G170" s="32"/>
      <c r="H170" s="218"/>
      <c r="I170" s="32"/>
      <c r="J170" s="218"/>
      <c r="L170" s="218"/>
      <c r="N170" s="218"/>
      <c r="P170" s="218"/>
      <c r="R170" s="218"/>
      <c r="T170" s="218"/>
      <c r="U170" s="32"/>
      <c r="V170" s="218"/>
      <c r="W170" s="32"/>
      <c r="X170" s="218"/>
      <c r="Y170" s="32"/>
      <c r="Z170" s="218"/>
      <c r="AB170" s="218"/>
      <c r="AD170" s="218"/>
      <c r="AE170" s="595"/>
      <c r="AF170" s="393"/>
    </row>
    <row r="171" spans="2:32" ht="15" hidden="1" customHeight="1">
      <c r="B171" s="722"/>
      <c r="C171" s="32"/>
      <c r="D171" s="226"/>
      <c r="E171" s="32"/>
      <c r="F171" s="218"/>
      <c r="G171" s="32"/>
      <c r="H171" s="218"/>
      <c r="I171" s="32"/>
      <c r="J171" s="218"/>
      <c r="L171" s="218"/>
      <c r="N171" s="218"/>
      <c r="P171" s="218"/>
      <c r="R171" s="218"/>
      <c r="T171" s="218"/>
      <c r="U171" s="32"/>
      <c r="V171" s="218"/>
      <c r="W171" s="32"/>
      <c r="X171" s="218"/>
      <c r="Y171" s="32"/>
      <c r="Z171" s="218"/>
      <c r="AB171" s="218"/>
      <c r="AD171" s="218"/>
      <c r="AE171" s="595"/>
      <c r="AF171" s="393"/>
    </row>
    <row r="172" spans="2:32" ht="15" hidden="1" customHeight="1">
      <c r="B172" s="722" t="s">
        <v>240</v>
      </c>
      <c r="C172" s="32">
        <f>C169</f>
        <v>349.02464384093037</v>
      </c>
      <c r="D172" s="32"/>
      <c r="E172" s="32">
        <f>C172+E169</f>
        <v>-43393.297364804188</v>
      </c>
      <c r="F172" s="32"/>
      <c r="G172" s="32">
        <f>E172+G169</f>
        <v>98818.972248173435</v>
      </c>
      <c r="H172" s="32"/>
      <c r="I172" s="32">
        <f>G172+I169</f>
        <v>232709.64163879032</v>
      </c>
      <c r="J172" s="32"/>
      <c r="K172" s="32">
        <f>I172+K169</f>
        <v>370582.74863663776</v>
      </c>
      <c r="L172" s="32"/>
      <c r="M172" s="32">
        <f>K172+M169</f>
        <v>596949.87334928312</v>
      </c>
      <c r="N172" s="32"/>
      <c r="O172" s="32">
        <f>M172+O169</f>
        <v>620915.55558407237</v>
      </c>
      <c r="P172" s="32"/>
      <c r="Q172" s="32">
        <f>O172+Q169</f>
        <v>805330.97798122489</v>
      </c>
      <c r="R172" s="32"/>
      <c r="S172" s="32">
        <f>Q172+S169</f>
        <v>923645.82637610997</v>
      </c>
      <c r="T172" s="32"/>
      <c r="U172" s="32">
        <f>S172+U169</f>
        <v>966472.75539001869</v>
      </c>
      <c r="V172" s="32"/>
      <c r="W172" s="32">
        <f>U172+W169</f>
        <v>1017954.2181022568</v>
      </c>
      <c r="X172" s="32"/>
      <c r="Y172" s="32">
        <f>W172+Y169</f>
        <v>1233275.0118681183</v>
      </c>
      <c r="Z172" s="32"/>
      <c r="AA172" s="32"/>
      <c r="AB172" s="32"/>
      <c r="AC172" s="32"/>
      <c r="AD172" s="32"/>
      <c r="AE172" s="609"/>
      <c r="AF172" s="721"/>
    </row>
  </sheetData>
  <customSheetViews>
    <customSheetView guid="{E19D3675-E478-4A54-8E7A-94A199F67811}" hiddenRows="1">
      <pane xSplit="2" ySplit="4" topLeftCell="C121" activePane="bottomRight" state="frozen"/>
      <selection pane="bottomRight" activeCell="F130" sqref="F130"/>
      <pageMargins left="0.31496062992125984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1"/>
    </customSheetView>
    <customSheetView guid="{BFB0E08A-7D07-48F2-93C4-BE631A8642F6}" hiddenRows="1">
      <pane xSplit="2" ySplit="4" topLeftCell="AH38" activePane="bottomRight" state="frozen"/>
      <selection pane="bottomRight" activeCell="AQ112" sqref="AQ112"/>
      <pageMargins left="0.31496062992125984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2"/>
    </customSheetView>
    <customSheetView guid="{D65E0E17-9A53-4B36-ADDE-FDFBD878E6A1}">
      <pane xSplit="23" ySplit="19" topLeftCell="Y128" activePane="bottomRight" state="frozen"/>
      <selection pane="bottomRight" activeCell="G135" sqref="G135"/>
      <pageMargins left="0.7" right="0.7" top="0.75" bottom="0.75" header="0.3" footer="0.3"/>
    </customSheetView>
    <customSheetView guid="{F3E5B7E7-D3C6-4CDC-BAA7-D62F15A870E4}">
      <pane xSplit="23" ySplit="19" topLeftCell="Y122" activePane="bottomRight" state="frozen"/>
      <selection pane="bottomRight" activeCell="I122" sqref="I122"/>
      <pageMargins left="0.7" right="0.7" top="0.75" bottom="0.75" header="0.3" footer="0.3"/>
    </customSheetView>
    <customSheetView guid="{879F34B1-DA85-44D2-99EE-74A633FB2C72}" hiddenRows="1">
      <pane xSplit="2" ySplit="4" topLeftCell="AH5" activePane="bottomRight" state="frozen"/>
      <selection pane="bottomRight" activeCell="AR16" sqref="AR16"/>
      <pageMargins left="0.31496062992125984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3"/>
    </customSheetView>
    <customSheetView guid="{02AA01BD-C75B-4B6E-A8E6-EEB6E90D29E4}" hiddenRows="1">
      <pane xSplit="2" ySplit="4" topLeftCell="K110" activePane="bottomRight" state="frozen"/>
      <selection pane="bottomRight" activeCell="P128" sqref="P128"/>
      <pageMargins left="0.31496062992125984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4"/>
    </customSheetView>
    <customSheetView guid="{209662B1-09B2-4060-A837-250CED7848ED}" hiddenRows="1">
      <pane xSplit="2" ySplit="4" topLeftCell="Y5" activePane="bottomRight" state="frozen"/>
      <selection pane="bottomRight" activeCell="AE16" sqref="AE16"/>
      <pageMargins left="0.31496062992125984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5"/>
    </customSheetView>
    <customSheetView guid="{B2BB7590-1CD2-4457-858D-F8835B99F338}" hiddenRows="1">
      <pane xSplit="2" ySplit="4" topLeftCell="I30" activePane="bottomRight" state="frozen"/>
      <selection pane="bottomRight" activeCell="L38" sqref="L38"/>
      <pageMargins left="0.31496062992125984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6"/>
    </customSheetView>
    <customSheetView guid="{A879B074-133C-4DA1-A94D-0D1575EAAFB0}" hiddenColumns="1" topLeftCell="U100">
      <selection activeCell="AD3" sqref="AD3"/>
      <pageMargins left="0.7" right="0.7" top="0.75" bottom="0.75" header="0.3" footer="0.3"/>
    </customSheetView>
    <customSheetView guid="{C4C974E7-2FCF-4C3A-A063-03001047949F}" topLeftCell="A99">
      <selection activeCell="B99" sqref="B1:P1048576"/>
      <pageMargins left="0.7" right="0.7" top="0.75" bottom="0.75" header="0.3" footer="0.3"/>
    </customSheetView>
    <customSheetView guid="{A8167CC1-C909-4D11-B8D5-4313083C8125}" hiddenRows="1" hiddenColumns="1">
      <pane xSplit="2" ySplit="4" topLeftCell="C119" activePane="bottomRight" state="frozen"/>
      <selection pane="bottomRight" activeCell="I130" sqref="I130"/>
      <pageMargins left="0.31496062992125984" right="0.31496062992125984" top="0.5" bottom="0.42" header="0.31496062992125984" footer="0.31496062992125984"/>
      <printOptions horizontalCentered="1" gridLines="1"/>
      <pageSetup paperSize="8" scale="39" fitToHeight="3" orientation="landscape" r:id="rId7"/>
    </customSheetView>
    <customSheetView guid="{AA4262F8-9AB3-4147-94E2-8DEF81F7E83C}" hiddenRows="1">
      <pane xSplit="2" ySplit="4" topLeftCell="C104" activePane="bottomRight" state="frozen"/>
      <selection pane="bottomRight" activeCell="I132" sqref="I132"/>
      <pageMargins left="0.31496062992125984" right="0.31496062992125984" top="0.74803149606299213" bottom="0.74803149606299213" header="0.31496062992125984" footer="0.31496062992125984"/>
      <printOptions horizontalCentered="1" gridLines="1"/>
      <pageSetup paperSize="8" scale="39" fitToHeight="3" orientation="landscape" r:id="rId8"/>
    </customSheetView>
  </customSheetViews>
  <mergeCells count="1">
    <mergeCell ref="A1:AD1"/>
  </mergeCells>
  <conditionalFormatting sqref="W146 Q146">
    <cfRule type="cellIs" dxfId="10" priority="4" operator="lessThan">
      <formula>0</formula>
    </cfRule>
  </conditionalFormatting>
  <printOptions horizontalCentered="1" gridLines="1"/>
  <pageMargins left="0.31496062992126" right="0.31496062992126" top="0.74803149606299202" bottom="0.74803149606299202" header="0.31496062992126" footer="0.31496062992126"/>
  <pageSetup paperSize="8" scale="38" fitToHeight="2" orientation="landscape" r:id="rId9"/>
  <legacyDrawing r:id="rId1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A1:AP172"/>
  <sheetViews>
    <sheetView zoomScale="85" zoomScaleNormal="85" zoomScaleSheetLayoutView="100" workbookViewId="0">
      <pane xSplit="2" ySplit="4" topLeftCell="C110" activePane="bottomRight" state="frozen"/>
      <selection pane="topRight" activeCell="C1" sqref="C1"/>
      <selection pane="bottomLeft" activeCell="A5" sqref="A5"/>
      <selection pane="bottomRight" activeCell="C142" sqref="C142"/>
    </sheetView>
  </sheetViews>
  <sheetFormatPr defaultColWidth="9.140625" defaultRowHeight="15"/>
  <cols>
    <col min="1" max="1" width="7.140625" style="213" bestFit="1" customWidth="1"/>
    <col min="2" max="2" width="30.85546875" style="213" customWidth="1"/>
    <col min="3" max="3" width="13.85546875" style="213" bestFit="1" customWidth="1"/>
    <col min="4" max="4" width="6.85546875" style="218" customWidth="1"/>
    <col min="5" max="5" width="13.85546875" style="269" bestFit="1" customWidth="1"/>
    <col min="6" max="6" width="7" style="218" customWidth="1"/>
    <col min="7" max="7" width="14" style="269" bestFit="1" customWidth="1"/>
    <col min="8" max="8" width="7" style="218" customWidth="1"/>
    <col min="9" max="9" width="14" style="269" bestFit="1" customWidth="1"/>
    <col min="10" max="10" width="7" style="218" customWidth="1"/>
    <col min="11" max="11" width="14.5703125" style="269" bestFit="1" customWidth="1"/>
    <col min="12" max="12" width="7" style="218" customWidth="1"/>
    <col min="13" max="13" width="14" style="32" customWidth="1"/>
    <col min="14" max="14" width="7.28515625" style="218" customWidth="1"/>
    <col min="15" max="15" width="14" style="269" bestFit="1" customWidth="1"/>
    <col min="16" max="16" width="7.5703125" style="218" bestFit="1" customWidth="1"/>
    <col min="17" max="17" width="14.5703125" style="32" bestFit="1" customWidth="1"/>
    <col min="18" max="18" width="7.5703125" style="218" bestFit="1" customWidth="1"/>
    <col min="19" max="19" width="14.5703125" style="269" bestFit="1" customWidth="1"/>
    <col min="20" max="20" width="7.5703125" style="218" bestFit="1" customWidth="1"/>
    <col min="21" max="21" width="13.85546875" style="269" bestFit="1" customWidth="1"/>
    <col min="22" max="22" width="7.5703125" style="218" bestFit="1" customWidth="1"/>
    <col min="23" max="23" width="13.85546875" style="213" bestFit="1" customWidth="1"/>
    <col min="24" max="24" width="7.5703125" style="218" customWidth="1"/>
    <col min="25" max="25" width="13.85546875" style="269" bestFit="1" customWidth="1"/>
    <col min="26" max="26" width="7.5703125" style="218" customWidth="1"/>
    <col min="27" max="27" width="13.85546875" style="213" bestFit="1" customWidth="1"/>
    <col min="28" max="28" width="7.140625" style="363" bestFit="1" customWidth="1"/>
    <col min="29" max="29" width="12.140625" style="213" bestFit="1" customWidth="1"/>
    <col min="30" max="30" width="7.5703125" style="363" customWidth="1"/>
    <col min="31" max="31" width="27.42578125" style="607" hidden="1" customWidth="1"/>
    <col min="32" max="32" width="21.85546875" style="607" hidden="1" customWidth="1"/>
    <col min="33" max="33" width="11.85546875" style="607" hidden="1" customWidth="1"/>
    <col min="34" max="34" width="9.140625" style="213" customWidth="1"/>
    <col min="35" max="35" width="11.7109375" style="213" bestFit="1" customWidth="1"/>
    <col min="36" max="51" width="9.140625" style="213" customWidth="1"/>
    <col min="52" max="16384" width="9.140625" style="213"/>
  </cols>
  <sheetData>
    <row r="1" spans="1:33" s="1" customFormat="1">
      <c r="A1" s="995" t="s">
        <v>364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591"/>
      <c r="AF1" s="591"/>
      <c r="AG1" s="591"/>
    </row>
    <row r="2" spans="1:33" s="1" customFormat="1">
      <c r="A2" s="43"/>
      <c r="B2" s="988" t="s">
        <v>352</v>
      </c>
      <c r="C2" s="377" t="s">
        <v>64</v>
      </c>
      <c r="D2" s="108"/>
      <c r="E2" s="1001" t="s">
        <v>65</v>
      </c>
      <c r="F2" s="1002"/>
      <c r="G2" s="377" t="s">
        <v>81</v>
      </c>
      <c r="H2" s="108"/>
      <c r="I2" s="1001" t="s">
        <v>82</v>
      </c>
      <c r="J2" s="1002"/>
      <c r="K2" s="1001" t="s">
        <v>83</v>
      </c>
      <c r="L2" s="1003"/>
      <c r="M2" s="1001" t="s">
        <v>84</v>
      </c>
      <c r="N2" s="1002"/>
      <c r="O2" s="1001" t="s">
        <v>85</v>
      </c>
      <c r="P2" s="1003"/>
      <c r="Q2" s="1001" t="s">
        <v>86</v>
      </c>
      <c r="R2" s="1002"/>
      <c r="S2" s="1005" t="s">
        <v>87</v>
      </c>
      <c r="T2" s="1005"/>
      <c r="U2" s="1001" t="s">
        <v>123</v>
      </c>
      <c r="V2" s="1003"/>
      <c r="W2" s="1001" t="s">
        <v>124</v>
      </c>
      <c r="X2" s="1002"/>
      <c r="Y2" s="1004" t="s">
        <v>125</v>
      </c>
      <c r="Z2" s="1004"/>
      <c r="AA2" s="997" t="s">
        <v>120</v>
      </c>
      <c r="AB2" s="997"/>
      <c r="AC2" s="998" t="s">
        <v>121</v>
      </c>
      <c r="AD2" s="998"/>
      <c r="AE2" s="592"/>
      <c r="AF2" s="592"/>
      <c r="AG2" s="592"/>
    </row>
    <row r="3" spans="1:33" s="1" customFormat="1" ht="15.75" thickBot="1">
      <c r="A3" s="65"/>
      <c r="B3" s="12" t="s">
        <v>69</v>
      </c>
      <c r="C3" s="111" t="s">
        <v>115</v>
      </c>
      <c r="D3" s="101" t="s">
        <v>80</v>
      </c>
      <c r="E3" s="73" t="s">
        <v>115</v>
      </c>
      <c r="F3" s="101" t="s">
        <v>80</v>
      </c>
      <c r="G3" s="111" t="s">
        <v>115</v>
      </c>
      <c r="H3" s="101" t="s">
        <v>80</v>
      </c>
      <c r="I3" s="73" t="s">
        <v>115</v>
      </c>
      <c r="J3" s="101" t="s">
        <v>80</v>
      </c>
      <c r="K3" s="73" t="s">
        <v>115</v>
      </c>
      <c r="L3" s="101" t="s">
        <v>80</v>
      </c>
      <c r="M3" s="70" t="s">
        <v>115</v>
      </c>
      <c r="N3" s="101" t="s">
        <v>80</v>
      </c>
      <c r="O3" s="73" t="s">
        <v>115</v>
      </c>
      <c r="P3" s="101" t="s">
        <v>80</v>
      </c>
      <c r="Q3" s="70" t="s">
        <v>115</v>
      </c>
      <c r="R3" s="101" t="s">
        <v>80</v>
      </c>
      <c r="S3" s="73" t="s">
        <v>115</v>
      </c>
      <c r="T3" s="101" t="s">
        <v>80</v>
      </c>
      <c r="U3" s="73" t="s">
        <v>115</v>
      </c>
      <c r="V3" s="101" t="s">
        <v>80</v>
      </c>
      <c r="W3" s="66" t="s">
        <v>115</v>
      </c>
      <c r="X3" s="101" t="s">
        <v>80</v>
      </c>
      <c r="Y3" s="73" t="s">
        <v>115</v>
      </c>
      <c r="Z3" s="101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90" t="s">
        <v>183</v>
      </c>
      <c r="AF3" s="590" t="s">
        <v>181</v>
      </c>
      <c r="AG3" s="590" t="s">
        <v>225</v>
      </c>
    </row>
    <row r="4" spans="1:33" s="1" customFormat="1">
      <c r="C4" s="112"/>
      <c r="D4" s="102"/>
      <c r="E4" s="74"/>
      <c r="F4" s="102"/>
      <c r="G4" s="112"/>
      <c r="H4" s="102"/>
      <c r="I4" s="74"/>
      <c r="J4" s="102"/>
      <c r="K4" s="74"/>
      <c r="L4" s="102"/>
      <c r="M4" s="26"/>
      <c r="N4" s="102"/>
      <c r="O4" s="74"/>
      <c r="P4" s="102"/>
      <c r="Q4" s="26"/>
      <c r="R4" s="102"/>
      <c r="S4" s="74"/>
      <c r="T4" s="102"/>
      <c r="U4" s="74"/>
      <c r="V4" s="102"/>
      <c r="W4" s="5"/>
      <c r="X4" s="102"/>
      <c r="Y4" s="74"/>
      <c r="Z4" s="102"/>
      <c r="AA4" s="142"/>
      <c r="AB4" s="143"/>
      <c r="AC4" s="126"/>
      <c r="AD4" s="127"/>
      <c r="AE4" s="593"/>
      <c r="AF4" s="593"/>
      <c r="AG4" s="593"/>
    </row>
    <row r="5" spans="1:33" s="5" customFormat="1">
      <c r="A5" s="6">
        <v>5004</v>
      </c>
      <c r="B5" s="16" t="s">
        <v>71</v>
      </c>
      <c r="C5" s="878">
        <f>1527989.61456936+C9</f>
        <v>1971106.6027944754</v>
      </c>
      <c r="D5" s="22"/>
      <c r="E5" s="879">
        <f>1188778.15680601+E9</f>
        <v>1390870.4434630319</v>
      </c>
      <c r="F5" s="22"/>
      <c r="G5" s="880">
        <f>1971918.57162491+G9</f>
        <v>2583213.3288286328</v>
      </c>
      <c r="H5" s="22"/>
      <c r="I5" s="881">
        <f>1741192.79196155+I9</f>
        <v>2211314.845791168</v>
      </c>
      <c r="J5" s="22"/>
      <c r="K5" s="882">
        <f>1592498.18508264+K9</f>
        <v>1879147.8583975157</v>
      </c>
      <c r="L5" s="22"/>
      <c r="M5" s="883">
        <f>2258140.37795792+M9</f>
        <v>2958163.895124875</v>
      </c>
      <c r="N5" s="22"/>
      <c r="O5" s="884">
        <f>1429652.43139361+O9</f>
        <v>1858548.160811692</v>
      </c>
      <c r="P5" s="22"/>
      <c r="Q5" s="885">
        <f>1775255.23624781+Q9</f>
        <v>2272326.7023971961</v>
      </c>
      <c r="R5" s="22"/>
      <c r="S5" s="886">
        <f>1788355.33422057+S9</f>
        <v>2199677.061091301</v>
      </c>
      <c r="T5" s="22"/>
      <c r="U5" s="887">
        <f>1418535.12775128+U9</f>
        <v>1858281.0173541782</v>
      </c>
      <c r="V5" s="22"/>
      <c r="W5" s="888">
        <f>1443276.5497733+W9</f>
        <v>1688633.5632347618</v>
      </c>
      <c r="X5" s="22"/>
      <c r="Y5" s="889">
        <f>2180305.17853218+Y9</f>
        <v>2790790.628521191</v>
      </c>
      <c r="Z5" s="22">
        <v>0</v>
      </c>
      <c r="AA5" s="144">
        <f t="shared" ref="AA5:AA11" si="0">C5+E5+G5+I5+K5+M5+O5+Q5+S5+U5+W5+Y5</f>
        <v>25662074.10781002</v>
      </c>
      <c r="AB5" s="185">
        <v>0</v>
      </c>
      <c r="AC5" s="128">
        <f>AA5/12</f>
        <v>2138506.175650835</v>
      </c>
      <c r="AD5" s="185">
        <v>0</v>
      </c>
      <c r="AE5" s="594"/>
      <c r="AF5" s="594"/>
      <c r="AG5" s="594"/>
    </row>
    <row r="6" spans="1:33" s="1" customFormat="1">
      <c r="A6" s="5">
        <v>5005</v>
      </c>
      <c r="B6" s="5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si="0"/>
        <v>0</v>
      </c>
      <c r="AB6" s="68">
        <f>AA6/AA$5</f>
        <v>0</v>
      </c>
      <c r="AC6" s="128">
        <f t="shared" ref="AC6:AC11" si="1">AA6/12</f>
        <v>0</v>
      </c>
      <c r="AD6" s="68">
        <f>AC6/AC$5</f>
        <v>0</v>
      </c>
      <c r="AE6" s="595"/>
      <c r="AF6" s="595"/>
      <c r="AG6" s="595"/>
    </row>
    <row r="7" spans="1:33" s="1" customFormat="1">
      <c r="A7" s="14">
        <v>5051</v>
      </c>
      <c r="B7" s="15" t="s">
        <v>118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68">
        <f t="shared" ref="AB7:AB11" si="2">AA7/AA$5</f>
        <v>0</v>
      </c>
      <c r="AC7" s="128">
        <f t="shared" si="1"/>
        <v>0</v>
      </c>
      <c r="AD7" s="68">
        <f t="shared" ref="AD7:AD11" si="3">AC7/AC$5</f>
        <v>0</v>
      </c>
      <c r="AE7" s="595"/>
      <c r="AF7" s="595"/>
      <c r="AG7" s="595"/>
    </row>
    <row r="8" spans="1:33" s="1" customFormat="1">
      <c r="A8" s="1">
        <v>5052</v>
      </c>
      <c r="B8" s="1" t="s">
        <v>90</v>
      </c>
      <c r="C8" s="31"/>
      <c r="D8" s="702">
        <f t="shared" ref="D8:D11" si="4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5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6">Y8/Y$5</f>
        <v>0</v>
      </c>
      <c r="AA8" s="144">
        <f t="shared" si="0"/>
        <v>0</v>
      </c>
      <c r="AB8" s="68">
        <f t="shared" si="2"/>
        <v>0</v>
      </c>
      <c r="AC8" s="128">
        <f t="shared" si="1"/>
        <v>0</v>
      </c>
      <c r="AD8" s="68">
        <f t="shared" si="3"/>
        <v>0</v>
      </c>
      <c r="AE8" s="595"/>
      <c r="AF8" s="595"/>
      <c r="AG8" s="595"/>
    </row>
    <row r="9" spans="1:33" s="1" customFormat="1">
      <c r="A9" s="1">
        <v>5101</v>
      </c>
      <c r="B9" s="1" t="s">
        <v>46</v>
      </c>
      <c r="C9" s="1">
        <v>443116.9882251154</v>
      </c>
      <c r="D9" s="702">
        <v>0.44351895762325788</v>
      </c>
      <c r="E9" s="1">
        <v>202092.28665702176</v>
      </c>
      <c r="F9" s="702">
        <v>0.25999387171018573</v>
      </c>
      <c r="G9" s="1">
        <v>611294.75720372295</v>
      </c>
      <c r="H9" s="702">
        <v>0.47410647194210337</v>
      </c>
      <c r="I9" s="371">
        <v>470122.05382961821</v>
      </c>
      <c r="J9" s="702">
        <v>0.41293144330441262</v>
      </c>
      <c r="K9" s="371">
        <v>286649.67331487575</v>
      </c>
      <c r="L9" s="702">
        <v>0.27528762886960839</v>
      </c>
      <c r="M9" s="33">
        <v>700023.51716695505</v>
      </c>
      <c r="N9" s="702">
        <v>0.47410647194210326</v>
      </c>
      <c r="O9" s="371">
        <v>428895.72941808181</v>
      </c>
      <c r="P9" s="702">
        <v>0.45881271478268054</v>
      </c>
      <c r="Q9" s="371">
        <v>497071.46614938596</v>
      </c>
      <c r="R9" s="702">
        <v>0.42822520046383522</v>
      </c>
      <c r="S9" s="371">
        <v>411321.72687073081</v>
      </c>
      <c r="T9" s="22">
        <v>0.35175641466672181</v>
      </c>
      <c r="U9" s="1">
        <v>439745.88960289804</v>
      </c>
      <c r="V9" s="22">
        <v>0.47410647194210331</v>
      </c>
      <c r="W9" s="1">
        <v>245357.01346146173</v>
      </c>
      <c r="X9" s="22">
        <v>0.25999387171018573</v>
      </c>
      <c r="Y9" s="1">
        <v>610485.44998901116</v>
      </c>
      <c r="Z9" s="22">
        <v>0.42822520046383533</v>
      </c>
      <c r="AA9" s="144">
        <f t="shared" si="0"/>
        <v>5346176.5518888785</v>
      </c>
      <c r="AB9" s="677">
        <f t="shared" si="2"/>
        <v>0.20832986957440894</v>
      </c>
      <c r="AC9" s="128">
        <f t="shared" si="1"/>
        <v>445514.71265740652</v>
      </c>
      <c r="AD9" s="68">
        <f t="shared" si="3"/>
        <v>0.20832986957440894</v>
      </c>
      <c r="AE9" s="595"/>
      <c r="AF9" s="595"/>
      <c r="AG9" s="595"/>
    </row>
    <row r="10" spans="1:33" s="1" customFormat="1">
      <c r="A10" s="1">
        <v>5102</v>
      </c>
      <c r="B10" s="1" t="s">
        <v>220</v>
      </c>
      <c r="C10" s="31"/>
      <c r="D10" s="702">
        <f t="shared" si="4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5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6"/>
        <v>0</v>
      </c>
      <c r="AA10" s="144">
        <f t="shared" si="0"/>
        <v>0</v>
      </c>
      <c r="AB10" s="68">
        <f t="shared" si="2"/>
        <v>0</v>
      </c>
      <c r="AC10" s="128">
        <f t="shared" si="1"/>
        <v>0</v>
      </c>
      <c r="AD10" s="68">
        <f t="shared" si="3"/>
        <v>0</v>
      </c>
      <c r="AE10" s="595"/>
      <c r="AF10" s="595"/>
      <c r="AG10" s="595"/>
    </row>
    <row r="11" spans="1:33" s="1" customFormat="1">
      <c r="A11" s="1">
        <v>5103</v>
      </c>
      <c r="B11" s="1" t="s">
        <v>63</v>
      </c>
      <c r="C11" s="26"/>
      <c r="D11" s="702">
        <f t="shared" si="4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5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6"/>
        <v>0</v>
      </c>
      <c r="AA11" s="144">
        <f t="shared" si="0"/>
        <v>0</v>
      </c>
      <c r="AB11" s="68">
        <f t="shared" si="2"/>
        <v>0</v>
      </c>
      <c r="AC11" s="128">
        <f t="shared" si="1"/>
        <v>0</v>
      </c>
      <c r="AD11" s="68">
        <f t="shared" si="3"/>
        <v>0</v>
      </c>
      <c r="AE11" s="595"/>
      <c r="AF11" s="595"/>
      <c r="AG11" s="595"/>
    </row>
    <row r="12" spans="1:33" s="1" customFormat="1" ht="15.75" thickBot="1">
      <c r="A12" s="7">
        <v>5149</v>
      </c>
      <c r="B12" s="7" t="s">
        <v>66</v>
      </c>
      <c r="C12" s="76">
        <f>C5+C6-C7-C8-C9-C10+C11</f>
        <v>1527989.6145693599</v>
      </c>
      <c r="D12" s="23">
        <f>C12/C12</f>
        <v>1</v>
      </c>
      <c r="E12" s="76">
        <f>E5+E6-E7-E8-E9-E10+E11</f>
        <v>1188778.1568060101</v>
      </c>
      <c r="F12" s="23">
        <f>E12/E12</f>
        <v>1</v>
      </c>
      <c r="G12" s="116">
        <f>G5+G6-G7-G8-G9-G10+G11</f>
        <v>1971918.57162491</v>
      </c>
      <c r="H12" s="23">
        <f>G12/G12</f>
        <v>1</v>
      </c>
      <c r="I12" s="76">
        <f>I5+I6-I7-I8-I9-I10+I11</f>
        <v>1741192.7919615498</v>
      </c>
      <c r="J12" s="23">
        <f>I12/I12</f>
        <v>1</v>
      </c>
      <c r="K12" s="76">
        <f>K5+K6-K7-K8-K9-K10+K11</f>
        <v>1592498.18508264</v>
      </c>
      <c r="L12" s="23">
        <f>K12/K12</f>
        <v>1</v>
      </c>
      <c r="M12" s="28">
        <f>M5+M6-M7-M8-M9-M10+M11</f>
        <v>2258140.3779579201</v>
      </c>
      <c r="N12" s="23">
        <f>M12/M12</f>
        <v>1</v>
      </c>
      <c r="O12" s="76">
        <f>O5+O6-O7-O8-O9-O10+O11</f>
        <v>1429652.4313936103</v>
      </c>
      <c r="P12" s="23">
        <f>O12/O12</f>
        <v>1</v>
      </c>
      <c r="Q12" s="76">
        <f>Q5+Q6-Q7-Q8-Q9-Q10+Q11</f>
        <v>1775255.2362478101</v>
      </c>
      <c r="R12" s="23">
        <f>Q12/Q12</f>
        <v>1</v>
      </c>
      <c r="S12" s="76">
        <f>S5+S6-S7-S8-S9-S10+S11</f>
        <v>1788355.3342205703</v>
      </c>
      <c r="T12" s="23">
        <f>S12/S12</f>
        <v>1</v>
      </c>
      <c r="U12" s="76">
        <f>U5+U6-U7-U8-U9-U10+U11</f>
        <v>1418535.1277512801</v>
      </c>
      <c r="V12" s="23">
        <f>U12/U12</f>
        <v>1</v>
      </c>
      <c r="W12" s="52">
        <f>W5+W6-W7-W8-W9-W10+W11</f>
        <v>1443276.5497733001</v>
      </c>
      <c r="X12" s="23">
        <f>W12/W12</f>
        <v>1</v>
      </c>
      <c r="Y12" s="76">
        <f>Y5+Y6-Y7-Y8-Y9-Y10+Y11</f>
        <v>2180305.1785321799</v>
      </c>
      <c r="Z12" s="23">
        <f>Y12/Y12</f>
        <v>1</v>
      </c>
      <c r="AA12" s="158">
        <f>AA5+AA6-AA7-AA8-AA9-AA10+AA11</f>
        <v>20315897.555921141</v>
      </c>
      <c r="AB12" s="23">
        <f>AA12/AA12</f>
        <v>1</v>
      </c>
      <c r="AC12" s="186">
        <f>AC5+AC6-AC7-AC8-AC9-AC10+AC11</f>
        <v>1692991.4629934286</v>
      </c>
      <c r="AD12" s="23">
        <f>AC12/AC12</f>
        <v>1</v>
      </c>
      <c r="AE12" s="596"/>
      <c r="AF12" s="596"/>
      <c r="AG12" s="596"/>
    </row>
    <row r="13" spans="1:33" s="1" customFormat="1" ht="15.75" thickTop="1">
      <c r="A13" s="1">
        <v>5151</v>
      </c>
      <c r="B13" s="1" t="s">
        <v>47</v>
      </c>
      <c r="C13" s="114"/>
      <c r="D13" s="102"/>
      <c r="E13" s="61"/>
      <c r="F13" s="102"/>
      <c r="G13" s="114"/>
      <c r="H13" s="102"/>
      <c r="I13" s="61"/>
      <c r="J13" s="102"/>
      <c r="K13" s="61"/>
      <c r="L13" s="102"/>
      <c r="M13" s="26"/>
      <c r="N13" s="102"/>
      <c r="O13" s="61"/>
      <c r="P13" s="102"/>
      <c r="Q13" s="26"/>
      <c r="R13" s="102"/>
      <c r="S13" s="61"/>
      <c r="T13" s="102"/>
      <c r="U13" s="61"/>
      <c r="V13" s="102"/>
      <c r="W13" s="51"/>
      <c r="X13" s="102"/>
      <c r="Y13" s="61"/>
      <c r="Z13" s="102"/>
      <c r="AA13" s="144">
        <f>C13+E13+G13+I13+K13+M13+O13+Q13+S13+U13+W13+Y13</f>
        <v>0</v>
      </c>
      <c r="AB13" s="102"/>
      <c r="AC13" s="128">
        <f>AA13/12</f>
        <v>0</v>
      </c>
      <c r="AD13" s="102"/>
      <c r="AE13" s="595"/>
      <c r="AF13" s="595"/>
      <c r="AG13" s="595"/>
    </row>
    <row r="14" spans="1:33" s="1" customFormat="1">
      <c r="A14" s="1">
        <v>5152</v>
      </c>
      <c r="B14" s="1" t="s">
        <v>48</v>
      </c>
      <c r="C14" s="114"/>
      <c r="D14" s="102"/>
      <c r="E14" s="61"/>
      <c r="F14" s="102"/>
      <c r="G14" s="114"/>
      <c r="H14" s="102"/>
      <c r="I14" s="61"/>
      <c r="J14" s="102"/>
      <c r="K14" s="61"/>
      <c r="L14" s="102"/>
      <c r="M14" s="26">
        <v>0</v>
      </c>
      <c r="N14" s="102"/>
      <c r="O14" s="61"/>
      <c r="P14" s="102"/>
      <c r="Q14" s="26"/>
      <c r="R14" s="102"/>
      <c r="S14" s="61"/>
      <c r="T14" s="102"/>
      <c r="U14" s="61"/>
      <c r="V14" s="102"/>
      <c r="W14" s="51"/>
      <c r="X14" s="102"/>
      <c r="Y14" s="61"/>
      <c r="Z14" s="102"/>
      <c r="AA14" s="144">
        <f>C14+E14+G14+I14+K14+M14+O14+Q14+S14+U14+W14+Y14</f>
        <v>0</v>
      </c>
      <c r="AB14" s="102"/>
      <c r="AC14" s="128">
        <f>AA14/12</f>
        <v>0</v>
      </c>
      <c r="AD14" s="102"/>
      <c r="AE14" s="595"/>
      <c r="AF14" s="595"/>
      <c r="AG14" s="595"/>
    </row>
    <row r="15" spans="1:33" s="1" customFormat="1" ht="15.75" thickBot="1">
      <c r="A15" s="53">
        <v>5198</v>
      </c>
      <c r="B15" s="53" t="s">
        <v>106</v>
      </c>
      <c r="C15" s="117">
        <f>C13+C14</f>
        <v>0</v>
      </c>
      <c r="D15" s="103"/>
      <c r="E15" s="77">
        <f>E13+E14</f>
        <v>0</v>
      </c>
      <c r="F15" s="103"/>
      <c r="G15" s="117">
        <f>G13+G14</f>
        <v>0</v>
      </c>
      <c r="H15" s="103"/>
      <c r="I15" s="77">
        <f>I13+I14</f>
        <v>0</v>
      </c>
      <c r="J15" s="103"/>
      <c r="K15" s="77">
        <f>K13+K14</f>
        <v>0</v>
      </c>
      <c r="L15" s="103"/>
      <c r="M15" s="288">
        <f>M13+M14</f>
        <v>0</v>
      </c>
      <c r="N15" s="103"/>
      <c r="O15" s="77">
        <f>O13+O14</f>
        <v>0</v>
      </c>
      <c r="P15" s="103"/>
      <c r="Q15" s="288">
        <f>Q13+Q14</f>
        <v>0</v>
      </c>
      <c r="R15" s="103"/>
      <c r="S15" s="77">
        <f>S13+S14</f>
        <v>0</v>
      </c>
      <c r="T15" s="103"/>
      <c r="U15" s="77">
        <f>U13+U14</f>
        <v>0</v>
      </c>
      <c r="V15" s="103"/>
      <c r="W15" s="54">
        <f>W13+W14</f>
        <v>0</v>
      </c>
      <c r="X15" s="103"/>
      <c r="Y15" s="77">
        <f>Y13+Y14</f>
        <v>0</v>
      </c>
      <c r="Z15" s="103"/>
      <c r="AA15" s="158">
        <f>AA13+AA14</f>
        <v>0</v>
      </c>
      <c r="AB15" s="103"/>
      <c r="AC15" s="135">
        <f>AC13+AC14</f>
        <v>0</v>
      </c>
      <c r="AD15" s="103"/>
      <c r="AE15" s="597"/>
      <c r="AF15" s="597"/>
      <c r="AG15" s="597"/>
    </row>
    <row r="16" spans="1:33" s="1" customFormat="1" ht="16.5" thickTop="1" thickBot="1">
      <c r="A16" s="55">
        <v>5199</v>
      </c>
      <c r="B16" s="55" t="s">
        <v>70</v>
      </c>
      <c r="C16" s="118">
        <f>C12+C15</f>
        <v>1527989.6145693599</v>
      </c>
      <c r="D16" s="57">
        <f>C16/C12</f>
        <v>1</v>
      </c>
      <c r="E16" s="78">
        <f>E12+E15</f>
        <v>1188778.1568060101</v>
      </c>
      <c r="F16" s="57">
        <f>E16/E12</f>
        <v>1</v>
      </c>
      <c r="G16" s="118">
        <f>G12+G15</f>
        <v>1971918.57162491</v>
      </c>
      <c r="H16" s="57">
        <f>G16/G12</f>
        <v>1</v>
      </c>
      <c r="I16" s="78">
        <f>I12+I15</f>
        <v>1741192.7919615498</v>
      </c>
      <c r="J16" s="57">
        <f>I16/I12</f>
        <v>1</v>
      </c>
      <c r="K16" s="78">
        <f>K12+K15</f>
        <v>1592498.18508264</v>
      </c>
      <c r="L16" s="57">
        <f>K16/K12</f>
        <v>1</v>
      </c>
      <c r="M16" s="289">
        <f>M12+M15</f>
        <v>2258140.3779579201</v>
      </c>
      <c r="N16" s="57">
        <f>M16/M12</f>
        <v>1</v>
      </c>
      <c r="O16" s="78">
        <f>O12+O15</f>
        <v>1429652.4313936103</v>
      </c>
      <c r="P16" s="57">
        <f>O16/O12</f>
        <v>1</v>
      </c>
      <c r="Q16" s="289">
        <f>Q12+Q15</f>
        <v>1775255.2362478101</v>
      </c>
      <c r="R16" s="57">
        <f>Q16/Q12</f>
        <v>1</v>
      </c>
      <c r="S16" s="78">
        <f>S12+S15</f>
        <v>1788355.3342205703</v>
      </c>
      <c r="T16" s="57">
        <f>S16/S12</f>
        <v>1</v>
      </c>
      <c r="U16" s="78">
        <f>U12+U15</f>
        <v>1418535.1277512801</v>
      </c>
      <c r="V16" s="57">
        <f>U16/U12</f>
        <v>1</v>
      </c>
      <c r="W16" s="56">
        <f>W12+W15</f>
        <v>1443276.5497733001</v>
      </c>
      <c r="X16" s="57">
        <f>W16/W12</f>
        <v>1</v>
      </c>
      <c r="Y16" s="78">
        <f>Y12+Y15</f>
        <v>2180305.1785321799</v>
      </c>
      <c r="Z16" s="57">
        <f>Y16/Y12</f>
        <v>1</v>
      </c>
      <c r="AA16" s="174">
        <f>AA12+AA15</f>
        <v>20315897.555921141</v>
      </c>
      <c r="AB16" s="57">
        <f>AA16/AA12</f>
        <v>1</v>
      </c>
      <c r="AC16" s="135">
        <f>AC12+AC15</f>
        <v>1692991.4629934286</v>
      </c>
      <c r="AD16" s="57">
        <f>AC16/AC12</f>
        <v>1</v>
      </c>
      <c r="AE16" s="598"/>
      <c r="AF16" s="598"/>
      <c r="AG16" s="598"/>
    </row>
    <row r="17" spans="1:33" s="1" customFormat="1" ht="15.75" thickTop="1">
      <c r="A17" s="13">
        <v>5502</v>
      </c>
      <c r="B17" s="17" t="s">
        <v>49</v>
      </c>
      <c r="C17" s="714">
        <f>C12*49.21%</f>
        <v>751923.68932958203</v>
      </c>
      <c r="D17" s="677">
        <f>C17/C12</f>
        <v>0.49210000000000004</v>
      </c>
      <c r="E17" s="714">
        <f>E12*42.21%</f>
        <v>501783.25998781685</v>
      </c>
      <c r="F17" s="702">
        <f>E17/E12</f>
        <v>0.42210000000000003</v>
      </c>
      <c r="G17" s="714">
        <f>G12*49.47%</f>
        <v>975508.11738284293</v>
      </c>
      <c r="H17" s="702">
        <f>G17/G12</f>
        <v>0.49469999999999997</v>
      </c>
      <c r="I17" s="714">
        <f>I12*43.34%</f>
        <v>754632.95603613567</v>
      </c>
      <c r="J17" s="702">
        <f>I17/I12</f>
        <v>0.43340000000000001</v>
      </c>
      <c r="K17" s="714">
        <f>K12*45%</f>
        <v>716624.18328718806</v>
      </c>
      <c r="L17" s="702">
        <f>K17/K12</f>
        <v>0.45</v>
      </c>
      <c r="M17" s="714">
        <f>M12*50.03%</f>
        <v>1129747.6310923474</v>
      </c>
      <c r="N17" s="702">
        <f>M17/M12</f>
        <v>0.50029999999999997</v>
      </c>
      <c r="O17" s="714">
        <f>O12*44.22%</f>
        <v>632192.30516225449</v>
      </c>
      <c r="P17" s="702">
        <f>O17/O12</f>
        <v>0.44219999999999998</v>
      </c>
      <c r="Q17" s="714">
        <f>Q12*41.2%</f>
        <v>731405.15733409778</v>
      </c>
      <c r="R17" s="702">
        <f>Q17/Q12</f>
        <v>0.41200000000000003</v>
      </c>
      <c r="S17" s="714">
        <f>S12*49.94%</f>
        <v>893104.65390975273</v>
      </c>
      <c r="T17" s="702">
        <f>S17/S12</f>
        <v>0.49939999999999996</v>
      </c>
      <c r="U17" s="714">
        <f>U12*40.35%</f>
        <v>572378.92404764157</v>
      </c>
      <c r="V17" s="702">
        <f>U17/U12</f>
        <v>0.40350000000000003</v>
      </c>
      <c r="W17" s="714">
        <f>W12*39.65%</f>
        <v>572259.15198511339</v>
      </c>
      <c r="X17" s="702">
        <f>W17/W12</f>
        <v>0.39649999999999996</v>
      </c>
      <c r="Y17" s="714">
        <f>Y12*48%</f>
        <v>1046546.4856954464</v>
      </c>
      <c r="Z17" s="702">
        <f>Y17/Y12</f>
        <v>0.48</v>
      </c>
      <c r="AA17" s="144">
        <f>C17+E17+G17+I17+K17+M17+O17+Q17+S17+U17+W17+Y17</f>
        <v>9278106.515250219</v>
      </c>
      <c r="AB17" s="68">
        <f>AA17/AA12</f>
        <v>0.45669193249825585</v>
      </c>
      <c r="AC17" s="128">
        <f t="shared" ref="AC17:AC20" si="16">AA17/12</f>
        <v>773175.54293751821</v>
      </c>
      <c r="AD17" s="68">
        <f>AC17/AC12</f>
        <v>0.45669193249825579</v>
      </c>
      <c r="AE17" s="595"/>
      <c r="AF17" s="595"/>
      <c r="AG17" s="595"/>
    </row>
    <row r="18" spans="1:33" s="1" customFormat="1">
      <c r="A18" s="3">
        <v>5503</v>
      </c>
      <c r="B18" s="238" t="s">
        <v>50</v>
      </c>
      <c r="C18" s="292"/>
      <c r="D18" s="102"/>
      <c r="E18" s="61"/>
      <c r="F18" s="102"/>
      <c r="G18" s="114"/>
      <c r="H18" s="102"/>
      <c r="I18" s="26"/>
      <c r="J18" s="102"/>
      <c r="K18" s="61"/>
      <c r="L18" s="102"/>
      <c r="M18" s="26"/>
      <c r="N18" s="102"/>
      <c r="O18" s="26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16"/>
        <v>0</v>
      </c>
      <c r="AD18" s="102"/>
      <c r="AE18" s="595"/>
      <c r="AF18" s="595"/>
      <c r="AG18" s="595"/>
    </row>
    <row r="19" spans="1:33" s="1" customFormat="1">
      <c r="A19" s="187">
        <v>5504</v>
      </c>
      <c r="B19" s="758" t="s">
        <v>51</v>
      </c>
      <c r="C19" s="26"/>
      <c r="D19" s="677">
        <f>C19/C12</f>
        <v>0</v>
      </c>
      <c r="E19" s="26"/>
      <c r="F19" s="677">
        <f>E19/E12</f>
        <v>0</v>
      </c>
      <c r="H19" s="677">
        <f>G19/G12</f>
        <v>0</v>
      </c>
      <c r="I19" s="26"/>
      <c r="J19" s="677">
        <f>I19/I12</f>
        <v>0</v>
      </c>
      <c r="K19" s="26"/>
      <c r="L19" s="677">
        <f>K19/K12</f>
        <v>0</v>
      </c>
      <c r="N19" s="677">
        <f>M19/M12</f>
        <v>0</v>
      </c>
      <c r="P19" s="677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6"/>
        <v>0</v>
      </c>
      <c r="AD19" s="68">
        <f>AC19/AC12</f>
        <v>0</v>
      </c>
      <c r="AE19" s="595"/>
      <c r="AF19" s="595"/>
      <c r="AG19" s="595"/>
    </row>
    <row r="20" spans="1:33" s="1" customFormat="1">
      <c r="A20" s="3">
        <v>5505</v>
      </c>
      <c r="B20" s="238" t="s">
        <v>52</v>
      </c>
      <c r="C20" s="292"/>
      <c r="D20" s="102"/>
      <c r="E20" s="61"/>
      <c r="F20" s="102"/>
      <c r="G20" s="114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6"/>
        <v>0</v>
      </c>
      <c r="AD20" s="102"/>
      <c r="AE20" s="595"/>
      <c r="AF20" s="595"/>
      <c r="AG20" s="595"/>
    </row>
    <row r="21" spans="1:33" s="1" customFormat="1" ht="15.75" thickBot="1">
      <c r="A21" s="8">
        <v>5599</v>
      </c>
      <c r="B21" s="8" t="s">
        <v>107</v>
      </c>
      <c r="C21" s="116">
        <f>SUM(C17:C20)</f>
        <v>751923.68932958203</v>
      </c>
      <c r="D21" s="89">
        <f>C21/C12</f>
        <v>0.49210000000000004</v>
      </c>
      <c r="E21" s="76">
        <f>SUM(E17:E20)</f>
        <v>501783.25998781685</v>
      </c>
      <c r="F21" s="89">
        <f>E21/E12</f>
        <v>0.42210000000000003</v>
      </c>
      <c r="G21" s="116">
        <f>SUM(G17:G20)</f>
        <v>975508.11738284293</v>
      </c>
      <c r="H21" s="89">
        <f>G21/G12</f>
        <v>0.49469999999999997</v>
      </c>
      <c r="I21" s="76">
        <f>SUM(I17:I20)</f>
        <v>754632.95603613567</v>
      </c>
      <c r="J21" s="89">
        <f>I21/I12</f>
        <v>0.43340000000000001</v>
      </c>
      <c r="K21" s="77">
        <f>SUM(K17:K20)</f>
        <v>716624.18328718806</v>
      </c>
      <c r="L21" s="103">
        <f>K21/K12</f>
        <v>0.45</v>
      </c>
      <c r="M21" s="288">
        <f>SUM(M17:M20)</f>
        <v>1129747.6310923474</v>
      </c>
      <c r="N21" s="103">
        <f>M21/M12</f>
        <v>0.50029999999999997</v>
      </c>
      <c r="O21" s="77">
        <f>SUM(O17:O20)</f>
        <v>632192.30516225449</v>
      </c>
      <c r="P21" s="89">
        <f>O21/O12</f>
        <v>0.44219999999999998</v>
      </c>
      <c r="Q21" s="28">
        <f>SUM(Q17:Q20)</f>
        <v>731405.15733409778</v>
      </c>
      <c r="R21" s="89">
        <f>Q21/Q12</f>
        <v>0.41200000000000003</v>
      </c>
      <c r="S21" s="76">
        <f>SUM(S17:S20)</f>
        <v>893104.65390975273</v>
      </c>
      <c r="T21" s="89">
        <f>S21/S12</f>
        <v>0.49939999999999996</v>
      </c>
      <c r="U21" s="76">
        <f>SUM(U17:U20)</f>
        <v>572378.92404764157</v>
      </c>
      <c r="V21" s="89">
        <f>U21/U12</f>
        <v>0.40350000000000003</v>
      </c>
      <c r="W21" s="52">
        <f>SUM(W17:W20)</f>
        <v>572259.15198511339</v>
      </c>
      <c r="X21" s="89">
        <f>W21/W12</f>
        <v>0.39649999999999996</v>
      </c>
      <c r="Y21" s="76">
        <f>SUM(Y17:Y20)</f>
        <v>1046546.4856954464</v>
      </c>
      <c r="Z21" s="89">
        <f>Y21/Y12</f>
        <v>0.48</v>
      </c>
      <c r="AA21" s="150">
        <f>SUM(AA17:AA20)</f>
        <v>9278106.515250219</v>
      </c>
      <c r="AB21" s="89">
        <f>AA21/AA12</f>
        <v>0.45669193249825585</v>
      </c>
      <c r="AC21" s="135">
        <f>SUM(AC17:AC20)</f>
        <v>773175.54293751821</v>
      </c>
      <c r="AD21" s="89">
        <f>AC21/AC12</f>
        <v>0.45669193249825579</v>
      </c>
      <c r="AE21" s="596"/>
      <c r="AF21" s="596"/>
      <c r="AG21" s="596"/>
    </row>
    <row r="22" spans="1:33" s="1" customFormat="1" ht="15.75" thickTop="1">
      <c r="A22" s="187">
        <v>5601</v>
      </c>
      <c r="B22" s="3" t="s">
        <v>53</v>
      </c>
      <c r="C22" s="26"/>
      <c r="D22" s="68">
        <f>C22/C12</f>
        <v>0</v>
      </c>
      <c r="E22" s="26"/>
      <c r="F22" s="68">
        <f>E22/E12</f>
        <v>0</v>
      </c>
      <c r="G22" s="26"/>
      <c r="H22" s="68">
        <f>G22/G12</f>
        <v>0</v>
      </c>
      <c r="I22" s="26"/>
      <c r="J22" s="68">
        <f>I22/I12</f>
        <v>0</v>
      </c>
      <c r="K22" s="26"/>
      <c r="L22" s="68">
        <f>K22/K12</f>
        <v>0</v>
      </c>
      <c r="M22" s="26"/>
      <c r="N22" s="68">
        <f>M22/M12</f>
        <v>0</v>
      </c>
      <c r="O22" s="26"/>
      <c r="P22" s="68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17">C22+E22+G22+I22+K22+M22+O22+Q22+S22+U22+W22+Y22</f>
        <v>0</v>
      </c>
      <c r="AB22" s="68">
        <f>AA22/AA12</f>
        <v>0</v>
      </c>
      <c r="AC22" s="128">
        <f t="shared" ref="AC22:AC34" si="18">AA22/12</f>
        <v>0</v>
      </c>
      <c r="AD22" s="68">
        <f>AC22/AC12</f>
        <v>0</v>
      </c>
      <c r="AE22" s="595"/>
      <c r="AF22" s="595"/>
      <c r="AG22" s="595"/>
    </row>
    <row r="23" spans="1:33" s="1" customFormat="1">
      <c r="A23" s="3">
        <v>5602</v>
      </c>
      <c r="B23" s="3" t="s">
        <v>54</v>
      </c>
      <c r="C23" s="26"/>
      <c r="D23" s="68">
        <f>C23/C12</f>
        <v>0</v>
      </c>
      <c r="E23" s="26"/>
      <c r="F23" s="68">
        <f>E23/E12</f>
        <v>0</v>
      </c>
      <c r="G23" s="26"/>
      <c r="H23" s="68">
        <f>G23/G12</f>
        <v>0</v>
      </c>
      <c r="I23" s="26"/>
      <c r="J23" s="68">
        <f>I23/I12</f>
        <v>0</v>
      </c>
      <c r="K23" s="26"/>
      <c r="L23" s="68">
        <f>K23/K12</f>
        <v>0</v>
      </c>
      <c r="M23" s="26"/>
      <c r="N23" s="68">
        <f>M23/M12</f>
        <v>0</v>
      </c>
      <c r="O23" s="26"/>
      <c r="P23" s="68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17"/>
        <v>0</v>
      </c>
      <c r="AB23" s="68">
        <f>AA23/AA12</f>
        <v>0</v>
      </c>
      <c r="AC23" s="128">
        <f t="shared" si="18"/>
        <v>0</v>
      </c>
      <c r="AD23" s="68">
        <f>AC23/AC12</f>
        <v>0</v>
      </c>
      <c r="AE23" s="595"/>
      <c r="AF23" s="595"/>
      <c r="AG23" s="595"/>
    </row>
    <row r="24" spans="1:33" s="1" customFormat="1">
      <c r="A24" s="3">
        <v>5603</v>
      </c>
      <c r="B24" s="3" t="s">
        <v>55</v>
      </c>
      <c r="C24" s="26"/>
      <c r="D24" s="68">
        <f>C24/C12</f>
        <v>0</v>
      </c>
      <c r="E24" s="26"/>
      <c r="F24" s="68">
        <f>E24/E12</f>
        <v>0</v>
      </c>
      <c r="G24" s="26"/>
      <c r="H24" s="68">
        <f>G24/G12</f>
        <v>0</v>
      </c>
      <c r="I24" s="26"/>
      <c r="J24" s="68">
        <f>I24/I12</f>
        <v>0</v>
      </c>
      <c r="K24" s="26"/>
      <c r="L24" s="68">
        <f>K24/K12</f>
        <v>0</v>
      </c>
      <c r="M24" s="26"/>
      <c r="N24" s="68">
        <f>M24/M12</f>
        <v>0</v>
      </c>
      <c r="O24" s="26"/>
      <c r="P24" s="68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17"/>
        <v>0</v>
      </c>
      <c r="AB24" s="68">
        <f>AA24/AA12</f>
        <v>0</v>
      </c>
      <c r="AC24" s="128">
        <f t="shared" si="18"/>
        <v>0</v>
      </c>
      <c r="AD24" s="68">
        <f>AC24/AC12</f>
        <v>0</v>
      </c>
      <c r="AE24" s="595"/>
      <c r="AF24" s="595"/>
      <c r="AG24" s="595"/>
    </row>
    <row r="25" spans="1:33" s="1" customFormat="1">
      <c r="A25" s="187">
        <v>5604</v>
      </c>
      <c r="B25" s="187" t="s">
        <v>56</v>
      </c>
      <c r="C25" s="26">
        <v>250</v>
      </c>
      <c r="D25" s="702">
        <f>C25/C12</f>
        <v>1.6361367748592886E-4</v>
      </c>
      <c r="E25" s="26">
        <v>250</v>
      </c>
      <c r="F25" s="702">
        <f>E25/E12</f>
        <v>2.1029996098826038E-4</v>
      </c>
      <c r="G25" s="26">
        <v>250</v>
      </c>
      <c r="H25" s="702">
        <f>G25/G12</f>
        <v>1.2678008290879566E-4</v>
      </c>
      <c r="I25" s="26">
        <v>250</v>
      </c>
      <c r="J25" s="702">
        <f>I25/I12</f>
        <v>1.4357973519885824E-4</v>
      </c>
      <c r="K25" s="26">
        <v>250</v>
      </c>
      <c r="L25" s="702">
        <f>K25/K12</f>
        <v>1.5698605018317599E-4</v>
      </c>
      <c r="M25" s="26">
        <v>250</v>
      </c>
      <c r="N25" s="702">
        <f>M25/M12</f>
        <v>1.1071056628732702E-4</v>
      </c>
      <c r="O25" s="26">
        <v>250</v>
      </c>
      <c r="P25" s="702">
        <f>O25/O12</f>
        <v>1.74867677283144E-4</v>
      </c>
      <c r="Q25" s="26">
        <v>250</v>
      </c>
      <c r="R25" s="702">
        <f>Q25/Q12</f>
        <v>1.4082482050772682E-4</v>
      </c>
      <c r="S25" s="26">
        <v>250</v>
      </c>
      <c r="T25" s="702">
        <f>S25/S12</f>
        <v>1.397932475812806E-4</v>
      </c>
      <c r="U25" s="26">
        <v>250</v>
      </c>
      <c r="V25" s="702">
        <f>U25/U12</f>
        <v>1.7623814532976016E-4</v>
      </c>
      <c r="W25" s="26">
        <v>250</v>
      </c>
      <c r="X25" s="702">
        <f>W25/W12</f>
        <v>1.732169763579047E-4</v>
      </c>
      <c r="Y25" s="26">
        <v>250</v>
      </c>
      <c r="Z25" s="702">
        <f>Y25/Y12</f>
        <v>1.1466284741308757E-4</v>
      </c>
      <c r="AA25" s="144">
        <f t="shared" si="17"/>
        <v>3000</v>
      </c>
      <c r="AB25" s="68">
        <f>AA25/AA12</f>
        <v>1.4766760817444855E-4</v>
      </c>
      <c r="AC25" s="128">
        <f t="shared" si="18"/>
        <v>250</v>
      </c>
      <c r="AD25" s="68">
        <f>AC25/AC12</f>
        <v>1.4766760817444853E-4</v>
      </c>
      <c r="AE25" s="595" t="s">
        <v>257</v>
      </c>
      <c r="AF25" s="595"/>
      <c r="AG25" s="595"/>
    </row>
    <row r="26" spans="1:33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7"/>
        <v>0</v>
      </c>
      <c r="AB26" s="68">
        <f>AA26/AA12</f>
        <v>0</v>
      </c>
      <c r="AC26" s="128">
        <f t="shared" si="18"/>
        <v>0</v>
      </c>
      <c r="AD26" s="68">
        <f>AC26/AC12</f>
        <v>0</v>
      </c>
      <c r="AE26" s="595"/>
      <c r="AF26" s="595"/>
      <c r="AG26" s="595"/>
    </row>
    <row r="27" spans="1:33" s="1" customFormat="1">
      <c r="A27" s="187">
        <v>5606</v>
      </c>
      <c r="B27" s="187" t="s">
        <v>77</v>
      </c>
      <c r="C27" s="26">
        <f>C16*0.3%</f>
        <v>4583.9688437080795</v>
      </c>
      <c r="D27" s="702">
        <f>C27/C12</f>
        <v>2.9999999999999996E-3</v>
      </c>
      <c r="E27" s="26">
        <f>E16*0.3%</f>
        <v>3566.3344704180304</v>
      </c>
      <c r="F27" s="702">
        <f>E27/E12</f>
        <v>3.0000000000000001E-3</v>
      </c>
      <c r="G27" s="26">
        <f>G16*0.3%</f>
        <v>5915.7557148747301</v>
      </c>
      <c r="H27" s="702">
        <f>G27/G12</f>
        <v>3.0000000000000001E-3</v>
      </c>
      <c r="I27" s="26">
        <f>I16*0.3%</f>
        <v>5223.5783758846492</v>
      </c>
      <c r="J27" s="702">
        <f>I27/I12</f>
        <v>3.0000000000000001E-3</v>
      </c>
      <c r="K27" s="26">
        <f>K16*0.3%</f>
        <v>4777.4945552479203</v>
      </c>
      <c r="L27" s="702">
        <f>K27/K12</f>
        <v>3.0000000000000001E-3</v>
      </c>
      <c r="M27" s="26">
        <f>M16*0.3%</f>
        <v>6774.4211338737605</v>
      </c>
      <c r="N27" s="702">
        <f>M27/M12</f>
        <v>3.0000000000000001E-3</v>
      </c>
      <c r="O27" s="26">
        <f>O16*0.3%</f>
        <v>4288.957294180831</v>
      </c>
      <c r="P27" s="702">
        <f>O27/O12</f>
        <v>3.0000000000000001E-3</v>
      </c>
      <c r="Q27" s="26">
        <f>Q16*0.3%</f>
        <v>5325.76570874343</v>
      </c>
      <c r="R27" s="702">
        <f>Q27/Q12</f>
        <v>3.0000000000000001E-3</v>
      </c>
      <c r="S27" s="26">
        <f>S16*0.3%</f>
        <v>5365.0660026617106</v>
      </c>
      <c r="T27" s="702">
        <f>S27/S12</f>
        <v>3.0000000000000001E-3</v>
      </c>
      <c r="U27" s="26">
        <f>U16*0.3%</f>
        <v>4255.60538325384</v>
      </c>
      <c r="V27" s="702">
        <f>U27/U12</f>
        <v>3.0000000000000001E-3</v>
      </c>
      <c r="W27" s="26">
        <f>W16*0.3%</f>
        <v>4329.8296493199005</v>
      </c>
      <c r="X27" s="702">
        <f>W27/W12</f>
        <v>3.0000000000000001E-3</v>
      </c>
      <c r="Y27" s="26">
        <f>Y16*0.3%</f>
        <v>6540.9155355965395</v>
      </c>
      <c r="Z27" s="702">
        <f>Y27/Y12</f>
        <v>3.0000000000000001E-3</v>
      </c>
      <c r="AA27" s="144">
        <f t="shared" si="17"/>
        <v>60947.692667763418</v>
      </c>
      <c r="AB27" s="702">
        <f>AA27/AA12</f>
        <v>2.9999999999999996E-3</v>
      </c>
      <c r="AC27" s="128">
        <f t="shared" si="18"/>
        <v>5078.9743889802849</v>
      </c>
      <c r="AD27" s="702">
        <f>AC27/AC12</f>
        <v>2.9999999999999996E-3</v>
      </c>
      <c r="AE27" s="645"/>
      <c r="AF27" s="226"/>
      <c r="AG27" s="226"/>
    </row>
    <row r="28" spans="1:33" s="1" customFormat="1">
      <c r="A28" s="3">
        <v>5607</v>
      </c>
      <c r="B28" s="238" t="s">
        <v>57</v>
      </c>
      <c r="C28" s="26"/>
      <c r="D28" s="68">
        <f>C28/C12</f>
        <v>0</v>
      </c>
      <c r="E28" s="26"/>
      <c r="F28" s="68">
        <f>E28/E12</f>
        <v>0</v>
      </c>
      <c r="G28" s="26"/>
      <c r="H28" s="68">
        <f>G28/G12</f>
        <v>0</v>
      </c>
      <c r="I28" s="26"/>
      <c r="J28" s="68">
        <f>I28/I12</f>
        <v>0</v>
      </c>
      <c r="K28" s="26"/>
      <c r="L28" s="68">
        <f>K28/K12</f>
        <v>0</v>
      </c>
      <c r="M28" s="26"/>
      <c r="N28" s="68">
        <f>M28/M12</f>
        <v>0</v>
      </c>
      <c r="O28" s="26"/>
      <c r="P28" s="68">
        <f>O28/O12</f>
        <v>0</v>
      </c>
      <c r="Q28" s="26"/>
      <c r="R28" s="68">
        <f>Q28/Q12</f>
        <v>0</v>
      </c>
      <c r="S28" s="26"/>
      <c r="T28" s="68">
        <f>S28/S12</f>
        <v>0</v>
      </c>
      <c r="U28" s="26"/>
      <c r="V28" s="68">
        <f>U28/U12</f>
        <v>0</v>
      </c>
      <c r="W28" s="26"/>
      <c r="X28" s="68">
        <f>W28/W12</f>
        <v>0</v>
      </c>
      <c r="Y28" s="26"/>
      <c r="Z28" s="68">
        <f>Y28/Y12</f>
        <v>0</v>
      </c>
      <c r="AA28" s="144">
        <f t="shared" si="17"/>
        <v>0</v>
      </c>
      <c r="AB28" s="68">
        <f>AA28/AA12</f>
        <v>0</v>
      </c>
      <c r="AC28" s="128">
        <f t="shared" si="18"/>
        <v>0</v>
      </c>
      <c r="AD28" s="68">
        <f>AC28/AC12</f>
        <v>0</v>
      </c>
      <c r="AE28" s="595"/>
      <c r="AF28" s="595"/>
      <c r="AG28" s="595"/>
    </row>
    <row r="29" spans="1:33" s="1" customFormat="1">
      <c r="A29" s="3">
        <v>5608</v>
      </c>
      <c r="B29" s="238" t="s">
        <v>58</v>
      </c>
      <c r="C29" s="26"/>
      <c r="D29" s="68">
        <f>C29/C12</f>
        <v>0</v>
      </c>
      <c r="E29" s="26"/>
      <c r="F29" s="68">
        <f>E29/E12</f>
        <v>0</v>
      </c>
      <c r="G29" s="26"/>
      <c r="H29" s="68">
        <f>G29/G12</f>
        <v>0</v>
      </c>
      <c r="I29" s="26"/>
      <c r="J29" s="68">
        <f>I29/I12</f>
        <v>0</v>
      </c>
      <c r="K29" s="26"/>
      <c r="L29" s="68">
        <f>K29/K12</f>
        <v>0</v>
      </c>
      <c r="M29" s="26"/>
      <c r="N29" s="68">
        <f>M29/M12</f>
        <v>0</v>
      </c>
      <c r="O29" s="26"/>
      <c r="P29" s="68">
        <f>O29/O12</f>
        <v>0</v>
      </c>
      <c r="Q29" s="26"/>
      <c r="R29" s="68">
        <f>Q29/Q12</f>
        <v>0</v>
      </c>
      <c r="S29" s="26"/>
      <c r="T29" s="68">
        <f>S29/S12</f>
        <v>0</v>
      </c>
      <c r="U29" s="26"/>
      <c r="V29" s="68">
        <f>U29/U12</f>
        <v>0</v>
      </c>
      <c r="W29" s="26"/>
      <c r="X29" s="68">
        <f>W29/W12</f>
        <v>0</v>
      </c>
      <c r="Y29" s="26"/>
      <c r="Z29" s="68">
        <f>Y29/Y12</f>
        <v>0</v>
      </c>
      <c r="AA29" s="144">
        <f t="shared" si="17"/>
        <v>0</v>
      </c>
      <c r="AB29" s="68">
        <f>AA29/AA12</f>
        <v>0</v>
      </c>
      <c r="AC29" s="128">
        <f t="shared" si="18"/>
        <v>0</v>
      </c>
      <c r="AD29" s="68">
        <f>AC29/AC12</f>
        <v>0</v>
      </c>
      <c r="AE29" s="595"/>
      <c r="AF29" s="595"/>
      <c r="AG29" s="595"/>
    </row>
    <row r="30" spans="1:33" s="1" customFormat="1">
      <c r="A30" s="3">
        <v>5609</v>
      </c>
      <c r="B30" s="238" t="s">
        <v>59</v>
      </c>
      <c r="C30" s="26"/>
      <c r="D30" s="68">
        <f>C30/C12</f>
        <v>0</v>
      </c>
      <c r="E30" s="26"/>
      <c r="F30" s="68">
        <f>E30/E12</f>
        <v>0</v>
      </c>
      <c r="G30" s="26"/>
      <c r="H30" s="68">
        <f>G30/G12</f>
        <v>0</v>
      </c>
      <c r="I30" s="26"/>
      <c r="J30" s="68">
        <f>I30/I12</f>
        <v>0</v>
      </c>
      <c r="K30" s="26"/>
      <c r="L30" s="68">
        <f>K30/K12</f>
        <v>0</v>
      </c>
      <c r="M30" s="26"/>
      <c r="N30" s="68">
        <f>M30/M12</f>
        <v>0</v>
      </c>
      <c r="O30" s="26"/>
      <c r="P30" s="68">
        <f>O30/O12</f>
        <v>0</v>
      </c>
      <c r="Q30" s="26"/>
      <c r="R30" s="68">
        <f>Q30/Q12</f>
        <v>0</v>
      </c>
      <c r="S30" s="26"/>
      <c r="T30" s="68">
        <f>S30/S12</f>
        <v>0</v>
      </c>
      <c r="U30" s="26"/>
      <c r="V30" s="68">
        <f>U30/U12</f>
        <v>0</v>
      </c>
      <c r="W30" s="26"/>
      <c r="X30" s="68">
        <f>W30/W12</f>
        <v>0</v>
      </c>
      <c r="Y30" s="26"/>
      <c r="Z30" s="68">
        <f>Y30/Y12</f>
        <v>0</v>
      </c>
      <c r="AA30" s="144">
        <f t="shared" si="17"/>
        <v>0</v>
      </c>
      <c r="AB30" s="68">
        <f>AA30/AA12</f>
        <v>0</v>
      </c>
      <c r="AC30" s="128">
        <f t="shared" si="18"/>
        <v>0</v>
      </c>
      <c r="AD30" s="68">
        <f>AC30/AC12</f>
        <v>0</v>
      </c>
      <c r="AE30" s="595"/>
      <c r="AF30" s="595"/>
      <c r="AG30" s="595"/>
    </row>
    <row r="31" spans="1:33" s="1" customFormat="1">
      <c r="A31" s="3">
        <v>5610</v>
      </c>
      <c r="B31" s="238" t="s">
        <v>60</v>
      </c>
      <c r="C31" s="26"/>
      <c r="D31" s="68">
        <f>C31/C12</f>
        <v>0</v>
      </c>
      <c r="E31" s="26"/>
      <c r="F31" s="68">
        <f>E31/E12</f>
        <v>0</v>
      </c>
      <c r="G31" s="26"/>
      <c r="H31" s="68">
        <f>G31/G12</f>
        <v>0</v>
      </c>
      <c r="I31" s="26"/>
      <c r="J31" s="68">
        <f>I31/I12</f>
        <v>0</v>
      </c>
      <c r="K31" s="26"/>
      <c r="L31" s="68">
        <f>K31/K12</f>
        <v>0</v>
      </c>
      <c r="M31" s="26"/>
      <c r="N31" s="68">
        <f>M31/M12</f>
        <v>0</v>
      </c>
      <c r="O31" s="26"/>
      <c r="P31" s="68">
        <f>O31/O12</f>
        <v>0</v>
      </c>
      <c r="Q31" s="26"/>
      <c r="R31" s="68">
        <f>Q31/Q12</f>
        <v>0</v>
      </c>
      <c r="S31" s="26"/>
      <c r="T31" s="68">
        <f>S31/S12</f>
        <v>0</v>
      </c>
      <c r="U31" s="26"/>
      <c r="V31" s="68">
        <f>U31/U12</f>
        <v>0</v>
      </c>
      <c r="W31" s="26"/>
      <c r="X31" s="68">
        <f>W31/W12</f>
        <v>0</v>
      </c>
      <c r="Y31" s="26"/>
      <c r="Z31" s="68">
        <f>Y31/Y12</f>
        <v>0</v>
      </c>
      <c r="AA31" s="144">
        <f t="shared" si="17"/>
        <v>0</v>
      </c>
      <c r="AB31" s="68">
        <f>AA31/AA12</f>
        <v>0</v>
      </c>
      <c r="AC31" s="128">
        <f t="shared" si="18"/>
        <v>0</v>
      </c>
      <c r="AD31" s="68">
        <f>AC31/AC12</f>
        <v>0</v>
      </c>
      <c r="AE31" s="595"/>
      <c r="AF31" s="595"/>
      <c r="AG31" s="595"/>
    </row>
    <row r="32" spans="1:33" s="1" customFormat="1">
      <c r="A32" s="3">
        <v>5611</v>
      </c>
      <c r="B32" s="238" t="s">
        <v>108</v>
      </c>
      <c r="C32" s="26"/>
      <c r="D32" s="68">
        <f>C32/C12</f>
        <v>0</v>
      </c>
      <c r="E32" s="26"/>
      <c r="F32" s="68">
        <f>E32/E12</f>
        <v>0</v>
      </c>
      <c r="G32" s="26"/>
      <c r="H32" s="68">
        <f>G32/G12</f>
        <v>0</v>
      </c>
      <c r="I32" s="26"/>
      <c r="J32" s="68">
        <f>I32/I12</f>
        <v>0</v>
      </c>
      <c r="K32" s="26"/>
      <c r="L32" s="68">
        <f>K32/K12</f>
        <v>0</v>
      </c>
      <c r="M32" s="26"/>
      <c r="N32" s="68">
        <f>M32/M12</f>
        <v>0</v>
      </c>
      <c r="O32" s="26"/>
      <c r="P32" s="68">
        <f>O32/O12</f>
        <v>0</v>
      </c>
      <c r="Q32" s="26"/>
      <c r="R32" s="68">
        <f>Q32/Q12</f>
        <v>0</v>
      </c>
      <c r="S32" s="26"/>
      <c r="T32" s="68">
        <f>S32/S12</f>
        <v>0</v>
      </c>
      <c r="U32" s="26"/>
      <c r="V32" s="68">
        <f>U32/U12</f>
        <v>0</v>
      </c>
      <c r="W32" s="26"/>
      <c r="X32" s="68">
        <f>W32/W12</f>
        <v>0</v>
      </c>
      <c r="Y32" s="26"/>
      <c r="Z32" s="68">
        <f>Y32/Y12</f>
        <v>0</v>
      </c>
      <c r="AA32" s="144">
        <f t="shared" si="17"/>
        <v>0</v>
      </c>
      <c r="AB32" s="68">
        <f>AA32/AA12</f>
        <v>0</v>
      </c>
      <c r="AC32" s="128">
        <f t="shared" si="18"/>
        <v>0</v>
      </c>
      <c r="AD32" s="68">
        <f>AC32/AC12</f>
        <v>0</v>
      </c>
      <c r="AE32" s="595"/>
      <c r="AF32" s="595"/>
      <c r="AG32" s="595"/>
    </row>
    <row r="33" spans="1:42" s="1" customFormat="1">
      <c r="A33" s="3">
        <v>5612</v>
      </c>
      <c r="B33" s="238" t="s">
        <v>61</v>
      </c>
      <c r="C33" s="26"/>
      <c r="D33" s="68">
        <f>C33/C12</f>
        <v>0</v>
      </c>
      <c r="E33" s="26"/>
      <c r="F33" s="68">
        <f>E33/E12</f>
        <v>0</v>
      </c>
      <c r="G33" s="26"/>
      <c r="H33" s="68">
        <f>G33/G12</f>
        <v>0</v>
      </c>
      <c r="I33" s="26"/>
      <c r="J33" s="68">
        <f>I33/I12</f>
        <v>0</v>
      </c>
      <c r="K33" s="26"/>
      <c r="L33" s="68">
        <f>K33/K12</f>
        <v>0</v>
      </c>
      <c r="M33" s="26"/>
      <c r="N33" s="68">
        <f>M33/M12</f>
        <v>0</v>
      </c>
      <c r="O33" s="26"/>
      <c r="P33" s="68">
        <f>O33/O12</f>
        <v>0</v>
      </c>
      <c r="Q33" s="26"/>
      <c r="R33" s="68">
        <f>Q33/Q12</f>
        <v>0</v>
      </c>
      <c r="S33" s="26"/>
      <c r="T33" s="68">
        <f>S33/S12</f>
        <v>0</v>
      </c>
      <c r="U33" s="26"/>
      <c r="V33" s="68">
        <f>U33/U12</f>
        <v>0</v>
      </c>
      <c r="W33" s="26"/>
      <c r="X33" s="68">
        <f>W33/W12</f>
        <v>0</v>
      </c>
      <c r="Y33" s="26"/>
      <c r="Z33" s="68">
        <f>Y33/Y12</f>
        <v>0</v>
      </c>
      <c r="AA33" s="144">
        <f t="shared" si="17"/>
        <v>0</v>
      </c>
      <c r="AB33" s="68">
        <f>AA33/AA12</f>
        <v>0</v>
      </c>
      <c r="AC33" s="128">
        <f t="shared" si="18"/>
        <v>0</v>
      </c>
      <c r="AD33" s="68">
        <f>AC33/AC12</f>
        <v>0</v>
      </c>
      <c r="AE33" s="595"/>
      <c r="AF33" s="595"/>
      <c r="AG33" s="595"/>
    </row>
    <row r="34" spans="1:42" s="1" customFormat="1">
      <c r="A34" s="3">
        <v>5613</v>
      </c>
      <c r="B34" s="238" t="s">
        <v>62</v>
      </c>
      <c r="C34" s="26"/>
      <c r="D34" s="68">
        <f>C34/C12</f>
        <v>0</v>
      </c>
      <c r="E34" s="26"/>
      <c r="F34" s="68">
        <f>E34/E12</f>
        <v>0</v>
      </c>
      <c r="G34" s="26"/>
      <c r="H34" s="68">
        <f>G34/G12</f>
        <v>0</v>
      </c>
      <c r="I34" s="26"/>
      <c r="J34" s="68">
        <f>I34/I12</f>
        <v>0</v>
      </c>
      <c r="K34" s="26"/>
      <c r="L34" s="68">
        <f>K34/K12</f>
        <v>0</v>
      </c>
      <c r="M34" s="26"/>
      <c r="N34" s="68">
        <f>M34/M12</f>
        <v>0</v>
      </c>
      <c r="O34" s="26"/>
      <c r="P34" s="68">
        <f>O34/O12</f>
        <v>0</v>
      </c>
      <c r="Q34" s="26"/>
      <c r="R34" s="68">
        <f>Q34/Q12</f>
        <v>0</v>
      </c>
      <c r="S34" s="26"/>
      <c r="T34" s="68">
        <f>S34/S12</f>
        <v>0</v>
      </c>
      <c r="U34" s="26"/>
      <c r="V34" s="68">
        <f>U34/U12</f>
        <v>0</v>
      </c>
      <c r="W34" s="26"/>
      <c r="X34" s="68">
        <f>W34/W12</f>
        <v>0</v>
      </c>
      <c r="Y34" s="26"/>
      <c r="Z34" s="68">
        <f>Y34/Y12</f>
        <v>0</v>
      </c>
      <c r="AA34" s="144">
        <f t="shared" si="17"/>
        <v>0</v>
      </c>
      <c r="AB34" s="68">
        <f>AA34/AA12</f>
        <v>0</v>
      </c>
      <c r="AC34" s="128">
        <f t="shared" si="18"/>
        <v>0</v>
      </c>
      <c r="AD34" s="68">
        <f>AC34/AC12</f>
        <v>0</v>
      </c>
      <c r="AE34" s="595"/>
      <c r="AF34" s="595"/>
      <c r="AG34" s="595"/>
    </row>
    <row r="35" spans="1:42" s="1" customFormat="1">
      <c r="A35" s="9">
        <v>5699</v>
      </c>
      <c r="B35" s="239" t="s">
        <v>109</v>
      </c>
      <c r="C35" s="119">
        <f>SUM(C22:C34)</f>
        <v>4833.9688437080795</v>
      </c>
      <c r="D35" s="87">
        <f>C35/C12</f>
        <v>3.1636136774859285E-3</v>
      </c>
      <c r="E35" s="79">
        <f>SUM(E22:E34)</f>
        <v>3816.3344704180304</v>
      </c>
      <c r="F35" s="87">
        <f>E35/E12</f>
        <v>3.2102999609882605E-3</v>
      </c>
      <c r="G35" s="119">
        <f>SUM(G22:G34)</f>
        <v>6165.7557148747301</v>
      </c>
      <c r="H35" s="87">
        <f>G35/G12</f>
        <v>3.1267800829087957E-3</v>
      </c>
      <c r="I35" s="79">
        <f>SUM(I22:I34)</f>
        <v>5473.5783758846492</v>
      </c>
      <c r="J35" s="87">
        <f>I35/I12</f>
        <v>3.143579735198858E-3</v>
      </c>
      <c r="K35" s="379">
        <f>SUM(K22:K34)</f>
        <v>5027.4945552479203</v>
      </c>
      <c r="L35" s="380">
        <f>K35/K12</f>
        <v>3.1569860501831763E-3</v>
      </c>
      <c r="M35" s="796">
        <f>SUM(M22:M34)</f>
        <v>7024.4211338737605</v>
      </c>
      <c r="N35" s="380">
        <f>M35/M12</f>
        <v>3.110710566287327E-3</v>
      </c>
      <c r="O35" s="379">
        <f>SUM(O22:O34)</f>
        <v>4538.957294180831</v>
      </c>
      <c r="P35" s="87">
        <f>O35/O12</f>
        <v>3.1748676772831441E-3</v>
      </c>
      <c r="Q35" s="29">
        <f>SUM(Q22:Q34)</f>
        <v>5575.76570874343</v>
      </c>
      <c r="R35" s="87">
        <f>Q35/Q12</f>
        <v>3.1408248205077268E-3</v>
      </c>
      <c r="S35" s="79">
        <f>SUM(S22:S34)</f>
        <v>5615.0660026617106</v>
      </c>
      <c r="T35" s="87">
        <f>S35/S12</f>
        <v>3.1397932475812807E-3</v>
      </c>
      <c r="U35" s="79">
        <f>SUM(U22:U34)</f>
        <v>4505.60538325384</v>
      </c>
      <c r="V35" s="87">
        <f>U35/U12</f>
        <v>3.17623814532976E-3</v>
      </c>
      <c r="W35" s="58">
        <f>SUM(W22:W34)</f>
        <v>4579.8296493199005</v>
      </c>
      <c r="X35" s="87">
        <f>W35/W12</f>
        <v>3.1732169763579051E-3</v>
      </c>
      <c r="Y35" s="79">
        <f>SUM(Y22:Y34)</f>
        <v>6790.9155355965395</v>
      </c>
      <c r="Z35" s="87">
        <f>Y35/Y12</f>
        <v>3.1146628474130874E-3</v>
      </c>
      <c r="AA35" s="165">
        <f>SUM(AA22:AA34)</f>
        <v>63947.692667763418</v>
      </c>
      <c r="AB35" s="87">
        <f>AA35/AA12</f>
        <v>3.1476676081744481E-3</v>
      </c>
      <c r="AC35" s="173">
        <f>SUM(AC22:AC34)</f>
        <v>5328.9743889802849</v>
      </c>
      <c r="AD35" s="87">
        <f>AC35/AC12</f>
        <v>3.1476676081744481E-3</v>
      </c>
      <c r="AE35" s="599"/>
      <c r="AF35" s="599"/>
      <c r="AG35" s="599"/>
    </row>
    <row r="36" spans="1:42" s="1" customFormat="1">
      <c r="A36" s="9">
        <v>5999</v>
      </c>
      <c r="B36" s="239" t="s">
        <v>110</v>
      </c>
      <c r="C36" s="119">
        <f>C21+C35</f>
        <v>756757.65817329008</v>
      </c>
      <c r="D36" s="87">
        <f>C36/C12</f>
        <v>0.49526361367748589</v>
      </c>
      <c r="E36" s="79">
        <f>E21+E35</f>
        <v>505599.5944582349</v>
      </c>
      <c r="F36" s="87">
        <f>E36/E12</f>
        <v>0.42531029996098829</v>
      </c>
      <c r="G36" s="119">
        <f>G21+G35</f>
        <v>981673.87309771765</v>
      </c>
      <c r="H36" s="87">
        <f>G36/G12</f>
        <v>0.49782678008290876</v>
      </c>
      <c r="I36" s="79">
        <f>I21+I35</f>
        <v>760106.53441202035</v>
      </c>
      <c r="J36" s="87">
        <f>I36/I12</f>
        <v>0.43654357973519886</v>
      </c>
      <c r="K36" s="379">
        <f>K21+K35</f>
        <v>721651.67784243601</v>
      </c>
      <c r="L36" s="380">
        <f>K36/K12</f>
        <v>0.45315698605018323</v>
      </c>
      <c r="M36" s="796">
        <f>M21+M35</f>
        <v>1136772.0522262212</v>
      </c>
      <c r="N36" s="380">
        <f>M36/M12</f>
        <v>0.50341071056628728</v>
      </c>
      <c r="O36" s="379">
        <f>O21+O35</f>
        <v>636731.26245643536</v>
      </c>
      <c r="P36" s="87">
        <f>O36/O12</f>
        <v>0.44537486767728318</v>
      </c>
      <c r="Q36" s="29">
        <f>Q21+Q35</f>
        <v>736980.92304284126</v>
      </c>
      <c r="R36" s="87">
        <f>Q36/Q12</f>
        <v>0.41514082482050779</v>
      </c>
      <c r="S36" s="79">
        <f>S21+S35</f>
        <v>898719.71991241444</v>
      </c>
      <c r="T36" s="87">
        <f>S36/S12</f>
        <v>0.50253979324758125</v>
      </c>
      <c r="U36" s="79">
        <f>U21+U35</f>
        <v>576884.52943089546</v>
      </c>
      <c r="V36" s="87">
        <f>U36/U12</f>
        <v>0.40667623814532983</v>
      </c>
      <c r="W36" s="58">
        <f>W21+W35</f>
        <v>576838.98163443326</v>
      </c>
      <c r="X36" s="87">
        <f>W36/W12</f>
        <v>0.39967321697635783</v>
      </c>
      <c r="Y36" s="79">
        <f>Y21+Y35</f>
        <v>1053337.4012310428</v>
      </c>
      <c r="Z36" s="87">
        <f>Y36/Y12</f>
        <v>0.48311466284741306</v>
      </c>
      <c r="AA36" s="165">
        <f>AA21+AA35</f>
        <v>9342054.2079179827</v>
      </c>
      <c r="AB36" s="87">
        <f>AA36/AA12</f>
        <v>0.45983960010643032</v>
      </c>
      <c r="AC36" s="173">
        <f>AC21+AC35</f>
        <v>778504.51732649852</v>
      </c>
      <c r="AD36" s="87">
        <f>AC36/AC12</f>
        <v>0.45983960010643027</v>
      </c>
      <c r="AE36" s="599"/>
      <c r="AF36" s="599"/>
      <c r="AG36" s="599"/>
    </row>
    <row r="37" spans="1:42" s="1" customFormat="1" ht="15.75" thickBot="1">
      <c r="A37" s="10"/>
      <c r="B37" s="240" t="s">
        <v>68</v>
      </c>
      <c r="C37" s="120">
        <f>(C16-C36)</f>
        <v>771231.95639606984</v>
      </c>
      <c r="D37" s="88">
        <f>C37/C12</f>
        <v>0.50473638632251405</v>
      </c>
      <c r="E37" s="80">
        <f>(E16-E36)</f>
        <v>683178.56234777509</v>
      </c>
      <c r="F37" s="88">
        <f>E37/E12</f>
        <v>0.57468970003901165</v>
      </c>
      <c r="G37" s="120">
        <f>(G16-G36)</f>
        <v>990244.69852719235</v>
      </c>
      <c r="H37" s="88">
        <f>G37/G12</f>
        <v>0.50217321991709118</v>
      </c>
      <c r="I37" s="80">
        <f>(I16-I36)</f>
        <v>981086.25754952943</v>
      </c>
      <c r="J37" s="88">
        <f>I37/I12</f>
        <v>0.56345642026480114</v>
      </c>
      <c r="K37" s="80">
        <f>(K16-K36)</f>
        <v>870846.50724020402</v>
      </c>
      <c r="L37" s="88">
        <f>K37/K12</f>
        <v>0.54684301394981683</v>
      </c>
      <c r="M37" s="30">
        <f>(M16-M36)</f>
        <v>1121368.3257316989</v>
      </c>
      <c r="N37" s="88">
        <f>M37/M12</f>
        <v>0.49658928943371267</v>
      </c>
      <c r="O37" s="80">
        <f>(O16-O36)</f>
        <v>792921.16893717495</v>
      </c>
      <c r="P37" s="88">
        <f>O37/O12</f>
        <v>0.55462513232271682</v>
      </c>
      <c r="Q37" s="30">
        <f>(Q16-Q36)</f>
        <v>1038274.3132049688</v>
      </c>
      <c r="R37" s="88">
        <f>Q37/Q12</f>
        <v>0.58485917517949226</v>
      </c>
      <c r="S37" s="80">
        <f>(S16-S36)</f>
        <v>889635.61430815584</v>
      </c>
      <c r="T37" s="88">
        <f>S37/S12</f>
        <v>0.49746020675241875</v>
      </c>
      <c r="U37" s="80">
        <f>(U16-U36)</f>
        <v>841650.59832038463</v>
      </c>
      <c r="V37" s="88">
        <f>U37/U12</f>
        <v>0.59332376185467017</v>
      </c>
      <c r="W37" s="59">
        <f>(W16-W36)</f>
        <v>866437.5681388668</v>
      </c>
      <c r="X37" s="88">
        <f>W37/W12</f>
        <v>0.60032678302364217</v>
      </c>
      <c r="Y37" s="80">
        <f>(Y16-Y36)</f>
        <v>1126967.7773011371</v>
      </c>
      <c r="Z37" s="88">
        <f>Y37/Y12</f>
        <v>0.516885337152587</v>
      </c>
      <c r="AA37" s="150">
        <f>(AA16-AA36)</f>
        <v>10973843.348003158</v>
      </c>
      <c r="AB37" s="88">
        <f>AA37/AA12</f>
        <v>0.54016039989356968</v>
      </c>
      <c r="AC37" s="135">
        <f>(AC16-AC36)</f>
        <v>914486.94566693006</v>
      </c>
      <c r="AD37" s="88">
        <f>AC37/AC12</f>
        <v>0.54016039989356979</v>
      </c>
      <c r="AE37" s="600"/>
      <c r="AF37" s="600"/>
      <c r="AG37" s="600"/>
    </row>
    <row r="38" spans="1:42" s="1" customFormat="1" ht="15.75" thickTop="1">
      <c r="A38" s="2">
        <v>6002</v>
      </c>
      <c r="B38" s="228" t="s">
        <v>45</v>
      </c>
      <c r="C38" s="114"/>
      <c r="D38" s="68">
        <f>C38/C12</f>
        <v>0</v>
      </c>
      <c r="E38" s="61"/>
      <c r="F38" s="68">
        <f>E38/E12</f>
        <v>0</v>
      </c>
      <c r="G38" s="114"/>
      <c r="H38" s="68">
        <f>G38/G12</f>
        <v>0</v>
      </c>
      <c r="I38" s="61"/>
      <c r="J38" s="68">
        <f>I38/I12</f>
        <v>0</v>
      </c>
      <c r="K38" s="61"/>
      <c r="L38" s="68">
        <f>K38/K12</f>
        <v>0</v>
      </c>
      <c r="M38" s="26"/>
      <c r="N38" s="68">
        <f>M38/M12</f>
        <v>0</v>
      </c>
      <c r="O38" s="61"/>
      <c r="P38" s="68">
        <f>O38/O12</f>
        <v>0</v>
      </c>
      <c r="Q38" s="26"/>
      <c r="R38" s="68">
        <f>Q38/Q12</f>
        <v>0</v>
      </c>
      <c r="S38" s="61"/>
      <c r="T38" s="68">
        <f>S38/S12</f>
        <v>0</v>
      </c>
      <c r="U38" s="61"/>
      <c r="V38" s="68">
        <f>U38/U12</f>
        <v>0</v>
      </c>
      <c r="W38" s="51"/>
      <c r="X38" s="68">
        <f>W38/W12</f>
        <v>0</v>
      </c>
      <c r="Y38" s="61"/>
      <c r="Z38" s="68">
        <f>Y38/Y12</f>
        <v>0</v>
      </c>
      <c r="AA38" s="144">
        <f>C38+E38+G38+I38+K38+M38+O38+Q38+S38+U38+W38+Y38</f>
        <v>0</v>
      </c>
      <c r="AB38" s="68">
        <f>AA38/AA12</f>
        <v>0</v>
      </c>
      <c r="AC38" s="128">
        <f>AA38/12</f>
        <v>0</v>
      </c>
      <c r="AD38" s="68">
        <f>AC38/AC12</f>
        <v>0</v>
      </c>
      <c r="AE38" s="595"/>
      <c r="AF38" s="595"/>
      <c r="AG38" s="595"/>
    </row>
    <row r="39" spans="1:42" s="1" customFormat="1">
      <c r="A39" s="2">
        <v>6003</v>
      </c>
      <c r="B39" s="228" t="s">
        <v>0</v>
      </c>
      <c r="C39" s="114"/>
      <c r="D39" s="68">
        <f t="shared" ref="D39" si="19">C39/C12</f>
        <v>0</v>
      </c>
      <c r="E39" s="61"/>
      <c r="F39" s="68">
        <f t="shared" ref="F39" si="20">E39/E12</f>
        <v>0</v>
      </c>
      <c r="G39" s="114"/>
      <c r="H39" s="68">
        <f t="shared" ref="H39" si="21">G39/G12</f>
        <v>0</v>
      </c>
      <c r="I39" s="26">
        <v>0</v>
      </c>
      <c r="J39" s="68">
        <f t="shared" ref="J39" si="22">I39/I12</f>
        <v>0</v>
      </c>
      <c r="K39" s="26">
        <v>0</v>
      </c>
      <c r="L39" s="68">
        <f t="shared" ref="L39" si="23">K39/K12</f>
        <v>0</v>
      </c>
      <c r="M39" s="26"/>
      <c r="N39" s="68">
        <f t="shared" ref="N39" si="24">M39/M12</f>
        <v>0</v>
      </c>
      <c r="O39" s="26">
        <v>0</v>
      </c>
      <c r="P39" s="68">
        <f t="shared" ref="P39" si="25">O39/O12</f>
        <v>0</v>
      </c>
      <c r="Q39" s="26"/>
      <c r="R39" s="68">
        <f t="shared" ref="R39" si="26">Q39/Q12</f>
        <v>0</v>
      </c>
      <c r="S39" s="26">
        <v>0</v>
      </c>
      <c r="T39" s="68">
        <f t="shared" ref="T39" si="27">S39/S12</f>
        <v>0</v>
      </c>
      <c r="U39" s="26"/>
      <c r="V39" s="68">
        <f t="shared" ref="V39" si="28">U39/U12</f>
        <v>0</v>
      </c>
      <c r="W39" s="26"/>
      <c r="X39" s="68">
        <f t="shared" ref="X39" si="29">W39/W12</f>
        <v>0</v>
      </c>
      <c r="Y39" s="26"/>
      <c r="Z39" s="68">
        <f t="shared" ref="Z39" si="30">Y39/Y12</f>
        <v>0</v>
      </c>
      <c r="AA39" s="144">
        <f>C39+E39+G39+I39+K39+M39+O39+Q39+S39+U39+W39+Y39</f>
        <v>0</v>
      </c>
      <c r="AB39" s="68">
        <f t="shared" ref="AB39" si="31">AA39/AA12</f>
        <v>0</v>
      </c>
      <c r="AC39" s="128">
        <f t="shared" ref="AC39:AC40" si="32">AA39/12</f>
        <v>0</v>
      </c>
      <c r="AD39" s="68">
        <f t="shared" ref="AD39" si="33">AC39/AC12</f>
        <v>0</v>
      </c>
      <c r="AE39" s="595"/>
      <c r="AF39" s="595"/>
      <c r="AG39" s="595"/>
    </row>
    <row r="40" spans="1:42" s="1" customFormat="1">
      <c r="A40" s="2">
        <v>6004</v>
      </c>
      <c r="B40" s="228" t="s">
        <v>1</v>
      </c>
      <c r="C40" s="114"/>
      <c r="D40" s="68">
        <f>C40/C12</f>
        <v>0</v>
      </c>
      <c r="E40" s="61"/>
      <c r="F40" s="68">
        <f>E40/E12</f>
        <v>0</v>
      </c>
      <c r="G40" s="114"/>
      <c r="H40" s="68">
        <f>G40/G12</f>
        <v>0</v>
      </c>
      <c r="I40" s="61"/>
      <c r="J40" s="68">
        <f>I40/I12</f>
        <v>0</v>
      </c>
      <c r="K40" s="61"/>
      <c r="L40" s="68">
        <f>K40/K12</f>
        <v>0</v>
      </c>
      <c r="M40" s="26"/>
      <c r="N40" s="68">
        <f>M40/M12</f>
        <v>0</v>
      </c>
      <c r="O40" s="61"/>
      <c r="P40" s="68">
        <f>O40/O12</f>
        <v>0</v>
      </c>
      <c r="Q40" s="26"/>
      <c r="R40" s="68">
        <f>Q40/Q12</f>
        <v>0</v>
      </c>
      <c r="S40" s="61"/>
      <c r="T40" s="68">
        <f>S40/S12</f>
        <v>0</v>
      </c>
      <c r="U40" s="61"/>
      <c r="V40" s="68">
        <f>U40/U12</f>
        <v>0</v>
      </c>
      <c r="W40" s="51"/>
      <c r="X40" s="68">
        <f>W40/W12</f>
        <v>0</v>
      </c>
      <c r="Y40" s="61"/>
      <c r="Z40" s="68">
        <f>Y40/Y12</f>
        <v>0</v>
      </c>
      <c r="AA40" s="144">
        <f>C40+E40+G40+I40+K40+M40+O40+Q40+S40+U40+W40+Y40</f>
        <v>0</v>
      </c>
      <c r="AB40" s="68">
        <f>AA40/AA12</f>
        <v>0</v>
      </c>
      <c r="AC40" s="128">
        <f t="shared" si="32"/>
        <v>0</v>
      </c>
      <c r="AD40" s="68">
        <f>AC40/AC12</f>
        <v>0</v>
      </c>
      <c r="AE40" s="595"/>
      <c r="AF40" s="595"/>
      <c r="AG40" s="595"/>
    </row>
    <row r="41" spans="1:42" s="1" customFormat="1" ht="15.75" thickBot="1">
      <c r="A41" s="726">
        <v>6099</v>
      </c>
      <c r="B41" s="727" t="s">
        <v>111</v>
      </c>
      <c r="C41" s="116"/>
      <c r="D41" s="89"/>
      <c r="E41" s="76">
        <f>SUM(E38:E40)</f>
        <v>0</v>
      </c>
      <c r="F41" s="89"/>
      <c r="G41" s="116">
        <f>SUM(G38:G40)</f>
        <v>0</v>
      </c>
      <c r="H41" s="89"/>
      <c r="I41" s="76">
        <f>SUM(I38:I40)</f>
        <v>0</v>
      </c>
      <c r="J41" s="89"/>
      <c r="K41" s="76">
        <f>SUM(K38:K40)</f>
        <v>0</v>
      </c>
      <c r="L41" s="89"/>
      <c r="M41" s="28">
        <f>SUM(M38:M40)</f>
        <v>0</v>
      </c>
      <c r="N41" s="89"/>
      <c r="O41" s="76">
        <f>SUM(O38:O40)</f>
        <v>0</v>
      </c>
      <c r="P41" s="89"/>
      <c r="Q41" s="76">
        <f>SUM(Q38:Q40)</f>
        <v>0</v>
      </c>
      <c r="R41" s="89"/>
      <c r="S41" s="76">
        <f>SUM(S38:S40)</f>
        <v>0</v>
      </c>
      <c r="T41" s="89"/>
      <c r="U41" s="76">
        <f>SUM(U38:U40)</f>
        <v>0</v>
      </c>
      <c r="V41" s="89"/>
      <c r="W41" s="76">
        <f>SUM(W38:W40)</f>
        <v>0</v>
      </c>
      <c r="X41" s="89"/>
      <c r="Y41" s="76">
        <f>SUM(Y38:Y40)</f>
        <v>0</v>
      </c>
      <c r="Z41" s="89"/>
      <c r="AA41" s="76">
        <f>SUM(AA38:AA40)</f>
        <v>0</v>
      </c>
      <c r="AB41" s="89"/>
      <c r="AC41" s="76">
        <f>SUM(AC38:AC40)</f>
        <v>0</v>
      </c>
      <c r="AD41" s="89"/>
      <c r="AE41" s="596"/>
      <c r="AF41" s="596"/>
      <c r="AG41" s="596"/>
    </row>
    <row r="42" spans="1:42" s="1" customFormat="1" ht="15.75" thickTop="1">
      <c r="A42" s="757">
        <v>6101</v>
      </c>
      <c r="B42" s="227" t="s">
        <v>2</v>
      </c>
      <c r="C42" s="703">
        <v>183435.33</v>
      </c>
      <c r="D42" s="68">
        <f>C42/C$12</f>
        <v>0.12005011568857972</v>
      </c>
      <c r="E42" s="703">
        <v>183435.33</v>
      </c>
      <c r="F42" s="677">
        <f>E42/E$12</f>
        <v>0.15430577097147466</v>
      </c>
      <c r="G42" s="371">
        <v>183435.33</v>
      </c>
      <c r="H42" s="677">
        <f>G42/G$12</f>
        <v>9.3023785383209157E-2</v>
      </c>
      <c r="I42" s="703">
        <v>183435.33</v>
      </c>
      <c r="J42" s="677">
        <f>I42/I$12</f>
        <v>0.10535038443006071</v>
      </c>
      <c r="K42" s="703">
        <v>183435.33</v>
      </c>
      <c r="L42" s="677">
        <f>K42/K$12</f>
        <v>0.11518715168298978</v>
      </c>
      <c r="M42" s="33">
        <v>183435.33</v>
      </c>
      <c r="N42" s="677">
        <f>M42/M$12</f>
        <v>8.1232917045610822E-2</v>
      </c>
      <c r="O42" s="806">
        <v>183435.33</v>
      </c>
      <c r="P42" s="677">
        <f>O42/O$12</f>
        <v>0.12830764035506809</v>
      </c>
      <c r="Q42" s="703">
        <v>201778.83333333334</v>
      </c>
      <c r="R42" s="677">
        <f>Q42/Q$12</f>
        <v>0.11366187194570077</v>
      </c>
      <c r="S42" s="703">
        <v>201778.83333333334</v>
      </c>
      <c r="T42" s="677">
        <f>S42/S$12</f>
        <v>0.1128292736193145</v>
      </c>
      <c r="U42" s="703">
        <v>201778.83333333334</v>
      </c>
      <c r="V42" s="677">
        <f>U42/U$12</f>
        <v>0.14224450941387781</v>
      </c>
      <c r="W42" s="703">
        <v>201778.83333333334</v>
      </c>
      <c r="X42" s="677">
        <f>W42/W$12</f>
        <v>0.1398060776121024</v>
      </c>
      <c r="Y42" s="703">
        <v>201778.83333333334</v>
      </c>
      <c r="Z42" s="677">
        <f>Y42/Y$12</f>
        <v>9.2546142310763316E-2</v>
      </c>
      <c r="AA42" s="144">
        <f t="shared" ref="AA42:AA75" si="34">C42+E42+G42+I42+K42+M42+O42+Q42+S42+U42+W42+Y42</f>
        <v>2292941.4766666666</v>
      </c>
      <c r="AB42" s="68">
        <f>AA42/AA$12</f>
        <v>0.1128643945144516</v>
      </c>
      <c r="AC42" s="128">
        <f>AA42/12</f>
        <v>191078.45638888888</v>
      </c>
      <c r="AD42" s="68">
        <f>AC42/AC$12</f>
        <v>0.11286439451445159</v>
      </c>
      <c r="AE42" s="595" t="s">
        <v>228</v>
      </c>
      <c r="AF42" s="595" t="s">
        <v>299</v>
      </c>
      <c r="AG42" s="595"/>
    </row>
    <row r="43" spans="1:42" s="1" customFormat="1">
      <c r="A43" s="188">
        <v>6102</v>
      </c>
      <c r="B43" s="227" t="s">
        <v>3</v>
      </c>
      <c r="C43" s="714">
        <v>8100</v>
      </c>
      <c r="D43" s="702">
        <f t="shared" ref="D43:F43" si="35">C43/C$12</f>
        <v>5.3010831505440953E-3</v>
      </c>
      <c r="E43" s="714">
        <v>8100</v>
      </c>
      <c r="F43" s="702">
        <f t="shared" si="35"/>
        <v>6.8137187360196366E-3</v>
      </c>
      <c r="G43" s="714">
        <v>8100</v>
      </c>
      <c r="H43" s="702">
        <f t="shared" ref="H43" si="36">G43/G$12</f>
        <v>4.1076746862449796E-3</v>
      </c>
      <c r="I43" s="714">
        <v>8100</v>
      </c>
      <c r="J43" s="702">
        <f t="shared" ref="J43" si="37">I43/I$12</f>
        <v>4.651983420443007E-3</v>
      </c>
      <c r="K43" s="714">
        <v>8100</v>
      </c>
      <c r="L43" s="702">
        <f t="shared" ref="L43" si="38">K43/K$12</f>
        <v>5.0863480259349019E-3</v>
      </c>
      <c r="M43" s="714">
        <v>8100</v>
      </c>
      <c r="N43" s="702">
        <f t="shared" ref="N43" si="39">M43/M$12</f>
        <v>3.5870223477093956E-3</v>
      </c>
      <c r="O43" s="714">
        <v>8100</v>
      </c>
      <c r="P43" s="702">
        <f t="shared" ref="P43" si="40">O43/O$12</f>
        <v>5.665712743973865E-3</v>
      </c>
      <c r="Q43" s="714">
        <v>8100</v>
      </c>
      <c r="R43" s="702">
        <f t="shared" ref="R43" si="41">Q43/Q$12</f>
        <v>4.5627241844503489E-3</v>
      </c>
      <c r="S43" s="714">
        <v>8100</v>
      </c>
      <c r="T43" s="702">
        <f t="shared" ref="T43" si="42">S43/S$12</f>
        <v>4.5293012216334914E-3</v>
      </c>
      <c r="U43" s="714">
        <v>8100</v>
      </c>
      <c r="V43" s="702">
        <f t="shared" ref="V43" si="43">U43/U$12</f>
        <v>5.7101159086842294E-3</v>
      </c>
      <c r="W43" s="714">
        <v>8100</v>
      </c>
      <c r="X43" s="702">
        <f t="shared" ref="X43" si="44">W43/W$12</f>
        <v>5.6122300339961125E-3</v>
      </c>
      <c r="Y43" s="714">
        <v>8100</v>
      </c>
      <c r="Z43" s="702">
        <f t="shared" ref="Z43" si="45">Y43/Y$12</f>
        <v>3.7150762561840374E-3</v>
      </c>
      <c r="AA43" s="144">
        <f t="shared" si="34"/>
        <v>97200</v>
      </c>
      <c r="AB43" s="702">
        <f t="shared" ref="AB43" si="46">AA43/AA$12</f>
        <v>4.7844305048521333E-3</v>
      </c>
      <c r="AC43" s="128">
        <f t="shared" ref="AC43" si="47">AA43/12</f>
        <v>8100</v>
      </c>
      <c r="AD43" s="702">
        <f t="shared" ref="AD43" si="48">AC43/AC$12</f>
        <v>4.7844305048521324E-3</v>
      </c>
      <c r="AE43" s="645" t="s">
        <v>272</v>
      </c>
      <c r="AF43" s="694" t="s">
        <v>297</v>
      </c>
      <c r="AG43" s="595"/>
    </row>
    <row r="44" spans="1:42" s="1" customFormat="1">
      <c r="A44" s="188">
        <v>6103</v>
      </c>
      <c r="B44" s="227" t="s">
        <v>4</v>
      </c>
      <c r="C44" s="114"/>
      <c r="D44" s="677">
        <f t="shared" ref="D44:F65" si="49">C44/C$12</f>
        <v>0</v>
      </c>
      <c r="E44" s="114"/>
      <c r="F44" s="677">
        <f t="shared" si="49"/>
        <v>0</v>
      </c>
      <c r="H44" s="677">
        <f t="shared" ref="H44" si="50">G44/G$12</f>
        <v>0</v>
      </c>
      <c r="I44" s="114"/>
      <c r="J44" s="677">
        <f t="shared" ref="J44" si="51">I44/I$12</f>
        <v>0</v>
      </c>
      <c r="K44" s="114"/>
      <c r="L44" s="677">
        <f t="shared" ref="L44" si="52">K44/K$12</f>
        <v>0</v>
      </c>
      <c r="M44" s="704"/>
      <c r="N44" s="677">
        <f t="shared" ref="N44" si="53">M44/M$12</f>
        <v>0</v>
      </c>
      <c r="P44" s="677">
        <f t="shared" ref="P44" si="54">O44/O$12</f>
        <v>0</v>
      </c>
      <c r="Q44" s="114"/>
      <c r="R44" s="677">
        <f t="shared" ref="R44" si="55">Q44/Q$12</f>
        <v>0</v>
      </c>
      <c r="S44" s="114"/>
      <c r="T44" s="677">
        <f t="shared" ref="T44" si="56">S44/S$12</f>
        <v>0</v>
      </c>
      <c r="U44" s="114"/>
      <c r="V44" s="677">
        <f t="shared" ref="V44" si="57">U44/U$12</f>
        <v>0</v>
      </c>
      <c r="W44" s="114"/>
      <c r="X44" s="677">
        <f t="shared" ref="X44" si="58">W44/W$12</f>
        <v>0</v>
      </c>
      <c r="Y44" s="114"/>
      <c r="Z44" s="677">
        <f t="shared" ref="Z44" si="59">Y44/Y$12</f>
        <v>0</v>
      </c>
      <c r="AA44" s="144">
        <f t="shared" si="34"/>
        <v>0</v>
      </c>
      <c r="AB44" s="68">
        <f t="shared" ref="AB44:AB66" si="60">AA44/AA$12</f>
        <v>0</v>
      </c>
      <c r="AC44" s="128">
        <f t="shared" ref="AC44:AC75" si="61">AA44/12</f>
        <v>0</v>
      </c>
      <c r="AD44" s="68">
        <f t="shared" ref="AD44:AD66" si="62">AC44/AC$12</f>
        <v>0</v>
      </c>
      <c r="AE44" s="595"/>
      <c r="AF44" s="595"/>
      <c r="AG44" s="595"/>
    </row>
    <row r="45" spans="1:42" s="1" customFormat="1">
      <c r="A45" s="188">
        <v>6104</v>
      </c>
      <c r="B45" s="227" t="s">
        <v>5</v>
      </c>
      <c r="C45" s="693">
        <v>3500</v>
      </c>
      <c r="D45" s="702">
        <f>C45/C12</f>
        <v>2.290591484803004E-3</v>
      </c>
      <c r="E45" s="693">
        <v>3500</v>
      </c>
      <c r="F45" s="702">
        <f>E45/E12</f>
        <v>2.9441994538356455E-3</v>
      </c>
      <c r="G45" s="693">
        <v>3500</v>
      </c>
      <c r="H45" s="702">
        <f>G45/G12</f>
        <v>1.7749211607231393E-3</v>
      </c>
      <c r="I45" s="693">
        <v>3500</v>
      </c>
      <c r="J45" s="702">
        <f>I45/I12</f>
        <v>2.0101162927840155E-3</v>
      </c>
      <c r="K45" s="693">
        <v>3500</v>
      </c>
      <c r="L45" s="702">
        <f>K45/K12</f>
        <v>2.1978047025644639E-3</v>
      </c>
      <c r="M45" s="693">
        <v>3500</v>
      </c>
      <c r="N45" s="702">
        <f>M45/M12</f>
        <v>1.5499479280225784E-3</v>
      </c>
      <c r="O45" s="693">
        <v>3500</v>
      </c>
      <c r="P45" s="702">
        <f>O45/O12</f>
        <v>2.4481474819640159E-3</v>
      </c>
      <c r="Q45" s="693">
        <v>3500</v>
      </c>
      <c r="R45" s="702">
        <f>Q45/Q12</f>
        <v>1.9715474871081751E-3</v>
      </c>
      <c r="S45" s="693">
        <v>3500</v>
      </c>
      <c r="T45" s="702">
        <f>S45/S12</f>
        <v>1.9571054661379284E-3</v>
      </c>
      <c r="U45" s="693">
        <v>3500</v>
      </c>
      <c r="V45" s="702">
        <f>U45/U12</f>
        <v>2.4673340346166423E-3</v>
      </c>
      <c r="W45" s="693">
        <v>3500</v>
      </c>
      <c r="X45" s="702">
        <f>W45/W12</f>
        <v>2.425037669010666E-3</v>
      </c>
      <c r="Y45" s="693">
        <v>3500</v>
      </c>
      <c r="Z45" s="702">
        <f>Y45/Y12</f>
        <v>1.605279863783226E-3</v>
      </c>
      <c r="AA45" s="144">
        <f t="shared" si="34"/>
        <v>42000</v>
      </c>
      <c r="AB45" s="68">
        <f t="shared" si="60"/>
        <v>2.0673465144422799E-3</v>
      </c>
      <c r="AC45" s="128">
        <f t="shared" si="61"/>
        <v>3500</v>
      </c>
      <c r="AD45" s="68">
        <f t="shared" si="62"/>
        <v>2.0673465144422794E-3</v>
      </c>
      <c r="AE45" s="645" t="s">
        <v>279</v>
      </c>
      <c r="AF45" s="694" t="s">
        <v>280</v>
      </c>
      <c r="AG45" s="595"/>
    </row>
    <row r="46" spans="1:42" s="1" customFormat="1">
      <c r="A46" s="188">
        <v>6105</v>
      </c>
      <c r="B46" s="227" t="s">
        <v>39</v>
      </c>
      <c r="C46" s="436">
        <f>C12*0.24%</f>
        <v>3667.1750749664634</v>
      </c>
      <c r="D46" s="702">
        <f>C46/C$12</f>
        <v>2.3999999999999998E-3</v>
      </c>
      <c r="E46" s="436">
        <f>E12*0.24%</f>
        <v>2853.0675763344238</v>
      </c>
      <c r="F46" s="702">
        <f>E46/E$12</f>
        <v>2.3999999999999998E-3</v>
      </c>
      <c r="G46" s="436">
        <f>G12*0.24%</f>
        <v>4732.6045718997839</v>
      </c>
      <c r="H46" s="702">
        <f>G46/$G$12</f>
        <v>2.3999999999999998E-3</v>
      </c>
      <c r="I46" s="436">
        <f>I12*0.24%</f>
        <v>4178.8627007077193</v>
      </c>
      <c r="J46" s="226">
        <v>2.282921148507532E-3</v>
      </c>
      <c r="K46" s="436">
        <f>K12*0.24%</f>
        <v>3821.9956441983359</v>
      </c>
      <c r="L46" s="226">
        <v>1.4480363095715567E-3</v>
      </c>
      <c r="M46" s="436">
        <f>M12*0.24%</f>
        <v>5419.5369070990073</v>
      </c>
      <c r="N46" s="702">
        <v>1.4265472348621291E-3</v>
      </c>
      <c r="O46" s="436">
        <f>O12*0.24%</f>
        <v>3431.1658353446646</v>
      </c>
      <c r="P46" s="702">
        <f>O46/O$12</f>
        <v>2.3999999999999998E-3</v>
      </c>
      <c r="Q46" s="436">
        <f>Q12*0.24%</f>
        <v>4260.6125669947442</v>
      </c>
      <c r="R46" s="702">
        <f>Q46/Q$12</f>
        <v>2.3999999999999998E-3</v>
      </c>
      <c r="S46" s="436">
        <f>S12*0.24%</f>
        <v>4292.0528021293685</v>
      </c>
      <c r="T46" s="702">
        <f>S46/S$12</f>
        <v>2.3999999999999998E-3</v>
      </c>
      <c r="U46" s="436">
        <f>U12*0.24%</f>
        <v>3404.4843066030721</v>
      </c>
      <c r="V46" s="702">
        <f>U46/U12</f>
        <v>2.3999999999999998E-3</v>
      </c>
      <c r="W46" s="436">
        <f>W12*0.24%</f>
        <v>3463.8637194559196</v>
      </c>
      <c r="X46" s="702">
        <f>W46/W12</f>
        <v>2.3999999999999998E-3</v>
      </c>
      <c r="Y46" s="436">
        <f>Y16*0.24%</f>
        <v>5232.7324284772312</v>
      </c>
      <c r="Z46" s="702">
        <f>Y46/Y12</f>
        <v>2.3999999999999998E-3</v>
      </c>
      <c r="AA46" s="144">
        <f t="shared" si="34"/>
        <v>48758.154134210738</v>
      </c>
      <c r="AB46" s="68">
        <f t="shared" si="60"/>
        <v>2.3999999999999998E-3</v>
      </c>
      <c r="AC46" s="128">
        <f t="shared" si="61"/>
        <v>4063.179511184228</v>
      </c>
      <c r="AD46" s="68">
        <f t="shared" si="62"/>
        <v>2.3999999999999998E-3</v>
      </c>
      <c r="AE46" s="645" t="s">
        <v>271</v>
      </c>
      <c r="AF46" s="694" t="s">
        <v>273</v>
      </c>
      <c r="AG46" s="595"/>
    </row>
    <row r="47" spans="1:42" s="1" customFormat="1">
      <c r="A47" s="188">
        <v>6106</v>
      </c>
      <c r="B47" s="227" t="s">
        <v>6</v>
      </c>
      <c r="C47" s="437">
        <v>250</v>
      </c>
      <c r="D47" s="24">
        <f>C47/C12</f>
        <v>1.6361367748592886E-4</v>
      </c>
      <c r="E47" s="437">
        <v>250</v>
      </c>
      <c r="F47" s="24">
        <f>E47/E12</f>
        <v>2.1029996098826038E-4</v>
      </c>
      <c r="G47" s="437">
        <v>250</v>
      </c>
      <c r="H47" s="24">
        <f>G47/G12</f>
        <v>1.2678008290879566E-4</v>
      </c>
      <c r="I47" s="437">
        <v>250</v>
      </c>
      <c r="J47" s="24">
        <f>I47/I12</f>
        <v>1.4357973519885824E-4</v>
      </c>
      <c r="K47" s="437">
        <v>250</v>
      </c>
      <c r="L47" s="24">
        <f>K47/K12</f>
        <v>1.5698605018317599E-4</v>
      </c>
      <c r="M47" s="437">
        <v>250</v>
      </c>
      <c r="N47" s="24">
        <f>M47/M12</f>
        <v>1.1071056628732702E-4</v>
      </c>
      <c r="O47" s="437">
        <v>250</v>
      </c>
      <c r="P47" s="24">
        <f>O47/O12</f>
        <v>1.74867677283144E-4</v>
      </c>
      <c r="Q47" s="437">
        <v>250</v>
      </c>
      <c r="R47" s="24">
        <f>Q47/Q12</f>
        <v>1.4082482050772682E-4</v>
      </c>
      <c r="S47" s="437">
        <v>250</v>
      </c>
      <c r="T47" s="24">
        <f>S47/S12</f>
        <v>1.397932475812806E-4</v>
      </c>
      <c r="U47" s="437">
        <v>250</v>
      </c>
      <c r="V47" s="24">
        <f>U47/U12</f>
        <v>1.7623814532976016E-4</v>
      </c>
      <c r="W47" s="437">
        <v>250</v>
      </c>
      <c r="X47" s="24">
        <f>W47/W12</f>
        <v>1.732169763579047E-4</v>
      </c>
      <c r="Y47" s="437">
        <v>250</v>
      </c>
      <c r="Z47" s="24">
        <f>Y47/Y12</f>
        <v>1.1466284741308757E-4</v>
      </c>
      <c r="AA47" s="144">
        <f t="shared" si="34"/>
        <v>3000</v>
      </c>
      <c r="AB47" s="702">
        <f>AA47/AA12</f>
        <v>1.4766760817444855E-4</v>
      </c>
      <c r="AC47" s="128">
        <f t="shared" si="61"/>
        <v>250</v>
      </c>
      <c r="AD47" s="702">
        <f>AC47/AC12</f>
        <v>1.4766760817444853E-4</v>
      </c>
      <c r="AE47" s="658" t="s">
        <v>274</v>
      </c>
      <c r="AF47" s="393"/>
      <c r="AG47" s="393"/>
      <c r="AP47" s="731">
        <f t="shared" ref="AP47" si="63">Q47*0.985</f>
        <v>246.25</v>
      </c>
    </row>
    <row r="48" spans="1:42" s="1" customFormat="1">
      <c r="A48" s="188">
        <v>6107</v>
      </c>
      <c r="B48" s="227" t="s">
        <v>7</v>
      </c>
      <c r="C48" s="31"/>
      <c r="D48" s="677">
        <f t="shared" si="49"/>
        <v>0</v>
      </c>
      <c r="E48" s="31"/>
      <c r="F48" s="677">
        <f t="shared" si="49"/>
        <v>0</v>
      </c>
      <c r="H48" s="677">
        <f t="shared" ref="H48" si="64">G48/G$12</f>
        <v>0</v>
      </c>
      <c r="I48" s="31">
        <v>900</v>
      </c>
      <c r="J48" s="677">
        <f t="shared" ref="J48" si="65">I48/I$12</f>
        <v>5.1688704671588967E-4</v>
      </c>
      <c r="K48" s="31"/>
      <c r="L48" s="677">
        <f t="shared" ref="L48" si="66">K48/K$12</f>
        <v>0</v>
      </c>
      <c r="M48" s="31"/>
      <c r="N48" s="677">
        <f t="shared" ref="N48" si="67">M48/M$12</f>
        <v>0</v>
      </c>
      <c r="P48" s="677">
        <f t="shared" ref="P48" si="68">O48/O$12</f>
        <v>0</v>
      </c>
      <c r="Q48" s="31"/>
      <c r="R48" s="677">
        <f t="shared" ref="R48" si="69">Q48/Q$12</f>
        <v>0</v>
      </c>
      <c r="S48" s="31"/>
      <c r="T48" s="677">
        <f t="shared" ref="T48" si="70">S48/S$12</f>
        <v>0</v>
      </c>
      <c r="U48" s="31"/>
      <c r="V48" s="677">
        <f t="shared" ref="V48" si="71">U48/U$12</f>
        <v>0</v>
      </c>
      <c r="W48" s="31"/>
      <c r="X48" s="677">
        <f t="shared" ref="X48" si="72">W48/W$12</f>
        <v>0</v>
      </c>
      <c r="Y48" s="31"/>
      <c r="Z48" s="677">
        <f t="shared" ref="Z48" si="73">Y48/Y$12</f>
        <v>0</v>
      </c>
      <c r="AA48" s="144">
        <f t="shared" si="34"/>
        <v>900</v>
      </c>
      <c r="AB48" s="68">
        <f t="shared" si="60"/>
        <v>4.4300282452334565E-5</v>
      </c>
      <c r="AC48" s="128">
        <f t="shared" si="61"/>
        <v>75</v>
      </c>
      <c r="AD48" s="68">
        <f t="shared" si="62"/>
        <v>4.4300282452334558E-5</v>
      </c>
      <c r="AE48" s="595"/>
      <c r="AF48" s="595"/>
      <c r="AG48" s="595"/>
    </row>
    <row r="49" spans="1:41" s="1" customFormat="1">
      <c r="A49" s="188">
        <v>6108</v>
      </c>
      <c r="B49" s="227" t="s">
        <v>8</v>
      </c>
      <c r="C49" s="31"/>
      <c r="D49" s="677">
        <f t="shared" si="49"/>
        <v>0</v>
      </c>
      <c r="E49" s="31"/>
      <c r="F49" s="677">
        <f t="shared" si="49"/>
        <v>0</v>
      </c>
      <c r="H49" s="677">
        <f t="shared" ref="H49" si="74">G49/G$12</f>
        <v>0</v>
      </c>
      <c r="I49" s="31"/>
      <c r="J49" s="677">
        <f t="shared" ref="J49" si="75">I49/I$12</f>
        <v>0</v>
      </c>
      <c r="K49" s="31"/>
      <c r="L49" s="677">
        <f t="shared" ref="L49" si="76">K49/K$12</f>
        <v>0</v>
      </c>
      <c r="M49" s="31"/>
      <c r="N49" s="677">
        <f t="shared" ref="N49" si="77">M49/M$12</f>
        <v>0</v>
      </c>
      <c r="P49" s="677">
        <f t="shared" ref="P49" si="78">O49/O$12</f>
        <v>0</v>
      </c>
      <c r="Q49" s="31"/>
      <c r="R49" s="677">
        <f t="shared" ref="R49" si="79">Q49/Q$12</f>
        <v>0</v>
      </c>
      <c r="S49" s="31"/>
      <c r="T49" s="677">
        <f t="shared" ref="T49" si="80">S49/S$12</f>
        <v>0</v>
      </c>
      <c r="U49" s="31"/>
      <c r="V49" s="677">
        <f t="shared" ref="V49" si="81">U49/U$12</f>
        <v>0</v>
      </c>
      <c r="W49" s="31"/>
      <c r="X49" s="677">
        <f t="shared" ref="X49" si="82">W49/W$12</f>
        <v>0</v>
      </c>
      <c r="Y49" s="31"/>
      <c r="Z49" s="677">
        <f t="shared" ref="Z49" si="83">Y49/Y$12</f>
        <v>0</v>
      </c>
      <c r="AA49" s="144">
        <f t="shared" si="34"/>
        <v>0</v>
      </c>
      <c r="AB49" s="68">
        <f t="shared" si="60"/>
        <v>0</v>
      </c>
      <c r="AC49" s="128">
        <f t="shared" si="61"/>
        <v>0</v>
      </c>
      <c r="AD49" s="68">
        <f t="shared" si="62"/>
        <v>0</v>
      </c>
      <c r="AE49" s="595"/>
      <c r="AF49" s="595"/>
      <c r="AG49" s="595"/>
    </row>
    <row r="50" spans="1:41" s="1" customFormat="1">
      <c r="A50" s="188">
        <v>6109</v>
      </c>
      <c r="B50" s="227" t="s">
        <v>79</v>
      </c>
      <c r="C50" s="113"/>
      <c r="D50" s="677">
        <f t="shared" si="49"/>
        <v>0</v>
      </c>
      <c r="E50" s="113"/>
      <c r="F50" s="677">
        <f t="shared" si="49"/>
        <v>0</v>
      </c>
      <c r="H50" s="677">
        <f t="shared" ref="H50" si="84">G50/G$12</f>
        <v>0</v>
      </c>
      <c r="I50" s="113"/>
      <c r="J50" s="677">
        <f t="shared" ref="J50" si="85">I50/I$12</f>
        <v>0</v>
      </c>
      <c r="K50" s="113"/>
      <c r="L50" s="677">
        <f t="shared" ref="L50" si="86">K50/K$12</f>
        <v>0</v>
      </c>
      <c r="M50" s="295"/>
      <c r="N50" s="677">
        <f t="shared" ref="N50" si="87">M50/M$12</f>
        <v>0</v>
      </c>
      <c r="P50" s="677">
        <f t="shared" ref="P50" si="88">O50/O$12</f>
        <v>0</v>
      </c>
      <c r="Q50" s="113"/>
      <c r="R50" s="677">
        <f t="shared" ref="R50" si="89">Q50/Q$12</f>
        <v>0</v>
      </c>
      <c r="S50" s="113"/>
      <c r="T50" s="677">
        <f t="shared" ref="T50" si="90">S50/S$12</f>
        <v>0</v>
      </c>
      <c r="U50" s="113"/>
      <c r="V50" s="677">
        <f t="shared" ref="V50" si="91">U50/U$12</f>
        <v>0</v>
      </c>
      <c r="W50" s="113"/>
      <c r="X50" s="677">
        <f t="shared" ref="X50" si="92">W50/W$12</f>
        <v>0</v>
      </c>
      <c r="Y50" s="113"/>
      <c r="Z50" s="677">
        <f t="shared" ref="Z50" si="93">Y50/Y$12</f>
        <v>0</v>
      </c>
      <c r="AA50" s="144">
        <f t="shared" si="34"/>
        <v>0</v>
      </c>
      <c r="AB50" s="68">
        <f t="shared" si="60"/>
        <v>0</v>
      </c>
      <c r="AC50" s="128">
        <f t="shared" si="61"/>
        <v>0</v>
      </c>
      <c r="AD50" s="68">
        <f t="shared" si="62"/>
        <v>0</v>
      </c>
      <c r="AE50" s="595"/>
      <c r="AF50" s="595"/>
      <c r="AG50" s="595"/>
    </row>
    <row r="51" spans="1:41" s="1" customFormat="1">
      <c r="A51" s="188">
        <v>6110</v>
      </c>
      <c r="B51" s="188" t="s">
        <v>9</v>
      </c>
      <c r="C51" s="432">
        <v>300</v>
      </c>
      <c r="D51" s="702">
        <f>C51/C12</f>
        <v>1.9633641298311464E-4</v>
      </c>
      <c r="E51" s="432">
        <v>300</v>
      </c>
      <c r="F51" s="702">
        <f>E51/E12</f>
        <v>2.5235995318591248E-4</v>
      </c>
      <c r="G51" s="432">
        <v>300</v>
      </c>
      <c r="H51" s="702">
        <f>G51/G12</f>
        <v>1.521360994905548E-4</v>
      </c>
      <c r="I51" s="432">
        <v>300</v>
      </c>
      <c r="J51" s="702">
        <f>I51/I12</f>
        <v>1.7229568223862989E-4</v>
      </c>
      <c r="K51" s="432">
        <v>300</v>
      </c>
      <c r="L51" s="702">
        <f>K51/K12</f>
        <v>1.8838326021981117E-4</v>
      </c>
      <c r="M51" s="432">
        <v>300</v>
      </c>
      <c r="N51" s="702">
        <f>M51/M12</f>
        <v>1.3285267954479243E-4</v>
      </c>
      <c r="O51" s="432">
        <v>300</v>
      </c>
      <c r="P51" s="702">
        <f>O51/O12</f>
        <v>2.0984121273977279E-4</v>
      </c>
      <c r="Q51" s="432">
        <v>300</v>
      </c>
      <c r="R51" s="702">
        <f>Q51/Q12</f>
        <v>1.6898978460927217E-4</v>
      </c>
      <c r="S51" s="432">
        <v>300</v>
      </c>
      <c r="T51" s="702">
        <f>S51/S12</f>
        <v>1.6775189709753672E-4</v>
      </c>
      <c r="U51" s="432">
        <v>300</v>
      </c>
      <c r="V51" s="702">
        <f>U51/U12</f>
        <v>2.1148577439571219E-4</v>
      </c>
      <c r="W51" s="432">
        <v>300</v>
      </c>
      <c r="X51" s="702">
        <f>W51/W12</f>
        <v>2.0786037162948565E-4</v>
      </c>
      <c r="Y51" s="432">
        <v>300</v>
      </c>
      <c r="Z51" s="702">
        <f>Y51/Y12</f>
        <v>1.3759541689570509E-4</v>
      </c>
      <c r="AA51" s="144">
        <f t="shared" si="34"/>
        <v>3600</v>
      </c>
      <c r="AB51" s="68">
        <f t="shared" si="60"/>
        <v>1.7720112980933826E-4</v>
      </c>
      <c r="AC51" s="128">
        <f t="shared" si="61"/>
        <v>300</v>
      </c>
      <c r="AD51" s="68">
        <f t="shared" si="62"/>
        <v>1.7720112980933823E-4</v>
      </c>
      <c r="AE51" s="645" t="s">
        <v>283</v>
      </c>
      <c r="AF51" s="694"/>
      <c r="AG51" s="595"/>
    </row>
    <row r="52" spans="1:41" s="1" customFormat="1">
      <c r="A52" s="757">
        <v>6111</v>
      </c>
      <c r="B52" s="227" t="s">
        <v>10</v>
      </c>
      <c r="C52" s="714">
        <v>29708.75</v>
      </c>
      <c r="D52" s="677">
        <f t="shared" si="49"/>
        <v>1.9443031364040356E-2</v>
      </c>
      <c r="E52" s="703">
        <v>29708.75</v>
      </c>
      <c r="F52" s="677">
        <f t="shared" si="49"/>
        <v>2.4990995864039921E-2</v>
      </c>
      <c r="G52" s="371">
        <v>29708.75</v>
      </c>
      <c r="H52" s="677">
        <f t="shared" ref="H52" si="94">G52/G$12</f>
        <v>1.5065911152466731E-2</v>
      </c>
      <c r="I52" s="703">
        <v>29708.75</v>
      </c>
      <c r="J52" s="677">
        <f t="shared" ref="J52" si="95">I52/I$12</f>
        <v>1.706229783235632E-2</v>
      </c>
      <c r="K52" s="703">
        <v>29708.75</v>
      </c>
      <c r="L52" s="677">
        <f t="shared" ref="L52" si="96">K52/K$12</f>
        <v>1.8655437273517719E-2</v>
      </c>
      <c r="M52" s="33">
        <v>29708.75</v>
      </c>
      <c r="N52" s="677">
        <f t="shared" ref="N52" si="97">M52/M$12</f>
        <v>1.3156290144754506E-2</v>
      </c>
      <c r="O52" s="371">
        <v>29708.75</v>
      </c>
      <c r="P52" s="677">
        <f t="shared" ref="P52" si="98">O52/O$12</f>
        <v>2.0780400429942416E-2</v>
      </c>
      <c r="Q52" s="703">
        <v>32679.666666666668</v>
      </c>
      <c r="R52" s="677">
        <f t="shared" ref="R52" si="99">Q52/Q$12</f>
        <v>1.8408432770342705E-2</v>
      </c>
      <c r="S52" s="703">
        <v>32679.666666666668</v>
      </c>
      <c r="T52" s="677">
        <f t="shared" ref="T52" si="100">S52/S$12</f>
        <v>1.8273586932828226E-2</v>
      </c>
      <c r="U52" s="703">
        <v>32679.666666666668</v>
      </c>
      <c r="V52" s="677">
        <f t="shared" ref="V52" si="101">U52/U$12</f>
        <v>2.3037615373312476E-2</v>
      </c>
      <c r="W52" s="703">
        <v>32679.666666666668</v>
      </c>
      <c r="X52" s="677">
        <f t="shared" ref="X52" si="102">W52/W$12</f>
        <v>2.2642692193536828E-2</v>
      </c>
      <c r="Y52" s="703">
        <v>32679.666666666668</v>
      </c>
      <c r="Z52" s="677">
        <f t="shared" ref="Z52" si="103">Y52/Y$12</f>
        <v>1.4988574530042258E-2</v>
      </c>
      <c r="AA52" s="144">
        <f t="shared" si="34"/>
        <v>371359.58333333337</v>
      </c>
      <c r="AB52" s="68">
        <f t="shared" si="60"/>
        <v>1.8279260481164381E-2</v>
      </c>
      <c r="AC52" s="128">
        <f t="shared" si="61"/>
        <v>30946.631944444449</v>
      </c>
      <c r="AD52" s="68">
        <f t="shared" si="62"/>
        <v>1.8279260481164381E-2</v>
      </c>
      <c r="AE52" s="595" t="s">
        <v>228</v>
      </c>
      <c r="AF52" s="595"/>
      <c r="AG52" s="595"/>
    </row>
    <row r="53" spans="1:41" s="1" customFormat="1">
      <c r="A53" s="188">
        <v>6112</v>
      </c>
      <c r="B53" s="188" t="s">
        <v>11</v>
      </c>
      <c r="C53" s="705">
        <v>2650</v>
      </c>
      <c r="D53" s="702">
        <f>C53/C12</f>
        <v>1.734304981350846E-3</v>
      </c>
      <c r="E53" s="705">
        <v>2650</v>
      </c>
      <c r="F53" s="702">
        <f>E53/E12</f>
        <v>2.2291795864755599E-3</v>
      </c>
      <c r="G53" s="705">
        <v>2650</v>
      </c>
      <c r="H53" s="702">
        <f>G53/G12</f>
        <v>1.3438688788332341E-3</v>
      </c>
      <c r="I53" s="705">
        <v>2650</v>
      </c>
      <c r="J53" s="702">
        <f>I53/I12</f>
        <v>1.5219451931078975E-3</v>
      </c>
      <c r="K53" s="705">
        <v>2650</v>
      </c>
      <c r="L53" s="702">
        <f>K53/K12</f>
        <v>1.6640521319416653E-3</v>
      </c>
      <c r="M53" s="705">
        <v>2650</v>
      </c>
      <c r="N53" s="702">
        <f>M53/M12</f>
        <v>1.1735320026456664E-3</v>
      </c>
      <c r="O53" s="705">
        <v>2650</v>
      </c>
      <c r="P53" s="702">
        <f>O53/O12</f>
        <v>1.8535973792013264E-3</v>
      </c>
      <c r="Q53" s="705">
        <v>2650</v>
      </c>
      <c r="R53" s="702">
        <f>Q53/Q12</f>
        <v>1.4927430973819041E-3</v>
      </c>
      <c r="S53" s="705">
        <v>2650</v>
      </c>
      <c r="T53" s="702">
        <f>S53/S12</f>
        <v>1.4818084243615743E-3</v>
      </c>
      <c r="U53" s="705">
        <v>2650</v>
      </c>
      <c r="V53" s="702">
        <f>U53/U12</f>
        <v>1.8681243404954577E-3</v>
      </c>
      <c r="W53" s="705">
        <v>2650</v>
      </c>
      <c r="X53" s="702">
        <f>W53/W12</f>
        <v>1.83609994939379E-3</v>
      </c>
      <c r="Y53" s="705">
        <v>2650</v>
      </c>
      <c r="Z53" s="702">
        <f>Y53/Y12</f>
        <v>1.2154261825787283E-3</v>
      </c>
      <c r="AA53" s="144">
        <f t="shared" si="34"/>
        <v>31800</v>
      </c>
      <c r="AB53" s="702">
        <f>AA53/AA12</f>
        <v>1.5652766466491546E-3</v>
      </c>
      <c r="AC53" s="128">
        <f t="shared" si="61"/>
        <v>2650</v>
      </c>
      <c r="AD53" s="702">
        <f>AC53/AC12</f>
        <v>1.5652766466491546E-3</v>
      </c>
      <c r="AE53" s="645"/>
      <c r="AF53" s="694"/>
      <c r="AG53" s="226"/>
    </row>
    <row r="54" spans="1:41" s="1" customFormat="1">
      <c r="A54" s="188">
        <v>6113</v>
      </c>
      <c r="B54" s="227" t="s">
        <v>12</v>
      </c>
      <c r="C54" s="714">
        <v>15750</v>
      </c>
      <c r="D54" s="677">
        <f t="shared" si="49"/>
        <v>1.0307661681613518E-2</v>
      </c>
      <c r="E54" s="61">
        <v>15750</v>
      </c>
      <c r="F54" s="677">
        <f t="shared" si="49"/>
        <v>1.3248897542260404E-2</v>
      </c>
      <c r="G54" s="371">
        <v>15750</v>
      </c>
      <c r="H54" s="677">
        <f t="shared" ref="H54" si="104">G54/G$12</f>
        <v>7.9871452232541263E-3</v>
      </c>
      <c r="I54" s="371">
        <v>15750</v>
      </c>
      <c r="J54" s="677">
        <f t="shared" ref="J54" si="105">I54/I$12</f>
        <v>9.0455233175280696E-3</v>
      </c>
      <c r="K54" s="61">
        <v>15750</v>
      </c>
      <c r="L54" s="677">
        <f t="shared" ref="L54" si="106">K54/K$12</f>
        <v>9.8901211615400868E-3</v>
      </c>
      <c r="M54" s="33">
        <v>15750</v>
      </c>
      <c r="N54" s="677">
        <f t="shared" ref="N54" si="107">M54/M$12</f>
        <v>6.9747656761016026E-3</v>
      </c>
      <c r="O54" s="371">
        <v>15750</v>
      </c>
      <c r="P54" s="677">
        <f t="shared" ref="P54" si="108">O54/O$12</f>
        <v>1.1016663668838071E-2</v>
      </c>
      <c r="Q54" s="61">
        <v>15750</v>
      </c>
      <c r="R54" s="677">
        <f t="shared" ref="R54" si="109">Q54/Q$12</f>
        <v>8.8719636919867891E-3</v>
      </c>
      <c r="S54" s="61">
        <v>15225</v>
      </c>
      <c r="T54" s="677">
        <f t="shared" ref="T54" si="110">S54/S$12</f>
        <v>8.5134087776999896E-3</v>
      </c>
      <c r="U54" s="61">
        <v>16500</v>
      </c>
      <c r="V54" s="677">
        <f t="shared" ref="V54" si="111">U54/U$12</f>
        <v>1.163171759176417E-2</v>
      </c>
      <c r="W54" s="51">
        <v>16500</v>
      </c>
      <c r="X54" s="677">
        <f t="shared" ref="X54" si="112">W54/W$12</f>
        <v>1.1432320439621712E-2</v>
      </c>
      <c r="Y54" s="61">
        <v>16500</v>
      </c>
      <c r="Z54" s="677">
        <f t="shared" ref="Z54" si="113">Y54/Y$12</f>
        <v>7.5677479292637793E-3</v>
      </c>
      <c r="AA54" s="144">
        <f t="shared" si="34"/>
        <v>190725</v>
      </c>
      <c r="AB54" s="68">
        <f t="shared" si="60"/>
        <v>9.3879681896905671E-3</v>
      </c>
      <c r="AC54" s="128">
        <f t="shared" si="61"/>
        <v>15893.75</v>
      </c>
      <c r="AD54" s="68">
        <f t="shared" si="62"/>
        <v>9.3879681896905653E-3</v>
      </c>
      <c r="AE54" s="595" t="s">
        <v>228</v>
      </c>
      <c r="AF54" s="595"/>
      <c r="AG54" s="595"/>
    </row>
    <row r="55" spans="1:41" s="1" customFormat="1">
      <c r="A55" s="188">
        <v>6114</v>
      </c>
      <c r="B55" s="227" t="s">
        <v>88</v>
      </c>
      <c r="C55" s="31">
        <v>2500</v>
      </c>
      <c r="D55" s="702">
        <f>C55/C12</f>
        <v>1.6361367748592886E-3</v>
      </c>
      <c r="E55" s="31">
        <v>2500</v>
      </c>
      <c r="F55" s="702">
        <f>E55/E12</f>
        <v>2.102999609882604E-3</v>
      </c>
      <c r="G55" s="31">
        <v>2500</v>
      </c>
      <c r="H55" s="702">
        <f>G55/G12</f>
        <v>1.2678008290879566E-3</v>
      </c>
      <c r="I55" s="31">
        <v>2500</v>
      </c>
      <c r="J55" s="702">
        <f>I55/I12</f>
        <v>1.4357973519885825E-3</v>
      </c>
      <c r="K55" s="31">
        <v>2500</v>
      </c>
      <c r="L55" s="702">
        <f>K55/K12</f>
        <v>1.5698605018317599E-3</v>
      </c>
      <c r="M55" s="31">
        <v>2500</v>
      </c>
      <c r="N55" s="702">
        <f>M55/M12</f>
        <v>1.1071056628732701E-3</v>
      </c>
      <c r="O55" s="31">
        <v>2500</v>
      </c>
      <c r="P55" s="702">
        <f>O55/O12</f>
        <v>1.7486767728314399E-3</v>
      </c>
      <c r="Q55" s="31">
        <v>2500</v>
      </c>
      <c r="R55" s="702">
        <f>Q55/Q12</f>
        <v>1.4082482050772681E-3</v>
      </c>
      <c r="S55" s="31">
        <v>2500</v>
      </c>
      <c r="T55" s="702">
        <f>S55/S12</f>
        <v>1.397932475812806E-3</v>
      </c>
      <c r="U55" s="31">
        <v>2500</v>
      </c>
      <c r="V55" s="702">
        <f>U55/U12</f>
        <v>1.7623814532976016E-3</v>
      </c>
      <c r="W55" s="31">
        <v>2500</v>
      </c>
      <c r="X55" s="702">
        <f>W55/W12</f>
        <v>1.7321697635790472E-3</v>
      </c>
      <c r="Y55" s="31">
        <v>2500</v>
      </c>
      <c r="Z55" s="702">
        <f>Y55/Y12</f>
        <v>1.1466284741308756E-3</v>
      </c>
      <c r="AA55" s="144">
        <f t="shared" si="34"/>
        <v>30000</v>
      </c>
      <c r="AB55" s="702">
        <f>AA55/AA12</f>
        <v>1.4766760817444854E-3</v>
      </c>
      <c r="AC55" s="128">
        <f t="shared" si="61"/>
        <v>2500</v>
      </c>
      <c r="AD55" s="702">
        <f>AC55/AC12</f>
        <v>1.4766760817444854E-3</v>
      </c>
      <c r="AE55" s="665" t="s">
        <v>281</v>
      </c>
      <c r="AF55" s="393" t="s">
        <v>282</v>
      </c>
      <c r="AG55" s="393"/>
    </row>
    <row r="56" spans="1:41" s="1" customFormat="1">
      <c r="A56" s="188">
        <v>6115</v>
      </c>
      <c r="B56" s="227" t="s">
        <v>13</v>
      </c>
      <c r="C56" s="437">
        <v>300</v>
      </c>
      <c r="D56" s="24">
        <f>C56/C12</f>
        <v>1.9633641298311464E-4</v>
      </c>
      <c r="E56" s="437">
        <v>300</v>
      </c>
      <c r="F56" s="24">
        <f>E56/E12</f>
        <v>2.5235995318591248E-4</v>
      </c>
      <c r="G56" s="437">
        <f>300+1000</f>
        <v>1300</v>
      </c>
      <c r="H56" s="24">
        <f>G56/G12</f>
        <v>6.5925643112573742E-4</v>
      </c>
      <c r="I56" s="437">
        <v>300</v>
      </c>
      <c r="J56" s="24">
        <f>I56/I12</f>
        <v>1.7229568223862989E-4</v>
      </c>
      <c r="K56" s="437">
        <v>300</v>
      </c>
      <c r="L56" s="24">
        <f>K56/K12</f>
        <v>1.8838326021981117E-4</v>
      </c>
      <c r="M56" s="437">
        <v>300</v>
      </c>
      <c r="N56" s="24">
        <f>M56/M12</f>
        <v>1.3285267954479243E-4</v>
      </c>
      <c r="O56" s="437">
        <v>300</v>
      </c>
      <c r="P56" s="24">
        <f>O56/O12</f>
        <v>2.0984121273977279E-4</v>
      </c>
      <c r="Q56" s="437">
        <v>300</v>
      </c>
      <c r="R56" s="24">
        <f>Q56/Q12</f>
        <v>1.6898978460927217E-4</v>
      </c>
      <c r="S56" s="437">
        <v>300</v>
      </c>
      <c r="T56" s="24">
        <f>S56/S12</f>
        <v>1.6775189709753672E-4</v>
      </c>
      <c r="U56" s="437">
        <v>300</v>
      </c>
      <c r="V56" s="24">
        <f>U56/U12</f>
        <v>2.1148577439571219E-4</v>
      </c>
      <c r="W56" s="437">
        <v>300</v>
      </c>
      <c r="X56" s="24">
        <f>W56/W12</f>
        <v>2.0786037162948565E-4</v>
      </c>
      <c r="Y56" s="437">
        <v>300</v>
      </c>
      <c r="Z56" s="24">
        <f>Y56/Y12</f>
        <v>1.3759541689570509E-4</v>
      </c>
      <c r="AA56" s="144">
        <f t="shared" si="34"/>
        <v>4600</v>
      </c>
      <c r="AB56" s="702">
        <f>AA56/AA12</f>
        <v>2.2642366586748779E-4</v>
      </c>
      <c r="AC56" s="128">
        <f t="shared" si="61"/>
        <v>383.33333333333331</v>
      </c>
      <c r="AD56" s="702">
        <f>AC56/AC12</f>
        <v>2.2642366586748773E-4</v>
      </c>
      <c r="AE56" s="645"/>
      <c r="AF56" s="694"/>
      <c r="AG56" s="226"/>
    </row>
    <row r="57" spans="1:41" s="1" customFormat="1">
      <c r="A57" s="188">
        <v>6116</v>
      </c>
      <c r="B57" s="227" t="s">
        <v>14</v>
      </c>
      <c r="C57" s="714">
        <f>2802.39+250</f>
        <v>3052.39</v>
      </c>
      <c r="D57" s="677">
        <f t="shared" si="49"/>
        <v>1.9976510120850973E-3</v>
      </c>
      <c r="E57" s="714">
        <f>2802.39+250</f>
        <v>3052.39</v>
      </c>
      <c r="F57" s="677">
        <f t="shared" si="49"/>
        <v>2.5676699916838243E-3</v>
      </c>
      <c r="G57" s="714">
        <f>2802.39+250</f>
        <v>3052.39</v>
      </c>
      <c r="H57" s="677">
        <f t="shared" ref="H57" si="114">G57/G$12</f>
        <v>1.5479290290799151E-3</v>
      </c>
      <c r="I57" s="714">
        <f>2802.39+250</f>
        <v>3052.39</v>
      </c>
      <c r="J57" s="677">
        <f t="shared" ref="J57" si="115">I57/I$12</f>
        <v>1.7530453916945717E-3</v>
      </c>
      <c r="K57" s="714">
        <f>2802.39+250</f>
        <v>3052.39</v>
      </c>
      <c r="L57" s="677">
        <f t="shared" ref="L57" si="116">K57/K$12</f>
        <v>1.9167305988744981E-3</v>
      </c>
      <c r="M57" s="714">
        <f>2802.39+250</f>
        <v>3052.39</v>
      </c>
      <c r="N57" s="677">
        <f t="shared" ref="N57" si="117">M57/M$12</f>
        <v>1.3517273017190964E-3</v>
      </c>
      <c r="O57" s="714">
        <f>2802.39+250</f>
        <v>3052.39</v>
      </c>
      <c r="P57" s="677">
        <f t="shared" ref="P57" si="118">O57/O$12</f>
        <v>2.1350573978491834E-3</v>
      </c>
      <c r="Q57" s="714">
        <f>2802.39+250</f>
        <v>3052.39</v>
      </c>
      <c r="R57" s="677">
        <f t="shared" ref="R57" si="119">Q57/Q$12</f>
        <v>1.7194090954783209E-3</v>
      </c>
      <c r="S57" s="714">
        <f>2802.39+250</f>
        <v>3052.39</v>
      </c>
      <c r="T57" s="677">
        <f t="shared" ref="T57" si="120">S57/S$12</f>
        <v>1.7068140439385003E-3</v>
      </c>
      <c r="U57" s="714">
        <f>2802.39+250</f>
        <v>3052.39</v>
      </c>
      <c r="V57" s="677">
        <f t="shared" ref="V57" si="121">U57/U$12</f>
        <v>2.1517902096924264E-3</v>
      </c>
      <c r="W57" s="714">
        <f>2802.39+250</f>
        <v>3052.39</v>
      </c>
      <c r="X57" s="677">
        <f t="shared" ref="X57" si="122">W57/W$12</f>
        <v>2.1149030658604191E-3</v>
      </c>
      <c r="Y57" s="714">
        <f>2802.39+250</f>
        <v>3052.39</v>
      </c>
      <c r="Z57" s="677">
        <f t="shared" ref="Z57" si="123">Y57/Y$12</f>
        <v>1.3999829152609375E-3</v>
      </c>
      <c r="AA57" s="144">
        <f t="shared" si="34"/>
        <v>36628.68</v>
      </c>
      <c r="AB57" s="68">
        <f t="shared" si="60"/>
        <v>1.8029565220624201E-3</v>
      </c>
      <c r="AC57" s="128">
        <f t="shared" si="61"/>
        <v>3052.39</v>
      </c>
      <c r="AD57" s="68">
        <f t="shared" si="62"/>
        <v>1.8029565220624199E-3</v>
      </c>
      <c r="AE57" s="658" t="s">
        <v>285</v>
      </c>
      <c r="AF57" s="595"/>
      <c r="AG57" s="595"/>
    </row>
    <row r="58" spans="1:41" s="1" customFormat="1">
      <c r="A58" s="188">
        <v>6117</v>
      </c>
      <c r="B58" s="227" t="s">
        <v>15</v>
      </c>
      <c r="C58" s="710">
        <v>0</v>
      </c>
      <c r="D58" s="677">
        <f t="shared" si="49"/>
        <v>0</v>
      </c>
      <c r="E58" s="61"/>
      <c r="F58" s="677">
        <f t="shared" si="49"/>
        <v>0</v>
      </c>
      <c r="H58" s="677">
        <f t="shared" ref="H58" si="124">G58/G$12</f>
        <v>0</v>
      </c>
      <c r="I58" s="61"/>
      <c r="J58" s="677">
        <f t="shared" ref="J58" si="125">I58/I$12</f>
        <v>0</v>
      </c>
      <c r="K58" s="61"/>
      <c r="L58" s="677">
        <f t="shared" ref="L58" si="126">K58/K$12</f>
        <v>0</v>
      </c>
      <c r="M58" s="26"/>
      <c r="N58" s="677">
        <f t="shared" ref="N58" si="127">M58/M$12</f>
        <v>0</v>
      </c>
      <c r="P58" s="677">
        <f t="shared" ref="P58" si="128">O58/O$12</f>
        <v>0</v>
      </c>
      <c r="Q58" s="61"/>
      <c r="R58" s="677">
        <f t="shared" ref="R58" si="129">Q58/Q$12</f>
        <v>0</v>
      </c>
      <c r="S58" s="61"/>
      <c r="T58" s="677">
        <f t="shared" ref="T58" si="130">S58/S$12</f>
        <v>0</v>
      </c>
      <c r="U58" s="61"/>
      <c r="V58" s="677">
        <f t="shared" ref="V58" si="131">U58/U$12</f>
        <v>0</v>
      </c>
      <c r="W58" s="51"/>
      <c r="X58" s="677">
        <f t="shared" ref="X58" si="132">W58/W$12</f>
        <v>0</v>
      </c>
      <c r="Y58" s="61"/>
      <c r="Z58" s="677">
        <f t="shared" ref="Z58" si="133">Y58/Y$12</f>
        <v>0</v>
      </c>
      <c r="AA58" s="144">
        <f t="shared" si="34"/>
        <v>0</v>
      </c>
      <c r="AB58" s="68">
        <f t="shared" si="60"/>
        <v>0</v>
      </c>
      <c r="AC58" s="128">
        <f t="shared" si="61"/>
        <v>0</v>
      </c>
      <c r="AD58" s="68">
        <f t="shared" si="62"/>
        <v>0</v>
      </c>
      <c r="AE58" s="595"/>
      <c r="AF58" s="595"/>
      <c r="AG58" s="595"/>
    </row>
    <row r="59" spans="1:41" s="1" customFormat="1">
      <c r="A59" s="188">
        <v>6118</v>
      </c>
      <c r="B59" s="227" t="s">
        <v>16</v>
      </c>
      <c r="C59" s="711">
        <v>23130.75</v>
      </c>
      <c r="D59" s="677">
        <f t="shared" si="49"/>
        <v>1.5138028282030596E-2</v>
      </c>
      <c r="E59" s="113">
        <v>23130.75</v>
      </c>
      <c r="F59" s="677">
        <f t="shared" si="49"/>
        <v>1.9457583290516816E-2</v>
      </c>
      <c r="G59" s="371">
        <v>23130.75</v>
      </c>
      <c r="H59" s="677">
        <f t="shared" ref="H59" si="134">G59/G$12</f>
        <v>1.17300736109705E-2</v>
      </c>
      <c r="I59" s="113">
        <v>23130.75</v>
      </c>
      <c r="J59" s="677">
        <f t="shared" ref="J59" si="135">I59/I$12</f>
        <v>1.3284427839803962E-2</v>
      </c>
      <c r="K59" s="113">
        <v>23130.75</v>
      </c>
      <c r="L59" s="677">
        <f t="shared" ref="L59" si="136">K59/K$12</f>
        <v>1.4524820321097991E-2</v>
      </c>
      <c r="M59" s="295">
        <v>23130.75</v>
      </c>
      <c r="N59" s="677">
        <f t="shared" ref="N59" si="137">M59/M$12</f>
        <v>1.0243273724602358E-2</v>
      </c>
      <c r="O59" s="693">
        <v>23130.75</v>
      </c>
      <c r="P59" s="677">
        <f t="shared" ref="P59" si="138">O59/O$12</f>
        <v>1.6179282105268332E-2</v>
      </c>
      <c r="Q59" s="113">
        <v>25443.833333333332</v>
      </c>
      <c r="R59" s="677">
        <f t="shared" ref="R59" si="139">Q59/Q$12</f>
        <v>1.4332493048780731E-2</v>
      </c>
      <c r="S59" s="113">
        <v>25443.833333333332</v>
      </c>
      <c r="T59" s="677">
        <f t="shared" ref="T59" si="140">S59/S$12</f>
        <v>1.4227504370334026E-2</v>
      </c>
      <c r="U59" s="113">
        <v>25443.833333333332</v>
      </c>
      <c r="V59" s="677">
        <f t="shared" ref="V59" si="141">U59/U$12</f>
        <v>1.7936695986984785E-2</v>
      </c>
      <c r="W59" s="113">
        <v>25443.833333333332</v>
      </c>
      <c r="X59" s="677">
        <f t="shared" ref="X59" si="142">W59/W$12</f>
        <v>1.7629215507817871E-2</v>
      </c>
      <c r="Y59" s="113">
        <v>25443.833333333332</v>
      </c>
      <c r="Z59" s="677">
        <f t="shared" ref="Z59" si="143">Y59/Y$12</f>
        <v>1.1669849516416125E-2</v>
      </c>
      <c r="AA59" s="144">
        <f t="shared" si="34"/>
        <v>289134.41666666669</v>
      </c>
      <c r="AB59" s="68">
        <f t="shared" si="60"/>
        <v>1.4231929250027028E-2</v>
      </c>
      <c r="AC59" s="128">
        <f t="shared" si="61"/>
        <v>24094.534722222223</v>
      </c>
      <c r="AD59" s="68">
        <f t="shared" si="62"/>
        <v>1.4231929250027026E-2</v>
      </c>
      <c r="AE59" s="595" t="s">
        <v>228</v>
      </c>
      <c r="AF59" s="595"/>
      <c r="AG59" s="595"/>
    </row>
    <row r="60" spans="1:41" s="1" customFormat="1">
      <c r="A60" s="188">
        <v>6119</v>
      </c>
      <c r="B60" s="227" t="s">
        <v>17</v>
      </c>
      <c r="C60" s="710">
        <v>0</v>
      </c>
      <c r="D60" s="677">
        <f t="shared" si="49"/>
        <v>0</v>
      </c>
      <c r="E60" s="61"/>
      <c r="F60" s="677">
        <f t="shared" si="49"/>
        <v>0</v>
      </c>
      <c r="H60" s="677">
        <f t="shared" ref="H60" si="144">G60/G$12</f>
        <v>0</v>
      </c>
      <c r="I60" s="61"/>
      <c r="J60" s="677">
        <f t="shared" ref="J60" si="145">I60/I$12</f>
        <v>0</v>
      </c>
      <c r="K60" s="61"/>
      <c r="L60" s="677">
        <f t="shared" ref="L60" si="146">K60/K$12</f>
        <v>0</v>
      </c>
      <c r="M60" s="26"/>
      <c r="N60" s="677">
        <f t="shared" ref="N60" si="147">M60/M$12</f>
        <v>0</v>
      </c>
      <c r="P60" s="677">
        <f t="shared" ref="P60" si="148">O60/O$12</f>
        <v>0</v>
      </c>
      <c r="Q60" s="61">
        <v>0</v>
      </c>
      <c r="R60" s="677">
        <f t="shared" ref="R60" si="149">Q60/Q$12</f>
        <v>0</v>
      </c>
      <c r="S60" s="61"/>
      <c r="T60" s="677">
        <f t="shared" ref="T60" si="150">S60/S$12</f>
        <v>0</v>
      </c>
      <c r="U60" s="61"/>
      <c r="V60" s="677">
        <f t="shared" ref="V60" si="151">U60/U$12</f>
        <v>0</v>
      </c>
      <c r="W60" s="51"/>
      <c r="X60" s="677">
        <f t="shared" ref="X60" si="152">W60/W$12</f>
        <v>0</v>
      </c>
      <c r="Y60" s="61"/>
      <c r="Z60" s="677">
        <f t="shared" ref="Z60" si="153">Y60/Y$12</f>
        <v>0</v>
      </c>
      <c r="AA60" s="144">
        <f t="shared" si="34"/>
        <v>0</v>
      </c>
      <c r="AB60" s="68">
        <f t="shared" si="60"/>
        <v>0</v>
      </c>
      <c r="AC60" s="128">
        <f t="shared" si="61"/>
        <v>0</v>
      </c>
      <c r="AD60" s="68">
        <f t="shared" si="62"/>
        <v>0</v>
      </c>
      <c r="AE60" s="595"/>
      <c r="AF60" s="595"/>
      <c r="AG60" s="595"/>
    </row>
    <row r="61" spans="1:41" s="1" customFormat="1">
      <c r="A61" s="188">
        <v>6120</v>
      </c>
      <c r="B61" s="227" t="s">
        <v>18</v>
      </c>
      <c r="C61" s="710">
        <v>0</v>
      </c>
      <c r="D61" s="677">
        <f t="shared" si="49"/>
        <v>0</v>
      </c>
      <c r="E61" s="61"/>
      <c r="F61" s="677">
        <f t="shared" si="49"/>
        <v>0</v>
      </c>
      <c r="H61" s="677">
        <f t="shared" ref="H61" si="154">G61/G$12</f>
        <v>0</v>
      </c>
      <c r="I61" s="61"/>
      <c r="J61" s="677">
        <f t="shared" ref="J61" si="155">I61/I$12</f>
        <v>0</v>
      </c>
      <c r="K61" s="61"/>
      <c r="L61" s="677">
        <f t="shared" ref="L61" si="156">K61/K$12</f>
        <v>0</v>
      </c>
      <c r="M61" s="26"/>
      <c r="N61" s="677">
        <f t="shared" ref="N61" si="157">M61/M$12</f>
        <v>0</v>
      </c>
      <c r="P61" s="677">
        <f t="shared" ref="P61" si="158">O61/O$12</f>
        <v>0</v>
      </c>
      <c r="Q61" s="61"/>
      <c r="R61" s="677">
        <f t="shared" ref="R61" si="159">Q61/Q$12</f>
        <v>0</v>
      </c>
      <c r="S61" s="61"/>
      <c r="T61" s="677">
        <f t="shared" ref="T61" si="160">S61/S$12</f>
        <v>0</v>
      </c>
      <c r="U61" s="61"/>
      <c r="V61" s="677">
        <f t="shared" ref="V61" si="161">U61/U$12</f>
        <v>0</v>
      </c>
      <c r="W61" s="51"/>
      <c r="X61" s="677">
        <f t="shared" ref="X61" si="162">W61/W$12</f>
        <v>0</v>
      </c>
      <c r="Y61" s="61"/>
      <c r="Z61" s="677">
        <f t="shared" ref="Z61" si="163">Y61/Y$12</f>
        <v>0</v>
      </c>
      <c r="AA61" s="144">
        <f t="shared" si="34"/>
        <v>0</v>
      </c>
      <c r="AB61" s="68">
        <f t="shared" si="60"/>
        <v>0</v>
      </c>
      <c r="AC61" s="128">
        <f t="shared" si="61"/>
        <v>0</v>
      </c>
      <c r="AD61" s="68">
        <f t="shared" si="62"/>
        <v>0</v>
      </c>
      <c r="AE61" s="595"/>
      <c r="AF61" s="595"/>
      <c r="AG61" s="595"/>
    </row>
    <row r="62" spans="1:41" s="1" customFormat="1">
      <c r="A62" s="188">
        <v>6121</v>
      </c>
      <c r="B62" s="188" t="s">
        <v>19</v>
      </c>
      <c r="C62" s="705">
        <v>325</v>
      </c>
      <c r="D62" s="702">
        <f>C62/C12</f>
        <v>2.1269778073170753E-4</v>
      </c>
      <c r="E62" s="705">
        <v>325</v>
      </c>
      <c r="F62" s="702">
        <f>E62/E12</f>
        <v>2.7338994928473851E-4</v>
      </c>
      <c r="G62" s="705">
        <v>325</v>
      </c>
      <c r="H62" s="702">
        <f>G62/G12</f>
        <v>1.6481410778143436E-4</v>
      </c>
      <c r="I62" s="705">
        <v>325</v>
      </c>
      <c r="J62" s="702">
        <f>I62/I12</f>
        <v>1.8665365575851572E-4</v>
      </c>
      <c r="K62" s="705">
        <v>325</v>
      </c>
      <c r="L62" s="702">
        <f>K62/K12</f>
        <v>2.0408186523812878E-4</v>
      </c>
      <c r="M62" s="705">
        <f>325+500</f>
        <v>825</v>
      </c>
      <c r="N62" s="702">
        <f>M62/M12</f>
        <v>3.6534486874817917E-4</v>
      </c>
      <c r="O62" s="705">
        <v>325</v>
      </c>
      <c r="P62" s="702">
        <f>O62/O12</f>
        <v>2.2732798046808719E-4</v>
      </c>
      <c r="Q62" s="705">
        <v>325</v>
      </c>
      <c r="R62" s="702">
        <f>Q62/Q12</f>
        <v>1.8307226666004485E-4</v>
      </c>
      <c r="S62" s="705">
        <f>325+500</f>
        <v>825</v>
      </c>
      <c r="T62" s="702">
        <f>S62/S12</f>
        <v>4.6131771701822598E-4</v>
      </c>
      <c r="U62" s="705">
        <v>325</v>
      </c>
      <c r="V62" s="702">
        <f>U62/U12</f>
        <v>2.2910958892868822E-4</v>
      </c>
      <c r="W62" s="705">
        <v>325</v>
      </c>
      <c r="X62" s="702">
        <f>W62/W12</f>
        <v>2.2518206926527612E-4</v>
      </c>
      <c r="Y62" s="705">
        <f>500+325</f>
        <v>825</v>
      </c>
      <c r="Z62" s="702">
        <f>Y62/Y12</f>
        <v>3.7838739646318899E-4</v>
      </c>
      <c r="AA62" s="144">
        <f t="shared" si="34"/>
        <v>5400</v>
      </c>
      <c r="AB62" s="702">
        <f>AA62/AA12</f>
        <v>2.6580169471400738E-4</v>
      </c>
      <c r="AC62" s="128">
        <f t="shared" si="61"/>
        <v>450</v>
      </c>
      <c r="AD62" s="702">
        <f>AC62/AC12</f>
        <v>2.6580169471400738E-4</v>
      </c>
      <c r="AE62" s="645"/>
      <c r="AF62" s="226"/>
      <c r="AO62" s="686">
        <f t="shared" ref="AO62" si="164">Q62*0.985</f>
        <v>320.125</v>
      </c>
    </row>
    <row r="63" spans="1:41" s="1" customFormat="1">
      <c r="A63" s="188">
        <v>6122</v>
      </c>
      <c r="B63" s="227" t="s">
        <v>20</v>
      </c>
      <c r="C63" s="710">
        <v>0</v>
      </c>
      <c r="D63" s="677">
        <f t="shared" si="49"/>
        <v>0</v>
      </c>
      <c r="E63" s="61"/>
      <c r="F63" s="677">
        <f t="shared" si="49"/>
        <v>0</v>
      </c>
      <c r="H63" s="677">
        <f t="shared" ref="H63" si="165">G63/G$12</f>
        <v>0</v>
      </c>
      <c r="I63" s="61"/>
      <c r="J63" s="677">
        <f t="shared" ref="J63" si="166">I63/I$12</f>
        <v>0</v>
      </c>
      <c r="K63" s="61"/>
      <c r="L63" s="677">
        <f t="shared" ref="L63" si="167">K63/K$12</f>
        <v>0</v>
      </c>
      <c r="M63" s="26"/>
      <c r="N63" s="677">
        <f t="shared" ref="N63" si="168">M63/M$12</f>
        <v>0</v>
      </c>
      <c r="P63" s="677">
        <f t="shared" ref="P63" si="169">O63/O$12</f>
        <v>0</v>
      </c>
      <c r="Q63" s="61"/>
      <c r="R63" s="677">
        <f t="shared" ref="R63" si="170">Q63/Q$12</f>
        <v>0</v>
      </c>
      <c r="S63" s="61"/>
      <c r="T63" s="677">
        <f t="shared" ref="T63" si="171">S63/S$12</f>
        <v>0</v>
      </c>
      <c r="U63" s="61"/>
      <c r="V63" s="677">
        <f t="shared" ref="V63" si="172">U63/U$12</f>
        <v>0</v>
      </c>
      <c r="W63" s="51"/>
      <c r="X63" s="677">
        <f t="shared" ref="X63" si="173">W63/W$12</f>
        <v>0</v>
      </c>
      <c r="Y63" s="61"/>
      <c r="Z63" s="677">
        <f t="shared" ref="Z63" si="174">Y63/Y$12</f>
        <v>0</v>
      </c>
      <c r="AA63" s="144">
        <f t="shared" si="34"/>
        <v>0</v>
      </c>
      <c r="AB63" s="68">
        <f t="shared" si="60"/>
        <v>0</v>
      </c>
      <c r="AC63" s="128">
        <f t="shared" si="61"/>
        <v>0</v>
      </c>
      <c r="AD63" s="68">
        <f t="shared" si="62"/>
        <v>0</v>
      </c>
      <c r="AE63" s="595"/>
      <c r="AF63" s="595"/>
      <c r="AG63" s="595"/>
    </row>
    <row r="64" spans="1:41" s="1" customFormat="1">
      <c r="A64" s="188">
        <v>6123</v>
      </c>
      <c r="B64" s="227" t="s">
        <v>21</v>
      </c>
      <c r="C64" s="710">
        <v>0</v>
      </c>
      <c r="D64" s="677">
        <f t="shared" si="49"/>
        <v>0</v>
      </c>
      <c r="E64" s="61"/>
      <c r="F64" s="677">
        <f t="shared" si="49"/>
        <v>0</v>
      </c>
      <c r="H64" s="677">
        <f t="shared" ref="H64" si="175">G64/G$12</f>
        <v>0</v>
      </c>
      <c r="I64" s="61"/>
      <c r="J64" s="677">
        <f t="shared" ref="J64" si="176">I64/I$12</f>
        <v>0</v>
      </c>
      <c r="K64" s="61"/>
      <c r="L64" s="677">
        <f t="shared" ref="L64" si="177">K64/K$12</f>
        <v>0</v>
      </c>
      <c r="M64" s="26"/>
      <c r="N64" s="677">
        <f t="shared" ref="N64" si="178">M64/M$12</f>
        <v>0</v>
      </c>
      <c r="P64" s="677">
        <f t="shared" ref="P64" si="179">O64/O$12</f>
        <v>0</v>
      </c>
      <c r="Q64" s="61"/>
      <c r="R64" s="677">
        <f t="shared" ref="R64" si="180">Q64/Q$12</f>
        <v>0</v>
      </c>
      <c r="S64" s="61"/>
      <c r="T64" s="677">
        <f t="shared" ref="T64" si="181">S64/S$12</f>
        <v>0</v>
      </c>
      <c r="U64" s="61"/>
      <c r="V64" s="677">
        <f t="shared" ref="V64" si="182">U64/U$12</f>
        <v>0</v>
      </c>
      <c r="W64" s="51"/>
      <c r="X64" s="677">
        <f t="shared" ref="X64" si="183">W64/W$12</f>
        <v>0</v>
      </c>
      <c r="Y64" s="61"/>
      <c r="Z64" s="677">
        <f t="shared" ref="Z64" si="184">Y64/Y$12</f>
        <v>0</v>
      </c>
      <c r="AA64" s="144">
        <f t="shared" si="34"/>
        <v>0</v>
      </c>
      <c r="AB64" s="68">
        <f t="shared" si="60"/>
        <v>0</v>
      </c>
      <c r="AC64" s="128">
        <f t="shared" si="61"/>
        <v>0</v>
      </c>
      <c r="AD64" s="68">
        <f t="shared" si="62"/>
        <v>0</v>
      </c>
      <c r="AE64" s="595"/>
      <c r="AF64" s="595"/>
      <c r="AG64" s="595"/>
    </row>
    <row r="65" spans="1:33" s="1" customFormat="1">
      <c r="A65" s="188">
        <v>6124</v>
      </c>
      <c r="B65" s="227" t="s">
        <v>22</v>
      </c>
      <c r="C65" s="714">
        <v>2500</v>
      </c>
      <c r="D65" s="677">
        <f t="shared" si="49"/>
        <v>1.6361367748592886E-3</v>
      </c>
      <c r="E65" s="714">
        <v>2500</v>
      </c>
      <c r="F65" s="677">
        <f t="shared" si="49"/>
        <v>2.102999609882604E-3</v>
      </c>
      <c r="G65" s="714">
        <v>2500</v>
      </c>
      <c r="H65" s="677">
        <f t="shared" ref="H65" si="185">G65/G$12</f>
        <v>1.2678008290879566E-3</v>
      </c>
      <c r="I65" s="714">
        <v>2500</v>
      </c>
      <c r="J65" s="677">
        <f t="shared" ref="J65" si="186">I65/I$12</f>
        <v>1.4357973519885825E-3</v>
      </c>
      <c r="K65" s="714">
        <v>2500</v>
      </c>
      <c r="L65" s="677">
        <f t="shared" ref="L65" si="187">K65/K$12</f>
        <v>1.5698605018317599E-3</v>
      </c>
      <c r="M65" s="714">
        <v>2500</v>
      </c>
      <c r="N65" s="677">
        <f t="shared" ref="N65" si="188">M65/M$12</f>
        <v>1.1071056628732701E-3</v>
      </c>
      <c r="O65" s="714">
        <v>2500</v>
      </c>
      <c r="P65" s="677">
        <f t="shared" ref="P65" si="189">O65/O$12</f>
        <v>1.7486767728314399E-3</v>
      </c>
      <c r="Q65" s="714">
        <v>2500</v>
      </c>
      <c r="R65" s="677">
        <f t="shared" ref="R65" si="190">Q65/Q$12</f>
        <v>1.4082482050772681E-3</v>
      </c>
      <c r="S65" s="714">
        <v>2500</v>
      </c>
      <c r="T65" s="677">
        <f t="shared" ref="T65" si="191">S65/S$12</f>
        <v>1.397932475812806E-3</v>
      </c>
      <c r="U65" s="714">
        <v>2500</v>
      </c>
      <c r="V65" s="677">
        <f t="shared" ref="V65" si="192">U65/U$12</f>
        <v>1.7623814532976016E-3</v>
      </c>
      <c r="W65" s="714">
        <v>2500</v>
      </c>
      <c r="X65" s="677">
        <f t="shared" ref="X65" si="193">W65/W$12</f>
        <v>1.7321697635790472E-3</v>
      </c>
      <c r="Y65" s="714">
        <v>2500</v>
      </c>
      <c r="Z65" s="677">
        <f t="shared" ref="Z65" si="194">Y65/Y$12</f>
        <v>1.1466284741308756E-3</v>
      </c>
      <c r="AA65" s="144">
        <f t="shared" si="34"/>
        <v>30000</v>
      </c>
      <c r="AB65" s="68">
        <f t="shared" si="60"/>
        <v>1.4766760817444854E-3</v>
      </c>
      <c r="AC65" s="128">
        <f t="shared" si="61"/>
        <v>2500</v>
      </c>
      <c r="AD65" s="68">
        <f t="shared" si="62"/>
        <v>1.4766760817444854E-3</v>
      </c>
      <c r="AE65" s="645" t="s">
        <v>294</v>
      </c>
      <c r="AG65" s="595"/>
    </row>
    <row r="66" spans="1:33" s="1" customFormat="1">
      <c r="A66" s="188">
        <v>6125</v>
      </c>
      <c r="B66" s="227" t="s">
        <v>78</v>
      </c>
      <c r="C66" s="705">
        <v>423.01184433164127</v>
      </c>
      <c r="D66" s="702">
        <f>C66/C12</f>
        <v>2.768420938848204E-4</v>
      </c>
      <c r="E66" s="705">
        <v>423.01184433164127</v>
      </c>
      <c r="F66" s="702">
        <f>E66/E12</f>
        <v>3.5583749744206493E-4</v>
      </c>
      <c r="G66" s="705">
        <v>423.01184433164127</v>
      </c>
      <c r="H66" s="702">
        <f>G66/G12</f>
        <v>2.1451790678307217E-4</v>
      </c>
      <c r="I66" s="705">
        <v>423.01184433164127</v>
      </c>
      <c r="J66" s="702">
        <f>I66/I12</f>
        <v>2.4294371438047082E-4</v>
      </c>
      <c r="K66" s="705">
        <v>423.01184433164127</v>
      </c>
      <c r="L66" s="702">
        <f>K66/K12</f>
        <v>2.6562783448929944E-4</v>
      </c>
      <c r="M66" s="705">
        <v>423.01184433164127</v>
      </c>
      <c r="N66" s="702">
        <f>M66/M12</f>
        <v>1.8732752332881051E-4</v>
      </c>
      <c r="O66" s="705">
        <v>423.01184433164127</v>
      </c>
      <c r="P66" s="702">
        <f>O66/O12</f>
        <v>2.9588439472613194E-4</v>
      </c>
      <c r="Q66" s="705">
        <v>423.01184433164127</v>
      </c>
      <c r="R66" s="702">
        <f>Q66/Q12</f>
        <v>2.3828226820258341E-4</v>
      </c>
      <c r="S66" s="705">
        <v>423.01184433164127</v>
      </c>
      <c r="T66" s="702">
        <f>S66/S12</f>
        <v>2.3653679793786902E-4</v>
      </c>
      <c r="U66" s="705">
        <v>423.01184433164127</v>
      </c>
      <c r="V66" s="702">
        <f>U66/U12</f>
        <v>2.9820329159011873E-4</v>
      </c>
      <c r="W66" s="705">
        <v>423.01184433164127</v>
      </c>
      <c r="X66" s="702">
        <f>W66/W12</f>
        <v>2.930913305548303E-4</v>
      </c>
      <c r="Y66" s="705">
        <v>423.01184433164127</v>
      </c>
      <c r="Z66" s="702">
        <f>Y66/Y12</f>
        <v>1.9401497024211094E-4</v>
      </c>
      <c r="AA66" s="144">
        <f t="shared" si="34"/>
        <v>5076.1421319796964</v>
      </c>
      <c r="AB66" s="68">
        <f t="shared" si="60"/>
        <v>2.4986058912766258E-4</v>
      </c>
      <c r="AC66" s="128">
        <f t="shared" si="61"/>
        <v>423.01184433164138</v>
      </c>
      <c r="AD66" s="68">
        <f t="shared" si="62"/>
        <v>2.4986058912766253E-4</v>
      </c>
      <c r="AE66" s="658" t="s">
        <v>295</v>
      </c>
      <c r="AF66" s="393" t="s">
        <v>296</v>
      </c>
      <c r="AG66" s="595"/>
    </row>
    <row r="67" spans="1:33" s="1" customFormat="1">
      <c r="A67" s="188">
        <v>6126</v>
      </c>
      <c r="B67" s="227" t="s">
        <v>116</v>
      </c>
      <c r="C67" s="26"/>
      <c r="D67" s="702" t="e">
        <f>C67/C13</f>
        <v>#DIV/0!</v>
      </c>
      <c r="E67" s="26"/>
      <c r="F67" s="702" t="e">
        <f>E67/E13</f>
        <v>#DIV/0!</v>
      </c>
      <c r="G67" s="26"/>
      <c r="H67" s="702" t="e">
        <f>G67/G13</f>
        <v>#DIV/0!</v>
      </c>
      <c r="I67" s="26"/>
      <c r="J67" s="702" t="e">
        <f>I67/I13</f>
        <v>#DIV/0!</v>
      </c>
      <c r="K67" s="26"/>
      <c r="L67" s="702" t="e">
        <f>K67/K13</f>
        <v>#DIV/0!</v>
      </c>
      <c r="M67" s="26"/>
      <c r="N67" s="702" t="e">
        <f>M67/M13</f>
        <v>#DIV/0!</v>
      </c>
      <c r="O67" s="26"/>
      <c r="P67" s="702" t="e">
        <f>O67/O13</f>
        <v>#DIV/0!</v>
      </c>
      <c r="Q67" s="26"/>
      <c r="R67" s="702" t="e">
        <f>Q67/Q13</f>
        <v>#DIV/0!</v>
      </c>
      <c r="S67" s="26"/>
      <c r="T67" s="702" t="e">
        <f>S67/S13</f>
        <v>#DIV/0!</v>
      </c>
      <c r="U67" s="26"/>
      <c r="V67" s="702" t="e">
        <f>U67/U13</f>
        <v>#DIV/0!</v>
      </c>
      <c r="W67" s="26"/>
      <c r="X67" s="702" t="e">
        <f>W67/W13</f>
        <v>#DIV/0!</v>
      </c>
      <c r="Y67" s="26"/>
      <c r="Z67" s="702" t="e">
        <f>Y67/Y13</f>
        <v>#DIV/0!</v>
      </c>
      <c r="AA67" s="144">
        <f t="shared" si="34"/>
        <v>0</v>
      </c>
      <c r="AB67" s="68"/>
      <c r="AC67" s="128">
        <f t="shared" si="61"/>
        <v>0</v>
      </c>
      <c r="AD67" s="68"/>
      <c r="AE67" s="595"/>
      <c r="AF67" s="595"/>
      <c r="AG67" s="595"/>
    </row>
    <row r="68" spans="1:33" s="1" customFormat="1">
      <c r="A68" s="188">
        <v>6127</v>
      </c>
      <c r="B68" s="188" t="s">
        <v>76</v>
      </c>
      <c r="C68" s="705">
        <v>382</v>
      </c>
      <c r="D68" s="702">
        <f>C68/C$12</f>
        <v>2.500016991984993E-4</v>
      </c>
      <c r="E68" s="705">
        <v>382</v>
      </c>
      <c r="F68" s="702">
        <f>E68/E$12</f>
        <v>3.2133834039006185E-4</v>
      </c>
      <c r="G68" s="705">
        <v>382</v>
      </c>
      <c r="H68" s="702">
        <f>G68/G$12</f>
        <v>1.9371996668463977E-4</v>
      </c>
      <c r="I68" s="705">
        <v>382</v>
      </c>
      <c r="J68" s="702">
        <f>I68/I$12</f>
        <v>2.1938983538385542E-4</v>
      </c>
      <c r="K68" s="705">
        <v>382</v>
      </c>
      <c r="L68" s="702">
        <f>K68/K$12</f>
        <v>2.3987468467989289E-4</v>
      </c>
      <c r="M68" s="705">
        <v>382</v>
      </c>
      <c r="N68" s="702">
        <f>M68/M$12</f>
        <v>1.6916574528703568E-4</v>
      </c>
      <c r="O68" s="705">
        <v>382</v>
      </c>
      <c r="P68" s="702">
        <f>O68/O$12</f>
        <v>2.6719781088864399E-4</v>
      </c>
      <c r="Q68" s="705">
        <v>382</v>
      </c>
      <c r="R68" s="702">
        <f>Q68/Q$12</f>
        <v>2.1518032573580656E-4</v>
      </c>
      <c r="S68" s="705">
        <v>382</v>
      </c>
      <c r="T68" s="702">
        <f>S68/S$12</f>
        <v>2.1360408230419677E-4</v>
      </c>
      <c r="U68" s="705">
        <v>382</v>
      </c>
      <c r="V68" s="702">
        <f>U68/U$12</f>
        <v>2.6929188606387354E-4</v>
      </c>
      <c r="W68" s="705">
        <v>382</v>
      </c>
      <c r="X68" s="702">
        <f>W68/W$12</f>
        <v>2.6467553987487839E-4</v>
      </c>
      <c r="Y68" s="705">
        <v>382</v>
      </c>
      <c r="Z68" s="702">
        <f>Y68/Y$12</f>
        <v>1.752048308471978E-4</v>
      </c>
      <c r="AA68" s="144">
        <f t="shared" si="34"/>
        <v>4584</v>
      </c>
      <c r="AB68" s="702">
        <f>AA68/AA12</f>
        <v>2.2563610529055739E-4</v>
      </c>
      <c r="AC68" s="128">
        <f t="shared" si="61"/>
        <v>382</v>
      </c>
      <c r="AD68" s="702">
        <f>AC68/AC12</f>
        <v>2.2563610529055737E-4</v>
      </c>
      <c r="AE68" s="645"/>
      <c r="AF68" s="226"/>
      <c r="AG68" s="226"/>
    </row>
    <row r="69" spans="1:33" s="1" customFormat="1">
      <c r="A69" s="188">
        <v>6128</v>
      </c>
      <c r="B69" s="188" t="s">
        <v>270</v>
      </c>
      <c r="C69" s="678">
        <v>0</v>
      </c>
      <c r="D69" s="702">
        <f>C69/C$12</f>
        <v>0</v>
      </c>
      <c r="E69" s="678">
        <v>0</v>
      </c>
      <c r="F69" s="702">
        <f>E69/E$12</f>
        <v>0</v>
      </c>
      <c r="G69" s="678">
        <v>0</v>
      </c>
      <c r="H69" s="702">
        <f>G69/G$12</f>
        <v>0</v>
      </c>
      <c r="I69" s="678">
        <v>0</v>
      </c>
      <c r="J69" s="702">
        <f>I69/I$12</f>
        <v>0</v>
      </c>
      <c r="K69" s="678">
        <v>0</v>
      </c>
      <c r="L69" s="702">
        <f>K69/K$12</f>
        <v>0</v>
      </c>
      <c r="M69" s="678">
        <v>0</v>
      </c>
      <c r="N69" s="702">
        <f>M69/M$12</f>
        <v>0</v>
      </c>
      <c r="O69" s="678">
        <v>0</v>
      </c>
      <c r="P69" s="702">
        <f>O69/O$12</f>
        <v>0</v>
      </c>
      <c r="Q69" s="678">
        <v>0</v>
      </c>
      <c r="R69" s="702">
        <f>Q69/Q$12</f>
        <v>0</v>
      </c>
      <c r="S69" s="678">
        <v>0</v>
      </c>
      <c r="T69" s="702">
        <f>S69/S$12</f>
        <v>0</v>
      </c>
      <c r="U69" s="678">
        <v>0</v>
      </c>
      <c r="V69" s="702">
        <f>U69/U$12</f>
        <v>0</v>
      </c>
      <c r="W69" s="678">
        <v>0</v>
      </c>
      <c r="X69" s="702">
        <f>W69/W$12</f>
        <v>0</v>
      </c>
      <c r="Y69" s="678">
        <v>0</v>
      </c>
      <c r="Z69" s="702">
        <f>Y69/Y$12</f>
        <v>0</v>
      </c>
      <c r="AA69" s="144">
        <f t="shared" si="34"/>
        <v>0</v>
      </c>
      <c r="AB69" s="677">
        <f>AA69/AA$12</f>
        <v>0</v>
      </c>
      <c r="AC69" s="128">
        <f t="shared" si="61"/>
        <v>0</v>
      </c>
      <c r="AD69" s="677">
        <f>AC69/AC$12</f>
        <v>0</v>
      </c>
      <c r="AE69" s="595"/>
      <c r="AF69" s="595"/>
      <c r="AG69" s="595"/>
    </row>
    <row r="70" spans="1:33" s="1" customFormat="1">
      <c r="A70" s="2">
        <v>6131</v>
      </c>
      <c r="B70" s="188" t="s">
        <v>314</v>
      </c>
      <c r="C70" s="676">
        <v>676.8189509306261</v>
      </c>
      <c r="D70" s="702">
        <f t="shared" ref="D70:D75" si="195">C70/C$12</f>
        <v>4.4294735021571267E-4</v>
      </c>
      <c r="E70" s="676">
        <v>676.8189509306261</v>
      </c>
      <c r="F70" s="702">
        <f t="shared" ref="F70:F75" si="196">E70/E$12</f>
        <v>5.6933999590730398E-4</v>
      </c>
      <c r="G70" s="676">
        <v>676.8189509306261</v>
      </c>
      <c r="H70" s="702">
        <f t="shared" ref="H70:H75" si="197">G70/G$12</f>
        <v>3.4322865085291551E-4</v>
      </c>
      <c r="I70" s="676">
        <v>676.8189509306261</v>
      </c>
      <c r="J70" s="702">
        <f t="shared" ref="J70:J75" si="198">I70/I$12</f>
        <v>3.8870994300875333E-4</v>
      </c>
      <c r="K70" s="676">
        <v>676.8189509306261</v>
      </c>
      <c r="L70" s="702">
        <f t="shared" ref="L70:L75" si="199">K70/K$12</f>
        <v>4.2500453518287917E-4</v>
      </c>
      <c r="M70" s="676">
        <v>676.8189509306261</v>
      </c>
      <c r="N70" s="702">
        <f t="shared" ref="N70:N75" si="200">M70/M$12</f>
        <v>2.9972403732609688E-4</v>
      </c>
      <c r="O70" s="676">
        <v>676.8189509306261</v>
      </c>
      <c r="P70" s="702">
        <f t="shared" ref="P70:P75" si="201">O70/O$12</f>
        <v>4.7341503156181114E-4</v>
      </c>
      <c r="Q70" s="676">
        <v>676.8189509306261</v>
      </c>
      <c r="R70" s="702">
        <f t="shared" ref="R70:R75" si="202">Q70/Q$12</f>
        <v>3.8125162912413353E-4</v>
      </c>
      <c r="S70" s="676">
        <v>676.8189509306261</v>
      </c>
      <c r="T70" s="702">
        <f t="shared" ref="T70:T75" si="203">S70/S$12</f>
        <v>3.7845887670059052E-4</v>
      </c>
      <c r="U70" s="676">
        <v>676.8189509306261</v>
      </c>
      <c r="V70" s="702">
        <f t="shared" ref="V70:V75" si="204">U70/U$12</f>
        <v>4.7712526654419E-4</v>
      </c>
      <c r="W70" s="676">
        <v>676.8189509306261</v>
      </c>
      <c r="X70" s="702">
        <f t="shared" ref="X70:X75" si="205">W70/W$12</f>
        <v>4.6894612888772854E-4</v>
      </c>
      <c r="Y70" s="676">
        <v>676.8189509306261</v>
      </c>
      <c r="Z70" s="702">
        <f t="shared" ref="Z70:Z75" si="206">Y70/Y$12</f>
        <v>3.1042395238737756E-4</v>
      </c>
      <c r="AA70" s="144">
        <f t="shared" si="34"/>
        <v>8121.8274111675119</v>
      </c>
      <c r="AB70" s="702">
        <f t="shared" ref="AB70:AB74" si="207">AA70/AA$12</f>
        <v>3.9977694260426002E-4</v>
      </c>
      <c r="AC70" s="128">
        <f t="shared" si="61"/>
        <v>676.81895093062599</v>
      </c>
      <c r="AD70" s="702">
        <f t="shared" ref="AD70:AD74" si="208">AC70/AC$12</f>
        <v>3.9977694260425996E-4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676">
        <v>46.531302876480538</v>
      </c>
      <c r="D71" s="702">
        <f t="shared" si="195"/>
        <v>3.0452630327330244E-5</v>
      </c>
      <c r="E71" s="676">
        <v>46.531302876480538</v>
      </c>
      <c r="F71" s="702">
        <f t="shared" si="196"/>
        <v>3.9142124718627142E-5</v>
      </c>
      <c r="G71" s="676">
        <v>46.531302876480538</v>
      </c>
      <c r="H71" s="702">
        <f t="shared" si="197"/>
        <v>2.359696974613794E-5</v>
      </c>
      <c r="I71" s="676">
        <v>46.531302876480538</v>
      </c>
      <c r="J71" s="702">
        <f t="shared" si="198"/>
        <v>2.6723808581851789E-5</v>
      </c>
      <c r="K71" s="676">
        <v>46.531302876480538</v>
      </c>
      <c r="L71" s="702">
        <f t="shared" si="199"/>
        <v>2.921906179382294E-5</v>
      </c>
      <c r="M71" s="676">
        <v>46.531302876480538</v>
      </c>
      <c r="N71" s="702">
        <f t="shared" si="200"/>
        <v>2.0606027566169158E-5</v>
      </c>
      <c r="O71" s="676">
        <v>46.531302876480538</v>
      </c>
      <c r="P71" s="702">
        <f t="shared" si="201"/>
        <v>3.2547283419874516E-5</v>
      </c>
      <c r="Q71" s="676">
        <v>46.531302876480538</v>
      </c>
      <c r="R71" s="702">
        <f t="shared" si="202"/>
        <v>2.6211049502284176E-5</v>
      </c>
      <c r="S71" s="676">
        <v>46.531302876480538</v>
      </c>
      <c r="T71" s="702">
        <f t="shared" si="203"/>
        <v>2.6019047773165594E-5</v>
      </c>
      <c r="U71" s="676">
        <v>46.531302876480538</v>
      </c>
      <c r="V71" s="702">
        <f t="shared" si="204"/>
        <v>3.2802362074913056E-5</v>
      </c>
      <c r="W71" s="676">
        <v>46.531302876480538</v>
      </c>
      <c r="X71" s="702">
        <f t="shared" si="205"/>
        <v>3.224004636103133E-5</v>
      </c>
      <c r="Y71" s="676">
        <v>46.531302876480538</v>
      </c>
      <c r="Z71" s="702">
        <f t="shared" si="206"/>
        <v>2.1341646726632203E-5</v>
      </c>
      <c r="AA71" s="144">
        <f t="shared" si="34"/>
        <v>558.37563451776646</v>
      </c>
      <c r="AB71" s="702">
        <f t="shared" si="207"/>
        <v>2.7484664804042874E-5</v>
      </c>
      <c r="AC71" s="128">
        <f t="shared" si="61"/>
        <v>46.531302876480538</v>
      </c>
      <c r="AD71" s="702">
        <f t="shared" si="208"/>
        <v>2.7484664804042874E-5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195"/>
        <v>6.544547099437155E-5</v>
      </c>
      <c r="E72" s="676">
        <v>100</v>
      </c>
      <c r="F72" s="702">
        <f t="shared" si="196"/>
        <v>8.4119984395304148E-5</v>
      </c>
      <c r="G72" s="676">
        <v>100</v>
      </c>
      <c r="H72" s="702">
        <f t="shared" si="197"/>
        <v>5.0712033163518262E-5</v>
      </c>
      <c r="I72" s="676">
        <v>100</v>
      </c>
      <c r="J72" s="702">
        <f t="shared" si="198"/>
        <v>5.7431894079543297E-5</v>
      </c>
      <c r="K72" s="676">
        <v>100</v>
      </c>
      <c r="L72" s="702">
        <f t="shared" si="199"/>
        <v>6.2794420073270394E-5</v>
      </c>
      <c r="M72" s="676">
        <v>100</v>
      </c>
      <c r="N72" s="702">
        <f t="shared" si="200"/>
        <v>4.4284226514930807E-5</v>
      </c>
      <c r="O72" s="676">
        <v>100</v>
      </c>
      <c r="P72" s="702">
        <f t="shared" si="201"/>
        <v>6.9947070913257593E-5</v>
      </c>
      <c r="Q72" s="676">
        <v>100</v>
      </c>
      <c r="R72" s="702">
        <f t="shared" si="202"/>
        <v>5.6329928203090726E-5</v>
      </c>
      <c r="S72" s="676">
        <v>100</v>
      </c>
      <c r="T72" s="702">
        <f t="shared" si="203"/>
        <v>5.591729903251224E-5</v>
      </c>
      <c r="U72" s="676">
        <v>100</v>
      </c>
      <c r="V72" s="702">
        <f t="shared" si="204"/>
        <v>7.0495258131904071E-5</v>
      </c>
      <c r="W72" s="676">
        <v>100</v>
      </c>
      <c r="X72" s="702">
        <f t="shared" si="205"/>
        <v>6.9286790543161885E-5</v>
      </c>
      <c r="Y72" s="676">
        <v>100</v>
      </c>
      <c r="Z72" s="702">
        <f t="shared" si="206"/>
        <v>4.5865138965235026E-5</v>
      </c>
      <c r="AA72" s="144">
        <f t="shared" si="34"/>
        <v>1200</v>
      </c>
      <c r="AB72" s="702">
        <f t="shared" si="207"/>
        <v>5.9067043269779417E-5</v>
      </c>
      <c r="AC72" s="128">
        <f t="shared" si="61"/>
        <v>100</v>
      </c>
      <c r="AD72" s="702">
        <f t="shared" si="208"/>
        <v>5.9067043269779417E-5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676">
        <v>118.44331641285957</v>
      </c>
      <c r="D73" s="702">
        <f t="shared" si="195"/>
        <v>7.7515786287749719E-5</v>
      </c>
      <c r="E73" s="676">
        <v>118.44331641285957</v>
      </c>
      <c r="F73" s="702">
        <f t="shared" si="196"/>
        <v>9.9634499283778196E-5</v>
      </c>
      <c r="G73" s="676">
        <v>118.44331641285957</v>
      </c>
      <c r="H73" s="702">
        <f t="shared" si="197"/>
        <v>6.0065013899260217E-5</v>
      </c>
      <c r="I73" s="676">
        <v>118.44331641285957</v>
      </c>
      <c r="J73" s="702">
        <f t="shared" si="198"/>
        <v>6.8024240026531838E-5</v>
      </c>
      <c r="K73" s="676">
        <v>118.44331641285957</v>
      </c>
      <c r="L73" s="702">
        <f t="shared" si="199"/>
        <v>7.4375793657003851E-5</v>
      </c>
      <c r="M73" s="676">
        <v>118.44331641285957</v>
      </c>
      <c r="N73" s="702">
        <f t="shared" si="200"/>
        <v>5.2451706532066952E-5</v>
      </c>
      <c r="O73" s="676">
        <v>118.44331641285957</v>
      </c>
      <c r="P73" s="702">
        <f t="shared" si="201"/>
        <v>8.2847630523316963E-5</v>
      </c>
      <c r="Q73" s="676">
        <v>118.44331641285957</v>
      </c>
      <c r="R73" s="702">
        <f t="shared" si="202"/>
        <v>6.6719035096723362E-5</v>
      </c>
      <c r="S73" s="676">
        <v>118.44331641285957</v>
      </c>
      <c r="T73" s="702">
        <f t="shared" si="203"/>
        <v>6.6230303422603335E-5</v>
      </c>
      <c r="U73" s="676">
        <v>118.44331641285957</v>
      </c>
      <c r="V73" s="702">
        <f t="shared" si="204"/>
        <v>8.3496921645233251E-5</v>
      </c>
      <c r="W73" s="676">
        <v>118.44331641285957</v>
      </c>
      <c r="X73" s="702">
        <f t="shared" si="205"/>
        <v>8.2065572555352489E-5</v>
      </c>
      <c r="Y73" s="676">
        <v>118.44331641285957</v>
      </c>
      <c r="Z73" s="702">
        <f t="shared" si="206"/>
        <v>5.4324191667791071E-5</v>
      </c>
      <c r="AA73" s="144">
        <f t="shared" si="34"/>
        <v>1421.3197969543146</v>
      </c>
      <c r="AB73" s="702">
        <f t="shared" si="207"/>
        <v>6.9960964955745504E-5</v>
      </c>
      <c r="AC73" s="128">
        <f t="shared" si="61"/>
        <v>118.44331641285955</v>
      </c>
      <c r="AD73" s="702">
        <f t="shared" si="208"/>
        <v>6.9960964955745491E-5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195"/>
        <v>0</v>
      </c>
      <c r="E74" s="676">
        <v>0</v>
      </c>
      <c r="F74" s="702">
        <f t="shared" si="196"/>
        <v>0</v>
      </c>
      <c r="G74" s="676">
        <v>0</v>
      </c>
      <c r="H74" s="702">
        <f t="shared" si="197"/>
        <v>0</v>
      </c>
      <c r="I74" s="676">
        <v>0</v>
      </c>
      <c r="J74" s="702">
        <f t="shared" si="198"/>
        <v>0</v>
      </c>
      <c r="K74" s="676">
        <v>0</v>
      </c>
      <c r="L74" s="702">
        <f t="shared" si="199"/>
        <v>0</v>
      </c>
      <c r="M74" s="676">
        <v>0</v>
      </c>
      <c r="N74" s="702">
        <f t="shared" si="200"/>
        <v>0</v>
      </c>
      <c r="O74" s="676">
        <v>0</v>
      </c>
      <c r="P74" s="702">
        <f t="shared" si="201"/>
        <v>0</v>
      </c>
      <c r="Q74" s="676">
        <v>0</v>
      </c>
      <c r="R74" s="702">
        <f t="shared" si="202"/>
        <v>0</v>
      </c>
      <c r="S74" s="676">
        <v>0</v>
      </c>
      <c r="T74" s="702">
        <f t="shared" si="203"/>
        <v>0</v>
      </c>
      <c r="U74" s="676">
        <v>0</v>
      </c>
      <c r="V74" s="702">
        <f t="shared" si="204"/>
        <v>0</v>
      </c>
      <c r="W74" s="676">
        <v>0</v>
      </c>
      <c r="X74" s="702">
        <f t="shared" si="205"/>
        <v>0</v>
      </c>
      <c r="Y74" s="676">
        <v>0</v>
      </c>
      <c r="Z74" s="702">
        <f t="shared" si="206"/>
        <v>0</v>
      </c>
      <c r="AA74" s="144">
        <f t="shared" si="34"/>
        <v>0</v>
      </c>
      <c r="AB74" s="702">
        <f t="shared" si="207"/>
        <v>0</v>
      </c>
      <c r="AC74" s="128">
        <f t="shared" si="61"/>
        <v>0</v>
      </c>
      <c r="AD74" s="702">
        <f t="shared" si="208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676">
        <v>155</v>
      </c>
      <c r="D75" s="702">
        <f t="shared" si="195"/>
        <v>1.014404800412759E-4</v>
      </c>
      <c r="E75" s="676">
        <v>155</v>
      </c>
      <c r="F75" s="702">
        <f t="shared" si="196"/>
        <v>1.3038597581272143E-4</v>
      </c>
      <c r="G75" s="676">
        <v>155</v>
      </c>
      <c r="H75" s="702">
        <f t="shared" si="197"/>
        <v>7.8603651403453306E-5</v>
      </c>
      <c r="I75" s="676">
        <v>155</v>
      </c>
      <c r="J75" s="702">
        <f t="shared" si="198"/>
        <v>8.9019435823292111E-5</v>
      </c>
      <c r="K75" s="676">
        <v>155</v>
      </c>
      <c r="L75" s="702">
        <f t="shared" si="199"/>
        <v>9.7331351113569107E-5</v>
      </c>
      <c r="M75" s="676">
        <v>155</v>
      </c>
      <c r="N75" s="702">
        <f t="shared" si="200"/>
        <v>6.8640551098142754E-5</v>
      </c>
      <c r="O75" s="676">
        <v>155</v>
      </c>
      <c r="P75" s="702">
        <f t="shared" si="201"/>
        <v>1.0841795991554927E-4</v>
      </c>
      <c r="Q75" s="676">
        <v>155</v>
      </c>
      <c r="R75" s="702">
        <f t="shared" si="202"/>
        <v>8.7311388714790626E-5</v>
      </c>
      <c r="S75" s="676">
        <v>155</v>
      </c>
      <c r="T75" s="702">
        <f t="shared" si="203"/>
        <v>8.6671813500393971E-5</v>
      </c>
      <c r="U75" s="676">
        <v>155</v>
      </c>
      <c r="V75" s="702">
        <f t="shared" si="204"/>
        <v>1.0926765010445131E-4</v>
      </c>
      <c r="W75" s="676">
        <v>155</v>
      </c>
      <c r="X75" s="702">
        <f t="shared" si="205"/>
        <v>1.0739452534190092E-4</v>
      </c>
      <c r="Y75" s="676">
        <v>155</v>
      </c>
      <c r="Z75" s="702">
        <f t="shared" si="206"/>
        <v>7.1090965396114299E-5</v>
      </c>
      <c r="AA75" s="144">
        <f t="shared" si="34"/>
        <v>1860</v>
      </c>
      <c r="AB75" s="702">
        <f t="shared" ref="AB75:AD75" si="209">AA75/AA$12</f>
        <v>9.1553917068158103E-5</v>
      </c>
      <c r="AC75" s="128">
        <f t="shared" si="61"/>
        <v>155</v>
      </c>
      <c r="AD75" s="702">
        <f t="shared" si="209"/>
        <v>9.1553917068158089E-5</v>
      </c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398">
        <f>SUM(C42:C75)</f>
        <v>281071.20048951806</v>
      </c>
      <c r="D76" s="401">
        <f>C76/C12</f>
        <v>0.18394837098989944</v>
      </c>
      <c r="E76" s="398">
        <f>SUM(E42:E75)</f>
        <v>280257.09299088601</v>
      </c>
      <c r="F76" s="401">
        <f>E76/E12</f>
        <v>0.23575222289066636</v>
      </c>
      <c r="G76" s="398">
        <f>SUM(G42:G75)</f>
        <v>283136.62998645136</v>
      </c>
      <c r="H76" s="401">
        <f>G76/G12</f>
        <v>0.14358434169679721</v>
      </c>
      <c r="I76" s="398">
        <f>SUM(I42:I75)</f>
        <v>282482.88811525929</v>
      </c>
      <c r="J76" s="401">
        <f>I76/I12</f>
        <v>0.16223527309519054</v>
      </c>
      <c r="K76" s="398">
        <f>SUM(K42:K75)</f>
        <v>281226.02105874993</v>
      </c>
      <c r="L76" s="401">
        <f>K76/K12</f>
        <v>0.17659424901897527</v>
      </c>
      <c r="M76" s="400">
        <f>SUM(M42:M75)</f>
        <v>283323.56232165062</v>
      </c>
      <c r="N76" s="401">
        <f>M76/M12</f>
        <v>0.1254676481086909</v>
      </c>
      <c r="O76" s="398">
        <f>SUM(O42:O75)</f>
        <v>280835.19124989625</v>
      </c>
      <c r="P76" s="401">
        <f>O76/O12</f>
        <v>0.19643599037294751</v>
      </c>
      <c r="Q76" s="398">
        <f>SUM(Q42:Q75)</f>
        <v>305292.14131487964</v>
      </c>
      <c r="R76" s="401">
        <f>Q76/Q12</f>
        <v>0.17197084401234997</v>
      </c>
      <c r="S76" s="398">
        <f>SUM(S42:S75)</f>
        <v>305298.58155001426</v>
      </c>
      <c r="T76" s="401">
        <f>S76/S12</f>
        <v>0.17071472078733971</v>
      </c>
      <c r="U76" s="398">
        <f>SUM(U42:U75)</f>
        <v>305186.01305448799</v>
      </c>
      <c r="V76" s="401">
        <f>U76/U12</f>
        <v>0.21514166768522774</v>
      </c>
      <c r="W76" s="398">
        <f>SUM(W42:W75)</f>
        <v>305245.3924673408</v>
      </c>
      <c r="X76" s="401">
        <f>W76/W12</f>
        <v>0.21149473572149888</v>
      </c>
      <c r="Y76" s="398">
        <f>SUM(Y42:Y75)</f>
        <v>307514.26117636217</v>
      </c>
      <c r="Z76" s="401">
        <f>Y76/Y12</f>
        <v>0.1410418432264543</v>
      </c>
      <c r="AA76" s="148">
        <f>SUM(AA42:AA75)</f>
        <v>3500868.9757754966</v>
      </c>
      <c r="AB76" s="89">
        <f>AA76/AA12</f>
        <v>0.17232164939496636</v>
      </c>
      <c r="AC76" s="132">
        <f>SUM(AC42:AC75)</f>
        <v>291739.08131462469</v>
      </c>
      <c r="AD76" s="89">
        <f>AC76/AC12</f>
        <v>0.17232164939496633</v>
      </c>
      <c r="AE76" s="596"/>
      <c r="AF76" s="596"/>
      <c r="AG76" s="596"/>
    </row>
    <row r="77" spans="1:33" s="1" customFormat="1" ht="15.75" thickTop="1">
      <c r="A77" s="188">
        <v>6201</v>
      </c>
      <c r="B77" s="228" t="s">
        <v>24</v>
      </c>
      <c r="C77" s="714">
        <v>70200</v>
      </c>
      <c r="D77" s="68">
        <f>C77/C12</f>
        <v>4.5942720638048822E-2</v>
      </c>
      <c r="E77" s="714">
        <v>70200</v>
      </c>
      <c r="F77" s="677">
        <f>E77/E12</f>
        <v>5.9052229045503515E-2</v>
      </c>
      <c r="G77" s="714">
        <v>70200</v>
      </c>
      <c r="H77" s="677">
        <f>G77/G12</f>
        <v>3.5599847280789819E-2</v>
      </c>
      <c r="I77" s="714">
        <v>70200</v>
      </c>
      <c r="J77" s="677">
        <f>I77/I12</f>
        <v>4.0317189643839395E-2</v>
      </c>
      <c r="K77" s="714">
        <v>70200</v>
      </c>
      <c r="L77" s="677">
        <f>K77/K12</f>
        <v>4.4081682891435818E-2</v>
      </c>
      <c r="M77" s="714">
        <v>70200</v>
      </c>
      <c r="N77" s="677">
        <f>M77/M12</f>
        <v>3.1087527013481428E-2</v>
      </c>
      <c r="O77" s="714">
        <v>70200</v>
      </c>
      <c r="P77" s="677">
        <f>O77/O12</f>
        <v>4.9102843781106832E-2</v>
      </c>
      <c r="Q77" s="714">
        <v>70200</v>
      </c>
      <c r="R77" s="677">
        <f>Q77/Q12</f>
        <v>3.9543609598569687E-2</v>
      </c>
      <c r="S77" s="714">
        <v>70200</v>
      </c>
      <c r="T77" s="677">
        <f>S77/S12</f>
        <v>3.925394392082359E-2</v>
      </c>
      <c r="U77" s="714">
        <v>70200</v>
      </c>
      <c r="V77" s="677">
        <f>U77/U12</f>
        <v>4.9487671208596651E-2</v>
      </c>
      <c r="W77" s="714">
        <v>70200</v>
      </c>
      <c r="X77" s="677">
        <f>W77/W12</f>
        <v>4.8639326961299641E-2</v>
      </c>
      <c r="Y77" s="714">
        <v>70200</v>
      </c>
      <c r="Z77" s="677">
        <f>Y77/Y12</f>
        <v>3.2197327553594987E-2</v>
      </c>
      <c r="AA77" s="144">
        <f t="shared" ref="AA77:AA92" si="210">C77+E77+G77+I77+K77+M77+O77+Q77+S77+U77+W77+Y77</f>
        <v>842400</v>
      </c>
      <c r="AB77" s="68">
        <f>AA77/AA12</f>
        <v>4.1465064375385149E-2</v>
      </c>
      <c r="AC77" s="128">
        <f>AA77/12</f>
        <v>70200</v>
      </c>
      <c r="AD77" s="68">
        <f>AC77/AC12</f>
        <v>4.1465064375385149E-2</v>
      </c>
      <c r="AE77" s="595"/>
      <c r="AF77" s="595"/>
      <c r="AG77" s="595"/>
    </row>
    <row r="78" spans="1:33" s="1" customFormat="1">
      <c r="A78" s="188">
        <v>6202</v>
      </c>
      <c r="B78" s="228" t="s">
        <v>25</v>
      </c>
      <c r="C78" s="714">
        <v>35100</v>
      </c>
      <c r="D78" s="68">
        <f>C78/C12</f>
        <v>2.2971360319024411E-2</v>
      </c>
      <c r="E78" s="714">
        <v>35100</v>
      </c>
      <c r="F78" s="677">
        <f>E78/E12</f>
        <v>2.9526114522751758E-2</v>
      </c>
      <c r="G78" s="714">
        <v>35100</v>
      </c>
      <c r="H78" s="677">
        <f>G78/G12</f>
        <v>1.7799923640394909E-2</v>
      </c>
      <c r="I78" s="714">
        <v>35100</v>
      </c>
      <c r="J78" s="677">
        <f>I78/I12</f>
        <v>2.0158594821919697E-2</v>
      </c>
      <c r="K78" s="714">
        <v>35100</v>
      </c>
      <c r="L78" s="677">
        <f>K78/K12</f>
        <v>2.2040841445717909E-2</v>
      </c>
      <c r="M78" s="714">
        <v>35100</v>
      </c>
      <c r="N78" s="677">
        <f>M78/M12</f>
        <v>1.5543763506740714E-2</v>
      </c>
      <c r="O78" s="714">
        <v>35100</v>
      </c>
      <c r="P78" s="677">
        <f>O78/O12</f>
        <v>2.4551421890553416E-2</v>
      </c>
      <c r="Q78" s="714">
        <v>35100</v>
      </c>
      <c r="R78" s="677">
        <f>Q78/Q12</f>
        <v>1.9771804799284844E-2</v>
      </c>
      <c r="S78" s="714">
        <v>35100</v>
      </c>
      <c r="T78" s="677">
        <f>S78/S12</f>
        <v>1.9626971960411795E-2</v>
      </c>
      <c r="U78" s="714">
        <v>35100</v>
      </c>
      <c r="V78" s="677">
        <f>U78/U12</f>
        <v>2.4743835604298325E-2</v>
      </c>
      <c r="W78" s="714">
        <v>35100</v>
      </c>
      <c r="X78" s="677">
        <f>W78/W12</f>
        <v>2.431966348064982E-2</v>
      </c>
      <c r="Y78" s="714">
        <v>35100</v>
      </c>
      <c r="Z78" s="677">
        <f>Y78/Y12</f>
        <v>1.6098663776797494E-2</v>
      </c>
      <c r="AA78" s="144">
        <f t="shared" si="210"/>
        <v>421200</v>
      </c>
      <c r="AB78" s="68">
        <f>AA78/AA12</f>
        <v>2.0732532187692575E-2</v>
      </c>
      <c r="AC78" s="128">
        <f>AA78/12</f>
        <v>35100</v>
      </c>
      <c r="AD78" s="68">
        <f>AC78/AC12</f>
        <v>2.0732532187692575E-2</v>
      </c>
      <c r="AE78" s="595"/>
      <c r="AF78" s="595"/>
      <c r="AG78" s="595"/>
    </row>
    <row r="79" spans="1:33" s="1" customFormat="1">
      <c r="A79" s="188">
        <v>6203</v>
      </c>
      <c r="B79" s="228" t="s">
        <v>26</v>
      </c>
      <c r="C79" s="714">
        <v>11700</v>
      </c>
      <c r="D79" s="68">
        <f>C79/C12</f>
        <v>7.6571201063414703E-3</v>
      </c>
      <c r="E79" s="714">
        <v>11700</v>
      </c>
      <c r="F79" s="677">
        <f>E79/E12</f>
        <v>9.8420381742505853E-3</v>
      </c>
      <c r="G79" s="714">
        <v>11700</v>
      </c>
      <c r="H79" s="677">
        <f>G79/G12</f>
        <v>5.9333078801316365E-3</v>
      </c>
      <c r="I79" s="714">
        <v>11700</v>
      </c>
      <c r="J79" s="677">
        <f>I79/I12</f>
        <v>6.7195316073065661E-3</v>
      </c>
      <c r="K79" s="714">
        <v>11700</v>
      </c>
      <c r="L79" s="677">
        <f>K79/K12</f>
        <v>7.3469471485726363E-3</v>
      </c>
      <c r="M79" s="714">
        <v>11700</v>
      </c>
      <c r="N79" s="677">
        <f>M79/M12</f>
        <v>5.1812545022469044E-3</v>
      </c>
      <c r="O79" s="714">
        <v>11700</v>
      </c>
      <c r="P79" s="677">
        <f>O79/O12</f>
        <v>8.1838072968511387E-3</v>
      </c>
      <c r="Q79" s="714">
        <v>11700</v>
      </c>
      <c r="R79" s="677">
        <f>Q79/Q12</f>
        <v>6.5906015997616143E-3</v>
      </c>
      <c r="S79" s="714">
        <v>11700</v>
      </c>
      <c r="T79" s="677">
        <f>S79/S12</f>
        <v>6.542323986803932E-3</v>
      </c>
      <c r="U79" s="714">
        <v>11700</v>
      </c>
      <c r="V79" s="677">
        <f>U79/U12</f>
        <v>8.2479452014327763E-3</v>
      </c>
      <c r="W79" s="714">
        <v>11700</v>
      </c>
      <c r="X79" s="677">
        <f>W79/W12</f>
        <v>8.1065544935499407E-3</v>
      </c>
      <c r="Y79" s="714">
        <v>11700</v>
      </c>
      <c r="Z79" s="677">
        <f>Y79/Y12</f>
        <v>5.3662212589324987E-3</v>
      </c>
      <c r="AA79" s="144">
        <f t="shared" si="210"/>
        <v>140400</v>
      </c>
      <c r="AB79" s="68">
        <f>AA79/AA12</f>
        <v>6.9108440625641919E-3</v>
      </c>
      <c r="AC79" s="128">
        <f>AA79/12</f>
        <v>11700</v>
      </c>
      <c r="AD79" s="68">
        <f>AC79/AC12</f>
        <v>6.9108440625641919E-3</v>
      </c>
      <c r="AE79" s="595"/>
      <c r="AF79" s="595"/>
      <c r="AG79" s="595"/>
    </row>
    <row r="80" spans="1:33" s="1" customFormat="1">
      <c r="A80" s="188">
        <v>6204</v>
      </c>
      <c r="B80" s="228" t="s">
        <v>27</v>
      </c>
      <c r="C80" s="712"/>
      <c r="D80" s="68">
        <f>C80/C12</f>
        <v>0</v>
      </c>
      <c r="E80" s="713"/>
      <c r="F80" s="677">
        <f>E80/E12</f>
        <v>0</v>
      </c>
      <c r="G80" s="713"/>
      <c r="H80" s="677">
        <f>G80/G12</f>
        <v>0</v>
      </c>
      <c r="I80" s="713"/>
      <c r="J80" s="677">
        <f>I80/I12</f>
        <v>0</v>
      </c>
      <c r="K80" s="713"/>
      <c r="L80" s="677">
        <f>K80/K12</f>
        <v>0</v>
      </c>
      <c r="M80" s="713"/>
      <c r="N80" s="677">
        <f>M80/M12</f>
        <v>0</v>
      </c>
      <c r="O80" s="713"/>
      <c r="P80" s="677">
        <f>O80/O12</f>
        <v>0</v>
      </c>
      <c r="Q80" s="713"/>
      <c r="R80" s="677">
        <f>Q80/Q12</f>
        <v>0</v>
      </c>
      <c r="S80" s="713"/>
      <c r="T80" s="677">
        <f>S80/S12</f>
        <v>0</v>
      </c>
      <c r="U80" s="713"/>
      <c r="V80" s="677">
        <f>U80/U12</f>
        <v>0</v>
      </c>
      <c r="W80" s="713"/>
      <c r="X80" s="677">
        <f>W80/W12</f>
        <v>0</v>
      </c>
      <c r="Y80" s="713"/>
      <c r="Z80" s="677">
        <f>Y80/Y12</f>
        <v>0</v>
      </c>
      <c r="AA80" s="144">
        <f t="shared" si="210"/>
        <v>0</v>
      </c>
      <c r="AB80" s="68">
        <f>AA80/AA12</f>
        <v>0</v>
      </c>
      <c r="AC80" s="128">
        <f t="shared" ref="AC80:AC92" si="211">AA80/12</f>
        <v>0</v>
      </c>
      <c r="AD80" s="68">
        <f>AC80/AC12</f>
        <v>0</v>
      </c>
      <c r="AE80" s="595"/>
      <c r="AF80" s="595"/>
      <c r="AG80" s="595"/>
    </row>
    <row r="81" spans="1:33" s="1" customFormat="1">
      <c r="A81" s="188">
        <v>6205</v>
      </c>
      <c r="B81" s="228" t="s">
        <v>28</v>
      </c>
      <c r="C81" s="712"/>
      <c r="D81" s="68">
        <f>C81/C12</f>
        <v>0</v>
      </c>
      <c r="E81" s="713"/>
      <c r="F81" s="677">
        <f>E81/E12</f>
        <v>0</v>
      </c>
      <c r="G81" s="713"/>
      <c r="H81" s="677">
        <f>G81/G12</f>
        <v>0</v>
      </c>
      <c r="I81" s="713"/>
      <c r="J81" s="677">
        <f>I81/I12</f>
        <v>0</v>
      </c>
      <c r="K81" s="713"/>
      <c r="L81" s="677">
        <f>K81/K12</f>
        <v>0</v>
      </c>
      <c r="M81" s="713"/>
      <c r="N81" s="677">
        <f>M81/M12</f>
        <v>0</v>
      </c>
      <c r="O81" s="713"/>
      <c r="P81" s="677">
        <f>O81/O12</f>
        <v>0</v>
      </c>
      <c r="Q81" s="713"/>
      <c r="R81" s="677">
        <f>Q81/Q12</f>
        <v>0</v>
      </c>
      <c r="S81" s="713"/>
      <c r="T81" s="677">
        <f>S81/S12</f>
        <v>0</v>
      </c>
      <c r="U81" s="713"/>
      <c r="V81" s="677">
        <f>U81/U12</f>
        <v>0</v>
      </c>
      <c r="W81" s="713"/>
      <c r="X81" s="677">
        <f>W81/W12</f>
        <v>0</v>
      </c>
      <c r="Y81" s="713"/>
      <c r="Z81" s="677">
        <f>Y81/Y12</f>
        <v>0</v>
      </c>
      <c r="AA81" s="144">
        <f t="shared" si="210"/>
        <v>0</v>
      </c>
      <c r="AB81" s="68">
        <f>AA81/AA12</f>
        <v>0</v>
      </c>
      <c r="AC81" s="128">
        <f t="shared" si="211"/>
        <v>0</v>
      </c>
      <c r="AD81" s="68">
        <f>AC81/AC12</f>
        <v>0</v>
      </c>
      <c r="AE81" s="595"/>
      <c r="AF81" s="595"/>
      <c r="AG81" s="595"/>
    </row>
    <row r="82" spans="1:33" s="1" customFormat="1">
      <c r="A82" s="188">
        <v>6206</v>
      </c>
      <c r="B82" s="188" t="s">
        <v>217</v>
      </c>
      <c r="C82" s="714">
        <v>2065.5666666666666</v>
      </c>
      <c r="D82" s="68">
        <f>C82/C12</f>
        <v>1.3518198337027405E-3</v>
      </c>
      <c r="E82" s="714">
        <v>2065.5666666666666</v>
      </c>
      <c r="F82" s="677">
        <f>E82/E12</f>
        <v>1.737554357674604E-3</v>
      </c>
      <c r="G82" s="714">
        <v>2065.5666666666666</v>
      </c>
      <c r="H82" s="677">
        <f>G82/G12</f>
        <v>1.0474908530145788E-3</v>
      </c>
      <c r="I82" s="714">
        <v>2065.5666666666666</v>
      </c>
      <c r="J82" s="677">
        <f>I82/I12</f>
        <v>1.1862940601423532E-3</v>
      </c>
      <c r="K82" s="714">
        <v>2065.5666666666666</v>
      </c>
      <c r="L82" s="677">
        <f>K82/K12</f>
        <v>1.2970606095601153E-3</v>
      </c>
      <c r="M82" s="714">
        <v>2065.5666666666666</v>
      </c>
      <c r="N82" s="677">
        <f>M82/M12</f>
        <v>9.1472022148357242E-4</v>
      </c>
      <c r="O82" s="714">
        <v>2065.5666666666666</v>
      </c>
      <c r="P82" s="677">
        <f>O82/O12</f>
        <v>1.4448033810939445E-3</v>
      </c>
      <c r="Q82" s="714">
        <v>2065.5666666666666</v>
      </c>
      <c r="R82" s="677">
        <f>Q82/Q12</f>
        <v>1.1635322203203075E-3</v>
      </c>
      <c r="S82" s="714">
        <v>2065.5666666666666</v>
      </c>
      <c r="T82" s="677">
        <f>S82/S12</f>
        <v>1.1550090897158953E-3</v>
      </c>
      <c r="U82" s="714">
        <v>2065.5666666666666</v>
      </c>
      <c r="V82" s="677">
        <f>U82/U12</f>
        <v>1.4561265535532331E-3</v>
      </c>
      <c r="W82" s="714">
        <v>2065.5666666666666</v>
      </c>
      <c r="X82" s="677">
        <f>W82/W12</f>
        <v>1.431164849862704E-3</v>
      </c>
      <c r="Y82" s="714">
        <v>2065.5666666666666</v>
      </c>
      <c r="Z82" s="677">
        <f>Y82/Y12</f>
        <v>9.473750220862396E-4</v>
      </c>
      <c r="AA82" s="144">
        <f t="shared" si="210"/>
        <v>24786.799999999992</v>
      </c>
      <c r="AB82" s="68">
        <f>AA82/AA12</f>
        <v>1.2200691567661401E-3</v>
      </c>
      <c r="AC82" s="128">
        <f t="shared" si="211"/>
        <v>2065.5666666666662</v>
      </c>
      <c r="AD82" s="68">
        <f>AC82/AC12</f>
        <v>1.2200691567661401E-3</v>
      </c>
      <c r="AE82" s="595" t="s">
        <v>303</v>
      </c>
      <c r="AF82" s="595"/>
      <c r="AG82" s="595"/>
    </row>
    <row r="83" spans="1:33" s="1" customFormat="1">
      <c r="A83" s="188">
        <v>6207</v>
      </c>
      <c r="B83" s="2" t="s">
        <v>218</v>
      </c>
      <c r="C83" s="714">
        <v>6766.666666666667</v>
      </c>
      <c r="D83" s="68">
        <f>C83/C$12</f>
        <v>4.4284768706191417E-3</v>
      </c>
      <c r="E83" s="714">
        <v>6766.666666666667</v>
      </c>
      <c r="F83" s="677">
        <f>E83/E$12</f>
        <v>5.6921189440822476E-3</v>
      </c>
      <c r="G83" s="714">
        <v>6766.666666666667</v>
      </c>
      <c r="H83" s="677">
        <f>G83/G$12</f>
        <v>3.431514244064736E-3</v>
      </c>
      <c r="I83" s="714">
        <v>6766.666666666667</v>
      </c>
      <c r="J83" s="677">
        <f>I83/I$12</f>
        <v>3.8862248327157633E-3</v>
      </c>
      <c r="K83" s="714">
        <v>6766.666666666667</v>
      </c>
      <c r="L83" s="677">
        <f>K83/K$12</f>
        <v>4.2490890916246299E-3</v>
      </c>
      <c r="M83" s="714">
        <v>6766.666666666667</v>
      </c>
      <c r="N83" s="677">
        <f>M83/M$12</f>
        <v>2.9965659941769847E-3</v>
      </c>
      <c r="O83" s="714">
        <v>6766.666666666667</v>
      </c>
      <c r="P83" s="677">
        <f>O83/O$12</f>
        <v>4.7330851317970973E-3</v>
      </c>
      <c r="Q83" s="714">
        <v>6766.666666666667</v>
      </c>
      <c r="R83" s="677">
        <f>Q83/Q$12</f>
        <v>3.8116584750758058E-3</v>
      </c>
      <c r="S83" s="714">
        <v>6766.666666666667</v>
      </c>
      <c r="T83" s="677">
        <f>S83/S$12</f>
        <v>3.7837372345333286E-3</v>
      </c>
      <c r="U83" s="714">
        <v>6766.666666666667</v>
      </c>
      <c r="V83" s="677">
        <f>U83/U$12</f>
        <v>4.7701791335921749E-3</v>
      </c>
      <c r="W83" s="714">
        <v>6766.666666666667</v>
      </c>
      <c r="X83" s="677">
        <f>W83/W$12</f>
        <v>4.688406160087288E-3</v>
      </c>
      <c r="Y83" s="714">
        <v>6766.666666666667</v>
      </c>
      <c r="Z83" s="677">
        <f>Y83/Y$12</f>
        <v>3.1035410699809039E-3</v>
      </c>
      <c r="AA83" s="144">
        <f t="shared" si="210"/>
        <v>81200</v>
      </c>
      <c r="AB83" s="68">
        <f t="shared" ref="AB83" si="212">AA83/AA$12</f>
        <v>3.9968699279217404E-3</v>
      </c>
      <c r="AC83" s="128">
        <f t="shared" si="211"/>
        <v>6766.666666666667</v>
      </c>
      <c r="AD83" s="68">
        <f t="shared" ref="AD83" si="213">AC83/AC$12</f>
        <v>3.9968699279217404E-3</v>
      </c>
      <c r="AE83" s="595"/>
      <c r="AF83" s="595"/>
      <c r="AG83" s="595"/>
    </row>
    <row r="84" spans="1:33" s="1" customFormat="1">
      <c r="A84" s="188">
        <v>6208</v>
      </c>
      <c r="B84" s="2" t="s">
        <v>219</v>
      </c>
      <c r="C84" s="712"/>
      <c r="D84" s="68">
        <f>C84/C12</f>
        <v>0</v>
      </c>
      <c r="E84" s="713"/>
      <c r="F84" s="677">
        <f>E84/E12</f>
        <v>0</v>
      </c>
      <c r="G84" s="713"/>
      <c r="H84" s="677">
        <f>G84/G12</f>
        <v>0</v>
      </c>
      <c r="I84" s="713"/>
      <c r="J84" s="677">
        <f>I84/I12</f>
        <v>0</v>
      </c>
      <c r="K84" s="713"/>
      <c r="L84" s="677">
        <f>K84/K12</f>
        <v>0</v>
      </c>
      <c r="M84" s="713"/>
      <c r="N84" s="677">
        <f>M84/M12</f>
        <v>0</v>
      </c>
      <c r="O84" s="713"/>
      <c r="P84" s="677">
        <f>O84/O12</f>
        <v>0</v>
      </c>
      <c r="Q84" s="713"/>
      <c r="R84" s="677">
        <f>Q84/Q12</f>
        <v>0</v>
      </c>
      <c r="S84" s="713"/>
      <c r="T84" s="677">
        <f>S84/S12</f>
        <v>0</v>
      </c>
      <c r="U84" s="713"/>
      <c r="V84" s="677">
        <f>U84/U12</f>
        <v>0</v>
      </c>
      <c r="W84" s="713"/>
      <c r="X84" s="677">
        <f>W84/W12</f>
        <v>0</v>
      </c>
      <c r="Y84" s="713"/>
      <c r="Z84" s="677">
        <f>Y84/Y12</f>
        <v>0</v>
      </c>
      <c r="AA84" s="144">
        <f t="shared" si="210"/>
        <v>0</v>
      </c>
      <c r="AB84" s="68">
        <f>AA84/AA12</f>
        <v>0</v>
      </c>
      <c r="AC84" s="128">
        <f t="shared" si="211"/>
        <v>0</v>
      </c>
      <c r="AD84" s="68">
        <f>AC84/AC12</f>
        <v>0</v>
      </c>
      <c r="AE84" s="595"/>
      <c r="AF84" s="595"/>
      <c r="AG84" s="595"/>
    </row>
    <row r="85" spans="1:33" s="1" customFormat="1">
      <c r="A85" s="188">
        <v>6209</v>
      </c>
      <c r="B85" s="228" t="s">
        <v>29</v>
      </c>
      <c r="C85" s="761">
        <v>8775</v>
      </c>
      <c r="D85" s="68">
        <f>C85/C12</f>
        <v>5.7428400797561027E-3</v>
      </c>
      <c r="E85" s="761">
        <v>8775</v>
      </c>
      <c r="F85" s="677">
        <f>E85/E12</f>
        <v>7.3815286306879394E-3</v>
      </c>
      <c r="G85" s="761">
        <v>8775</v>
      </c>
      <c r="H85" s="677">
        <f>G85/G12</f>
        <v>4.4499809100987274E-3</v>
      </c>
      <c r="I85" s="761">
        <v>8775</v>
      </c>
      <c r="J85" s="677">
        <f>I85/I12</f>
        <v>5.0396487054799243E-3</v>
      </c>
      <c r="K85" s="761">
        <v>8775</v>
      </c>
      <c r="L85" s="677">
        <f>K85/K12</f>
        <v>5.5102103614294773E-3</v>
      </c>
      <c r="M85" s="761">
        <v>8775</v>
      </c>
      <c r="N85" s="677">
        <f>M85/M12</f>
        <v>3.8859408766851785E-3</v>
      </c>
      <c r="O85" s="761">
        <v>8775</v>
      </c>
      <c r="P85" s="677">
        <f>O85/O12</f>
        <v>6.137855472638354E-3</v>
      </c>
      <c r="Q85" s="761">
        <v>8775</v>
      </c>
      <c r="R85" s="677">
        <f>Q85/Q12</f>
        <v>4.9429511998212109E-3</v>
      </c>
      <c r="S85" s="761">
        <v>8775</v>
      </c>
      <c r="T85" s="677">
        <f>S85/S12</f>
        <v>4.9067429901029488E-3</v>
      </c>
      <c r="U85" s="761">
        <v>8775</v>
      </c>
      <c r="V85" s="677">
        <f>U85/U12</f>
        <v>6.1859589010745814E-3</v>
      </c>
      <c r="W85" s="761">
        <v>8775</v>
      </c>
      <c r="X85" s="677">
        <f>W85/W12</f>
        <v>6.0799158701624551E-3</v>
      </c>
      <c r="Y85" s="761">
        <v>8775</v>
      </c>
      <c r="Z85" s="677">
        <f>Y85/Y12</f>
        <v>4.0246659441993734E-3</v>
      </c>
      <c r="AA85" s="144">
        <f t="shared" si="210"/>
        <v>105300</v>
      </c>
      <c r="AB85" s="68">
        <f>AA85/AA12</f>
        <v>5.1831330469231437E-3</v>
      </c>
      <c r="AC85" s="128">
        <f t="shared" si="211"/>
        <v>8775</v>
      </c>
      <c r="AD85" s="68">
        <f>AC85/AC12</f>
        <v>5.1831330469231437E-3</v>
      </c>
      <c r="AE85" s="595"/>
      <c r="AF85" s="595"/>
      <c r="AG85" s="595"/>
    </row>
    <row r="86" spans="1:33" s="1" customFormat="1">
      <c r="A86" s="188">
        <v>6210</v>
      </c>
      <c r="B86" s="228" t="s">
        <v>30</v>
      </c>
      <c r="C86" s="761">
        <v>4038.9041095890411</v>
      </c>
      <c r="D86" s="68">
        <f>C86/C12</f>
        <v>2.643279817531576E-3</v>
      </c>
      <c r="E86" s="761">
        <v>4038.9041095890411</v>
      </c>
      <c r="F86" s="677">
        <f>E86/E12</f>
        <v>3.3975255067275997E-3</v>
      </c>
      <c r="G86" s="761">
        <v>4038.9041095890411</v>
      </c>
      <c r="H86" s="677">
        <f>G86/G12</f>
        <v>2.0482103914974967E-3</v>
      </c>
      <c r="I86" s="761">
        <v>4038.9041095890411</v>
      </c>
      <c r="J86" s="677">
        <f>I86/I12</f>
        <v>2.3196191301934994E-3</v>
      </c>
      <c r="K86" s="761">
        <v>4038.9041095890411</v>
      </c>
      <c r="L86" s="677">
        <f>K86/K12</f>
        <v>2.5362064129319235E-3</v>
      </c>
      <c r="M86" s="761">
        <v>4038.9041095890411</v>
      </c>
      <c r="N86" s="677">
        <f>M86/M12</f>
        <v>1.7885974446112602E-3</v>
      </c>
      <c r="O86" s="761">
        <v>4038.9041095890411</v>
      </c>
      <c r="P86" s="677">
        <f>O86/O12</f>
        <v>2.8250951216527219E-3</v>
      </c>
      <c r="Q86" s="761">
        <v>4038.9041095890411</v>
      </c>
      <c r="R86" s="677">
        <f>Q86/Q12</f>
        <v>2.2751117851231876E-3</v>
      </c>
      <c r="S86" s="761">
        <v>4038.9041095890411</v>
      </c>
      <c r="T86" s="677">
        <f>S86/S12</f>
        <v>2.2584460885953302E-3</v>
      </c>
      <c r="U86" s="761">
        <v>4038.9041095890411</v>
      </c>
      <c r="V86" s="677">
        <f>U86/U12</f>
        <v>2.8472358777548762E-3</v>
      </c>
      <c r="W86" s="761">
        <v>4038.9041095890411</v>
      </c>
      <c r="X86" s="677">
        <f>W86/W12</f>
        <v>2.7984270306501166E-3</v>
      </c>
      <c r="Y86" s="761">
        <v>4038.9041095890411</v>
      </c>
      <c r="Z86" s="677">
        <f>Y86/Y12</f>
        <v>1.8524489825356022E-3</v>
      </c>
      <c r="AA86" s="144">
        <f t="shared" si="210"/>
        <v>48466.849315068503</v>
      </c>
      <c r="AB86" s="68">
        <f>AA86/AA12</f>
        <v>2.3856612380358587E-3</v>
      </c>
      <c r="AC86" s="128">
        <f t="shared" si="211"/>
        <v>4038.904109589042</v>
      </c>
      <c r="AD86" s="68">
        <f>AC86/AC12</f>
        <v>2.3856612380358582E-3</v>
      </c>
      <c r="AE86" s="595"/>
      <c r="AF86" s="595"/>
      <c r="AG86" s="595"/>
    </row>
    <row r="87" spans="1:33" s="1" customFormat="1">
      <c r="A87" s="188">
        <v>6211</v>
      </c>
      <c r="B87" s="228" t="s">
        <v>31</v>
      </c>
      <c r="C87" s="761">
        <v>4500</v>
      </c>
      <c r="D87" s="68">
        <f>C87/C12</f>
        <v>2.9450461947467194E-3</v>
      </c>
      <c r="E87" s="761">
        <v>4500</v>
      </c>
      <c r="F87" s="677">
        <f>E87/E12</f>
        <v>3.785399297788687E-3</v>
      </c>
      <c r="G87" s="761">
        <v>4500</v>
      </c>
      <c r="H87" s="677">
        <f>G87/G12</f>
        <v>2.2820414923583219E-3</v>
      </c>
      <c r="I87" s="761">
        <v>4500</v>
      </c>
      <c r="J87" s="677">
        <f>I87/I12</f>
        <v>2.5844352335794487E-3</v>
      </c>
      <c r="K87" s="761">
        <v>4500</v>
      </c>
      <c r="L87" s="677">
        <f>K87/K12</f>
        <v>2.8257489032971679E-3</v>
      </c>
      <c r="M87" s="761">
        <v>4500</v>
      </c>
      <c r="N87" s="677">
        <f>M87/M12</f>
        <v>1.9927901931718864E-3</v>
      </c>
      <c r="O87" s="761">
        <v>4500</v>
      </c>
      <c r="P87" s="677">
        <f>O87/O12</f>
        <v>3.1476181910965917E-3</v>
      </c>
      <c r="Q87" s="761">
        <v>4500</v>
      </c>
      <c r="R87" s="677">
        <f>Q87/Q12</f>
        <v>2.5348467691390826E-3</v>
      </c>
      <c r="S87" s="761">
        <v>4500</v>
      </c>
      <c r="T87" s="677">
        <f>S87/S12</f>
        <v>2.5162784564630508E-3</v>
      </c>
      <c r="U87" s="761">
        <v>4500</v>
      </c>
      <c r="V87" s="677">
        <f>U87/U12</f>
        <v>3.172286615935683E-3</v>
      </c>
      <c r="W87" s="761">
        <v>4500</v>
      </c>
      <c r="X87" s="677">
        <f>W87/W12</f>
        <v>3.1179055744422848E-3</v>
      </c>
      <c r="Y87" s="761">
        <v>4500</v>
      </c>
      <c r="Z87" s="677">
        <f>Y87/Y12</f>
        <v>2.0639312534355761E-3</v>
      </c>
      <c r="AA87" s="144">
        <f t="shared" si="210"/>
        <v>54000</v>
      </c>
      <c r="AB87" s="68">
        <f>AA87/AA12</f>
        <v>2.6580169471400739E-3</v>
      </c>
      <c r="AC87" s="128">
        <f t="shared" si="211"/>
        <v>4500</v>
      </c>
      <c r="AD87" s="68">
        <f>AC87/AC12</f>
        <v>2.6580169471400739E-3</v>
      </c>
      <c r="AE87" s="595"/>
      <c r="AF87" s="595"/>
      <c r="AG87" s="595"/>
    </row>
    <row r="88" spans="1:33" s="1" customFormat="1">
      <c r="A88" s="188">
        <v>6212</v>
      </c>
      <c r="B88" s="228" t="s">
        <v>32</v>
      </c>
      <c r="C88" s="75">
        <v>100</v>
      </c>
      <c r="D88" s="702">
        <f>C88/C12</f>
        <v>6.544547099437155E-5</v>
      </c>
      <c r="E88" s="75">
        <v>100</v>
      </c>
      <c r="F88" s="702">
        <f>E88/E12</f>
        <v>8.4119984395304148E-5</v>
      </c>
      <c r="G88" s="75">
        <v>100</v>
      </c>
      <c r="H88" s="702">
        <f>G88/G12</f>
        <v>5.0712033163518262E-5</v>
      </c>
      <c r="I88" s="75">
        <v>100</v>
      </c>
      <c r="J88" s="702">
        <f>I88/I12</f>
        <v>5.7431894079543297E-5</v>
      </c>
      <c r="K88" s="75">
        <v>100</v>
      </c>
      <c r="L88" s="702">
        <f>K88/K12</f>
        <v>6.2794420073270394E-5</v>
      </c>
      <c r="M88" s="75">
        <v>100</v>
      </c>
      <c r="N88" s="702">
        <f>M88/M12</f>
        <v>4.4284226514930807E-5</v>
      </c>
      <c r="O88" s="75">
        <v>100</v>
      </c>
      <c r="P88" s="702">
        <f>O88/O12</f>
        <v>6.9947070913257593E-5</v>
      </c>
      <c r="Q88" s="75">
        <v>100</v>
      </c>
      <c r="R88" s="702">
        <f>Q88/Q12</f>
        <v>5.6329928203090726E-5</v>
      </c>
      <c r="S88" s="75">
        <v>100</v>
      </c>
      <c r="T88" s="702">
        <f>S88/S12</f>
        <v>5.591729903251224E-5</v>
      </c>
      <c r="U88" s="75">
        <v>100</v>
      </c>
      <c r="V88" s="702">
        <f>U88/U12</f>
        <v>7.0495258131904071E-5</v>
      </c>
      <c r="W88" s="75">
        <v>100</v>
      </c>
      <c r="X88" s="702">
        <f>W88/W12</f>
        <v>6.9286790543161885E-5</v>
      </c>
      <c r="Y88" s="75">
        <v>100</v>
      </c>
      <c r="Z88" s="702">
        <f>Y88/Y12</f>
        <v>4.5865138965235026E-5</v>
      </c>
      <c r="AA88" s="144">
        <f t="shared" si="210"/>
        <v>1200</v>
      </c>
      <c r="AB88" s="68">
        <f>AA88/AA12</f>
        <v>5.9067043269779417E-5</v>
      </c>
      <c r="AC88" s="128">
        <f t="shared" si="211"/>
        <v>100</v>
      </c>
      <c r="AD88" s="68">
        <f>AC88/AC12</f>
        <v>5.9067043269779417E-5</v>
      </c>
      <c r="AE88" s="595" t="s">
        <v>262</v>
      </c>
      <c r="AF88" s="595"/>
      <c r="AG88" s="595"/>
    </row>
    <row r="89" spans="1:33" s="1" customFormat="1">
      <c r="A89" s="188">
        <v>6213</v>
      </c>
      <c r="B89" s="228" t="s">
        <v>33</v>
      </c>
      <c r="C89" s="113"/>
      <c r="D89" s="68">
        <f>C89/C12</f>
        <v>0</v>
      </c>
      <c r="E89" s="113"/>
      <c r="F89" s="677">
        <f>E89/E12</f>
        <v>0</v>
      </c>
      <c r="G89" s="113"/>
      <c r="H89" s="677">
        <f>G89/G12</f>
        <v>0</v>
      </c>
      <c r="I89" s="113"/>
      <c r="J89" s="677">
        <f>I89/I12</f>
        <v>0</v>
      </c>
      <c r="K89" s="113"/>
      <c r="L89" s="677">
        <f>K89/K12</f>
        <v>0</v>
      </c>
      <c r="M89" s="113"/>
      <c r="N89" s="677">
        <f>M89/M12</f>
        <v>0</v>
      </c>
      <c r="O89" s="113"/>
      <c r="P89" s="677">
        <f>O89/O12</f>
        <v>0</v>
      </c>
      <c r="Q89" s="113"/>
      <c r="R89" s="677">
        <f>Q89/Q12</f>
        <v>0</v>
      </c>
      <c r="S89" s="113"/>
      <c r="T89" s="677">
        <f>S89/S12</f>
        <v>0</v>
      </c>
      <c r="U89" s="113"/>
      <c r="V89" s="677">
        <f>U89/U12</f>
        <v>0</v>
      </c>
      <c r="W89" s="113"/>
      <c r="X89" s="677">
        <f>W89/W12</f>
        <v>0</v>
      </c>
      <c r="Y89" s="113"/>
      <c r="Z89" s="677">
        <f>Y89/Y12</f>
        <v>0</v>
      </c>
      <c r="AA89" s="144">
        <f t="shared" si="210"/>
        <v>0</v>
      </c>
      <c r="AB89" s="68">
        <f>AA89/AA12</f>
        <v>0</v>
      </c>
      <c r="AC89" s="128">
        <f t="shared" si="211"/>
        <v>0</v>
      </c>
      <c r="AD89" s="68">
        <f>AC89/AC12</f>
        <v>0</v>
      </c>
      <c r="AE89" s="595"/>
      <c r="AF89" s="595"/>
      <c r="AG89" s="595"/>
    </row>
    <row r="90" spans="1:33" s="1" customFormat="1">
      <c r="A90" s="188">
        <v>6214</v>
      </c>
      <c r="B90" s="228" t="s">
        <v>34</v>
      </c>
      <c r="C90" s="113">
        <v>3510</v>
      </c>
      <c r="D90" s="68">
        <f>C90/C12</f>
        <v>2.2971360319024412E-3</v>
      </c>
      <c r="E90" s="113">
        <v>3510</v>
      </c>
      <c r="F90" s="677">
        <f>E90/E12</f>
        <v>2.9526114522751756E-3</v>
      </c>
      <c r="G90" s="113">
        <v>3510</v>
      </c>
      <c r="H90" s="677">
        <f>G90/G12</f>
        <v>1.779992364039491E-3</v>
      </c>
      <c r="I90" s="113">
        <v>3510</v>
      </c>
      <c r="J90" s="677">
        <f>I90/I12</f>
        <v>2.01585948219197E-3</v>
      </c>
      <c r="K90" s="113">
        <v>3510</v>
      </c>
      <c r="L90" s="677">
        <f>K90/K12</f>
        <v>2.204084144571791E-3</v>
      </c>
      <c r="M90" s="113">
        <v>3510</v>
      </c>
      <c r="N90" s="677">
        <f>M90/M12</f>
        <v>1.5543763506740713E-3</v>
      </c>
      <c r="O90" s="113">
        <v>3510</v>
      </c>
      <c r="P90" s="677">
        <f>O90/O12</f>
        <v>2.4551421890553417E-3</v>
      </c>
      <c r="Q90" s="113">
        <v>3510</v>
      </c>
      <c r="R90" s="677">
        <f>Q90/Q12</f>
        <v>1.9771804799284844E-3</v>
      </c>
      <c r="S90" s="113">
        <v>3510</v>
      </c>
      <c r="T90" s="677">
        <f>S90/S12</f>
        <v>1.9626971960411796E-3</v>
      </c>
      <c r="U90" s="113">
        <v>3510</v>
      </c>
      <c r="V90" s="677">
        <f>U90/U12</f>
        <v>2.4743835604298329E-3</v>
      </c>
      <c r="W90" s="113">
        <v>3510</v>
      </c>
      <c r="X90" s="677">
        <f>W90/W12</f>
        <v>2.431966348064982E-3</v>
      </c>
      <c r="Y90" s="113">
        <v>3510</v>
      </c>
      <c r="Z90" s="677">
        <f>Y90/Y12</f>
        <v>1.6098663776797494E-3</v>
      </c>
      <c r="AA90" s="144">
        <f t="shared" si="210"/>
        <v>42120</v>
      </c>
      <c r="AB90" s="68">
        <f>AA90/AA12</f>
        <v>2.0732532187692576E-3</v>
      </c>
      <c r="AC90" s="128">
        <f t="shared" si="211"/>
        <v>3510</v>
      </c>
      <c r="AD90" s="68">
        <f>AC90/AC12</f>
        <v>2.0732532187692576E-3</v>
      </c>
      <c r="AE90" s="595"/>
      <c r="AF90" s="595"/>
      <c r="AG90" s="595"/>
    </row>
    <row r="91" spans="1:33" s="1" customFormat="1">
      <c r="A91" s="188">
        <v>6215</v>
      </c>
      <c r="B91" s="228" t="s">
        <v>35</v>
      </c>
      <c r="C91" s="114"/>
      <c r="D91" s="68">
        <f>C91/C12</f>
        <v>0</v>
      </c>
      <c r="E91" s="114"/>
      <c r="F91" s="677">
        <f>E91/E12</f>
        <v>0</v>
      </c>
      <c r="G91" s="114"/>
      <c r="H91" s="677">
        <f>G91/G12</f>
        <v>0</v>
      </c>
      <c r="I91" s="114"/>
      <c r="J91" s="677">
        <f>I91/I12</f>
        <v>0</v>
      </c>
      <c r="K91" s="114"/>
      <c r="L91" s="677">
        <f>K91/K12</f>
        <v>0</v>
      </c>
      <c r="M91" s="704"/>
      <c r="N91" s="677">
        <f>M91/M12</f>
        <v>0</v>
      </c>
      <c r="O91" s="114"/>
      <c r="P91" s="677">
        <f>O91/O12</f>
        <v>0</v>
      </c>
      <c r="Q91" s="114"/>
      <c r="R91" s="677">
        <f>Q91/Q12</f>
        <v>0</v>
      </c>
      <c r="S91" s="114"/>
      <c r="T91" s="677">
        <f>S91/S12</f>
        <v>0</v>
      </c>
      <c r="U91" s="114"/>
      <c r="V91" s="677">
        <f>U91/U12</f>
        <v>0</v>
      </c>
      <c r="W91" s="114"/>
      <c r="X91" s="677">
        <f>W91/W12</f>
        <v>0</v>
      </c>
      <c r="Y91" s="114"/>
      <c r="Z91" s="677">
        <f>Y91/Y12</f>
        <v>0</v>
      </c>
      <c r="AA91" s="144">
        <f t="shared" si="210"/>
        <v>0</v>
      </c>
      <c r="AB91" s="68">
        <f>AA91/AA12</f>
        <v>0</v>
      </c>
      <c r="AC91" s="128">
        <f t="shared" si="211"/>
        <v>0</v>
      </c>
      <c r="AD91" s="68">
        <f>AC91/AC12</f>
        <v>0</v>
      </c>
      <c r="AE91" s="595"/>
      <c r="AF91" s="595"/>
      <c r="AG91" s="595"/>
    </row>
    <row r="92" spans="1:33" s="1" customFormat="1">
      <c r="A92" s="188">
        <v>6216</v>
      </c>
      <c r="B92" s="228" t="s">
        <v>126</v>
      </c>
      <c r="C92" s="114"/>
      <c r="D92" s="68">
        <f>C92/C12</f>
        <v>0</v>
      </c>
      <c r="E92" s="114"/>
      <c r="F92" s="677">
        <f>E92/E12</f>
        <v>0</v>
      </c>
      <c r="G92" s="114"/>
      <c r="H92" s="677">
        <f>G92/G12</f>
        <v>0</v>
      </c>
      <c r="I92" s="114"/>
      <c r="J92" s="677">
        <f>I92/I12</f>
        <v>0</v>
      </c>
      <c r="K92" s="114"/>
      <c r="L92" s="677">
        <f>K92/K12</f>
        <v>0</v>
      </c>
      <c r="M92" s="704"/>
      <c r="N92" s="677">
        <f>M92/M12</f>
        <v>0</v>
      </c>
      <c r="O92" s="114"/>
      <c r="P92" s="677">
        <f>O92/O12</f>
        <v>0</v>
      </c>
      <c r="Q92" s="114"/>
      <c r="R92" s="677">
        <f>Q92/Q12</f>
        <v>0</v>
      </c>
      <c r="S92" s="114"/>
      <c r="T92" s="677">
        <f>S92/S12</f>
        <v>0</v>
      </c>
      <c r="U92" s="114"/>
      <c r="V92" s="677">
        <f>U92/U12</f>
        <v>0</v>
      </c>
      <c r="W92" s="114"/>
      <c r="X92" s="677">
        <f>W92/W12</f>
        <v>0</v>
      </c>
      <c r="Y92" s="114"/>
      <c r="Z92" s="677">
        <f>Y92/Y12</f>
        <v>0</v>
      </c>
      <c r="AA92" s="144">
        <f t="shared" si="210"/>
        <v>0</v>
      </c>
      <c r="AB92" s="68">
        <f>AA92/AA12</f>
        <v>0</v>
      </c>
      <c r="AC92" s="128">
        <f t="shared" si="211"/>
        <v>0</v>
      </c>
      <c r="AD92" s="68">
        <f>AC92/AC12</f>
        <v>0</v>
      </c>
      <c r="AE92" s="595"/>
      <c r="AF92" s="595"/>
      <c r="AG92" s="595"/>
    </row>
    <row r="93" spans="1:33" s="1" customFormat="1" ht="15.75" thickBot="1">
      <c r="A93" s="4">
        <v>6299</v>
      </c>
      <c r="B93" s="229" t="s">
        <v>112</v>
      </c>
      <c r="C93" s="119">
        <f>SUM(C77:C92)</f>
        <v>146756.13744292237</v>
      </c>
      <c r="D93" s="87">
        <f>C93/C12</f>
        <v>9.60452453626678E-2</v>
      </c>
      <c r="E93" s="79">
        <f>SUM(E77:E92)</f>
        <v>146756.13744292237</v>
      </c>
      <c r="F93" s="87">
        <f>E93/E12</f>
        <v>0.12345123991613741</v>
      </c>
      <c r="G93" s="119">
        <f>SUM(G77:G92)</f>
        <v>146756.13744292237</v>
      </c>
      <c r="H93" s="87">
        <f>G93/G12</f>
        <v>7.4423021089553232E-2</v>
      </c>
      <c r="I93" s="79">
        <f>SUM(I77:I92)</f>
        <v>146756.13744292237</v>
      </c>
      <c r="J93" s="87">
        <f>I93/I12</f>
        <v>8.4284829411448159E-2</v>
      </c>
      <c r="K93" s="79">
        <f>SUM(K77:K92)</f>
        <v>146756.13744292237</v>
      </c>
      <c r="L93" s="87">
        <f>K93/K12</f>
        <v>9.215466542921473E-2</v>
      </c>
      <c r="M93" s="378">
        <f>SUM(M77:M92)</f>
        <v>146756.13744292237</v>
      </c>
      <c r="N93" s="87">
        <f>M93/M12</f>
        <v>6.4989820329786924E-2</v>
      </c>
      <c r="O93" s="79">
        <f>SUM(O77:O92)</f>
        <v>146756.13744292237</v>
      </c>
      <c r="P93" s="87">
        <f>O93/O12</f>
        <v>0.10265161952675869</v>
      </c>
      <c r="Q93" s="29">
        <f>SUM(Q77:Q92)</f>
        <v>146756.13744292237</v>
      </c>
      <c r="R93" s="87">
        <f>Q93/Q12</f>
        <v>8.2667626855227314E-2</v>
      </c>
      <c r="S93" s="79">
        <f>SUM(S77:S92)</f>
        <v>146756.13744292237</v>
      </c>
      <c r="T93" s="87">
        <f>S93/S12</f>
        <v>8.2062068222523557E-2</v>
      </c>
      <c r="U93" s="79">
        <f>SUM(U77:U92)</f>
        <v>146756.13744292237</v>
      </c>
      <c r="V93" s="87">
        <f>U93/U12</f>
        <v>0.10345611791480004</v>
      </c>
      <c r="W93" s="79">
        <f>SUM(W77:W92)</f>
        <v>146756.13744292237</v>
      </c>
      <c r="X93" s="87">
        <f>W93/W12</f>
        <v>0.10168261755931239</v>
      </c>
      <c r="Y93" s="79">
        <f>SUM(Y77:Y92)</f>
        <v>146756.13744292237</v>
      </c>
      <c r="Z93" s="87">
        <f>Y93/Y12</f>
        <v>6.7309906378207662E-2</v>
      </c>
      <c r="AA93" s="148">
        <f>SUM(AA77:AA92)</f>
        <v>1761073.6493150685</v>
      </c>
      <c r="AB93" s="89">
        <f>AA93/AA12</f>
        <v>8.6684511204467921E-2</v>
      </c>
      <c r="AC93" s="132">
        <f>SUM(AC77:AC92)</f>
        <v>146756.13744292237</v>
      </c>
      <c r="AD93" s="89">
        <f>AC93/AC12</f>
        <v>8.6684511204467907E-2</v>
      </c>
      <c r="AE93" s="596"/>
      <c r="AF93" s="596"/>
      <c r="AG93" s="596"/>
    </row>
    <row r="94" spans="1:33" s="1" customFormat="1" ht="15.75" thickTop="1">
      <c r="A94" s="188">
        <v>6301</v>
      </c>
      <c r="B94" s="231" t="s">
        <v>36</v>
      </c>
      <c r="C94" s="992"/>
      <c r="D94" s="994">
        <f t="shared" ref="D94:D101" si="214">C94/C$12</f>
        <v>0</v>
      </c>
      <c r="E94" s="992"/>
      <c r="F94" s="994">
        <f t="shared" ref="F94:F101" si="215">E94/E$12</f>
        <v>0</v>
      </c>
      <c r="G94" s="992"/>
      <c r="H94" s="994">
        <f t="shared" ref="H94:H101" si="216">G94/G$12</f>
        <v>0</v>
      </c>
      <c r="I94" s="992"/>
      <c r="J94" s="994">
        <f t="shared" ref="J94:J101" si="217">I94/I$12</f>
        <v>0</v>
      </c>
      <c r="K94" s="992"/>
      <c r="L94" s="994">
        <f t="shared" ref="L94:L101" si="218">K94/K$12</f>
        <v>0</v>
      </c>
      <c r="M94" s="992"/>
      <c r="N94" s="994">
        <f t="shared" ref="N94:N101" si="219">M94/M$12</f>
        <v>0</v>
      </c>
      <c r="O94" s="992"/>
      <c r="P94" s="994">
        <f t="shared" ref="P94:P101" si="220">O94/O$12</f>
        <v>0</v>
      </c>
      <c r="Q94" s="992"/>
      <c r="R94" s="994">
        <f t="shared" ref="R94:R101" si="221">Q94/Q$12</f>
        <v>0</v>
      </c>
      <c r="S94" s="992"/>
      <c r="T94" s="994">
        <f t="shared" ref="T94:T101" si="222">S94/S$12</f>
        <v>0</v>
      </c>
      <c r="U94" s="992"/>
      <c r="V94" s="994">
        <f t="shared" ref="V94:V101" si="223">U94/U$12</f>
        <v>0</v>
      </c>
      <c r="W94" s="992"/>
      <c r="X94" s="994">
        <f t="shared" ref="X94:X101" si="224">W94/W$12</f>
        <v>0</v>
      </c>
      <c r="Y94" s="992"/>
      <c r="Z94" s="994">
        <f t="shared" ref="Z94:Z101" si="225">Y94/Y$12</f>
        <v>0</v>
      </c>
      <c r="AA94" s="144">
        <f t="shared" ref="AA94:AA114" si="226">C94+E94+G94+I94+K94+M94+O94+Q94+S94+U94+W94+Y94</f>
        <v>0</v>
      </c>
      <c r="AB94" s="702">
        <f>AA94/AA$12</f>
        <v>0</v>
      </c>
      <c r="AC94" s="128">
        <f t="shared" ref="AC94:AC115" si="227">AA94/12</f>
        <v>0</v>
      </c>
      <c r="AD94" s="702">
        <f>AC94/AC$12</f>
        <v>0</v>
      </c>
      <c r="AE94" s="595"/>
      <c r="AF94" s="595"/>
      <c r="AG94" s="595"/>
    </row>
    <row r="95" spans="1:33" s="1" customFormat="1">
      <c r="A95" s="188">
        <v>6302</v>
      </c>
      <c r="B95" s="231" t="s">
        <v>37</v>
      </c>
      <c r="C95" s="678"/>
      <c r="D95" s="702">
        <f t="shared" si="214"/>
        <v>0</v>
      </c>
      <c r="E95" s="678"/>
      <c r="F95" s="702">
        <f t="shared" si="215"/>
        <v>0</v>
      </c>
      <c r="G95" s="678"/>
      <c r="H95" s="702">
        <f t="shared" si="216"/>
        <v>0</v>
      </c>
      <c r="I95" s="678"/>
      <c r="J95" s="702">
        <f t="shared" si="217"/>
        <v>0</v>
      </c>
      <c r="K95" s="678"/>
      <c r="L95" s="702">
        <f t="shared" si="218"/>
        <v>0</v>
      </c>
      <c r="M95" s="678"/>
      <c r="N95" s="702">
        <f t="shared" si="219"/>
        <v>0</v>
      </c>
      <c r="O95" s="678"/>
      <c r="P95" s="702">
        <f t="shared" si="220"/>
        <v>0</v>
      </c>
      <c r="Q95" s="678"/>
      <c r="R95" s="702">
        <f t="shared" si="221"/>
        <v>0</v>
      </c>
      <c r="S95" s="678"/>
      <c r="T95" s="702">
        <f t="shared" si="222"/>
        <v>0</v>
      </c>
      <c r="U95" s="678"/>
      <c r="V95" s="702">
        <f t="shared" si="223"/>
        <v>0</v>
      </c>
      <c r="W95" s="678"/>
      <c r="X95" s="702">
        <f t="shared" si="224"/>
        <v>0</v>
      </c>
      <c r="Y95" s="678"/>
      <c r="Z95" s="702">
        <f t="shared" si="225"/>
        <v>0</v>
      </c>
      <c r="AA95" s="144">
        <f t="shared" si="226"/>
        <v>0</v>
      </c>
      <c r="AB95" s="702">
        <f t="shared" ref="AB95:AB99" si="228">AA95/AA$12</f>
        <v>0</v>
      </c>
      <c r="AC95" s="128">
        <f t="shared" si="227"/>
        <v>0</v>
      </c>
      <c r="AD95" s="702">
        <f t="shared" ref="AD95:AD99" si="229">AC95/AC$12</f>
        <v>0</v>
      </c>
      <c r="AE95" s="595"/>
      <c r="AF95" s="595"/>
      <c r="AG95" s="595"/>
    </row>
    <row r="96" spans="1:33" s="1" customFormat="1">
      <c r="A96" s="188">
        <v>6303</v>
      </c>
      <c r="B96" s="2" t="s">
        <v>132</v>
      </c>
      <c r="C96" s="678"/>
      <c r="D96" s="702">
        <f t="shared" si="214"/>
        <v>0</v>
      </c>
      <c r="E96" s="678"/>
      <c r="F96" s="702">
        <f t="shared" si="215"/>
        <v>0</v>
      </c>
      <c r="G96" s="678"/>
      <c r="H96" s="702">
        <f t="shared" si="216"/>
        <v>0</v>
      </c>
      <c r="I96" s="678"/>
      <c r="J96" s="702">
        <f t="shared" si="217"/>
        <v>0</v>
      </c>
      <c r="K96" s="678"/>
      <c r="L96" s="702">
        <f t="shared" si="218"/>
        <v>0</v>
      </c>
      <c r="M96" s="678"/>
      <c r="N96" s="702">
        <f t="shared" si="219"/>
        <v>0</v>
      </c>
      <c r="O96" s="678"/>
      <c r="P96" s="702">
        <f t="shared" si="220"/>
        <v>0</v>
      </c>
      <c r="Q96" s="678"/>
      <c r="R96" s="702">
        <f t="shared" si="221"/>
        <v>0</v>
      </c>
      <c r="S96" s="678"/>
      <c r="T96" s="702">
        <f t="shared" si="222"/>
        <v>0</v>
      </c>
      <c r="U96" s="678"/>
      <c r="V96" s="702">
        <f t="shared" si="223"/>
        <v>0</v>
      </c>
      <c r="W96" s="678"/>
      <c r="X96" s="702">
        <f t="shared" si="224"/>
        <v>0</v>
      </c>
      <c r="Y96" s="678"/>
      <c r="Z96" s="702">
        <f t="shared" si="225"/>
        <v>0</v>
      </c>
      <c r="AA96" s="144">
        <f t="shared" si="226"/>
        <v>0</v>
      </c>
      <c r="AB96" s="702">
        <f t="shared" si="228"/>
        <v>0</v>
      </c>
      <c r="AC96" s="128">
        <f t="shared" si="227"/>
        <v>0</v>
      </c>
      <c r="AD96" s="702">
        <f t="shared" si="229"/>
        <v>0</v>
      </c>
      <c r="AE96" s="595"/>
      <c r="AF96" s="595"/>
      <c r="AG96" s="595"/>
    </row>
    <row r="97" spans="1:33" s="1" customFormat="1">
      <c r="A97" s="188">
        <v>6304</v>
      </c>
      <c r="B97" s="2" t="s">
        <v>38</v>
      </c>
      <c r="C97" s="753"/>
      <c r="D97" s="702">
        <f t="shared" si="214"/>
        <v>0</v>
      </c>
      <c r="E97" s="753"/>
      <c r="F97" s="702">
        <f t="shared" si="215"/>
        <v>0</v>
      </c>
      <c r="G97" s="753"/>
      <c r="H97" s="702">
        <f t="shared" si="216"/>
        <v>0</v>
      </c>
      <c r="I97" s="753"/>
      <c r="J97" s="702">
        <f t="shared" si="217"/>
        <v>0</v>
      </c>
      <c r="K97" s="753"/>
      <c r="L97" s="702">
        <f t="shared" si="218"/>
        <v>0</v>
      </c>
      <c r="M97" s="753"/>
      <c r="N97" s="702">
        <f t="shared" si="219"/>
        <v>0</v>
      </c>
      <c r="O97" s="753"/>
      <c r="P97" s="702">
        <f t="shared" si="220"/>
        <v>0</v>
      </c>
      <c r="Q97" s="753"/>
      <c r="R97" s="702">
        <f t="shared" si="221"/>
        <v>0</v>
      </c>
      <c r="S97" s="753"/>
      <c r="T97" s="702">
        <f t="shared" si="222"/>
        <v>0</v>
      </c>
      <c r="U97" s="753"/>
      <c r="V97" s="702">
        <f t="shared" si="223"/>
        <v>0</v>
      </c>
      <c r="W97" s="753"/>
      <c r="X97" s="702">
        <f t="shared" si="224"/>
        <v>0</v>
      </c>
      <c r="Y97" s="753"/>
      <c r="Z97" s="702">
        <f t="shared" si="225"/>
        <v>0</v>
      </c>
      <c r="AA97" s="144">
        <f t="shared" si="226"/>
        <v>0</v>
      </c>
      <c r="AB97" s="702">
        <f t="shared" si="228"/>
        <v>0</v>
      </c>
      <c r="AC97" s="128">
        <f t="shared" si="227"/>
        <v>0</v>
      </c>
      <c r="AD97" s="702">
        <f t="shared" si="229"/>
        <v>0</v>
      </c>
      <c r="AE97" s="595"/>
      <c r="AF97" s="595"/>
      <c r="AG97" s="595"/>
    </row>
    <row r="98" spans="1:33" s="1" customFormat="1">
      <c r="A98" s="188">
        <v>6305</v>
      </c>
      <c r="B98" s="2" t="s">
        <v>39</v>
      </c>
      <c r="C98" s="678"/>
      <c r="D98" s="702">
        <f t="shared" si="214"/>
        <v>0</v>
      </c>
      <c r="E98" s="678"/>
      <c r="F98" s="702">
        <f t="shared" si="215"/>
        <v>0</v>
      </c>
      <c r="G98" s="678"/>
      <c r="H98" s="702">
        <f t="shared" si="216"/>
        <v>0</v>
      </c>
      <c r="I98" s="678"/>
      <c r="J98" s="702">
        <f t="shared" si="217"/>
        <v>0</v>
      </c>
      <c r="K98" s="678"/>
      <c r="L98" s="702">
        <f t="shared" si="218"/>
        <v>0</v>
      </c>
      <c r="M98" s="678"/>
      <c r="N98" s="702">
        <f t="shared" si="219"/>
        <v>0</v>
      </c>
      <c r="O98" s="678"/>
      <c r="P98" s="702">
        <f t="shared" si="220"/>
        <v>0</v>
      </c>
      <c r="Q98" s="678"/>
      <c r="R98" s="702">
        <f t="shared" si="221"/>
        <v>0</v>
      </c>
      <c r="S98" s="678"/>
      <c r="T98" s="702">
        <f t="shared" si="222"/>
        <v>0</v>
      </c>
      <c r="U98" s="678"/>
      <c r="V98" s="702">
        <f t="shared" si="223"/>
        <v>0</v>
      </c>
      <c r="W98" s="678"/>
      <c r="X98" s="702">
        <f t="shared" si="224"/>
        <v>0</v>
      </c>
      <c r="Y98" s="678"/>
      <c r="Z98" s="702">
        <f t="shared" si="225"/>
        <v>0</v>
      </c>
      <c r="AA98" s="144">
        <f t="shared" si="226"/>
        <v>0</v>
      </c>
      <c r="AB98" s="702">
        <f t="shared" si="228"/>
        <v>0</v>
      </c>
      <c r="AC98" s="128">
        <f t="shared" si="227"/>
        <v>0</v>
      </c>
      <c r="AD98" s="702">
        <f t="shared" si="229"/>
        <v>0</v>
      </c>
      <c r="AE98" s="595"/>
      <c r="AF98" s="595"/>
      <c r="AG98" s="595"/>
    </row>
    <row r="99" spans="1:33" s="1" customFormat="1">
      <c r="A99" s="188">
        <v>6306</v>
      </c>
      <c r="B99" s="2" t="s">
        <v>40</v>
      </c>
      <c r="C99" s="678"/>
      <c r="D99" s="702">
        <f t="shared" si="214"/>
        <v>0</v>
      </c>
      <c r="E99" s="678"/>
      <c r="F99" s="702">
        <f t="shared" si="215"/>
        <v>0</v>
      </c>
      <c r="G99" s="678"/>
      <c r="H99" s="702">
        <f t="shared" si="216"/>
        <v>0</v>
      </c>
      <c r="I99" s="678"/>
      <c r="J99" s="702">
        <f t="shared" si="217"/>
        <v>0</v>
      </c>
      <c r="K99" s="678"/>
      <c r="L99" s="702">
        <f t="shared" si="218"/>
        <v>0</v>
      </c>
      <c r="M99" s="678"/>
      <c r="N99" s="702">
        <f t="shared" si="219"/>
        <v>0</v>
      </c>
      <c r="O99" s="678"/>
      <c r="P99" s="702">
        <f t="shared" si="220"/>
        <v>0</v>
      </c>
      <c r="Q99" s="678"/>
      <c r="R99" s="702">
        <f t="shared" si="221"/>
        <v>0</v>
      </c>
      <c r="S99" s="678"/>
      <c r="T99" s="702">
        <f t="shared" si="222"/>
        <v>0</v>
      </c>
      <c r="U99" s="678"/>
      <c r="V99" s="702">
        <f t="shared" si="223"/>
        <v>0</v>
      </c>
      <c r="W99" s="678"/>
      <c r="X99" s="702">
        <f t="shared" si="224"/>
        <v>0</v>
      </c>
      <c r="Y99" s="678"/>
      <c r="Z99" s="702">
        <f t="shared" si="225"/>
        <v>0</v>
      </c>
      <c r="AA99" s="144">
        <f t="shared" si="226"/>
        <v>0</v>
      </c>
      <c r="AB99" s="702">
        <f t="shared" si="228"/>
        <v>0</v>
      </c>
      <c r="AC99" s="128">
        <f t="shared" si="227"/>
        <v>0</v>
      </c>
      <c r="AD99" s="702">
        <f t="shared" si="229"/>
        <v>0</v>
      </c>
      <c r="AE99" s="595"/>
      <c r="AF99" s="595"/>
      <c r="AG99" s="595"/>
    </row>
    <row r="100" spans="1:33" s="1" customFormat="1">
      <c r="A100" s="188">
        <v>6307</v>
      </c>
      <c r="B100" s="2" t="s">
        <v>322</v>
      </c>
      <c r="C100" s="678"/>
      <c r="D100" s="702">
        <f t="shared" si="214"/>
        <v>0</v>
      </c>
      <c r="E100" s="678">
        <v>575</v>
      </c>
      <c r="F100" s="702">
        <f t="shared" si="215"/>
        <v>4.8368991027299889E-4</v>
      </c>
      <c r="G100" s="678">
        <v>575</v>
      </c>
      <c r="H100" s="702">
        <f t="shared" si="216"/>
        <v>2.9159419069022999E-4</v>
      </c>
      <c r="I100" s="678">
        <v>1378</v>
      </c>
      <c r="J100" s="702">
        <f t="shared" si="217"/>
        <v>7.9141150041610667E-4</v>
      </c>
      <c r="K100" s="678">
        <v>575</v>
      </c>
      <c r="L100" s="702">
        <f t="shared" si="218"/>
        <v>3.6106791542130475E-4</v>
      </c>
      <c r="M100" s="678"/>
      <c r="N100" s="702">
        <f t="shared" si="219"/>
        <v>0</v>
      </c>
      <c r="O100" s="678">
        <v>575</v>
      </c>
      <c r="P100" s="702">
        <f t="shared" si="220"/>
        <v>4.0219565775123119E-4</v>
      </c>
      <c r="Q100" s="678">
        <v>575</v>
      </c>
      <c r="R100" s="702">
        <f t="shared" si="221"/>
        <v>3.2389708716777166E-4</v>
      </c>
      <c r="S100" s="678">
        <v>575</v>
      </c>
      <c r="T100" s="702">
        <f t="shared" si="222"/>
        <v>3.2152446943694538E-4</v>
      </c>
      <c r="U100" s="678">
        <v>575</v>
      </c>
      <c r="V100" s="702">
        <f t="shared" si="223"/>
        <v>4.0534773425844839E-4</v>
      </c>
      <c r="W100" s="678">
        <v>575</v>
      </c>
      <c r="X100" s="702">
        <f t="shared" si="224"/>
        <v>3.9839904562318082E-4</v>
      </c>
      <c r="Y100" s="678">
        <v>575</v>
      </c>
      <c r="Z100" s="702">
        <f t="shared" si="225"/>
        <v>2.637245490501014E-4</v>
      </c>
      <c r="AA100" s="144">
        <f t="shared" si="226"/>
        <v>6553</v>
      </c>
      <c r="AB100" s="226">
        <f>AA100/AA$12</f>
        <v>3.2255527878905378E-4</v>
      </c>
      <c r="AC100" s="128">
        <f t="shared" si="227"/>
        <v>546.08333333333337</v>
      </c>
      <c r="AD100" s="226">
        <f>AC100/AC$12</f>
        <v>3.2255527878905378E-4</v>
      </c>
      <c r="AE100" s="595"/>
      <c r="AF100" s="595"/>
      <c r="AG100" s="595"/>
    </row>
    <row r="101" spans="1:33" s="1" customFormat="1">
      <c r="A101" s="188">
        <v>6308</v>
      </c>
      <c r="B101" s="2" t="s">
        <v>151</v>
      </c>
      <c r="C101" s="678"/>
      <c r="D101" s="702">
        <f t="shared" si="214"/>
        <v>0</v>
      </c>
      <c r="E101" s="678"/>
      <c r="F101" s="702">
        <f t="shared" si="215"/>
        <v>0</v>
      </c>
      <c r="G101" s="678"/>
      <c r="H101" s="702">
        <f t="shared" si="216"/>
        <v>0</v>
      </c>
      <c r="I101" s="678"/>
      <c r="J101" s="702">
        <f t="shared" si="217"/>
        <v>0</v>
      </c>
      <c r="K101" s="678"/>
      <c r="L101" s="702">
        <f t="shared" si="218"/>
        <v>0</v>
      </c>
      <c r="M101" s="678"/>
      <c r="N101" s="702">
        <f t="shared" si="219"/>
        <v>0</v>
      </c>
      <c r="O101" s="678"/>
      <c r="P101" s="702">
        <f t="shared" si="220"/>
        <v>0</v>
      </c>
      <c r="Q101" s="678"/>
      <c r="R101" s="702">
        <f t="shared" si="221"/>
        <v>0</v>
      </c>
      <c r="S101" s="678"/>
      <c r="T101" s="702">
        <f t="shared" si="222"/>
        <v>0</v>
      </c>
      <c r="U101" s="678"/>
      <c r="V101" s="702">
        <f t="shared" si="223"/>
        <v>0</v>
      </c>
      <c r="W101" s="678"/>
      <c r="X101" s="702">
        <f t="shared" si="224"/>
        <v>0</v>
      </c>
      <c r="Y101" s="678"/>
      <c r="Z101" s="702">
        <f t="shared" si="225"/>
        <v>0</v>
      </c>
      <c r="AA101" s="144">
        <f t="shared" si="226"/>
        <v>0</v>
      </c>
      <c r="AB101" s="226">
        <f>AA101/AA$12</f>
        <v>0</v>
      </c>
      <c r="AC101" s="128">
        <f t="shared" si="227"/>
        <v>0</v>
      </c>
      <c r="AD101" s="226">
        <f>AC101/AC$12</f>
        <v>0</v>
      </c>
      <c r="AE101" s="595"/>
      <c r="AF101" s="595"/>
      <c r="AG101" s="595"/>
    </row>
    <row r="102" spans="1:33" s="1" customFormat="1">
      <c r="A102" s="188">
        <v>6309</v>
      </c>
      <c r="B102" s="2" t="s">
        <v>152</v>
      </c>
      <c r="C102" s="753">
        <f>(13467.1240432457/3)*2</f>
        <v>8978.0826954971326</v>
      </c>
      <c r="D102" s="702">
        <f>C102/C$12</f>
        <v>5.875748506332267E-3</v>
      </c>
      <c r="E102" s="678">
        <f>(13897.8585773201/3)*2</f>
        <v>9265.2390515467323</v>
      </c>
      <c r="F102" s="702">
        <f>E102/E$12</f>
        <v>7.7939176443487376E-3</v>
      </c>
      <c r="G102" s="753">
        <f>14081.4865418678/3</f>
        <v>4693.8288472892664</v>
      </c>
      <c r="H102" s="702">
        <f>G102/G$12</f>
        <v>2.3803360416761198E-3</v>
      </c>
      <c r="I102" s="753">
        <f>14245.5189370525/3</f>
        <v>4748.5063123508335</v>
      </c>
      <c r="J102" s="702">
        <f>I102/I$12</f>
        <v>2.7271571156697581E-3</v>
      </c>
      <c r="K102" s="678">
        <f>(14442.7626023783/3)*2</f>
        <v>9628.5084015855336</v>
      </c>
      <c r="L102" s="702">
        <f>K102/K$12</f>
        <v>6.0461660124817521E-3</v>
      </c>
      <c r="M102" s="753">
        <f>14559.9680266437/3</f>
        <v>4853.3226755479</v>
      </c>
      <c r="N102" s="702">
        <f>M102/M$12</f>
        <v>2.1492564071401324E-3</v>
      </c>
      <c r="O102" s="678">
        <f>14833.8460078354/3</f>
        <v>4944.6153359451337</v>
      </c>
      <c r="P102" s="702">
        <f>O102/O$12</f>
        <v>3.458613595421353E-3</v>
      </c>
      <c r="Q102" s="753">
        <f>15067.9808624316/3</f>
        <v>5022.6602874771997</v>
      </c>
      <c r="R102" s="702">
        <f>Q102/Q$12</f>
        <v>2.8292609338210566E-3</v>
      </c>
      <c r="S102" s="678">
        <f>(15283.0721355341/3)*2</f>
        <v>10188.714757022733</v>
      </c>
      <c r="T102" s="702">
        <f>S102/S$12</f>
        <v>5.6972540982541051E-3</v>
      </c>
      <c r="U102" s="753">
        <f>(15501.2337772671/3)*2</f>
        <v>10334.155851511399</v>
      </c>
      <c r="V102" s="702">
        <f>U102/U$12</f>
        <v>7.2850898432762299E-3</v>
      </c>
      <c r="W102" s="678">
        <f>18571.3415703574/3</f>
        <v>6190.4471901191328</v>
      </c>
      <c r="X102" s="702">
        <f>W102/W$12</f>
        <v>4.2891621783028942E-3</v>
      </c>
      <c r="Y102" s="753">
        <f>19499.9086488753/3</f>
        <v>6499.9695496250997</v>
      </c>
      <c r="Z102" s="702">
        <f>Y102/Y$12</f>
        <v>2.9812200666335135E-3</v>
      </c>
      <c r="AA102" s="144">
        <f t="shared" si="226"/>
        <v>85348.050955518076</v>
      </c>
      <c r="AB102" s="226">
        <f>AA102/AA$12</f>
        <v>4.2010475156507706E-3</v>
      </c>
      <c r="AC102" s="128">
        <f t="shared" si="227"/>
        <v>7112.3375796265063</v>
      </c>
      <c r="AD102" s="226">
        <f>AC102/AC$12</f>
        <v>4.2010475156507706E-3</v>
      </c>
      <c r="AE102" s="595"/>
      <c r="AF102" s="595"/>
      <c r="AG102" s="595"/>
    </row>
    <row r="103" spans="1:33" s="1" customFormat="1">
      <c r="A103" s="188">
        <v>6310</v>
      </c>
      <c r="B103" s="2" t="s">
        <v>153</v>
      </c>
      <c r="C103" s="753">
        <v>1000</v>
      </c>
      <c r="D103" s="702">
        <f t="shared" ref="D103:D114" si="230">C103/C$12</f>
        <v>6.5445470994371542E-4</v>
      </c>
      <c r="E103" s="753">
        <f>340+160</f>
        <v>500</v>
      </c>
      <c r="F103" s="702">
        <f t="shared" ref="F103:F114" si="231">E103/E$12</f>
        <v>4.2059992197652075E-4</v>
      </c>
      <c r="G103" s="371">
        <v>1550</v>
      </c>
      <c r="H103" s="702">
        <f t="shared" ref="H103:H114" si="232">G103/G$12</f>
        <v>7.8603651403453309E-4</v>
      </c>
      <c r="I103" s="753">
        <v>1000</v>
      </c>
      <c r="J103" s="702">
        <f t="shared" ref="J103:J114" si="233">I103/I$12</f>
        <v>5.7431894079543297E-4</v>
      </c>
      <c r="K103" s="753">
        <v>4000</v>
      </c>
      <c r="L103" s="702">
        <f t="shared" ref="L103:L114" si="234">K103/K$12</f>
        <v>2.5117768029308159E-3</v>
      </c>
      <c r="M103" s="753"/>
      <c r="N103" s="702">
        <f t="shared" ref="N103:P114" si="235">M103/M$12</f>
        <v>0</v>
      </c>
      <c r="O103" s="371">
        <v>2100</v>
      </c>
      <c r="P103" s="702">
        <f t="shared" ref="P103:P114" si="236">O103/O$12</f>
        <v>1.4688884891784096E-3</v>
      </c>
      <c r="Q103" s="753">
        <v>3000</v>
      </c>
      <c r="R103" s="702">
        <f t="shared" ref="R103:R114" si="237">Q103/Q$12</f>
        <v>1.6898978460927216E-3</v>
      </c>
      <c r="S103" s="678">
        <f>1550+50</f>
        <v>1600</v>
      </c>
      <c r="T103" s="702">
        <f t="shared" ref="T103:T114" si="238">S103/S$12</f>
        <v>8.9467678452019583E-4</v>
      </c>
      <c r="U103" s="753">
        <v>1900</v>
      </c>
      <c r="V103" s="702">
        <f t="shared" ref="V103:V114" si="239">U103/U$12</f>
        <v>1.3394099045061772E-3</v>
      </c>
      <c r="W103" s="753">
        <v>2100</v>
      </c>
      <c r="X103" s="702">
        <f t="shared" ref="X103:X114" si="240">W103/W$12</f>
        <v>1.4550226014063995E-3</v>
      </c>
      <c r="Y103" s="753">
        <v>2000</v>
      </c>
      <c r="Z103" s="702">
        <f t="shared" ref="Z103:Z114" si="241">Y103/Y$12</f>
        <v>9.1730277930470057E-4</v>
      </c>
      <c r="AA103" s="144">
        <f t="shared" si="226"/>
        <v>20750</v>
      </c>
      <c r="AB103" s="226">
        <f t="shared" ref="AB103:AB114" si="242">AA103/AA$12</f>
        <v>1.0213676232066024E-3</v>
      </c>
      <c r="AC103" s="128">
        <f t="shared" si="227"/>
        <v>1729.1666666666667</v>
      </c>
      <c r="AD103" s="226">
        <f t="shared" ref="AD103:AD114" si="243">AC103/AC$12</f>
        <v>1.0213676232066024E-3</v>
      </c>
      <c r="AE103" s="595"/>
      <c r="AF103" s="595"/>
      <c r="AG103" s="595"/>
    </row>
    <row r="104" spans="1:33" s="1" customFormat="1">
      <c r="A104" s="188">
        <v>6311</v>
      </c>
      <c r="B104" s="2" t="s">
        <v>154</v>
      </c>
      <c r="C104" s="753">
        <v>10284.905617732022</v>
      </c>
      <c r="D104" s="702">
        <f t="shared" si="230"/>
        <v>6.7310049228512994E-3</v>
      </c>
      <c r="E104" s="678"/>
      <c r="F104" s="702">
        <f t="shared" si="231"/>
        <v>0</v>
      </c>
      <c r="G104" s="678"/>
      <c r="H104" s="702">
        <f t="shared" si="232"/>
        <v>0</v>
      </c>
      <c r="I104" s="678"/>
      <c r="J104" s="702">
        <f t="shared" si="233"/>
        <v>0</v>
      </c>
      <c r="K104" s="678"/>
      <c r="L104" s="702">
        <f t="shared" si="234"/>
        <v>0</v>
      </c>
      <c r="M104" s="678"/>
      <c r="N104" s="702">
        <f t="shared" si="235"/>
        <v>0</v>
      </c>
      <c r="O104" s="678"/>
      <c r="P104" s="702">
        <f t="shared" si="236"/>
        <v>0</v>
      </c>
      <c r="Q104" s="678"/>
      <c r="R104" s="702">
        <f t="shared" si="237"/>
        <v>0</v>
      </c>
      <c r="S104" s="678"/>
      <c r="T104" s="702">
        <f t="shared" si="238"/>
        <v>0</v>
      </c>
      <c r="U104" s="678"/>
      <c r="V104" s="702">
        <f t="shared" si="239"/>
        <v>0</v>
      </c>
      <c r="W104" s="678"/>
      <c r="X104" s="702">
        <f t="shared" si="240"/>
        <v>0</v>
      </c>
      <c r="Y104" s="678"/>
      <c r="Z104" s="702">
        <f t="shared" si="241"/>
        <v>0</v>
      </c>
      <c r="AA104" s="144">
        <f t="shared" si="226"/>
        <v>10284.905617732022</v>
      </c>
      <c r="AB104" s="226">
        <f t="shared" si="242"/>
        <v>5.0624913762347898E-4</v>
      </c>
      <c r="AC104" s="128">
        <f t="shared" si="227"/>
        <v>857.0754681443351</v>
      </c>
      <c r="AD104" s="226">
        <f t="shared" si="243"/>
        <v>5.0624913762347887E-4</v>
      </c>
      <c r="AE104" s="595"/>
      <c r="AF104" s="595"/>
      <c r="AG104" s="595"/>
    </row>
    <row r="105" spans="1:33" s="1" customFormat="1">
      <c r="A105" s="188">
        <v>6312</v>
      </c>
      <c r="B105" s="2" t="s">
        <v>155</v>
      </c>
      <c r="C105" s="678"/>
      <c r="D105" s="702">
        <f t="shared" si="230"/>
        <v>0</v>
      </c>
      <c r="E105" s="678"/>
      <c r="F105" s="702">
        <f t="shared" si="231"/>
        <v>0</v>
      </c>
      <c r="G105" s="678"/>
      <c r="H105" s="702">
        <f t="shared" si="232"/>
        <v>0</v>
      </c>
      <c r="I105" s="678"/>
      <c r="J105" s="702">
        <f t="shared" si="233"/>
        <v>0</v>
      </c>
      <c r="K105" s="678"/>
      <c r="L105" s="702">
        <f t="shared" si="234"/>
        <v>0</v>
      </c>
      <c r="M105" s="678"/>
      <c r="N105" s="702">
        <f t="shared" si="235"/>
        <v>0</v>
      </c>
      <c r="O105" s="678"/>
      <c r="P105" s="702">
        <f t="shared" si="236"/>
        <v>0</v>
      </c>
      <c r="Q105" s="678"/>
      <c r="R105" s="702">
        <f t="shared" si="237"/>
        <v>0</v>
      </c>
      <c r="S105" s="678"/>
      <c r="T105" s="702">
        <f t="shared" si="238"/>
        <v>0</v>
      </c>
      <c r="U105" s="678"/>
      <c r="V105" s="702">
        <f t="shared" si="239"/>
        <v>0</v>
      </c>
      <c r="W105" s="678"/>
      <c r="X105" s="702">
        <f t="shared" si="240"/>
        <v>0</v>
      </c>
      <c r="Y105" s="678"/>
      <c r="Z105" s="702">
        <f t="shared" si="241"/>
        <v>0</v>
      </c>
      <c r="AA105" s="144">
        <f t="shared" si="226"/>
        <v>0</v>
      </c>
      <c r="AB105" s="226">
        <f t="shared" si="242"/>
        <v>0</v>
      </c>
      <c r="AC105" s="128">
        <f t="shared" si="227"/>
        <v>0</v>
      </c>
      <c r="AD105" s="226">
        <f t="shared" si="243"/>
        <v>0</v>
      </c>
      <c r="AE105" s="595"/>
      <c r="AF105" s="595"/>
      <c r="AG105" s="595"/>
    </row>
    <row r="106" spans="1:33" s="1" customFormat="1">
      <c r="A106" s="2">
        <v>6313</v>
      </c>
      <c r="B106" s="2" t="s">
        <v>156</v>
      </c>
      <c r="C106" s="753"/>
      <c r="D106" s="702">
        <f t="shared" si="230"/>
        <v>0</v>
      </c>
      <c r="E106" s="753"/>
      <c r="F106" s="702">
        <f t="shared" si="231"/>
        <v>0</v>
      </c>
      <c r="G106" s="753">
        <f>(27272.7272727273/0.985)/12</f>
        <v>2307.3373327180457</v>
      </c>
      <c r="H106" s="702">
        <f t="shared" si="232"/>
        <v>1.1700976733622131E-3</v>
      </c>
      <c r="I106" s="753"/>
      <c r="J106" s="702">
        <f t="shared" si="233"/>
        <v>0</v>
      </c>
      <c r="K106" s="753">
        <f>(27272.7272727273/0.985)/12</f>
        <v>2307.3373327180457</v>
      </c>
      <c r="L106" s="702">
        <f t="shared" si="234"/>
        <v>1.4488790972143621E-3</v>
      </c>
      <c r="M106" s="753"/>
      <c r="N106" s="702">
        <f t="shared" si="235"/>
        <v>0</v>
      </c>
      <c r="O106" s="753"/>
      <c r="P106" s="702">
        <f t="shared" si="235"/>
        <v>0</v>
      </c>
      <c r="Q106" s="753">
        <f>(27272.7272727273/0.985)/12</f>
        <v>2307.3373327180457</v>
      </c>
      <c r="R106" s="702">
        <f t="shared" si="237"/>
        <v>1.2997214629231837E-3</v>
      </c>
      <c r="S106" s="753"/>
      <c r="T106" s="702">
        <f t="shared" si="238"/>
        <v>0</v>
      </c>
      <c r="U106" s="753"/>
      <c r="V106" s="702">
        <f t="shared" si="239"/>
        <v>0</v>
      </c>
      <c r="W106" s="753"/>
      <c r="X106" s="702">
        <f t="shared" si="240"/>
        <v>0</v>
      </c>
      <c r="Y106" s="753">
        <f>(27272.7272727273/0.985)/12</f>
        <v>2307.3373327180457</v>
      </c>
      <c r="Z106" s="702">
        <f t="shared" si="241"/>
        <v>1.0582634740478789E-3</v>
      </c>
      <c r="AA106" s="144">
        <f t="shared" si="226"/>
        <v>9229.3493308721827</v>
      </c>
      <c r="AB106" s="226">
        <f t="shared" si="242"/>
        <v>4.5429198023211412E-4</v>
      </c>
      <c r="AC106" s="128">
        <f t="shared" si="227"/>
        <v>769.11244423934852</v>
      </c>
      <c r="AD106" s="226">
        <f t="shared" si="243"/>
        <v>4.5429198023211407E-4</v>
      </c>
      <c r="AE106" s="595"/>
      <c r="AF106" s="595"/>
      <c r="AG106" s="595"/>
    </row>
    <row r="107" spans="1:33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230"/>
        <v>8.1806838742964436E-3</v>
      </c>
      <c r="E107" s="678">
        <f>(206850/12)/0.985</f>
        <v>17500</v>
      </c>
      <c r="F107" s="702">
        <f t="shared" si="231"/>
        <v>1.4720997269178226E-2</v>
      </c>
      <c r="G107" s="678">
        <f>(159570/12)/0.985</f>
        <v>13500</v>
      </c>
      <c r="H107" s="702">
        <f t="shared" si="232"/>
        <v>6.8461244770749658E-3</v>
      </c>
      <c r="I107" s="678">
        <f>(159570/12)/0.985</f>
        <v>13500</v>
      </c>
      <c r="J107" s="702">
        <f t="shared" si="233"/>
        <v>7.7533057007383452E-3</v>
      </c>
      <c r="K107" s="678">
        <f>(206850/12)/0.985</f>
        <v>17500</v>
      </c>
      <c r="L107" s="702">
        <f t="shared" si="234"/>
        <v>1.0989023512822318E-2</v>
      </c>
      <c r="M107" s="678">
        <f>(159570/12)/0.985</f>
        <v>13500</v>
      </c>
      <c r="N107" s="702">
        <f t="shared" si="235"/>
        <v>5.9783705795156588E-3</v>
      </c>
      <c r="O107" s="678">
        <f>(159570/12)/0.985</f>
        <v>13500</v>
      </c>
      <c r="P107" s="702">
        <f t="shared" si="235"/>
        <v>9.4428545732897756E-3</v>
      </c>
      <c r="Q107" s="678">
        <f>(206850/12)/0.985</f>
        <v>17500</v>
      </c>
      <c r="R107" s="702">
        <f t="shared" si="237"/>
        <v>9.857737435540876E-3</v>
      </c>
      <c r="S107" s="678">
        <f>(159570/12)/0.985</f>
        <v>13500</v>
      </c>
      <c r="T107" s="702">
        <f t="shared" si="238"/>
        <v>7.5488353693891523E-3</v>
      </c>
      <c r="U107" s="678">
        <f>(159570/12)/0.985</f>
        <v>13500</v>
      </c>
      <c r="V107" s="702">
        <f t="shared" si="239"/>
        <v>9.5168598478070493E-3</v>
      </c>
      <c r="W107" s="678">
        <f>(206850/12)/0.985</f>
        <v>17500</v>
      </c>
      <c r="X107" s="702">
        <f t="shared" si="240"/>
        <v>1.212518834505333E-2</v>
      </c>
      <c r="Y107" s="678">
        <f>(159570/12)/0.985</f>
        <v>13500</v>
      </c>
      <c r="Z107" s="702">
        <f t="shared" si="241"/>
        <v>6.1917937603067292E-3</v>
      </c>
      <c r="AA107" s="144">
        <f t="shared" si="226"/>
        <v>177000</v>
      </c>
      <c r="AB107" s="226">
        <f t="shared" si="242"/>
        <v>8.7123888822924645E-3</v>
      </c>
      <c r="AC107" s="128">
        <f t="shared" si="227"/>
        <v>14750</v>
      </c>
      <c r="AD107" s="226">
        <f t="shared" si="243"/>
        <v>8.7123888822924628E-3</v>
      </c>
      <c r="AE107" s="595"/>
      <c r="AF107" s="595"/>
      <c r="AG107" s="595"/>
    </row>
    <row r="108" spans="1:33" s="1" customFormat="1">
      <c r="A108" s="2">
        <v>6315</v>
      </c>
      <c r="B108" s="2" t="s">
        <v>323</v>
      </c>
      <c r="C108" s="678"/>
      <c r="D108" s="702">
        <f t="shared" si="230"/>
        <v>0</v>
      </c>
      <c r="E108" s="678">
        <v>4750</v>
      </c>
      <c r="F108" s="702">
        <f t="shared" si="231"/>
        <v>3.995699258776947E-3</v>
      </c>
      <c r="G108" s="678">
        <v>6000</v>
      </c>
      <c r="H108" s="702">
        <f t="shared" si="232"/>
        <v>3.0427219898110959E-3</v>
      </c>
      <c r="I108" s="678">
        <v>4750</v>
      </c>
      <c r="J108" s="702">
        <f t="shared" si="233"/>
        <v>2.7280149687783067E-3</v>
      </c>
      <c r="K108" s="678">
        <v>1250</v>
      </c>
      <c r="L108" s="702">
        <f t="shared" si="234"/>
        <v>7.8493025091587996E-4</v>
      </c>
      <c r="M108" s="678"/>
      <c r="N108" s="702">
        <f t="shared" si="235"/>
        <v>0</v>
      </c>
      <c r="O108" s="678">
        <v>875</v>
      </c>
      <c r="P108" s="702">
        <f t="shared" si="236"/>
        <v>6.1203687049100398E-4</v>
      </c>
      <c r="Q108" s="678">
        <v>1250</v>
      </c>
      <c r="R108" s="702">
        <f t="shared" si="237"/>
        <v>7.0412410253863403E-4</v>
      </c>
      <c r="S108" s="678"/>
      <c r="T108" s="702">
        <f t="shared" si="238"/>
        <v>0</v>
      </c>
      <c r="U108" s="678">
        <v>875</v>
      </c>
      <c r="V108" s="702">
        <f t="shared" si="239"/>
        <v>6.1683350865416057E-4</v>
      </c>
      <c r="W108" s="678"/>
      <c r="X108" s="702">
        <f t="shared" si="240"/>
        <v>0</v>
      </c>
      <c r="Y108" s="678">
        <v>1250</v>
      </c>
      <c r="Z108" s="702">
        <f t="shared" si="241"/>
        <v>5.7331423706543782E-4</v>
      </c>
      <c r="AA108" s="144">
        <f t="shared" si="226"/>
        <v>21000</v>
      </c>
      <c r="AB108" s="226">
        <f t="shared" si="242"/>
        <v>1.0336732572211399E-3</v>
      </c>
      <c r="AC108" s="128">
        <f t="shared" si="227"/>
        <v>1750</v>
      </c>
      <c r="AD108" s="226">
        <f t="shared" si="243"/>
        <v>1.0336732572211397E-3</v>
      </c>
      <c r="AE108" s="595"/>
      <c r="AF108" s="595"/>
      <c r="AG108" s="595"/>
    </row>
    <row r="109" spans="1:33" s="1" customFormat="1">
      <c r="A109" s="2">
        <v>6316</v>
      </c>
      <c r="B109" s="2" t="s">
        <v>324</v>
      </c>
      <c r="C109" s="678"/>
      <c r="D109" s="702">
        <f t="shared" si="230"/>
        <v>0</v>
      </c>
      <c r="E109" s="678">
        <v>12497.222222222223</v>
      </c>
      <c r="F109" s="702">
        <f t="shared" si="231"/>
        <v>1.0512661383179817E-2</v>
      </c>
      <c r="G109" s="678"/>
      <c r="H109" s="702">
        <f t="shared" si="232"/>
        <v>0</v>
      </c>
      <c r="I109" s="678"/>
      <c r="J109" s="702">
        <f t="shared" si="233"/>
        <v>0</v>
      </c>
      <c r="K109" s="678">
        <v>15000</v>
      </c>
      <c r="L109" s="702">
        <f t="shared" si="234"/>
        <v>9.4191630109905587E-3</v>
      </c>
      <c r="M109" s="678">
        <v>5700</v>
      </c>
      <c r="N109" s="702">
        <f t="shared" si="235"/>
        <v>2.5242009113510561E-3</v>
      </c>
      <c r="O109" s="678"/>
      <c r="P109" s="702">
        <f t="shared" si="236"/>
        <v>0</v>
      </c>
      <c r="Q109" s="678">
        <v>17297.222222222223</v>
      </c>
      <c r="R109" s="702">
        <f t="shared" si="237"/>
        <v>9.7435128589068321E-3</v>
      </c>
      <c r="S109" s="678">
        <v>5700</v>
      </c>
      <c r="T109" s="702">
        <f t="shared" si="238"/>
        <v>3.1872860448531977E-3</v>
      </c>
      <c r="U109" s="678">
        <v>5600</v>
      </c>
      <c r="V109" s="702">
        <f t="shared" si="239"/>
        <v>3.9477344553866273E-3</v>
      </c>
      <c r="W109" s="678"/>
      <c r="X109" s="702">
        <f t="shared" si="240"/>
        <v>0</v>
      </c>
      <c r="Y109" s="678"/>
      <c r="Z109" s="702">
        <f t="shared" si="241"/>
        <v>0</v>
      </c>
      <c r="AA109" s="144">
        <f t="shared" si="226"/>
        <v>61794.444444444438</v>
      </c>
      <c r="AB109" s="226">
        <f t="shared" si="242"/>
        <v>3.0416792698599836E-3</v>
      </c>
      <c r="AC109" s="128">
        <f t="shared" si="227"/>
        <v>5149.5370370370365</v>
      </c>
      <c r="AD109" s="226">
        <f t="shared" si="243"/>
        <v>3.0416792698599831E-3</v>
      </c>
      <c r="AE109" s="595"/>
      <c r="AF109" s="595"/>
      <c r="AG109" s="595"/>
    </row>
    <row r="110" spans="1:33" s="1" customFormat="1">
      <c r="A110" s="2">
        <v>6317</v>
      </c>
      <c r="B110" s="2" t="s">
        <v>325</v>
      </c>
      <c r="C110" s="678"/>
      <c r="D110" s="702">
        <f t="shared" si="230"/>
        <v>0</v>
      </c>
      <c r="E110" s="678">
        <v>2750</v>
      </c>
      <c r="F110" s="702">
        <f t="shared" si="231"/>
        <v>2.313299570870864E-3</v>
      </c>
      <c r="G110" s="678"/>
      <c r="H110" s="702">
        <f t="shared" si="232"/>
        <v>0</v>
      </c>
      <c r="I110" s="678">
        <v>16120</v>
      </c>
      <c r="J110" s="702">
        <f t="shared" si="233"/>
        <v>9.2580213256223797E-3</v>
      </c>
      <c r="K110" s="678">
        <v>3100</v>
      </c>
      <c r="L110" s="702">
        <f t="shared" si="234"/>
        <v>1.9466270222713823E-3</v>
      </c>
      <c r="M110" s="678"/>
      <c r="N110" s="702">
        <f t="shared" si="235"/>
        <v>0</v>
      </c>
      <c r="O110" s="678"/>
      <c r="P110" s="702">
        <f t="shared" si="236"/>
        <v>0</v>
      </c>
      <c r="Q110" s="678">
        <v>10466</v>
      </c>
      <c r="R110" s="702">
        <f t="shared" si="237"/>
        <v>5.895490285735475E-3</v>
      </c>
      <c r="S110" s="678"/>
      <c r="T110" s="702">
        <f t="shared" si="238"/>
        <v>0</v>
      </c>
      <c r="U110" s="678">
        <v>2750</v>
      </c>
      <c r="V110" s="702">
        <f t="shared" si="239"/>
        <v>1.9386195986273618E-3</v>
      </c>
      <c r="W110" s="678"/>
      <c r="X110" s="702">
        <f t="shared" si="240"/>
        <v>0</v>
      </c>
      <c r="Y110" s="678"/>
      <c r="Z110" s="702">
        <f t="shared" si="241"/>
        <v>0</v>
      </c>
      <c r="AA110" s="144">
        <f t="shared" si="226"/>
        <v>35186</v>
      </c>
      <c r="AB110" s="226">
        <f t="shared" si="242"/>
        <v>1.7319441537420488E-3</v>
      </c>
      <c r="AC110" s="128">
        <f t="shared" si="227"/>
        <v>2932.1666666666665</v>
      </c>
      <c r="AD110" s="226">
        <f t="shared" si="243"/>
        <v>1.7319441537420486E-3</v>
      </c>
      <c r="AE110" s="595"/>
      <c r="AF110" s="595"/>
      <c r="AG110" s="595"/>
    </row>
    <row r="111" spans="1:33" s="1" customFormat="1">
      <c r="A111" s="2">
        <v>6318</v>
      </c>
      <c r="B111" s="2" t="s">
        <v>326</v>
      </c>
      <c r="C111" s="678">
        <f>(6660/12)</f>
        <v>555</v>
      </c>
      <c r="D111" s="702">
        <f t="shared" si="230"/>
        <v>3.6322236401876209E-4</v>
      </c>
      <c r="E111" s="678">
        <f>(6660/12)</f>
        <v>555</v>
      </c>
      <c r="F111" s="702">
        <f t="shared" si="231"/>
        <v>4.6686591339393808E-4</v>
      </c>
      <c r="G111" s="678">
        <f>(6660/12)</f>
        <v>555</v>
      </c>
      <c r="H111" s="702">
        <f t="shared" si="232"/>
        <v>2.8145178405752637E-4</v>
      </c>
      <c r="I111" s="678">
        <f>(6660/12)</f>
        <v>555</v>
      </c>
      <c r="J111" s="702">
        <f t="shared" si="233"/>
        <v>3.1874701214146533E-4</v>
      </c>
      <c r="K111" s="678">
        <f>(6660/12)</f>
        <v>555</v>
      </c>
      <c r="L111" s="702">
        <f t="shared" si="234"/>
        <v>3.4850903140665066E-4</v>
      </c>
      <c r="M111" s="678">
        <f>(6660/12)</f>
        <v>555</v>
      </c>
      <c r="N111" s="702">
        <f t="shared" si="235"/>
        <v>2.4577745715786601E-4</v>
      </c>
      <c r="O111" s="678">
        <f>(6660/12)</f>
        <v>555</v>
      </c>
      <c r="P111" s="702">
        <f t="shared" si="235"/>
        <v>3.8820624356857963E-4</v>
      </c>
      <c r="Q111" s="678">
        <f>(6660/12)</f>
        <v>555</v>
      </c>
      <c r="R111" s="702">
        <f t="shared" si="237"/>
        <v>3.126311015271535E-4</v>
      </c>
      <c r="S111" s="678">
        <f>(6660/12)</f>
        <v>555</v>
      </c>
      <c r="T111" s="702">
        <f t="shared" si="238"/>
        <v>3.1034100963044293E-4</v>
      </c>
      <c r="U111" s="678">
        <f>(6660/12)</f>
        <v>555</v>
      </c>
      <c r="V111" s="702">
        <f t="shared" si="239"/>
        <v>3.9124868263206754E-4</v>
      </c>
      <c r="W111" s="678">
        <f>(6660/12)</f>
        <v>555</v>
      </c>
      <c r="X111" s="702">
        <f t="shared" si="240"/>
        <v>3.8454168751454846E-4</v>
      </c>
      <c r="Y111" s="678">
        <f>(6660/12)</f>
        <v>555</v>
      </c>
      <c r="Z111" s="702">
        <f t="shared" si="241"/>
        <v>2.5455152125705439E-4</v>
      </c>
      <c r="AA111" s="144">
        <f t="shared" si="226"/>
        <v>6660</v>
      </c>
      <c r="AB111" s="226">
        <f t="shared" si="242"/>
        <v>3.2782209014727579E-4</v>
      </c>
      <c r="AC111" s="128">
        <f t="shared" si="227"/>
        <v>555</v>
      </c>
      <c r="AD111" s="226">
        <f t="shared" si="243"/>
        <v>3.2782209014727573E-4</v>
      </c>
      <c r="AE111" s="595"/>
      <c r="AF111" s="595"/>
      <c r="AG111" s="595"/>
    </row>
    <row r="112" spans="1:33" s="1" customFormat="1">
      <c r="A112" s="2">
        <v>6319</v>
      </c>
      <c r="B112" s="2" t="s">
        <v>327</v>
      </c>
      <c r="C112" s="678"/>
      <c r="D112" s="702">
        <f t="shared" si="230"/>
        <v>0</v>
      </c>
      <c r="E112" s="678">
        <f>(43504.1666666667/12)/0.985</f>
        <v>3680.5555555555584</v>
      </c>
      <c r="F112" s="702">
        <f t="shared" si="231"/>
        <v>3.0960827589938357E-3</v>
      </c>
      <c r="G112" s="678">
        <f>(43504.1666666667/12)/0.985</f>
        <v>3680.5555555555584</v>
      </c>
      <c r="H112" s="702">
        <f t="shared" si="232"/>
        <v>1.8664845539350487E-3</v>
      </c>
      <c r="I112" s="678">
        <f>(43504.1666666667/12)/0.985</f>
        <v>3680.5555555555584</v>
      </c>
      <c r="J112" s="702">
        <f t="shared" si="233"/>
        <v>2.1138127682054147E-3</v>
      </c>
      <c r="K112" s="678">
        <f>(43504.1666666667/12)/0.985</f>
        <v>3680.5555555555584</v>
      </c>
      <c r="L112" s="702">
        <f t="shared" si="234"/>
        <v>2.311183516585648E-3</v>
      </c>
      <c r="M112" s="678"/>
      <c r="N112" s="702">
        <f t="shared" si="235"/>
        <v>0</v>
      </c>
      <c r="O112" s="678">
        <f>(43504.1666666667/12)/0.985</f>
        <v>3680.5555555555584</v>
      </c>
      <c r="P112" s="702">
        <f t="shared" si="235"/>
        <v>2.5744408044462886E-3</v>
      </c>
      <c r="Q112" s="678">
        <f>(43504.1666666667/12)/0.985</f>
        <v>3680.5555555555584</v>
      </c>
      <c r="R112" s="702">
        <f t="shared" si="237"/>
        <v>2.073254301919313E-3</v>
      </c>
      <c r="S112" s="678">
        <f>(43504.1666666667/12)/0.985</f>
        <v>3680.5555555555584</v>
      </c>
      <c r="T112" s="702">
        <f t="shared" si="238"/>
        <v>2.0580672560577438E-3</v>
      </c>
      <c r="U112" s="678">
        <f>(43504.1666666667/12)/0.985</f>
        <v>3680.5555555555584</v>
      </c>
      <c r="V112" s="702">
        <f t="shared" si="239"/>
        <v>2.5946171395770266E-3</v>
      </c>
      <c r="W112" s="678">
        <f>(43504.1666666667/12)/0.985</f>
        <v>3680.5555555555584</v>
      </c>
      <c r="X112" s="702">
        <f t="shared" si="240"/>
        <v>2.5501388186024878E-3</v>
      </c>
      <c r="Y112" s="678">
        <f>(43504.1666666667/12)/0.985</f>
        <v>3680.5555555555584</v>
      </c>
      <c r="Z112" s="702">
        <f t="shared" si="241"/>
        <v>1.6880919202482349E-3</v>
      </c>
      <c r="AA112" s="144">
        <f t="shared" si="226"/>
        <v>36805.555555555591</v>
      </c>
      <c r="AB112" s="226">
        <f t="shared" si="242"/>
        <v>1.8116627854735605E-3</v>
      </c>
      <c r="AC112" s="128">
        <f t="shared" si="227"/>
        <v>3067.1296296296327</v>
      </c>
      <c r="AD112" s="226">
        <f t="shared" si="243"/>
        <v>1.8116627854735602E-3</v>
      </c>
      <c r="AE112" s="595"/>
      <c r="AF112" s="595"/>
      <c r="AG112" s="595"/>
    </row>
    <row r="113" spans="1:33" s="1" customFormat="1">
      <c r="A113" s="2">
        <v>6320</v>
      </c>
      <c r="B113" s="2" t="s">
        <v>328</v>
      </c>
      <c r="C113" s="678"/>
      <c r="D113" s="702">
        <f t="shared" si="230"/>
        <v>0</v>
      </c>
      <c r="E113" s="678"/>
      <c r="F113" s="702">
        <f t="shared" si="231"/>
        <v>0</v>
      </c>
      <c r="G113" s="678"/>
      <c r="H113" s="702">
        <f t="shared" si="232"/>
        <v>0</v>
      </c>
      <c r="I113" s="678"/>
      <c r="J113" s="702">
        <f t="shared" si="233"/>
        <v>0</v>
      </c>
      <c r="K113" s="678"/>
      <c r="L113" s="702">
        <f t="shared" si="234"/>
        <v>0</v>
      </c>
      <c r="M113" s="678"/>
      <c r="N113" s="702">
        <f t="shared" si="235"/>
        <v>0</v>
      </c>
      <c r="O113" s="678"/>
      <c r="P113" s="702">
        <f t="shared" si="236"/>
        <v>0</v>
      </c>
      <c r="Q113" s="678"/>
      <c r="R113" s="702">
        <f t="shared" si="237"/>
        <v>0</v>
      </c>
      <c r="S113" s="678"/>
      <c r="T113" s="702">
        <f t="shared" si="238"/>
        <v>0</v>
      </c>
      <c r="U113" s="678"/>
      <c r="V113" s="702">
        <f t="shared" si="239"/>
        <v>0</v>
      </c>
      <c r="W113" s="678"/>
      <c r="X113" s="702">
        <f t="shared" si="240"/>
        <v>0</v>
      </c>
      <c r="Y113" s="678"/>
      <c r="Z113" s="702">
        <f t="shared" si="241"/>
        <v>0</v>
      </c>
      <c r="AA113" s="144">
        <f t="shared" si="226"/>
        <v>0</v>
      </c>
      <c r="AB113" s="226">
        <f t="shared" si="242"/>
        <v>0</v>
      </c>
      <c r="AC113" s="128">
        <f t="shared" si="227"/>
        <v>0</v>
      </c>
      <c r="AD113" s="226">
        <f t="shared" si="243"/>
        <v>0</v>
      </c>
      <c r="AE113" s="595"/>
      <c r="AF113" s="595"/>
      <c r="AG113" s="595"/>
    </row>
    <row r="114" spans="1:33" s="1" customFormat="1">
      <c r="A114" s="2">
        <v>6321</v>
      </c>
      <c r="B114" s="2" t="s">
        <v>329</v>
      </c>
      <c r="C114" s="754"/>
      <c r="D114" s="684">
        <f t="shared" si="230"/>
        <v>0</v>
      </c>
      <c r="E114" s="754"/>
      <c r="F114" s="684">
        <f t="shared" si="231"/>
        <v>0</v>
      </c>
      <c r="G114" s="754"/>
      <c r="H114" s="684">
        <f t="shared" si="232"/>
        <v>0</v>
      </c>
      <c r="I114" s="754"/>
      <c r="J114" s="684">
        <f t="shared" si="233"/>
        <v>0</v>
      </c>
      <c r="K114" s="754"/>
      <c r="L114" s="684">
        <f t="shared" si="234"/>
        <v>0</v>
      </c>
      <c r="M114" s="754"/>
      <c r="N114" s="684">
        <f t="shared" si="235"/>
        <v>0</v>
      </c>
      <c r="O114" s="754"/>
      <c r="P114" s="684">
        <f t="shared" si="236"/>
        <v>0</v>
      </c>
      <c r="Q114" s="754"/>
      <c r="R114" s="684">
        <f t="shared" si="237"/>
        <v>0</v>
      </c>
      <c r="S114" s="754"/>
      <c r="T114" s="684">
        <f t="shared" si="238"/>
        <v>0</v>
      </c>
      <c r="U114" s="754"/>
      <c r="V114" s="684">
        <f t="shared" si="239"/>
        <v>0</v>
      </c>
      <c r="W114" s="754">
        <f>100000/12</f>
        <v>8333.3333333333339</v>
      </c>
      <c r="X114" s="684">
        <f t="shared" si="240"/>
        <v>5.7738992119301573E-3</v>
      </c>
      <c r="Y114" s="754"/>
      <c r="Z114" s="684">
        <f t="shared" si="241"/>
        <v>0</v>
      </c>
      <c r="AA114" s="144">
        <f t="shared" si="226"/>
        <v>8333.3333333333339</v>
      </c>
      <c r="AB114" s="226">
        <f t="shared" si="242"/>
        <v>4.1018780048457935E-4</v>
      </c>
      <c r="AC114" s="128">
        <f t="shared" si="227"/>
        <v>694.44444444444446</v>
      </c>
      <c r="AD114" s="226">
        <f t="shared" si="243"/>
        <v>4.1018780048457929E-4</v>
      </c>
      <c r="AE114" s="595"/>
      <c r="AF114" s="595"/>
      <c r="AG114" s="595"/>
    </row>
    <row r="115" spans="1:33" s="1" customFormat="1" ht="15.75" thickBot="1">
      <c r="A115" s="4">
        <v>6399</v>
      </c>
      <c r="B115" s="229" t="s">
        <v>113</v>
      </c>
      <c r="C115" s="298">
        <f>SUM(C94:C114)</f>
        <v>33317.988313229158</v>
      </c>
      <c r="D115" s="987">
        <f>C115/C12</f>
        <v>2.1805114377442491E-2</v>
      </c>
      <c r="E115" s="298">
        <f>SUM(E94:E114)</f>
        <v>52073.016829324522</v>
      </c>
      <c r="F115" s="987">
        <f>E115/E12</f>
        <v>4.3803813630991895E-2</v>
      </c>
      <c r="G115" s="298">
        <f>SUM(G94:G114)</f>
        <v>32861.721735562867</v>
      </c>
      <c r="H115" s="987">
        <f>G115/G12</f>
        <v>1.6664847224641732E-2</v>
      </c>
      <c r="I115" s="298">
        <f>SUM(I94:I114)</f>
        <v>45732.061867906392</v>
      </c>
      <c r="J115" s="987">
        <f>I115/I12</f>
        <v>2.626478933236721E-2</v>
      </c>
      <c r="K115" s="298">
        <f>SUM(K94:K114)</f>
        <v>57596.401289859146</v>
      </c>
      <c r="L115" s="987">
        <f>K115/K12</f>
        <v>3.6167326173040679E-2</v>
      </c>
      <c r="M115" s="298">
        <f>SUM(M94:M114)</f>
        <v>24608.322675547901</v>
      </c>
      <c r="N115" s="987">
        <f>M115/M12</f>
        <v>1.0897605355164713E-2</v>
      </c>
      <c r="O115" s="298">
        <f>SUM(O94:O114)</f>
        <v>26230.170891500693</v>
      </c>
      <c r="P115" s="987">
        <f>O115/O12</f>
        <v>1.8347236234146642E-2</v>
      </c>
      <c r="Q115" s="298">
        <f>SUM(Q94:Q114)</f>
        <v>61653.775397973033</v>
      </c>
      <c r="R115" s="97">
        <f>Q115/Q12</f>
        <v>3.4729527416173023E-2</v>
      </c>
      <c r="S115" s="298">
        <f>SUM(S94:S114)</f>
        <v>35799.270312578286</v>
      </c>
      <c r="T115" s="987">
        <f>S115/S12</f>
        <v>2.0017985032141781E-2</v>
      </c>
      <c r="U115" s="298">
        <f>SUM(U94:U114)</f>
        <v>39769.711407066963</v>
      </c>
      <c r="V115" s="987">
        <f>U115/U12</f>
        <v>2.803576071472515E-2</v>
      </c>
      <c r="W115" s="298">
        <f>SUM(W94:W114)</f>
        <v>38934.336079008026</v>
      </c>
      <c r="X115" s="987">
        <f>W115/W12</f>
        <v>2.6976351888433E-2</v>
      </c>
      <c r="Y115" s="298">
        <f>SUM(Y94:Y114)</f>
        <v>30367.862437898704</v>
      </c>
      <c r="Z115" s="987">
        <f>Y115/Y12</f>
        <v>1.3928262307913651E-2</v>
      </c>
      <c r="AA115" s="298">
        <f>SUM(AA94:AA114)</f>
        <v>478944.63923745562</v>
      </c>
      <c r="AB115" s="97">
        <f>AA115/AA12</f>
        <v>2.3574869774723072E-2</v>
      </c>
      <c r="AC115" s="137">
        <f t="shared" si="227"/>
        <v>39912.053269787968</v>
      </c>
      <c r="AD115" s="97">
        <f>AC115/AC12</f>
        <v>2.3574869774723069E-2</v>
      </c>
      <c r="AE115" s="596"/>
      <c r="AF115" s="596"/>
      <c r="AG115" s="596"/>
    </row>
    <row r="116" spans="1:33" s="1" customFormat="1" ht="15.75" thickTop="1">
      <c r="A116" s="21">
        <v>6401</v>
      </c>
      <c r="B116" s="21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464">
        <f t="shared" ref="AA116:AA128" si="244">C116+E116+G116+I116+K116+M116+O116+Q116+S116+U116+W116+Y116</f>
        <v>0</v>
      </c>
      <c r="AB116" s="467">
        <f>AA116/AA12</f>
        <v>0</v>
      </c>
      <c r="AC116" s="472">
        <f>AA116/12</f>
        <v>0</v>
      </c>
      <c r="AD116" s="467">
        <f>AC116/AC12</f>
        <v>0</v>
      </c>
      <c r="AE116" s="595"/>
      <c r="AF116" s="595"/>
      <c r="AG116" s="595"/>
    </row>
    <row r="117" spans="1:33" s="1" customFormat="1">
      <c r="A117" s="188">
        <v>6402</v>
      </c>
      <c r="B117" s="231" t="s">
        <v>75</v>
      </c>
      <c r="C117" s="452">
        <v>500</v>
      </c>
      <c r="D117" s="467">
        <f>C117/C12</f>
        <v>3.2722735497185771E-4</v>
      </c>
      <c r="E117" s="452">
        <v>500</v>
      </c>
      <c r="F117" s="467">
        <f>E117/E12</f>
        <v>4.2059992197652075E-4</v>
      </c>
      <c r="G117" s="452">
        <v>500</v>
      </c>
      <c r="H117" s="467">
        <f>G117/G12</f>
        <v>2.5356016581759133E-4</v>
      </c>
      <c r="I117" s="452">
        <v>500</v>
      </c>
      <c r="J117" s="467">
        <f>I117/I12</f>
        <v>2.8715947039771649E-4</v>
      </c>
      <c r="K117" s="452">
        <v>500</v>
      </c>
      <c r="L117" s="467">
        <f>K117/K12</f>
        <v>3.1397210036635198E-4</v>
      </c>
      <c r="M117" s="452">
        <v>500</v>
      </c>
      <c r="N117" s="467">
        <f>M117/M12</f>
        <v>2.2142113257465405E-4</v>
      </c>
      <c r="O117" s="452">
        <v>500</v>
      </c>
      <c r="P117" s="467">
        <f>O117/O12</f>
        <v>3.49735354566288E-4</v>
      </c>
      <c r="Q117" s="452">
        <v>500</v>
      </c>
      <c r="R117" s="467">
        <f>Q117/Q12</f>
        <v>2.8164964101545363E-4</v>
      </c>
      <c r="S117" s="452">
        <v>500</v>
      </c>
      <c r="T117" s="467">
        <f>S117/S12</f>
        <v>2.795864951625612E-4</v>
      </c>
      <c r="U117" s="452">
        <v>500</v>
      </c>
      <c r="V117" s="467">
        <f>U117/U12</f>
        <v>3.5247629065952033E-4</v>
      </c>
      <c r="W117" s="452">
        <v>500</v>
      </c>
      <c r="X117" s="467">
        <f>W117/W12</f>
        <v>3.464339527158094E-4</v>
      </c>
      <c r="Y117" s="452">
        <v>500</v>
      </c>
      <c r="Z117" s="467">
        <f>Y117/Y12</f>
        <v>2.2932569482617514E-4</v>
      </c>
      <c r="AA117" s="464">
        <f t="shared" si="244"/>
        <v>6000</v>
      </c>
      <c r="AB117" s="467">
        <f>AA117/AA12</f>
        <v>2.9533521634889711E-4</v>
      </c>
      <c r="AC117" s="472">
        <f t="shared" ref="AC117:AC128" si="245">AA117/12</f>
        <v>500</v>
      </c>
      <c r="AD117" s="467">
        <f>AC117/AC12</f>
        <v>2.9533521634889705E-4</v>
      </c>
      <c r="AE117" s="595"/>
      <c r="AF117" s="595"/>
      <c r="AG117" s="595"/>
    </row>
    <row r="118" spans="1:33" s="1" customFormat="1">
      <c r="A118" s="188">
        <v>6403</v>
      </c>
      <c r="B118" s="231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464">
        <f>C118+E118+G118+I118+K118+M118+O118+Q118+S118+U118+W118+Y118</f>
        <v>0</v>
      </c>
      <c r="AB118" s="467">
        <f>AA118/AA12</f>
        <v>0</v>
      </c>
      <c r="AC118" s="472">
        <f t="shared" si="245"/>
        <v>0</v>
      </c>
      <c r="AD118" s="467">
        <f>AC118/AC12</f>
        <v>0</v>
      </c>
      <c r="AE118" s="595"/>
      <c r="AF118" s="595"/>
      <c r="AG118" s="595"/>
    </row>
    <row r="119" spans="1:33" s="1" customFormat="1">
      <c r="A119" s="188">
        <v>6404</v>
      </c>
      <c r="B119" s="188" t="s">
        <v>92</v>
      </c>
      <c r="C119" s="707">
        <v>2000</v>
      </c>
      <c r="D119" s="467">
        <f>C119/C12</f>
        <v>1.3089094198874308E-3</v>
      </c>
      <c r="E119" s="707">
        <v>2000</v>
      </c>
      <c r="F119" s="467">
        <f>E119/E12</f>
        <v>1.682399687906083E-3</v>
      </c>
      <c r="G119" s="707">
        <v>2000</v>
      </c>
      <c r="H119" s="467">
        <f>G119/G12</f>
        <v>1.0142406632703653E-3</v>
      </c>
      <c r="I119" s="707">
        <v>2000</v>
      </c>
      <c r="J119" s="467">
        <f>I119/I12</f>
        <v>1.1486378815908659E-3</v>
      </c>
      <c r="K119" s="707">
        <v>2000</v>
      </c>
      <c r="L119" s="467">
        <f>K119/K12</f>
        <v>1.2558884014654079E-3</v>
      </c>
      <c r="M119" s="707">
        <v>2000</v>
      </c>
      <c r="N119" s="467">
        <f>M119/M12</f>
        <v>8.8568453029861619E-4</v>
      </c>
      <c r="O119" s="707">
        <v>2000</v>
      </c>
      <c r="P119" s="467">
        <f>O119/O12</f>
        <v>1.398941418265152E-3</v>
      </c>
      <c r="Q119" s="707">
        <v>2000</v>
      </c>
      <c r="R119" s="467">
        <f>Q119/Q12</f>
        <v>1.1265985640618145E-3</v>
      </c>
      <c r="S119" s="707">
        <v>2000</v>
      </c>
      <c r="T119" s="467">
        <f>S119/S12</f>
        <v>1.1183459806502448E-3</v>
      </c>
      <c r="U119" s="707">
        <v>2000</v>
      </c>
      <c r="V119" s="467">
        <f>U119/U12</f>
        <v>1.4099051626380813E-3</v>
      </c>
      <c r="W119" s="707">
        <v>2000</v>
      </c>
      <c r="X119" s="467">
        <f>W119/W12</f>
        <v>1.3857358108632376E-3</v>
      </c>
      <c r="Y119" s="707">
        <v>2000</v>
      </c>
      <c r="Z119" s="467">
        <f>Y119/Y12</f>
        <v>9.1730277930470057E-4</v>
      </c>
      <c r="AA119" s="464">
        <f t="shared" si="244"/>
        <v>24000</v>
      </c>
      <c r="AB119" s="467">
        <f>AA119/AA12</f>
        <v>1.1813408653955884E-3</v>
      </c>
      <c r="AC119" s="472">
        <f t="shared" si="245"/>
        <v>2000</v>
      </c>
      <c r="AD119" s="467">
        <v>0</v>
      </c>
      <c r="AE119" s="645"/>
      <c r="AF119" s="226"/>
      <c r="AG119" s="226"/>
    </row>
    <row r="120" spans="1:33" s="1" customFormat="1">
      <c r="A120" s="188">
        <v>6406</v>
      </c>
      <c r="B120" s="2" t="s">
        <v>72</v>
      </c>
      <c r="C120" s="452">
        <v>750</v>
      </c>
      <c r="D120" s="467">
        <f>C120/C12</f>
        <v>4.9084103245778657E-4</v>
      </c>
      <c r="E120" s="452">
        <v>750</v>
      </c>
      <c r="F120" s="467">
        <f>E120/E12</f>
        <v>6.3089988296478113E-4</v>
      </c>
      <c r="G120" s="452">
        <v>750</v>
      </c>
      <c r="H120" s="467">
        <f>G120/G12</f>
        <v>3.8034024872638699E-4</v>
      </c>
      <c r="I120" s="452">
        <v>750</v>
      </c>
      <c r="J120" s="467">
        <f>I120/I12</f>
        <v>4.3073920559657473E-4</v>
      </c>
      <c r="K120" s="452">
        <v>750</v>
      </c>
      <c r="L120" s="467">
        <f>K120/K12</f>
        <v>4.7095815054952792E-4</v>
      </c>
      <c r="M120" s="452">
        <v>750</v>
      </c>
      <c r="N120" s="467">
        <f>M120/M12</f>
        <v>3.3213169886198108E-4</v>
      </c>
      <c r="O120" s="452">
        <v>750</v>
      </c>
      <c r="P120" s="467">
        <f>O120/O12</f>
        <v>5.2460303184943195E-4</v>
      </c>
      <c r="Q120" s="452">
        <v>750</v>
      </c>
      <c r="R120" s="467">
        <f>Q120/Q12</f>
        <v>4.224744615231804E-4</v>
      </c>
      <c r="S120" s="452">
        <v>750</v>
      </c>
      <c r="T120" s="467">
        <f>S120/S12</f>
        <v>4.193797427438418E-4</v>
      </c>
      <c r="U120" s="452">
        <v>750</v>
      </c>
      <c r="V120" s="467">
        <f>U120/U12</f>
        <v>5.2871443598928049E-4</v>
      </c>
      <c r="W120" s="452">
        <v>750</v>
      </c>
      <c r="X120" s="467">
        <f>W120/W12</f>
        <v>5.1965092907371409E-4</v>
      </c>
      <c r="Y120" s="452">
        <v>750</v>
      </c>
      <c r="Z120" s="467">
        <f>Y120/Y12</f>
        <v>3.439885422392627E-4</v>
      </c>
      <c r="AA120" s="464">
        <f t="shared" si="244"/>
        <v>9000</v>
      </c>
      <c r="AB120" s="467">
        <f>AA120/AA12</f>
        <v>4.4300282452334566E-4</v>
      </c>
      <c r="AC120" s="472">
        <f t="shared" si="245"/>
        <v>750</v>
      </c>
      <c r="AD120" s="467">
        <f>AC120/AC12</f>
        <v>4.4300282452334561E-4</v>
      </c>
      <c r="AE120" s="595" t="s">
        <v>231</v>
      </c>
      <c r="AF120" s="595"/>
      <c r="AG120" s="595"/>
    </row>
    <row r="121" spans="1:33" s="1" customFormat="1">
      <c r="A121" s="188">
        <v>6407</v>
      </c>
      <c r="B121" s="231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464">
        <f t="shared" si="244"/>
        <v>0</v>
      </c>
      <c r="AB121" s="467">
        <f>AA121/AA12</f>
        <v>0</v>
      </c>
      <c r="AC121" s="472">
        <f t="shared" si="245"/>
        <v>0</v>
      </c>
      <c r="AD121" s="467">
        <f>AC121/AC12</f>
        <v>0</v>
      </c>
      <c r="AE121" s="595"/>
      <c r="AF121" s="595"/>
      <c r="AG121" s="595"/>
    </row>
    <row r="122" spans="1:33" s="1" customFormat="1">
      <c r="A122" s="188">
        <v>6408</v>
      </c>
      <c r="B122" s="231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464">
        <f t="shared" si="244"/>
        <v>0</v>
      </c>
      <c r="AB122" s="467">
        <f>AA122/AA12</f>
        <v>0</v>
      </c>
      <c r="AC122" s="472">
        <f t="shared" si="245"/>
        <v>0</v>
      </c>
      <c r="AD122" s="467">
        <f>AC122/AC12</f>
        <v>0</v>
      </c>
      <c r="AE122" s="595"/>
      <c r="AF122" s="595"/>
      <c r="AG122" s="595"/>
    </row>
    <row r="123" spans="1:33" s="1" customFormat="1">
      <c r="A123" s="188">
        <v>6410</v>
      </c>
      <c r="B123" s="231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464">
        <f t="shared" si="244"/>
        <v>0</v>
      </c>
      <c r="AB123" s="467"/>
      <c r="AC123" s="472">
        <f t="shared" si="245"/>
        <v>0</v>
      </c>
      <c r="AD123" s="467"/>
      <c r="AE123" s="595"/>
      <c r="AF123" s="595"/>
      <c r="AG123" s="595"/>
    </row>
    <row r="124" spans="1:33" s="1" customFormat="1">
      <c r="A124" s="188">
        <v>6411</v>
      </c>
      <c r="B124" s="231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464">
        <f t="shared" si="244"/>
        <v>0</v>
      </c>
      <c r="AB124" s="467"/>
      <c r="AC124" s="472">
        <f t="shared" si="245"/>
        <v>0</v>
      </c>
      <c r="AD124" s="467"/>
      <c r="AE124" s="595"/>
      <c r="AF124" s="595"/>
      <c r="AG124" s="595"/>
    </row>
    <row r="125" spans="1:33" s="1" customFormat="1">
      <c r="A125" s="188">
        <v>6412</v>
      </c>
      <c r="B125" s="231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464">
        <f t="shared" si="244"/>
        <v>0</v>
      </c>
      <c r="AB125" s="467">
        <f>AA125/AA12</f>
        <v>0</v>
      </c>
      <c r="AC125" s="472">
        <f t="shared" si="245"/>
        <v>0</v>
      </c>
      <c r="AD125" s="467">
        <f>AC125/AC12</f>
        <v>0</v>
      </c>
      <c r="AE125" s="595"/>
      <c r="AF125" s="595"/>
      <c r="AG125" s="595"/>
    </row>
    <row r="126" spans="1:33" s="1" customFormat="1">
      <c r="A126" s="188">
        <v>6413</v>
      </c>
      <c r="B126" s="21" t="s">
        <v>41</v>
      </c>
      <c r="C126" s="452">
        <f>C12*1%</f>
        <v>15279.896145693599</v>
      </c>
      <c r="D126" s="467">
        <f>C126/C12</f>
        <v>0.01</v>
      </c>
      <c r="E126" s="452">
        <f>E12*1%</f>
        <v>11887.781568060102</v>
      </c>
      <c r="F126" s="467">
        <f>E126/E12</f>
        <v>0.01</v>
      </c>
      <c r="G126" s="452">
        <f>G12*1%</f>
        <v>19719.1857162491</v>
      </c>
      <c r="H126" s="467">
        <f>G126/G12</f>
        <v>0.01</v>
      </c>
      <c r="I126" s="452">
        <f>I12*1%</f>
        <v>17411.927919615497</v>
      </c>
      <c r="J126" s="467">
        <f>I126/I12</f>
        <v>9.9999999999999985E-3</v>
      </c>
      <c r="K126" s="452">
        <f>K12*1%</f>
        <v>15924.981850826402</v>
      </c>
      <c r="L126" s="467">
        <f>K126/K12</f>
        <v>0.01</v>
      </c>
      <c r="M126" s="452">
        <f>M12*1%</f>
        <v>22581.403779579203</v>
      </c>
      <c r="N126" s="467">
        <f>M126/M12</f>
        <v>0.01</v>
      </c>
      <c r="O126" s="452">
        <f>O12*1%</f>
        <v>14296.524313936103</v>
      </c>
      <c r="P126" s="467">
        <f>O126/O12</f>
        <v>0.01</v>
      </c>
      <c r="Q126" s="452">
        <f>Q12*1%</f>
        <v>17752.552362478102</v>
      </c>
      <c r="R126" s="467">
        <f>Q126/Q12</f>
        <v>0.01</v>
      </c>
      <c r="S126" s="452">
        <f>S12*1%</f>
        <v>17883.553342205701</v>
      </c>
      <c r="T126" s="467">
        <f>S126/S12</f>
        <v>9.9999999999999985E-3</v>
      </c>
      <c r="U126" s="452">
        <f>U12*1%</f>
        <v>14185.351277512802</v>
      </c>
      <c r="V126" s="467">
        <f>U126/U12</f>
        <v>0.01</v>
      </c>
      <c r="W126" s="452">
        <f>W12*1%</f>
        <v>14432.765497733</v>
      </c>
      <c r="X126" s="467">
        <f>W126/W12</f>
        <v>0.01</v>
      </c>
      <c r="Y126" s="452">
        <f>Y12*1%</f>
        <v>21803.051785321801</v>
      </c>
      <c r="Z126" s="467">
        <f>Y126/Y12</f>
        <v>0.01</v>
      </c>
      <c r="AA126" s="464">
        <f t="shared" si="244"/>
        <v>203158.97555921139</v>
      </c>
      <c r="AB126" s="467">
        <f>AA126/AA12</f>
        <v>9.9999999999999985E-3</v>
      </c>
      <c r="AC126" s="472">
        <f t="shared" si="245"/>
        <v>16929.914629934283</v>
      </c>
      <c r="AD126" s="467">
        <f>AC126/AC12</f>
        <v>9.9999999999999985E-3</v>
      </c>
      <c r="AE126" s="595" t="s">
        <v>290</v>
      </c>
      <c r="AF126" s="595"/>
      <c r="AG126" s="595"/>
    </row>
    <row r="127" spans="1:33" s="1" customFormat="1">
      <c r="A127" s="188">
        <v>6414</v>
      </c>
      <c r="B127" s="188" t="s">
        <v>43</v>
      </c>
      <c r="C127" s="486">
        <v>250</v>
      </c>
      <c r="D127" s="467">
        <f>C127/C12</f>
        <v>1.6361367748592886E-4</v>
      </c>
      <c r="E127" s="486">
        <v>250</v>
      </c>
      <c r="F127" s="467">
        <f>E127/E12</f>
        <v>2.1029996098826038E-4</v>
      </c>
      <c r="G127" s="486">
        <v>250</v>
      </c>
      <c r="H127" s="467">
        <f>G127/G12</f>
        <v>1.2678008290879566E-4</v>
      </c>
      <c r="I127" s="486">
        <v>250</v>
      </c>
      <c r="J127" s="467">
        <f>I127/I12</f>
        <v>1.4357973519885824E-4</v>
      </c>
      <c r="K127" s="486">
        <v>250</v>
      </c>
      <c r="L127" s="467">
        <f>K127/K12</f>
        <v>1.5698605018317599E-4</v>
      </c>
      <c r="M127" s="486">
        <v>250</v>
      </c>
      <c r="N127" s="467">
        <f>M127/M12</f>
        <v>1.1071056628732702E-4</v>
      </c>
      <c r="O127" s="486">
        <v>250</v>
      </c>
      <c r="P127" s="467">
        <f>O127/O12</f>
        <v>1.74867677283144E-4</v>
      </c>
      <c r="Q127" s="486">
        <v>250</v>
      </c>
      <c r="R127" s="467">
        <f>Q127/Q12</f>
        <v>1.4082482050772682E-4</v>
      </c>
      <c r="S127" s="486">
        <v>250</v>
      </c>
      <c r="T127" s="467">
        <f>S127/S12</f>
        <v>1.397932475812806E-4</v>
      </c>
      <c r="U127" s="486">
        <v>250</v>
      </c>
      <c r="V127" s="467">
        <f>U127/U12</f>
        <v>1.7623814532976016E-4</v>
      </c>
      <c r="W127" s="486">
        <v>250</v>
      </c>
      <c r="X127" s="467">
        <f>W127/W12</f>
        <v>1.732169763579047E-4</v>
      </c>
      <c r="Y127" s="486">
        <v>250</v>
      </c>
      <c r="Z127" s="467">
        <f>Y127/Y12</f>
        <v>1.1466284741308757E-4</v>
      </c>
      <c r="AA127" s="464">
        <f t="shared" si="244"/>
        <v>3000</v>
      </c>
      <c r="AB127" s="467">
        <f>AA127/AA12</f>
        <v>1.4766760817444855E-4</v>
      </c>
      <c r="AC127" s="472">
        <f t="shared" si="245"/>
        <v>250</v>
      </c>
      <c r="AD127" s="467">
        <f>AC127/AC12</f>
        <v>1.4766760817444853E-4</v>
      </c>
      <c r="AE127" s="645" t="s">
        <v>284</v>
      </c>
      <c r="AF127" s="595"/>
      <c r="AG127" s="595"/>
    </row>
    <row r="128" spans="1:33" s="1" customFormat="1">
      <c r="A128" s="2">
        <v>6415</v>
      </c>
      <c r="B128" s="231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464">
        <f t="shared" si="244"/>
        <v>0</v>
      </c>
      <c r="AB128" s="467">
        <f>AA128/AA12</f>
        <v>0</v>
      </c>
      <c r="AC128" s="472">
        <f t="shared" si="245"/>
        <v>0</v>
      </c>
      <c r="AD128" s="467">
        <f>AC128/AC12</f>
        <v>0</v>
      </c>
      <c r="AE128" s="595"/>
      <c r="AF128" s="595"/>
      <c r="AG128" s="595"/>
    </row>
    <row r="129" spans="1:35" s="1" customFormat="1" ht="15.75" thickBot="1">
      <c r="A129" s="4">
        <v>6499</v>
      </c>
      <c r="B129" s="229" t="s">
        <v>114</v>
      </c>
      <c r="C129" s="116">
        <f>SUM(C116:C128)</f>
        <v>18779.896145693601</v>
      </c>
      <c r="D129" s="89">
        <f>C129/C12</f>
        <v>1.2290591484803005E-2</v>
      </c>
      <c r="E129" s="76">
        <f>SUM(E116:E128)</f>
        <v>15387.781568060102</v>
      </c>
      <c r="F129" s="89">
        <f>E129/E12</f>
        <v>1.2944199453835646E-2</v>
      </c>
      <c r="G129" s="116">
        <f>SUM(G116:G128)</f>
        <v>23219.1857162491</v>
      </c>
      <c r="H129" s="89">
        <f>G129/G12</f>
        <v>1.1774921160723139E-2</v>
      </c>
      <c r="I129" s="76">
        <f>SUM(I116:I128)</f>
        <v>20911.927919615497</v>
      </c>
      <c r="J129" s="89">
        <f>I129/I12</f>
        <v>1.2010116292784015E-2</v>
      </c>
      <c r="K129" s="76">
        <f>SUM(K116:K128)</f>
        <v>19424.9818508264</v>
      </c>
      <c r="L129" s="89">
        <f>K129/K12</f>
        <v>1.2197804702564463E-2</v>
      </c>
      <c r="M129" s="376">
        <f>SUM(M116:M128)</f>
        <v>26081.403779579203</v>
      </c>
      <c r="N129" s="89">
        <f>M129/M12</f>
        <v>1.1549947928022579E-2</v>
      </c>
      <c r="O129" s="76">
        <f>SUM(O116:O128)</f>
        <v>17796.524313936105</v>
      </c>
      <c r="P129" s="89">
        <f>O129/O12</f>
        <v>1.2448147481964017E-2</v>
      </c>
      <c r="Q129" s="28">
        <f>SUM(Q116:Q128)</f>
        <v>21252.552362478102</v>
      </c>
      <c r="R129" s="89">
        <f>Q129/Q12</f>
        <v>1.1971547487108176E-2</v>
      </c>
      <c r="S129" s="76">
        <f>SUM(S116:S128)</f>
        <v>21383.553342205701</v>
      </c>
      <c r="T129" s="89">
        <f>S129/S12</f>
        <v>1.1957105466137928E-2</v>
      </c>
      <c r="U129" s="76">
        <f>SUM(U116:U128)</f>
        <v>17685.351277512804</v>
      </c>
      <c r="V129" s="89">
        <f>U129/U12</f>
        <v>1.2467334034616645E-2</v>
      </c>
      <c r="W129" s="52">
        <f>SUM(W116:W128)</f>
        <v>17932.765497733002</v>
      </c>
      <c r="X129" s="89">
        <f>W129/W12</f>
        <v>1.2425037669010666E-2</v>
      </c>
      <c r="Y129" s="76">
        <f>SUM(Y116:Y128)</f>
        <v>25303.051785321801</v>
      </c>
      <c r="Z129" s="89">
        <f>Y129/Y12</f>
        <v>1.1605279863783227E-2</v>
      </c>
      <c r="AA129" s="148">
        <f>SUM(AA116:AA128)</f>
        <v>245158.97555921139</v>
      </c>
      <c r="AB129" s="89">
        <f>AA129/AA12</f>
        <v>1.2067346514442278E-2</v>
      </c>
      <c r="AC129" s="132">
        <f>SUM(AC116:AC128)</f>
        <v>20429.914629934283</v>
      </c>
      <c r="AD129" s="89">
        <f>AC129/AC12</f>
        <v>1.2067346514442278E-2</v>
      </c>
      <c r="AE129" s="596"/>
      <c r="AF129" s="596"/>
      <c r="AG129" s="596"/>
    </row>
    <row r="130" spans="1:35" s="1" customFormat="1" ht="15.75" thickTop="1">
      <c r="A130" s="222"/>
      <c r="B130" s="230"/>
      <c r="C130" s="114"/>
      <c r="D130" s="102"/>
      <c r="E130" s="82"/>
      <c r="F130" s="102"/>
      <c r="G130" s="114"/>
      <c r="H130" s="102"/>
      <c r="I130" s="82"/>
      <c r="J130" s="102"/>
      <c r="K130" s="82"/>
      <c r="L130" s="102"/>
      <c r="M130" s="32"/>
      <c r="N130" s="102"/>
      <c r="O130" s="82"/>
      <c r="P130" s="102"/>
      <c r="Q130" s="32"/>
      <c r="R130" s="102"/>
      <c r="S130" s="82"/>
      <c r="T130" s="102"/>
      <c r="U130" s="82"/>
      <c r="V130" s="102"/>
      <c r="W130" s="60"/>
      <c r="X130" s="102"/>
      <c r="Y130" s="82"/>
      <c r="Z130" s="102"/>
      <c r="AA130" s="154"/>
      <c r="AB130" s="102"/>
      <c r="AC130" s="139"/>
      <c r="AD130" s="102"/>
      <c r="AE130" s="595"/>
      <c r="AF130" s="595"/>
      <c r="AG130" s="595"/>
    </row>
    <row r="131" spans="1:35" s="1" customFormat="1" ht="15.75" thickBot="1">
      <c r="A131" s="4"/>
      <c r="B131" s="229" t="s">
        <v>133</v>
      </c>
      <c r="C131" s="252">
        <f>C37-C41-C76-C93-C115-C129</f>
        <v>291306.73400470661</v>
      </c>
      <c r="D131" s="306">
        <f>C131/C12</f>
        <v>0.19064706410770133</v>
      </c>
      <c r="E131" s="252">
        <f>E37-E41-E76-E93-E115-E129</f>
        <v>188704.5335165821</v>
      </c>
      <c r="F131" s="306">
        <f>E131/E12</f>
        <v>0.15873822414738037</v>
      </c>
      <c r="G131" s="252">
        <f>G37-G41-G76-G93-G115-G129</f>
        <v>504271.02364600665</v>
      </c>
      <c r="H131" s="306">
        <f>G131/G12</f>
        <v>0.25572608874537595</v>
      </c>
      <c r="I131" s="252">
        <f>I37-I41-I76-I93-I115-I129</f>
        <v>485203.24220382585</v>
      </c>
      <c r="J131" s="306">
        <f>I131/I12</f>
        <v>0.27866141213301121</v>
      </c>
      <c r="K131" s="252">
        <f>K37-K41-K76-K93-K115-K129</f>
        <v>365842.96559784614</v>
      </c>
      <c r="L131" s="306">
        <f>K131/K12</f>
        <v>0.2297289686260216</v>
      </c>
      <c r="M131" s="287">
        <f>M37-M41-M76-M93-M115-M129</f>
        <v>640598.89951199887</v>
      </c>
      <c r="N131" s="306">
        <f>M131/M12</f>
        <v>0.28368426771204758</v>
      </c>
      <c r="O131" s="252">
        <f>O37-O41-O76-O93-O115-O129</f>
        <v>321303.14503891947</v>
      </c>
      <c r="P131" s="306">
        <f>O131/O12</f>
        <v>0.22474213870689991</v>
      </c>
      <c r="Q131" s="287">
        <f>Q37-Q41-Q76-Q93-Q115-Q129</f>
        <v>503319.70668671571</v>
      </c>
      <c r="R131" s="306">
        <f>Q131/Q12</f>
        <v>0.28351962940863379</v>
      </c>
      <c r="S131" s="252">
        <f>S37-S41-S76-S93-S115-S129</f>
        <v>380398.07166043529</v>
      </c>
      <c r="T131" s="306">
        <f>S131/S12</f>
        <v>0.2127083272442758</v>
      </c>
      <c r="U131" s="252">
        <f>U37-U41-U76-U93-U115-U129</f>
        <v>332253.38513839454</v>
      </c>
      <c r="V131" s="306">
        <f>U131/U12</f>
        <v>0.2342228815053006</v>
      </c>
      <c r="W131" s="225">
        <f>W37-W41-W76-W93-W115-W129</f>
        <v>357568.93665186263</v>
      </c>
      <c r="X131" s="306">
        <f>W131/W12</f>
        <v>0.24774804018538726</v>
      </c>
      <c r="Y131" s="252">
        <f>Y37-Y41-Y76-Y93-Y115-Y129</f>
        <v>617026.46445863205</v>
      </c>
      <c r="Z131" s="306">
        <f>Y131/Y12</f>
        <v>0.28300004537622814</v>
      </c>
      <c r="AA131" s="256">
        <f>AA37-AA41-AA76-AA93-AA115-AA129</f>
        <v>4987797.1081159255</v>
      </c>
      <c r="AB131" s="89">
        <f>AA131/AA12</f>
        <v>0.24551202300497002</v>
      </c>
      <c r="AC131" s="364">
        <f>AC37-AC41-AC76-AC93-AC115-AC129</f>
        <v>415649.7590096608</v>
      </c>
      <c r="AD131" s="259">
        <f>AC131/AC12</f>
        <v>0.24551202300497021</v>
      </c>
      <c r="AE131" s="601"/>
      <c r="AF131" s="601"/>
      <c r="AG131" s="601"/>
    </row>
    <row r="132" spans="1:35" s="1" customFormat="1" ht="15.75" thickTop="1">
      <c r="A132" s="222"/>
      <c r="B132" s="230"/>
      <c r="C132" s="114"/>
      <c r="D132" s="102"/>
      <c r="E132" s="82"/>
      <c r="F132" s="102"/>
      <c r="G132" s="114"/>
      <c r="H132" s="102"/>
      <c r="I132" s="82"/>
      <c r="J132" s="102"/>
      <c r="K132" s="82"/>
      <c r="L132" s="102"/>
      <c r="M132" s="32"/>
      <c r="N132" s="102"/>
      <c r="O132" s="82"/>
      <c r="P132" s="102"/>
      <c r="Q132" s="32"/>
      <c r="R132" s="102"/>
      <c r="S132" s="82"/>
      <c r="T132" s="102"/>
      <c r="U132" s="82"/>
      <c r="V132" s="102"/>
      <c r="W132" s="60"/>
      <c r="X132" s="102"/>
      <c r="Y132" s="82"/>
      <c r="Z132" s="102"/>
      <c r="AA132" s="154"/>
      <c r="AB132" s="102"/>
      <c r="AC132" s="139"/>
      <c r="AD132" s="102"/>
      <c r="AE132" s="595"/>
      <c r="AF132" s="595"/>
      <c r="AG132" s="595"/>
    </row>
    <row r="133" spans="1:35" s="1" customFormat="1" ht="15.75" thickBot="1">
      <c r="A133" s="4"/>
      <c r="B133" s="4" t="s">
        <v>149</v>
      </c>
      <c r="C133" s="116"/>
      <c r="D133" s="89"/>
      <c r="E133" s="76"/>
      <c r="F133" s="89"/>
      <c r="G133" s="116"/>
      <c r="H133" s="89"/>
      <c r="I133" s="76"/>
      <c r="J133" s="89"/>
      <c r="K133" s="28"/>
      <c r="L133" s="89"/>
      <c r="M133" s="28"/>
      <c r="N133" s="89"/>
      <c r="O133" s="28"/>
      <c r="P133" s="89"/>
      <c r="Q133" s="28"/>
      <c r="R133" s="89"/>
      <c r="S133" s="28"/>
      <c r="T133" s="89"/>
      <c r="U133" s="28"/>
      <c r="V133" s="89"/>
      <c r="W133" s="28"/>
      <c r="X133" s="89"/>
      <c r="Y133" s="28"/>
      <c r="Z133" s="89"/>
      <c r="AA133" s="148">
        <f>C133+E133+G133+I133+K133+M133+O133+Q133+S133+U133+W133+Y133</f>
        <v>0</v>
      </c>
      <c r="AB133" s="89"/>
      <c r="AC133" s="265">
        <f t="shared" ref="AC133" si="246">AA133/9</f>
        <v>0</v>
      </c>
      <c r="AD133" s="89"/>
      <c r="AE133" s="596"/>
      <c r="AF133" s="596"/>
      <c r="AG133" s="596"/>
    </row>
    <row r="134" spans="1:35" s="1" customFormat="1" ht="15.75" thickTop="1">
      <c r="A134" s="222"/>
      <c r="B134" s="222"/>
      <c r="C134" s="114"/>
      <c r="D134" s="102"/>
      <c r="E134" s="82"/>
      <c r="F134" s="102"/>
      <c r="G134" s="114"/>
      <c r="H134" s="102"/>
      <c r="I134" s="82"/>
      <c r="J134" s="102"/>
      <c r="K134" s="82"/>
      <c r="L134" s="102"/>
      <c r="M134" s="32"/>
      <c r="N134" s="102"/>
      <c r="O134" s="82"/>
      <c r="P134" s="102"/>
      <c r="Q134" s="32"/>
      <c r="R134" s="102"/>
      <c r="S134" s="82"/>
      <c r="T134" s="102"/>
      <c r="U134" s="82"/>
      <c r="V134" s="102"/>
      <c r="W134" s="60"/>
      <c r="X134" s="102"/>
      <c r="Y134" s="82"/>
      <c r="Z134" s="102"/>
      <c r="AA134" s="154"/>
      <c r="AB134" s="102"/>
      <c r="AC134" s="139"/>
      <c r="AD134" s="102"/>
      <c r="AE134" s="595"/>
      <c r="AF134" s="595"/>
      <c r="AG134" s="595"/>
    </row>
    <row r="135" spans="1:35" s="1" customFormat="1" ht="15.75" thickBot="1">
      <c r="A135" s="4"/>
      <c r="B135" s="4" t="s">
        <v>140</v>
      </c>
      <c r="C135" s="196">
        <f>C131-C133</f>
        <v>291306.73400470661</v>
      </c>
      <c r="D135" s="307">
        <f>C135/C12</f>
        <v>0.19064706410770133</v>
      </c>
      <c r="E135" s="52">
        <f>E131-E133</f>
        <v>188704.5335165821</v>
      </c>
      <c r="F135" s="307">
        <f>E135/E12</f>
        <v>0.15873822414738037</v>
      </c>
      <c r="G135" s="52">
        <f>G131-G133</f>
        <v>504271.02364600665</v>
      </c>
      <c r="H135" s="307">
        <f>G135/G12</f>
        <v>0.25572608874537595</v>
      </c>
      <c r="I135" s="52">
        <f>I131-I133</f>
        <v>485203.24220382585</v>
      </c>
      <c r="J135" s="307">
        <f>I135/I12</f>
        <v>0.27866141213301121</v>
      </c>
      <c r="K135" s="52">
        <f>K131-K133</f>
        <v>365842.96559784614</v>
      </c>
      <c r="L135" s="307">
        <f>K135/K12</f>
        <v>0.2297289686260216</v>
      </c>
      <c r="M135" s="28">
        <f>M131-M133</f>
        <v>640598.89951199887</v>
      </c>
      <c r="N135" s="307">
        <f>M135/M12</f>
        <v>0.28368426771204758</v>
      </c>
      <c r="O135" s="52">
        <f>O131-O133</f>
        <v>321303.14503891947</v>
      </c>
      <c r="P135" s="307">
        <f>O135/O12</f>
        <v>0.22474213870689991</v>
      </c>
      <c r="Q135" s="28">
        <f>Q131-Q133</f>
        <v>503319.70668671571</v>
      </c>
      <c r="R135" s="307">
        <f>Q135/Q12</f>
        <v>0.28351962940863379</v>
      </c>
      <c r="S135" s="52">
        <f>S131-S133</f>
        <v>380398.07166043529</v>
      </c>
      <c r="T135" s="307">
        <f>S135/S12</f>
        <v>0.2127083272442758</v>
      </c>
      <c r="U135" s="52">
        <f>U131-U133</f>
        <v>332253.38513839454</v>
      </c>
      <c r="V135" s="307">
        <f>U135/U12</f>
        <v>0.2342228815053006</v>
      </c>
      <c r="W135" s="52">
        <f>W131-W133</f>
        <v>357568.93665186263</v>
      </c>
      <c r="X135" s="307">
        <f>W135/W12</f>
        <v>0.24774804018538726</v>
      </c>
      <c r="Y135" s="52">
        <f>Y131-Y133</f>
        <v>617026.46445863205</v>
      </c>
      <c r="Z135" s="307">
        <f>Y135/Y12</f>
        <v>0.28300004537622814</v>
      </c>
      <c r="AA135" s="52">
        <f>AA131-AA133</f>
        <v>4987797.1081159255</v>
      </c>
      <c r="AB135" s="89">
        <f>AA135/AA12</f>
        <v>0.24551202300497002</v>
      </c>
      <c r="AC135" s="52">
        <f>AC131-AC133</f>
        <v>415649.7590096608</v>
      </c>
      <c r="AD135" s="89">
        <f>AC135/AC12</f>
        <v>0.24551202300497021</v>
      </c>
      <c r="AE135" s="596"/>
      <c r="AF135" s="596"/>
      <c r="AG135" s="596"/>
    </row>
    <row r="136" spans="1:35" s="1" customFormat="1" ht="15.75" thickTop="1">
      <c r="A136" s="21">
        <v>6501</v>
      </c>
      <c r="B136" s="21" t="s">
        <v>148</v>
      </c>
      <c r="C136" s="60"/>
      <c r="D136" s="68">
        <f>C136/C12</f>
        <v>0</v>
      </c>
      <c r="E136" s="82"/>
      <c r="F136" s="68">
        <f>E136/E12</f>
        <v>0</v>
      </c>
      <c r="G136" s="83"/>
      <c r="H136" s="68">
        <f>G136/G12</f>
        <v>0</v>
      </c>
      <c r="I136" s="82"/>
      <c r="J136" s="68">
        <f>I136/I12</f>
        <v>0</v>
      </c>
      <c r="K136" s="82"/>
      <c r="L136" s="68">
        <f>K136/K12</f>
        <v>0</v>
      </c>
      <c r="M136" s="32"/>
      <c r="N136" s="68">
        <f>M136/M12</f>
        <v>0</v>
      </c>
      <c r="O136" s="82">
        <v>0</v>
      </c>
      <c r="P136" s="68">
        <f>O136/O12</f>
        <v>0</v>
      </c>
      <c r="Q136" s="32"/>
      <c r="R136" s="68">
        <f>Q136/Q12</f>
        <v>0</v>
      </c>
      <c r="S136" s="60"/>
      <c r="T136" s="68">
        <f>S136/S12</f>
        <v>0</v>
      </c>
      <c r="U136" s="60"/>
      <c r="V136" s="68">
        <f>U136/U12</f>
        <v>0</v>
      </c>
      <c r="W136" s="60"/>
      <c r="X136" s="68">
        <f>W136/W12</f>
        <v>0</v>
      </c>
      <c r="Y136" s="60"/>
      <c r="Z136" s="68">
        <f>Y136/Y12</f>
        <v>0</v>
      </c>
      <c r="AA136" s="144">
        <f t="shared" ref="AA136:AC143" si="247">C136+E136+G136+I136+K136+M136+O136+Q136+S136+U136+W136+Y136</f>
        <v>0</v>
      </c>
      <c r="AB136" s="68">
        <f>AA136/AA12</f>
        <v>0</v>
      </c>
      <c r="AC136" s="128">
        <f>AA136/12</f>
        <v>0</v>
      </c>
      <c r="AD136" s="68">
        <f>AC136/AC12</f>
        <v>0</v>
      </c>
      <c r="AE136" s="595"/>
      <c r="AF136" s="595"/>
      <c r="AG136" s="595"/>
    </row>
    <row r="137" spans="1:35" s="1" customFormat="1">
      <c r="A137" s="188">
        <v>6502</v>
      </c>
      <c r="B137" s="21" t="s">
        <v>136</v>
      </c>
      <c r="C137" s="33">
        <v>5924.13</v>
      </c>
      <c r="D137" s="68">
        <f>C137/C12</f>
        <v>3.877074780818863E-3</v>
      </c>
      <c r="E137" s="33">
        <v>5924.13</v>
      </c>
      <c r="F137" s="68">
        <f>E137/E12</f>
        <v>4.9833772315575325E-3</v>
      </c>
      <c r="G137" s="33">
        <v>5924.13</v>
      </c>
      <c r="H137" s="68">
        <f>G137/G12</f>
        <v>3.0042467702499345E-3</v>
      </c>
      <c r="I137" s="33">
        <v>5924.13</v>
      </c>
      <c r="J137" s="68">
        <f>I137/I12</f>
        <v>3.4023400667344485E-3</v>
      </c>
      <c r="K137" s="33">
        <v>5924.13</v>
      </c>
      <c r="L137" s="68">
        <f>K137/K12</f>
        <v>3.7200230778866332E-3</v>
      </c>
      <c r="M137" s="33">
        <v>5924.13</v>
      </c>
      <c r="N137" s="68">
        <f>M137/M12</f>
        <v>2.6234551482389704E-3</v>
      </c>
      <c r="O137" s="33">
        <v>5924.13</v>
      </c>
      <c r="P137" s="68">
        <f>O137/O12</f>
        <v>4.1437554120935674E-3</v>
      </c>
      <c r="Q137" s="33">
        <v>5924.13</v>
      </c>
      <c r="R137" s="68">
        <f>Q137/Q12</f>
        <v>3.3370581756577587E-3</v>
      </c>
      <c r="S137" s="33">
        <v>5924.13</v>
      </c>
      <c r="T137" s="68">
        <f>S137/S12</f>
        <v>3.3126134871747674E-3</v>
      </c>
      <c r="U137" s="33">
        <v>5924.13</v>
      </c>
      <c r="V137" s="68">
        <f>U137/U12</f>
        <v>4.1762307355695683E-3</v>
      </c>
      <c r="W137" s="33">
        <v>5924.13</v>
      </c>
      <c r="X137" s="68">
        <f>W137/W12</f>
        <v>4.1046395446046159E-3</v>
      </c>
      <c r="Y137" s="33">
        <v>5924.13</v>
      </c>
      <c r="Z137" s="68">
        <f>Y137/Y12</f>
        <v>2.7171104569811777E-3</v>
      </c>
      <c r="AA137" s="144">
        <f t="shared" si="247"/>
        <v>71089.559999999983</v>
      </c>
      <c r="AB137" s="68">
        <f>AA137/AA12</f>
        <v>3.4992084304579828E-3</v>
      </c>
      <c r="AC137" s="128">
        <f t="shared" ref="AC137:AC143" si="248">AA137/12</f>
        <v>5924.1299999999983</v>
      </c>
      <c r="AD137" s="68">
        <f>AC137/AC12</f>
        <v>3.4992084304579824E-3</v>
      </c>
      <c r="AE137" s="595"/>
      <c r="AF137" s="595"/>
      <c r="AG137" s="595"/>
      <c r="AH137" s="1" t="s">
        <v>334</v>
      </c>
    </row>
    <row r="138" spans="1:35" s="1" customFormat="1">
      <c r="A138" s="188">
        <v>6503</v>
      </c>
      <c r="B138" s="21" t="s">
        <v>137</v>
      </c>
      <c r="C138" s="33">
        <v>310.36</v>
      </c>
      <c r="D138" s="68">
        <f>C138/C12</f>
        <v>2.0311656377813153E-4</v>
      </c>
      <c r="E138" s="33">
        <v>310.36</v>
      </c>
      <c r="F138" s="68">
        <f>E138/E12</f>
        <v>2.6107478356926598E-4</v>
      </c>
      <c r="G138" s="33">
        <v>310.36</v>
      </c>
      <c r="H138" s="68">
        <f>G138/G12</f>
        <v>1.573898661262953E-4</v>
      </c>
      <c r="I138" s="33">
        <v>310.36</v>
      </c>
      <c r="J138" s="68">
        <f>I138/I12</f>
        <v>1.7824562646527058E-4</v>
      </c>
      <c r="K138" s="33">
        <v>310.36</v>
      </c>
      <c r="L138" s="68">
        <f>K138/K12</f>
        <v>1.9488876213940201E-4</v>
      </c>
      <c r="M138" s="33">
        <v>310.36</v>
      </c>
      <c r="N138" s="68">
        <f>M138/M12</f>
        <v>1.3744052541173925E-4</v>
      </c>
      <c r="O138" s="33">
        <v>310.36</v>
      </c>
      <c r="P138" s="68">
        <f>O138/O12</f>
        <v>2.1708772928638628E-4</v>
      </c>
      <c r="Q138" s="33">
        <v>310.36</v>
      </c>
      <c r="R138" s="68">
        <f>Q138/Q12</f>
        <v>1.7482556517111236E-4</v>
      </c>
      <c r="S138" s="33">
        <v>310.36</v>
      </c>
      <c r="T138" s="68">
        <f>S138/S12</f>
        <v>1.7354492927730499E-4</v>
      </c>
      <c r="U138" s="33">
        <v>310.36</v>
      </c>
      <c r="V138" s="68">
        <f>U138/U12</f>
        <v>2.1878908313817746E-4</v>
      </c>
      <c r="W138" s="33">
        <v>310.36</v>
      </c>
      <c r="X138" s="68">
        <f>W138/W12</f>
        <v>2.1503848312975723E-4</v>
      </c>
      <c r="Y138" s="33">
        <v>310.36</v>
      </c>
      <c r="Z138" s="68">
        <f>Y138/Y12</f>
        <v>1.4234704529250344E-4</v>
      </c>
      <c r="AA138" s="144">
        <f t="shared" si="247"/>
        <v>3724.3200000000011</v>
      </c>
      <c r="AB138" s="68">
        <f>AA138/AA12</f>
        <v>1.8332047549208746E-4</v>
      </c>
      <c r="AC138" s="128">
        <f t="shared" si="248"/>
        <v>310.36000000000007</v>
      </c>
      <c r="AD138" s="68">
        <f>AC138/AC12</f>
        <v>1.8332047549208744E-4</v>
      </c>
      <c r="AE138" s="595"/>
      <c r="AF138" s="595"/>
      <c r="AG138" s="595"/>
      <c r="AI138" s="686"/>
    </row>
    <row r="139" spans="1:35" s="1" customFormat="1">
      <c r="A139" s="188">
        <v>6504</v>
      </c>
      <c r="B139" s="21" t="s">
        <v>138</v>
      </c>
      <c r="C139" s="83"/>
      <c r="D139" s="68">
        <f>C139/C12</f>
        <v>0</v>
      </c>
      <c r="E139" s="83"/>
      <c r="F139" s="68">
        <f>E139/E12</f>
        <v>0</v>
      </c>
      <c r="G139" s="83"/>
      <c r="H139" s="68">
        <f>G139/G12</f>
        <v>0</v>
      </c>
      <c r="I139" s="83"/>
      <c r="J139" s="68">
        <f>I139/I12</f>
        <v>0</v>
      </c>
      <c r="K139" s="83"/>
      <c r="L139" s="68">
        <f>K139/K12</f>
        <v>0</v>
      </c>
      <c r="M139" s="33"/>
      <c r="N139" s="68">
        <f>M139/M12</f>
        <v>0</v>
      </c>
      <c r="O139" s="83"/>
      <c r="P139" s="68">
        <f>O139/O12</f>
        <v>0</v>
      </c>
      <c r="Q139" s="33"/>
      <c r="R139" s="68">
        <f>Q139/Q12</f>
        <v>0</v>
      </c>
      <c r="S139" s="83"/>
      <c r="T139" s="68">
        <f>S139/S12</f>
        <v>0</v>
      </c>
      <c r="U139" s="83"/>
      <c r="V139" s="68">
        <f>U139/U12</f>
        <v>0</v>
      </c>
      <c r="W139" s="83"/>
      <c r="X139" s="68">
        <f>W139/W12</f>
        <v>0</v>
      </c>
      <c r="Y139" s="83"/>
      <c r="Z139" s="68">
        <f>Y139/Y12</f>
        <v>0</v>
      </c>
      <c r="AA139" s="144">
        <f t="shared" si="247"/>
        <v>0</v>
      </c>
      <c r="AB139" s="68">
        <f>AA139/AA12</f>
        <v>0</v>
      </c>
      <c r="AC139" s="128">
        <f t="shared" si="248"/>
        <v>0</v>
      </c>
      <c r="AD139" s="68">
        <f>AC139/AC12</f>
        <v>0</v>
      </c>
      <c r="AE139" s="595"/>
      <c r="AF139" s="595"/>
      <c r="AG139" s="595"/>
    </row>
    <row r="140" spans="1:35" s="1" customFormat="1">
      <c r="A140" s="188">
        <v>6505</v>
      </c>
      <c r="B140" s="188" t="s">
        <v>139</v>
      </c>
      <c r="C140" s="83"/>
      <c r="D140" s="68">
        <f>C140/C12</f>
        <v>0</v>
      </c>
      <c r="E140" s="83"/>
      <c r="F140" s="68">
        <f>E140/E12</f>
        <v>0</v>
      </c>
      <c r="G140" s="83"/>
      <c r="H140" s="68">
        <f>G140/G12</f>
        <v>0</v>
      </c>
      <c r="I140" s="83"/>
      <c r="J140" s="68">
        <f>I140/I12</f>
        <v>0</v>
      </c>
      <c r="K140" s="83"/>
      <c r="L140" s="68">
        <f>K140/K12</f>
        <v>0</v>
      </c>
      <c r="M140" s="33"/>
      <c r="N140" s="68">
        <f>M140/M12</f>
        <v>0</v>
      </c>
      <c r="O140" s="83">
        <v>0</v>
      </c>
      <c r="P140" s="68">
        <f>O140/O12</f>
        <v>0</v>
      </c>
      <c r="Q140" s="33"/>
      <c r="R140" s="68">
        <f>Q140/Q12</f>
        <v>0</v>
      </c>
      <c r="S140" s="83"/>
      <c r="T140" s="68">
        <f>S140/S12</f>
        <v>0</v>
      </c>
      <c r="U140" s="83"/>
      <c r="V140" s="68">
        <f>U140/U12</f>
        <v>0</v>
      </c>
      <c r="W140" s="83"/>
      <c r="X140" s="68">
        <f>W140/W12</f>
        <v>0</v>
      </c>
      <c r="Y140" s="83"/>
      <c r="Z140" s="68">
        <f>Y140/Y12</f>
        <v>0</v>
      </c>
      <c r="AA140" s="144">
        <f t="shared" si="247"/>
        <v>0</v>
      </c>
      <c r="AB140" s="68">
        <f>AA140/AA12</f>
        <v>0</v>
      </c>
      <c r="AC140" s="128">
        <f t="shared" si="248"/>
        <v>0</v>
      </c>
      <c r="AD140" s="68">
        <f>AC140/AC12</f>
        <v>0</v>
      </c>
      <c r="AE140" s="595"/>
      <c r="AF140" s="595"/>
      <c r="AG140" s="595"/>
    </row>
    <row r="141" spans="1:35" s="1" customFormat="1">
      <c r="A141" s="188">
        <v>6506</v>
      </c>
      <c r="B141" s="188" t="s">
        <v>229</v>
      </c>
      <c r="C141" s="33">
        <v>0</v>
      </c>
      <c r="D141" s="106">
        <f>C141/C12</f>
        <v>0</v>
      </c>
      <c r="E141" s="33">
        <v>0</v>
      </c>
      <c r="F141" s="106">
        <f>E141/E12</f>
        <v>0</v>
      </c>
      <c r="G141" s="33">
        <v>0</v>
      </c>
      <c r="H141" s="106">
        <f>G141/G12</f>
        <v>0</v>
      </c>
      <c r="I141" s="33"/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>
        <v>0</v>
      </c>
      <c r="T141" s="106">
        <f>S141/S12</f>
        <v>0</v>
      </c>
      <c r="U141" s="33">
        <v>0</v>
      </c>
      <c r="V141" s="106">
        <f>U141/U12</f>
        <v>0</v>
      </c>
      <c r="W141" s="33">
        <v>0</v>
      </c>
      <c r="X141" s="106">
        <f>W141/W12</f>
        <v>0</v>
      </c>
      <c r="Y141" s="33">
        <v>0</v>
      </c>
      <c r="Z141" s="106">
        <f>Y141/Y12</f>
        <v>0</v>
      </c>
      <c r="AA141" s="144">
        <f t="shared" si="247"/>
        <v>0</v>
      </c>
      <c r="AB141" s="106">
        <f>AA141/AA12</f>
        <v>0</v>
      </c>
      <c r="AC141" s="144">
        <f t="shared" si="247"/>
        <v>0</v>
      </c>
      <c r="AD141" s="106">
        <f>AC141/AC12</f>
        <v>0</v>
      </c>
      <c r="AE141" s="602"/>
      <c r="AF141" s="602"/>
      <c r="AG141" s="602"/>
    </row>
    <row r="142" spans="1:35" s="1" customFormat="1">
      <c r="A142" s="188">
        <v>6604</v>
      </c>
      <c r="B142" s="188" t="s">
        <v>145</v>
      </c>
      <c r="C142" s="26">
        <v>90271</v>
      </c>
      <c r="D142" s="106">
        <f>C142/C12</f>
        <v>5.9078281121329138E-2</v>
      </c>
      <c r="E142" s="26">
        <v>90271</v>
      </c>
      <c r="F142" s="106">
        <f>E142/E12</f>
        <v>7.5935951113485015E-2</v>
      </c>
      <c r="G142" s="26">
        <v>90271</v>
      </c>
      <c r="H142" s="106">
        <f>G142/G12</f>
        <v>4.5778259457039575E-2</v>
      </c>
      <c r="I142" s="26">
        <v>90271</v>
      </c>
      <c r="J142" s="106">
        <f>I142/I12</f>
        <v>5.1844345104544533E-2</v>
      </c>
      <c r="K142" s="26">
        <v>90271</v>
      </c>
      <c r="L142" s="106">
        <f>K142/K12</f>
        <v>5.6685150944341914E-2</v>
      </c>
      <c r="M142" s="26">
        <v>90271</v>
      </c>
      <c r="N142" s="106">
        <f>M142/M12</f>
        <v>3.9975814117293187E-2</v>
      </c>
      <c r="O142" s="26">
        <v>90271</v>
      </c>
      <c r="P142" s="106">
        <f>O142/O12</f>
        <v>6.3141920384106764E-2</v>
      </c>
      <c r="Q142" s="26">
        <v>90271</v>
      </c>
      <c r="R142" s="106">
        <f>Q142/Q12</f>
        <v>5.0849589488212027E-2</v>
      </c>
      <c r="S142" s="26">
        <v>90271</v>
      </c>
      <c r="T142" s="106">
        <f>S142/S12</f>
        <v>5.0477105009639124E-2</v>
      </c>
      <c r="U142" s="26">
        <v>90271</v>
      </c>
      <c r="V142" s="106">
        <f>U142/U12</f>
        <v>6.3636774468251125E-2</v>
      </c>
      <c r="W142" s="26">
        <v>90271</v>
      </c>
      <c r="X142" s="106">
        <f>W142/W12</f>
        <v>6.2545878691217666E-2</v>
      </c>
      <c r="Y142" s="26">
        <v>90271</v>
      </c>
      <c r="Z142" s="106">
        <f>Y142/Y12</f>
        <v>4.1402919595307314E-2</v>
      </c>
      <c r="AA142" s="144">
        <f t="shared" si="247"/>
        <v>1083252</v>
      </c>
      <c r="AB142" s="106">
        <f>AA142/AA12</f>
        <v>5.3320410630062577E-2</v>
      </c>
      <c r="AC142" s="128">
        <f t="shared" ref="AC142" si="249">AA142/12</f>
        <v>90271</v>
      </c>
      <c r="AD142" s="106">
        <f>AC142/AC12</f>
        <v>5.3320410630062577E-2</v>
      </c>
      <c r="AE142" s="602"/>
      <c r="AF142" s="602"/>
      <c r="AG142" s="602"/>
    </row>
    <row r="143" spans="1:35" s="1" customFormat="1">
      <c r="A143" s="2"/>
      <c r="B143" s="2"/>
      <c r="C143" s="114"/>
      <c r="D143" s="68">
        <f>C143/C12</f>
        <v>0</v>
      </c>
      <c r="E143" s="61"/>
      <c r="F143" s="68">
        <f>E143/E12</f>
        <v>0</v>
      </c>
      <c r="G143" s="114"/>
      <c r="H143" s="68">
        <f>G143/G12</f>
        <v>0</v>
      </c>
      <c r="I143" s="61"/>
      <c r="J143" s="68">
        <f>I143/I12</f>
        <v>0</v>
      </c>
      <c r="K143" s="61"/>
      <c r="L143" s="68">
        <f>K143/K12</f>
        <v>0</v>
      </c>
      <c r="M143" s="26"/>
      <c r="N143" s="68">
        <f>M143/M12</f>
        <v>0</v>
      </c>
      <c r="O143" s="61"/>
      <c r="P143" s="68">
        <f>O143/O12</f>
        <v>0</v>
      </c>
      <c r="Q143" s="26"/>
      <c r="R143" s="68">
        <f>Q143/Q12</f>
        <v>0</v>
      </c>
      <c r="S143" s="61"/>
      <c r="T143" s="68">
        <f>S143/S12</f>
        <v>0</v>
      </c>
      <c r="U143" s="61"/>
      <c r="V143" s="68">
        <f>U143/U12</f>
        <v>0</v>
      </c>
      <c r="W143" s="51"/>
      <c r="X143" s="68">
        <f>W143/W12</f>
        <v>0</v>
      </c>
      <c r="Y143" s="61"/>
      <c r="Z143" s="68">
        <f>Y143/Y12</f>
        <v>0</v>
      </c>
      <c r="AA143" s="144">
        <f t="shared" si="247"/>
        <v>0</v>
      </c>
      <c r="AB143" s="68">
        <f>AA143/AA12</f>
        <v>0</v>
      </c>
      <c r="AC143" s="128">
        <f t="shared" si="248"/>
        <v>0</v>
      </c>
      <c r="AD143" s="68">
        <f>AC143/AC12</f>
        <v>0</v>
      </c>
      <c r="AE143" s="595"/>
      <c r="AF143" s="595"/>
      <c r="AG143" s="595"/>
    </row>
    <row r="144" spans="1:35" s="1" customFormat="1" ht="15" customHeight="1">
      <c r="A144" s="63">
        <v>6798</v>
      </c>
      <c r="B144" s="63" t="s">
        <v>205</v>
      </c>
      <c r="C144" s="79">
        <f>SUM(C136:C143)</f>
        <v>96505.49</v>
      </c>
      <c r="D144" s="87">
        <f>C144/C12</f>
        <v>6.3158472465926138E-2</v>
      </c>
      <c r="E144" s="79">
        <f>SUM(E136:E143)</f>
        <v>96505.49</v>
      </c>
      <c r="F144" s="87">
        <f>E144/E12</f>
        <v>8.1180403128611814E-2</v>
      </c>
      <c r="G144" s="79">
        <f>SUM(G136:G143)</f>
        <v>96505.49</v>
      </c>
      <c r="H144" s="87">
        <f>G144/G12</f>
        <v>4.8939896093415806E-2</v>
      </c>
      <c r="I144" s="79">
        <f>SUM(I136:I143)</f>
        <v>96505.49</v>
      </c>
      <c r="J144" s="87">
        <f>I144/I12</f>
        <v>5.5424930797744257E-2</v>
      </c>
      <c r="K144" s="79">
        <f>SUM(K136:K143)</f>
        <v>96505.49</v>
      </c>
      <c r="L144" s="87">
        <f>K144/K12</f>
        <v>6.0600062784367956E-2</v>
      </c>
      <c r="M144" s="378">
        <f>SUM(M136:M143)</f>
        <v>96505.49</v>
      </c>
      <c r="N144" s="87">
        <f>M144/M12</f>
        <v>4.2736709790943898E-2</v>
      </c>
      <c r="O144" s="79">
        <f>SUM(O136:O143)</f>
        <v>96505.49</v>
      </c>
      <c r="P144" s="87">
        <f>O144/O12</f>
        <v>6.7502763525486717E-2</v>
      </c>
      <c r="Q144" s="79">
        <f>SUM(Q136:Q143)</f>
        <v>96505.49</v>
      </c>
      <c r="R144" s="87">
        <f>Q144/Q12</f>
        <v>5.4361473229040898E-2</v>
      </c>
      <c r="S144" s="79">
        <f>SUM(S136:S143)</f>
        <v>96505.49</v>
      </c>
      <c r="T144" s="87">
        <f t="shared" ref="T144" si="250">S144/S$12</f>
        <v>5.3963263426091201E-2</v>
      </c>
      <c r="U144" s="79">
        <f>SUM(U136:U143)</f>
        <v>96505.49</v>
      </c>
      <c r="V144" s="87">
        <f>U144/U12</f>
        <v>6.8031794286958866E-2</v>
      </c>
      <c r="W144" s="79">
        <f>SUM(W136:W143)</f>
        <v>96505.49</v>
      </c>
      <c r="X144" s="87">
        <f>W144/W12</f>
        <v>6.6865556718952043E-2</v>
      </c>
      <c r="Y144" s="79">
        <f>SUM(Y136:Y143)</f>
        <v>96505.49</v>
      </c>
      <c r="Z144" s="87">
        <f t="shared" ref="Z144" si="251">Y144/Y$12</f>
        <v>4.4262377097580997E-2</v>
      </c>
      <c r="AA144" s="152">
        <f>SUM(AA136:AA143)</f>
        <v>1158065.8799999999</v>
      </c>
      <c r="AB144" s="153">
        <f t="shared" ref="AB144" si="252">AA144/AA$12</f>
        <v>5.7002939536012646E-2</v>
      </c>
      <c r="AC144" s="137">
        <f>SUM(AC136:AC143)</f>
        <v>96505.489999999991</v>
      </c>
      <c r="AD144" s="138">
        <f t="shared" ref="AD144" si="253">AC144/AC$12</f>
        <v>5.700293953601264E-2</v>
      </c>
      <c r="AE144" s="603"/>
      <c r="AF144" s="603"/>
      <c r="AG144" s="603"/>
    </row>
    <row r="145" spans="1:35" s="1" customFormat="1">
      <c r="A145" s="63">
        <v>6799</v>
      </c>
      <c r="B145" s="63" t="s">
        <v>135</v>
      </c>
      <c r="C145" s="119">
        <f>C41+C76+C93+C115+C129+C144</f>
        <v>576430.71239136322</v>
      </c>
      <c r="D145" s="87">
        <f>C145/C12</f>
        <v>0.37724779468073888</v>
      </c>
      <c r="E145" s="79">
        <f>E41+E76+E93+E115+E129+E144</f>
        <v>590979.5188311931</v>
      </c>
      <c r="F145" s="87">
        <f>E145/E12</f>
        <v>0.49713187902024319</v>
      </c>
      <c r="G145" s="119">
        <f>G41+G76+G93+G115+G129+G144</f>
        <v>582479.16488118574</v>
      </c>
      <c r="H145" s="87">
        <f>G145/G12</f>
        <v>0.29538702726513116</v>
      </c>
      <c r="I145" s="79">
        <f>I41+I76+I93+I115+I129+I144+I133</f>
        <v>592388.50534570357</v>
      </c>
      <c r="J145" s="87">
        <f>I145/I12</f>
        <v>0.34021993892953417</v>
      </c>
      <c r="K145" s="79">
        <f>K41+K76+K93+K115+K129+K144+K133</f>
        <v>601509.03164235794</v>
      </c>
      <c r="L145" s="87">
        <f>K145/K12</f>
        <v>0.37771410810816319</v>
      </c>
      <c r="M145" s="29">
        <f>M41+M76+M93+M115+M129+M144+M133</f>
        <v>577274.91621970013</v>
      </c>
      <c r="N145" s="87">
        <f>M145/M12</f>
        <v>0.25564173151260905</v>
      </c>
      <c r="O145" s="79">
        <f>O41+O76+O93+O115+O129+O144+O133</f>
        <v>568123.51389825554</v>
      </c>
      <c r="P145" s="87">
        <f>O145/O12</f>
        <v>0.3973857571413037</v>
      </c>
      <c r="Q145" s="29">
        <f>Q41+Q76+Q93+Q115+Q129+Q144+Q133</f>
        <v>631460.09651825309</v>
      </c>
      <c r="R145" s="87">
        <f>Q145/Q12</f>
        <v>0.35570101899989937</v>
      </c>
      <c r="S145" s="79">
        <f>S41+S76+S93+S115+S129+S144+S133</f>
        <v>605743.03264772065</v>
      </c>
      <c r="T145" s="87">
        <f>S145/S12</f>
        <v>0.33871514293423421</v>
      </c>
      <c r="U145" s="79">
        <f>U41+U76+U93+U115+U129+U144+U133</f>
        <v>605902.70318199007</v>
      </c>
      <c r="V145" s="87">
        <f>U145/U12</f>
        <v>0.42713267463632842</v>
      </c>
      <c r="W145" s="79">
        <f>W41+W76+W93+W115+W129+W144+W133</f>
        <v>605374.12148700422</v>
      </c>
      <c r="X145" s="87">
        <f>W145/W12</f>
        <v>0.41944429955720697</v>
      </c>
      <c r="Y145" s="79">
        <f>Y41+Y76+Y93+Y115+Y129+Y144+Y133</f>
        <v>606446.80284250504</v>
      </c>
      <c r="Z145" s="87">
        <f>Y145/Y12</f>
        <v>0.27814766887393982</v>
      </c>
      <c r="AA145" s="79">
        <f>AA41+AA76+AA93+AA115+AA129+AA144+AA133</f>
        <v>7144112.1198872328</v>
      </c>
      <c r="AB145" s="87">
        <f>AA145/AA12</f>
        <v>0.35165131642461228</v>
      </c>
      <c r="AC145" s="79">
        <f>AC41+AC76+AC93+AC115+AC129+AC144+110</f>
        <v>595452.67665726936</v>
      </c>
      <c r="AD145" s="87">
        <f>AC145/AC12</f>
        <v>0.35171629017220901</v>
      </c>
      <c r="AE145" s="599"/>
      <c r="AF145" s="599"/>
      <c r="AG145" s="599"/>
      <c r="AI145" s="686"/>
    </row>
    <row r="146" spans="1:35" s="1" customFormat="1" ht="15.75" thickBot="1">
      <c r="A146" s="11">
        <v>6999</v>
      </c>
      <c r="B146" s="11" t="s">
        <v>144</v>
      </c>
      <c r="C146" s="80">
        <f>C135-C144</f>
        <v>194801.24400470662</v>
      </c>
      <c r="D146" s="88">
        <f>C146/C12</f>
        <v>0.1274885916417752</v>
      </c>
      <c r="E146" s="80">
        <f>E135-E144</f>
        <v>92199.043516582096</v>
      </c>
      <c r="F146" s="88">
        <f>E146/E12</f>
        <v>7.7557821018768541E-2</v>
      </c>
      <c r="G146" s="80">
        <f>G135-G144</f>
        <v>407765.53364600666</v>
      </c>
      <c r="H146" s="88">
        <f>G146/G12</f>
        <v>0.20678619265196013</v>
      </c>
      <c r="I146" s="80">
        <f>I135-I144</f>
        <v>388697.75220382586</v>
      </c>
      <c r="J146" s="88">
        <f>I146/I12</f>
        <v>0.22323648133526694</v>
      </c>
      <c r="K146" s="30">
        <f>K135-K144</f>
        <v>269337.47559784615</v>
      </c>
      <c r="L146" s="88">
        <f>K146/K12</f>
        <v>0.16912890584165366</v>
      </c>
      <c r="M146" s="30">
        <f>M135-M144</f>
        <v>544093.40951199888</v>
      </c>
      <c r="N146" s="88">
        <f>M146/M12</f>
        <v>0.24094755792110367</v>
      </c>
      <c r="O146" s="30">
        <f>O135-O144</f>
        <v>224797.65503891947</v>
      </c>
      <c r="P146" s="88">
        <f>O146/O12</f>
        <v>0.1572393751814132</v>
      </c>
      <c r="Q146" s="300">
        <f>Q135-Q144</f>
        <v>406814.21668671572</v>
      </c>
      <c r="R146" s="88">
        <f>Q146/Q12</f>
        <v>0.22915815617959287</v>
      </c>
      <c r="S146" s="30">
        <f>S135-S144</f>
        <v>283892.5816604353</v>
      </c>
      <c r="T146" s="88">
        <f>S146/S12</f>
        <v>0.15874506381818462</v>
      </c>
      <c r="U146" s="59">
        <f>U135-U144</f>
        <v>235747.89513839455</v>
      </c>
      <c r="V146" s="88">
        <f>U146/U12</f>
        <v>0.16619108721834175</v>
      </c>
      <c r="W146" s="261">
        <f>W135-W144</f>
        <v>261063.44665186264</v>
      </c>
      <c r="X146" s="88">
        <f>W146/W12</f>
        <v>0.18088248346643523</v>
      </c>
      <c r="Y146" s="59">
        <f>Y135-Y144</f>
        <v>520520.97445863206</v>
      </c>
      <c r="Z146" s="88">
        <f>Y146/Y12</f>
        <v>0.23873766827864712</v>
      </c>
      <c r="AA146" s="389">
        <f>AA135-AA144</f>
        <v>3829731.2281159256</v>
      </c>
      <c r="AB146" s="88">
        <f>AA146/AA12</f>
        <v>0.18850908346895737</v>
      </c>
      <c r="AC146" s="132">
        <f>AC135-AC144</f>
        <v>319144.26900966081</v>
      </c>
      <c r="AD146" s="88">
        <f>AC146/AC12</f>
        <v>0.18850908346895756</v>
      </c>
      <c r="AE146" s="604"/>
      <c r="AF146" s="604"/>
      <c r="AG146" s="604"/>
    </row>
    <row r="147" spans="1:35" s="1" customFormat="1" ht="15.75" thickTop="1">
      <c r="C147" s="83"/>
      <c r="D147" s="19"/>
      <c r="E147" s="83"/>
      <c r="F147" s="19"/>
      <c r="G147" s="83"/>
      <c r="H147" s="19"/>
      <c r="I147" s="83"/>
      <c r="J147" s="19"/>
      <c r="K147" s="3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/>
      <c r="AD147" s="19"/>
      <c r="AE147" s="605"/>
      <c r="AF147" s="605"/>
      <c r="AG147" s="605"/>
    </row>
    <row r="148" spans="1:35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ref="AC148" si="254">AA148/12</f>
        <v>0</v>
      </c>
      <c r="AD148" s="246">
        <f>AC148/AC12</f>
        <v>0</v>
      </c>
      <c r="AE148" s="606"/>
      <c r="AF148" s="606"/>
      <c r="AG148" s="606"/>
    </row>
    <row r="149" spans="1:35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/>
      <c r="AD149" s="106"/>
      <c r="AE149" s="602"/>
      <c r="AF149" s="602"/>
      <c r="AG149" s="602"/>
    </row>
    <row r="150" spans="1:35" s="1" customFormat="1" ht="15.75" customHeight="1" thickBot="1">
      <c r="A150" s="223"/>
      <c r="B150" s="404" t="s">
        <v>232</v>
      </c>
      <c r="C150" s="685">
        <f>C146*10%</f>
        <v>19480.124400470664</v>
      </c>
      <c r="D150" s="406"/>
      <c r="E150" s="685">
        <f>E146*10%</f>
        <v>9219.9043516582096</v>
      </c>
      <c r="F150" s="407"/>
      <c r="G150" s="685">
        <f>G146*10%</f>
        <v>40776.553364600666</v>
      </c>
      <c r="H150" s="407"/>
      <c r="I150" s="685">
        <f>I146*10%</f>
        <v>38869.775220382588</v>
      </c>
      <c r="J150" s="407"/>
      <c r="K150" s="685">
        <f>K146*10%</f>
        <v>26933.747559784617</v>
      </c>
      <c r="L150" s="407"/>
      <c r="M150" s="685">
        <f>M146*10%</f>
        <v>54409.340951199891</v>
      </c>
      <c r="N150" s="407"/>
      <c r="O150" s="685">
        <f>O146*10%</f>
        <v>22479.765503891947</v>
      </c>
      <c r="P150" s="407"/>
      <c r="Q150" s="685">
        <f>Q146*10%</f>
        <v>40681.421668671574</v>
      </c>
      <c r="R150" s="407"/>
      <c r="S150" s="685">
        <f>S146*10%</f>
        <v>28389.258166043532</v>
      </c>
      <c r="T150" s="407"/>
      <c r="U150" s="685">
        <f>U146*10%</f>
        <v>23574.789513839456</v>
      </c>
      <c r="V150" s="407"/>
      <c r="W150" s="685">
        <f>W146*10%</f>
        <v>26106.344665186265</v>
      </c>
      <c r="X150" s="407"/>
      <c r="Y150" s="685">
        <f>Y146*10%</f>
        <v>52052.097445863212</v>
      </c>
      <c r="Z150" s="407"/>
      <c r="AA150" s="405">
        <f>C150+E150+G150+I150+K150+M150+O150+Q150+S150+U150+W150+Y150</f>
        <v>382973.12281159265</v>
      </c>
      <c r="AB150" s="407"/>
      <c r="AC150" s="405">
        <f t="shared" ref="AC150" si="255">AA150/12</f>
        <v>31914.426900966053</v>
      </c>
      <c r="AD150" s="407"/>
      <c r="AE150" s="649"/>
      <c r="AF150" s="363" t="s">
        <v>245</v>
      </c>
      <c r="AG150" s="363"/>
    </row>
    <row r="151" spans="1:35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/>
      <c r="AD151" s="106"/>
      <c r="AE151" s="602"/>
      <c r="AF151" s="602"/>
      <c r="AG151" s="602"/>
    </row>
    <row r="152" spans="1:35" s="1" customFormat="1" ht="19.5" customHeight="1" thickBot="1">
      <c r="A152" s="224"/>
      <c r="B152" s="232" t="s">
        <v>206</v>
      </c>
      <c r="C152" s="237">
        <f>C146-C148-C150</f>
        <v>175321.11960423595</v>
      </c>
      <c r="D152" s="246">
        <f>C152/C12</f>
        <v>0.11473973247759768</v>
      </c>
      <c r="E152" s="237">
        <f>E146-E148-E150</f>
        <v>82979.139164923894</v>
      </c>
      <c r="F152" s="246">
        <f>E152/E12</f>
        <v>6.9802038916891698E-2</v>
      </c>
      <c r="G152" s="237">
        <f>G146-G148-G150</f>
        <v>366988.98028140597</v>
      </c>
      <c r="H152" s="246">
        <f>G152/G12</f>
        <v>0.18610757338676409</v>
      </c>
      <c r="I152" s="237">
        <f>I146-I148-I150</f>
        <v>349827.97698344325</v>
      </c>
      <c r="J152" s="246">
        <f>I152/I12</f>
        <v>0.20091283320174025</v>
      </c>
      <c r="K152" s="237">
        <f>K146-K148-K150</f>
        <v>242403.72803806153</v>
      </c>
      <c r="L152" s="246">
        <f>K152/K12</f>
        <v>0.15221601525748829</v>
      </c>
      <c r="M152" s="237">
        <f>M146-M148-M150</f>
        <v>489684.068560799</v>
      </c>
      <c r="N152" s="246">
        <f>M152/M12</f>
        <v>0.2168528021289933</v>
      </c>
      <c r="O152" s="237">
        <f>O146-O148-O150</f>
        <v>202317.88953502753</v>
      </c>
      <c r="P152" s="246">
        <f>O152/O12</f>
        <v>0.14151543766327188</v>
      </c>
      <c r="Q152" s="237">
        <f>Q146-Q148-Q150</f>
        <v>366132.79501804413</v>
      </c>
      <c r="R152" s="246">
        <f>Q152/Q12</f>
        <v>0.20624234056163357</v>
      </c>
      <c r="S152" s="237">
        <f>S146-S148-S150</f>
        <v>255503.32349439178</v>
      </c>
      <c r="T152" s="246">
        <f>S152/S12</f>
        <v>0.14287055743636615</v>
      </c>
      <c r="U152" s="237">
        <f>U146-U148-U150</f>
        <v>212173.10562455509</v>
      </c>
      <c r="V152" s="246">
        <f>U152/U12</f>
        <v>0.14957197849650758</v>
      </c>
      <c r="W152" s="237">
        <f>W146-W148-W150</f>
        <v>234957.10198667637</v>
      </c>
      <c r="X152" s="246">
        <f>W152/W12</f>
        <v>0.16279423511979171</v>
      </c>
      <c r="Y152" s="237">
        <f>Y146-Y148-Y150</f>
        <v>468468.87701276888</v>
      </c>
      <c r="Z152" s="246">
        <f>Y152/Y12</f>
        <v>0.21486390145078241</v>
      </c>
      <c r="AA152" s="270">
        <f>AA146-AA148-AA150</f>
        <v>3446758.1053043329</v>
      </c>
      <c r="AB152" s="246">
        <f>AA152/AA12</f>
        <v>0.16965817512206163</v>
      </c>
      <c r="AC152" s="271">
        <f>AC146-AC148-AC150</f>
        <v>287229.84210869478</v>
      </c>
      <c r="AD152" s="246">
        <f>AC152/AC12</f>
        <v>0.16965817512206183</v>
      </c>
      <c r="AE152" s="606"/>
      <c r="AF152" s="606"/>
      <c r="AG152" s="606"/>
    </row>
    <row r="153" spans="1:35" ht="21.75" customHeight="1" thickTop="1">
      <c r="C153" s="269"/>
      <c r="G153" s="717"/>
    </row>
    <row r="154" spans="1:35" s="1" customFormat="1">
      <c r="B154" s="85" t="s">
        <v>214</v>
      </c>
      <c r="C154" s="84">
        <f>C152</f>
        <v>175321.11960423595</v>
      </c>
      <c r="D154" s="20"/>
      <c r="E154" s="84">
        <f>E152+C154</f>
        <v>258300.25876915985</v>
      </c>
      <c r="F154" s="93"/>
      <c r="G154" s="84">
        <f>G152+E154</f>
        <v>625289.23905056575</v>
      </c>
      <c r="H154" s="93"/>
      <c r="I154" s="84">
        <f>I152+G154-0.3</f>
        <v>975116.91603400896</v>
      </c>
      <c r="J154" s="93"/>
      <c r="K154" s="84">
        <f>K152+I154</f>
        <v>1217520.6440720705</v>
      </c>
      <c r="L154" s="93"/>
      <c r="M154" s="33">
        <f>M152+K154</f>
        <v>1707204.7126328694</v>
      </c>
      <c r="N154" s="93"/>
      <c r="O154" s="84">
        <f>O152+M154</f>
        <v>1909522.6021678969</v>
      </c>
      <c r="P154" s="93"/>
      <c r="Q154" s="84">
        <f>Q152+O154</f>
        <v>2275655.3971859412</v>
      </c>
      <c r="R154" s="93"/>
      <c r="S154" s="84">
        <f>S152+Q154</f>
        <v>2531158.7206803332</v>
      </c>
      <c r="T154" s="93"/>
      <c r="U154" s="84">
        <f>U152+S154</f>
        <v>2743331.8263048884</v>
      </c>
      <c r="V154" s="93"/>
      <c r="W154" s="84">
        <f>W152+U154</f>
        <v>2978288.9282915648</v>
      </c>
      <c r="X154" s="93"/>
      <c r="Y154" s="84">
        <f>Y152+W154</f>
        <v>3446757.8053043336</v>
      </c>
      <c r="Z154" s="93"/>
      <c r="AA154" s="142"/>
      <c r="AB154" s="143"/>
      <c r="AC154" s="126"/>
      <c r="AD154" s="127"/>
      <c r="AE154" s="593"/>
      <c r="AF154" s="593"/>
      <c r="AG154" s="593"/>
    </row>
    <row r="156" spans="1:35">
      <c r="C156" s="269">
        <f>C152</f>
        <v>175321.11960423595</v>
      </c>
      <c r="E156" s="269">
        <f>E152</f>
        <v>82979.139164923894</v>
      </c>
      <c r="I156" s="32">
        <f>I36*0.985</f>
        <v>748704.93639584002</v>
      </c>
      <c r="M156" s="32">
        <f>M36*0.985</f>
        <v>1119720.471442828</v>
      </c>
      <c r="O156" s="269">
        <f>O36*0.985</f>
        <v>627180.29351958877</v>
      </c>
      <c r="S156" s="269">
        <f>S152</f>
        <v>255503.32349439178</v>
      </c>
    </row>
    <row r="157" spans="1:35">
      <c r="C157" s="269">
        <f>C150</f>
        <v>19480.124400470664</v>
      </c>
      <c r="E157" s="269">
        <f>E150+E43</f>
        <v>17319.90435165821</v>
      </c>
      <c r="I157" s="32">
        <f>SUM(I145-I142+I150)*0.985</f>
        <v>532872.47135759483</v>
      </c>
      <c r="M157" s="32">
        <f>SUM(M145-M142+M150)*0.985</f>
        <v>533292.05831333646</v>
      </c>
      <c r="O157" s="269">
        <f>SUM(O145-O142+O150)*0.985</f>
        <v>492827.29521111527</v>
      </c>
      <c r="S157" s="269">
        <f>S87+S86+S85</f>
        <v>17313.904109589042</v>
      </c>
    </row>
    <row r="158" spans="1:35">
      <c r="C158" s="269">
        <f>C156+C157</f>
        <v>194801.24400470662</v>
      </c>
      <c r="E158" s="269">
        <f>E156+E157</f>
        <v>100299.04351658211</v>
      </c>
      <c r="I158" s="431">
        <f>SUM(I152+I142)*0.985</f>
        <v>433497.49232869159</v>
      </c>
      <c r="M158" s="431">
        <f>SUM(M152+M142)*0.985</f>
        <v>571255.74253238703</v>
      </c>
      <c r="O158" s="434">
        <f>SUM(O152+O142)*0.985</f>
        <v>288200.05619200214</v>
      </c>
      <c r="S158" s="269">
        <f>S156+S157</f>
        <v>272817.22760398081</v>
      </c>
    </row>
    <row r="160" spans="1:35" hidden="1">
      <c r="B160" s="213" t="s">
        <v>144</v>
      </c>
      <c r="C160" s="32">
        <f>C152</f>
        <v>175321.11960423595</v>
      </c>
      <c r="D160" s="32"/>
      <c r="E160" s="32">
        <f>E152</f>
        <v>82979.139164923894</v>
      </c>
      <c r="F160" s="32"/>
      <c r="G160" s="32">
        <f>G152</f>
        <v>366988.98028140597</v>
      </c>
      <c r="H160" s="32"/>
      <c r="I160" s="32">
        <f>I152</f>
        <v>349827.97698344325</v>
      </c>
      <c r="J160" s="32"/>
      <c r="K160" s="32">
        <f>K152</f>
        <v>242403.72803806153</v>
      </c>
      <c r="L160" s="32"/>
      <c r="M160" s="32">
        <f>M152</f>
        <v>489684.068560799</v>
      </c>
      <c r="N160" s="32"/>
      <c r="O160" s="32">
        <f>O152</f>
        <v>202317.88953502753</v>
      </c>
      <c r="P160" s="32"/>
      <c r="Q160" s="32">
        <f>Q152</f>
        <v>366132.79501804413</v>
      </c>
      <c r="R160" s="32"/>
      <c r="S160" s="32">
        <f>S152</f>
        <v>255503.32349439178</v>
      </c>
      <c r="T160" s="32"/>
      <c r="U160" s="32">
        <f>U152</f>
        <v>212173.10562455509</v>
      </c>
      <c r="V160" s="32"/>
      <c r="W160" s="32">
        <f>W152</f>
        <v>234957.10198667637</v>
      </c>
      <c r="X160" s="32"/>
      <c r="Y160" s="32">
        <f>Y152</f>
        <v>468468.87701276888</v>
      </c>
      <c r="Z160" s="32"/>
      <c r="AA160" s="32">
        <f>AA152</f>
        <v>3446758.1053043329</v>
      </c>
      <c r="AB160" s="32"/>
      <c r="AC160" s="32">
        <f>AC152</f>
        <v>287229.84210869478</v>
      </c>
      <c r="AD160" s="32"/>
      <c r="AE160" s="609"/>
      <c r="AF160" s="609"/>
      <c r="AG160" s="609"/>
    </row>
    <row r="161" spans="2:33" hidden="1">
      <c r="C161" s="32"/>
      <c r="D161" s="226"/>
      <c r="E161" s="32"/>
      <c r="G161" s="32"/>
      <c r="I161" s="32"/>
      <c r="K161" s="32"/>
      <c r="O161" s="32"/>
      <c r="S161" s="32"/>
      <c r="U161" s="32"/>
      <c r="W161" s="32"/>
      <c r="Y161" s="32"/>
      <c r="AB161" s="218"/>
      <c r="AD161" s="218"/>
      <c r="AE161" s="595"/>
      <c r="AF161" s="595"/>
      <c r="AG161" s="595"/>
    </row>
    <row r="162" spans="2:33" hidden="1">
      <c r="B162" s="213" t="s">
        <v>237</v>
      </c>
      <c r="C162" s="32">
        <f>C150</f>
        <v>19480.124400470664</v>
      </c>
      <c r="D162" s="226"/>
      <c r="E162" s="32">
        <f>E150</f>
        <v>9219.9043516582096</v>
      </c>
      <c r="G162" s="32">
        <f>G150</f>
        <v>40776.553364600666</v>
      </c>
      <c r="I162" s="32">
        <f>I150</f>
        <v>38869.775220382588</v>
      </c>
      <c r="K162" s="32">
        <f>K150</f>
        <v>26933.747559784617</v>
      </c>
      <c r="M162" s="32">
        <f>M150</f>
        <v>54409.340951199891</v>
      </c>
      <c r="O162" s="32">
        <f>O150</f>
        <v>22479.765503891947</v>
      </c>
      <c r="Q162" s="32">
        <f>Q150</f>
        <v>40681.421668671574</v>
      </c>
      <c r="S162" s="32">
        <f>S150</f>
        <v>28389.258166043532</v>
      </c>
      <c r="U162" s="32">
        <f>U150</f>
        <v>23574.789513839456</v>
      </c>
      <c r="W162" s="32">
        <f>W150</f>
        <v>26106.344665186265</v>
      </c>
      <c r="Y162" s="32">
        <f>Y150</f>
        <v>52052.097445863212</v>
      </c>
      <c r="AA162" s="32">
        <f>AA150</f>
        <v>382973.12281159265</v>
      </c>
      <c r="AB162" s="218"/>
      <c r="AC162" s="32">
        <f>AC150</f>
        <v>31914.426900966053</v>
      </c>
      <c r="AD162" s="218"/>
      <c r="AE162" s="595"/>
      <c r="AF162" s="595"/>
      <c r="AG162" s="595"/>
    </row>
    <row r="163" spans="2:33" hidden="1">
      <c r="C163" s="32"/>
      <c r="D163" s="226"/>
      <c r="E163" s="32"/>
      <c r="G163" s="32"/>
      <c r="I163" s="32"/>
      <c r="K163" s="32"/>
      <c r="O163" s="32"/>
      <c r="S163" s="32"/>
      <c r="U163" s="32"/>
      <c r="W163" s="32"/>
      <c r="Y163" s="32"/>
      <c r="AB163" s="218"/>
      <c r="AD163" s="218"/>
      <c r="AE163" s="595"/>
      <c r="AF163" s="595"/>
      <c r="AG163" s="595"/>
    </row>
    <row r="164" spans="2:33" hidden="1">
      <c r="B164" s="213" t="s">
        <v>241</v>
      </c>
      <c r="C164" s="32">
        <f>C142</f>
        <v>90271</v>
      </c>
      <c r="D164" s="32"/>
      <c r="E164" s="32">
        <f>E142</f>
        <v>90271</v>
      </c>
      <c r="F164" s="32"/>
      <c r="G164" s="32">
        <f>G142</f>
        <v>90271</v>
      </c>
      <c r="H164" s="32"/>
      <c r="I164" s="32">
        <f>I142</f>
        <v>90271</v>
      </c>
      <c r="J164" s="32"/>
      <c r="K164" s="32">
        <f>K142</f>
        <v>90271</v>
      </c>
      <c r="L164" s="32"/>
      <c r="M164" s="32">
        <f>M142</f>
        <v>90271</v>
      </c>
      <c r="N164" s="32"/>
      <c r="O164" s="32">
        <f>O142</f>
        <v>90271</v>
      </c>
      <c r="P164" s="32"/>
      <c r="Q164" s="32">
        <f>Q142</f>
        <v>90271</v>
      </c>
      <c r="R164" s="32"/>
      <c r="S164" s="32">
        <f>S142</f>
        <v>90271</v>
      </c>
      <c r="T164" s="32"/>
      <c r="U164" s="32">
        <f>U142</f>
        <v>90271</v>
      </c>
      <c r="V164" s="32"/>
      <c r="W164" s="32">
        <f>W142</f>
        <v>90271</v>
      </c>
      <c r="X164" s="32"/>
      <c r="Y164" s="32">
        <f>Y142</f>
        <v>90271</v>
      </c>
      <c r="Z164" s="32"/>
      <c r="AA164" s="32">
        <f>AA142</f>
        <v>1083252</v>
      </c>
      <c r="AB164" s="32"/>
      <c r="AC164" s="32">
        <f>AC142</f>
        <v>90271</v>
      </c>
      <c r="AD164" s="32"/>
      <c r="AE164" s="609"/>
      <c r="AF164" s="609"/>
      <c r="AG164" s="609"/>
    </row>
    <row r="165" spans="2:33" hidden="1">
      <c r="C165" s="32"/>
      <c r="D165" s="226"/>
      <c r="E165" s="32"/>
      <c r="G165" s="32"/>
      <c r="I165" s="32"/>
      <c r="K165" s="32"/>
      <c r="O165" s="32"/>
      <c r="S165" s="32"/>
      <c r="U165" s="32"/>
      <c r="W165" s="32"/>
      <c r="Y165" s="32"/>
      <c r="AA165" s="32"/>
      <c r="AB165" s="218"/>
      <c r="AC165" s="32"/>
      <c r="AD165" s="218"/>
      <c r="AE165" s="595"/>
      <c r="AF165" s="595"/>
      <c r="AG165" s="595"/>
    </row>
    <row r="166" spans="2:33" hidden="1">
      <c r="B166" s="213" t="s">
        <v>238</v>
      </c>
      <c r="C166" s="32">
        <f>C144-C142</f>
        <v>6234.4900000000052</v>
      </c>
      <c r="D166" s="32"/>
      <c r="E166" s="32">
        <f>E144-E142</f>
        <v>6234.4900000000052</v>
      </c>
      <c r="F166" s="32"/>
      <c r="G166" s="32">
        <f>G144-G142</f>
        <v>6234.4900000000052</v>
      </c>
      <c r="H166" s="32"/>
      <c r="I166" s="32">
        <f>I144-I142</f>
        <v>6234.4900000000052</v>
      </c>
      <c r="J166" s="32"/>
      <c r="K166" s="32">
        <f>K144-K142</f>
        <v>6234.4900000000052</v>
      </c>
      <c r="L166" s="32"/>
      <c r="M166" s="32">
        <f>M144-M142</f>
        <v>6234.4900000000052</v>
      </c>
      <c r="N166" s="32"/>
      <c r="O166" s="32">
        <f>O144-O142</f>
        <v>6234.4900000000052</v>
      </c>
      <c r="P166" s="32"/>
      <c r="Q166" s="32">
        <f>Q144-Q142</f>
        <v>6234.4900000000052</v>
      </c>
      <c r="R166" s="32"/>
      <c r="S166" s="32">
        <f>S144-S142</f>
        <v>6234.4900000000052</v>
      </c>
      <c r="T166" s="32"/>
      <c r="U166" s="32">
        <f>U144-U142</f>
        <v>6234.4900000000052</v>
      </c>
      <c r="V166" s="32"/>
      <c r="W166" s="32">
        <f>W144-W142</f>
        <v>6234.4900000000052</v>
      </c>
      <c r="X166" s="32"/>
      <c r="Y166" s="32">
        <f>Y144-Y142</f>
        <v>6234.4900000000052</v>
      </c>
      <c r="Z166" s="32"/>
      <c r="AA166" s="32">
        <f>AA144-AA142</f>
        <v>74813.879999999888</v>
      </c>
      <c r="AB166" s="32"/>
      <c r="AC166" s="32">
        <f>AC144-AC142</f>
        <v>6234.4899999999907</v>
      </c>
      <c r="AD166" s="32"/>
      <c r="AE166" s="609"/>
      <c r="AF166" s="609"/>
      <c r="AG166" s="609"/>
    </row>
    <row r="167" spans="2:33" hidden="1">
      <c r="C167" s="32"/>
      <c r="D167" s="226"/>
      <c r="E167" s="32"/>
      <c r="G167" s="32"/>
      <c r="I167" s="32"/>
      <c r="K167" s="32"/>
      <c r="O167" s="32"/>
      <c r="S167" s="32"/>
      <c r="U167" s="32"/>
      <c r="W167" s="32"/>
      <c r="Y167" s="32"/>
      <c r="AB167" s="218"/>
      <c r="AC167" s="32"/>
      <c r="AD167" s="218"/>
      <c r="AE167" s="595"/>
      <c r="AF167" s="595"/>
      <c r="AG167" s="595"/>
    </row>
    <row r="168" spans="2:33" hidden="1">
      <c r="C168" s="32"/>
      <c r="D168" s="226"/>
      <c r="E168" s="32"/>
      <c r="G168" s="32"/>
      <c r="I168" s="32"/>
      <c r="K168" s="32"/>
      <c r="O168" s="32"/>
      <c r="S168" s="32"/>
      <c r="U168" s="32"/>
      <c r="W168" s="32"/>
      <c r="Y168" s="32"/>
      <c r="AB168" s="218"/>
      <c r="AD168" s="218"/>
      <c r="AE168" s="595"/>
      <c r="AF168" s="595"/>
      <c r="AG168" s="595"/>
    </row>
    <row r="169" spans="2:33" hidden="1">
      <c r="B169" s="722" t="s">
        <v>239</v>
      </c>
      <c r="C169" s="723">
        <f>C162+C160+C164+C166</f>
        <v>291306.73400470661</v>
      </c>
      <c r="D169" s="724"/>
      <c r="E169" s="723">
        <f>E162+E160+E164+E166</f>
        <v>188704.5335165821</v>
      </c>
      <c r="F169" s="723"/>
      <c r="G169" s="723">
        <f>G162+G160+G164+G166</f>
        <v>504271.02364600659</v>
      </c>
      <c r="H169" s="723"/>
      <c r="I169" s="723">
        <f>I162+I160+I164+I166</f>
        <v>485203.24220382585</v>
      </c>
      <c r="J169" s="723"/>
      <c r="K169" s="723">
        <f>K162+K160+K164+K166</f>
        <v>365842.96559784614</v>
      </c>
      <c r="L169" s="723"/>
      <c r="M169" s="723">
        <f>M162+M160+M164+M166</f>
        <v>640598.89951199887</v>
      </c>
      <c r="N169" s="723"/>
      <c r="O169" s="723">
        <f>O162+O160+O164+O166</f>
        <v>321303.14503891947</v>
      </c>
      <c r="P169" s="723"/>
      <c r="Q169" s="723">
        <f>Q162+Q160+Q164+Q166</f>
        <v>503319.70668671571</v>
      </c>
      <c r="R169" s="723"/>
      <c r="S169" s="723">
        <f>S162+S160+S164+S166</f>
        <v>380398.07166043529</v>
      </c>
      <c r="T169" s="723"/>
      <c r="U169" s="723">
        <f>U162+U160+U164+U166</f>
        <v>332253.38513839454</v>
      </c>
      <c r="V169" s="723"/>
      <c r="W169" s="723">
        <f>W162+W160+W164+W166</f>
        <v>357568.93665186263</v>
      </c>
      <c r="X169" s="723"/>
      <c r="Y169" s="723">
        <f>Y162+Y160+Y164+Y166</f>
        <v>617026.46445863205</v>
      </c>
      <c r="Z169" s="723"/>
      <c r="AA169" s="723">
        <f>AA162+AA160+AA164+AA166</f>
        <v>4987797.1081159255</v>
      </c>
      <c r="AB169" s="218"/>
      <c r="AC169" s="32">
        <f>AA169/12</f>
        <v>415649.75900966045</v>
      </c>
      <c r="AD169" s="218"/>
      <c r="AE169" s="595"/>
      <c r="AF169" s="595"/>
      <c r="AG169" s="595"/>
    </row>
    <row r="170" spans="2:33" hidden="1">
      <c r="C170" s="32"/>
      <c r="D170" s="226"/>
      <c r="E170" s="32"/>
      <c r="G170" s="32"/>
      <c r="I170" s="32"/>
      <c r="K170" s="32"/>
      <c r="O170" s="32"/>
      <c r="S170" s="32"/>
      <c r="U170" s="32"/>
      <c r="W170" s="32"/>
      <c r="Y170" s="32"/>
      <c r="AB170" s="218"/>
      <c r="AD170" s="218"/>
      <c r="AE170" s="595"/>
      <c r="AF170" s="595"/>
      <c r="AG170" s="595"/>
    </row>
    <row r="171" spans="2:33" hidden="1">
      <c r="B171" s="722"/>
      <c r="C171" s="32"/>
      <c r="D171" s="226"/>
      <c r="E171" s="32"/>
      <c r="G171" s="32"/>
      <c r="I171" s="32"/>
      <c r="K171" s="32"/>
      <c r="O171" s="32"/>
      <c r="S171" s="32"/>
      <c r="U171" s="32"/>
      <c r="W171" s="32"/>
      <c r="Y171" s="32"/>
      <c r="AB171" s="218"/>
      <c r="AD171" s="218"/>
      <c r="AE171" s="595"/>
      <c r="AF171" s="595"/>
      <c r="AG171" s="595"/>
    </row>
    <row r="172" spans="2:33" hidden="1">
      <c r="B172" s="722" t="s">
        <v>240</v>
      </c>
      <c r="C172" s="32">
        <f>C169</f>
        <v>291306.73400470661</v>
      </c>
      <c r="D172" s="32"/>
      <c r="E172" s="32">
        <f>C172+E169</f>
        <v>480011.26752128871</v>
      </c>
      <c r="F172" s="32"/>
      <c r="G172" s="32">
        <f>E172+G169</f>
        <v>984282.29116729531</v>
      </c>
      <c r="H172" s="32"/>
      <c r="I172" s="32">
        <f>G172+I169</f>
        <v>1469485.5333711212</v>
      </c>
      <c r="J172" s="32"/>
      <c r="K172" s="32">
        <f>I172+K169</f>
        <v>1835328.4989689672</v>
      </c>
      <c r="L172" s="32"/>
      <c r="M172" s="32">
        <f>K172+M169</f>
        <v>2475927.3984809662</v>
      </c>
      <c r="N172" s="32"/>
      <c r="O172" s="32">
        <f>M172+O169</f>
        <v>2797230.5435198857</v>
      </c>
      <c r="P172" s="32"/>
      <c r="Q172" s="32">
        <f>O172+Q169</f>
        <v>3300550.2502066013</v>
      </c>
      <c r="R172" s="32"/>
      <c r="S172" s="32">
        <f>Q172+S169</f>
        <v>3680948.3218670366</v>
      </c>
      <c r="T172" s="32"/>
      <c r="U172" s="32">
        <f>S172+U169</f>
        <v>4013201.7070054309</v>
      </c>
      <c r="V172" s="32"/>
      <c r="W172" s="32">
        <f>U172+W169</f>
        <v>4370770.6436572932</v>
      </c>
      <c r="X172" s="32"/>
      <c r="Y172" s="32">
        <f>W172+Y169</f>
        <v>4987797.1081159255</v>
      </c>
      <c r="Z172" s="32"/>
      <c r="AA172" s="32"/>
      <c r="AB172" s="32"/>
      <c r="AC172" s="32"/>
      <c r="AD172" s="32"/>
      <c r="AE172" s="609"/>
      <c r="AF172" s="609"/>
      <c r="AG172" s="609"/>
    </row>
  </sheetData>
  <customSheetViews>
    <customSheetView guid="{E19D3675-E478-4A54-8E7A-94A199F67811}" fitToPage="1" hiddenRows="1">
      <pane xSplit="2" ySplit="4" topLeftCell="C26" activePane="bottomRight" state="frozen"/>
      <selection pane="bottomRight" activeCell="F58" activeCellId="1" sqref="C58 F58"/>
      <pageMargins left="0.7" right="0.7" top="0.75" bottom="0.75" header="0.3" footer="0.3"/>
      <printOptions gridLines="1"/>
      <pageSetup paperSize="8" scale="37" fitToHeight="2" orientation="landscape" r:id="rId1"/>
    </customSheetView>
    <customSheetView guid="{BFB0E08A-7D07-48F2-93C4-BE631A8642F6}" fitToPage="1" hiddenRows="1">
      <pane xSplit="2" ySplit="4" topLeftCell="C71" activePane="bottomRight" state="frozen"/>
      <selection pane="bottomRight" activeCell="K86" sqref="K86"/>
      <pageMargins left="0.7" right="0.7" top="0.75" bottom="0.75" header="0.3" footer="0.3"/>
      <printOptions gridLines="1"/>
      <pageSetup paperSize="8" scale="37" fitToHeight="2" orientation="landscape" r:id="rId2"/>
    </customSheetView>
    <customSheetView guid="{D65E0E17-9A53-4B36-ADDE-FDFBD878E6A1}" fitToPage="1" hiddenRows="1">
      <pane xSplit="2" ySplit="4" topLeftCell="C110" activePane="bottomRight" state="frozen"/>
      <selection pane="bottomRight" activeCell="I167" sqref="I167"/>
      <pageMargins left="0.7" right="0.7" top="0.75" bottom="0.75" header="0.3" footer="0.3"/>
      <printOptions gridLines="1"/>
      <pageSetup paperSize="8" scale="37" fitToHeight="2" orientation="landscape" r:id="rId3"/>
    </customSheetView>
    <customSheetView guid="{F3E5B7E7-D3C6-4CDC-BAA7-D62F15A870E4}" fitToPage="1" hiddenRows="1">
      <pane xSplit="2" ySplit="4" topLeftCell="C107" activePane="bottomRight" state="frozen"/>
      <selection pane="bottomRight" activeCell="C25" sqref="C25"/>
      <pageMargins left="0.7" right="0.7" top="0.75" bottom="0.75" header="0.3" footer="0.3"/>
      <printOptions gridLines="1"/>
      <pageSetup paperSize="8" scale="37" fitToHeight="2" orientation="landscape" r:id="rId4"/>
    </customSheetView>
    <customSheetView guid="{879F34B1-DA85-44D2-99EE-74A633FB2C72}" fitToPage="1" hiddenRows="1">
      <pane xSplit="2" ySplit="4" topLeftCell="AO5" activePane="bottomRight" state="frozen"/>
      <selection pane="bottomRight" activeCell="AU1" sqref="AU1"/>
      <pageMargins left="0.7" right="0.7" top="0.75" bottom="0.75" header="0.3" footer="0.3"/>
      <printOptions gridLines="1"/>
      <pageSetup paperSize="8" scale="37" fitToHeight="2" orientation="landscape" r:id="rId5"/>
    </customSheetView>
    <customSheetView guid="{02AA01BD-C75B-4B6E-A8E6-EEB6E90D29E4}" fitToPage="1" hiddenRows="1">
      <pane xSplit="2" ySplit="4" topLeftCell="AB5" activePane="bottomRight" state="frozen"/>
      <selection pane="bottomRight" activeCell="AG16" sqref="AG16"/>
      <pageMargins left="0.7" right="0.7" top="0.75" bottom="0.75" header="0.3" footer="0.3"/>
      <printOptions gridLines="1"/>
      <pageSetup paperSize="8" scale="37" fitToHeight="2" orientation="landscape" r:id="rId6"/>
    </customSheetView>
    <customSheetView guid="{209662B1-09B2-4060-A837-250CED7848ED}" fitToPage="1" hiddenRows="1">
      <pane xSplit="2" ySplit="4" topLeftCell="Z5" activePane="bottomRight" state="frozen"/>
      <selection pane="bottomRight" activeCell="AF16" sqref="AF16"/>
      <pageMargins left="0.7" right="0.7" top="0.75" bottom="0.75" header="0.3" footer="0.3"/>
      <printOptions gridLines="1"/>
      <pageSetup paperSize="8" scale="37" fitToHeight="2" orientation="landscape" r:id="rId7"/>
    </customSheetView>
    <customSheetView guid="{B2BB7590-1CD2-4457-858D-F8835B99F338}" fitToPage="1" hiddenRows="1">
      <pane xSplit="2" ySplit="4" topLeftCell="C5" activePane="bottomRight" state="frozen"/>
      <selection pane="bottomRight" activeCell="C18" sqref="C18"/>
      <pageMargins left="0.7" right="0.7" top="0.75" bottom="0.75" header="0.3" footer="0.3"/>
      <printOptions gridLines="1"/>
      <pageSetup paperSize="8" scale="37" fitToHeight="2" orientation="landscape" r:id="rId8"/>
    </customSheetView>
    <customSheetView guid="{C4C974E7-2FCF-4C3A-A063-03001047949F}" topLeftCell="A109">
      <selection activeCell="C122" sqref="C122:AR122"/>
      <pageMargins left="0.7" right="0.7" top="0.75" bottom="0.75" header="0.3" footer="0.3"/>
    </customSheetView>
    <customSheetView guid="{A8167CC1-C909-4D11-B8D5-4313083C8125}" hiddenRows="1" hiddenColumns="1">
      <pane xSplit="2" ySplit="4" topLeftCell="C116" activePane="bottomRight" state="frozen"/>
      <selection pane="bottomRight" activeCell="I130" sqref="I130"/>
      <pageMargins left="0.49" right="0.41" top="0.4" bottom="0.23" header="0.3" footer="0.21"/>
      <printOptions gridLines="1"/>
      <pageSetup paperSize="8" scale="41" fitToHeight="2" orientation="landscape" r:id="rId9"/>
    </customSheetView>
    <customSheetView guid="{AA4262F8-9AB3-4147-94E2-8DEF81F7E83C}" fitToPage="1" hiddenRows="1">
      <pane xSplit="2" ySplit="4" topLeftCell="F113" activePane="bottomRight" state="frozen"/>
      <selection pane="bottomRight" activeCell="I167" sqref="I167"/>
      <pageMargins left="0.7" right="0.7" top="0.75" bottom="0.75" header="0.3" footer="0.3"/>
      <printOptions gridLines="1"/>
      <pageSetup paperSize="8" scale="37" fitToHeight="2" orientation="landscape" r:id="rId10"/>
    </customSheetView>
  </customSheetViews>
  <mergeCells count="13">
    <mergeCell ref="Y2:Z2"/>
    <mergeCell ref="AA2:AB2"/>
    <mergeCell ref="AC2:AD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6:W147 Q146:Q147">
    <cfRule type="cellIs" dxfId="9" priority="7" operator="lessThan">
      <formula>0</formula>
    </cfRule>
  </conditionalFormatting>
  <printOptions gridLines="1"/>
  <pageMargins left="0.7" right="0.7" top="0.75" bottom="0.75" header="0.3" footer="0.3"/>
  <pageSetup paperSize="8" scale="36" fitToHeight="2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Y175"/>
  <sheetViews>
    <sheetView zoomScale="85" zoomScaleNormal="85" zoomScaleSheetLayoutView="100" workbookViewId="0">
      <pane xSplit="2" ySplit="3" topLeftCell="C120" activePane="bottomRight" state="frozen"/>
      <selection pane="topRight" activeCell="C1" sqref="C1"/>
      <selection pane="bottomLeft" activeCell="A4" sqref="A4"/>
      <selection pane="bottomRight" activeCell="C142" sqref="C142"/>
    </sheetView>
  </sheetViews>
  <sheetFormatPr defaultColWidth="9.140625" defaultRowHeight="15"/>
  <cols>
    <col min="1" max="1" width="6.42578125" style="213" bestFit="1" customWidth="1"/>
    <col min="2" max="2" width="37.140625" style="213" bestFit="1" customWidth="1"/>
    <col min="3" max="3" width="13.42578125" style="32" bestFit="1" customWidth="1"/>
    <col min="4" max="4" width="7.85546875" style="218" bestFit="1" customWidth="1"/>
    <col min="5" max="5" width="18.140625" style="269" bestFit="1" customWidth="1"/>
    <col min="6" max="6" width="7.85546875" style="218" bestFit="1" customWidth="1"/>
    <col min="7" max="7" width="13.28515625" style="269" bestFit="1" customWidth="1"/>
    <col min="8" max="8" width="7.85546875" style="218" customWidth="1"/>
    <col min="9" max="9" width="13.28515625" style="32" bestFit="1" customWidth="1"/>
    <col min="10" max="10" width="7.85546875" style="218" bestFit="1" customWidth="1"/>
    <col min="11" max="11" width="17" style="269" bestFit="1" customWidth="1"/>
    <col min="12" max="12" width="7.85546875" style="218" bestFit="1" customWidth="1"/>
    <col min="13" max="13" width="13.28515625" style="32" bestFit="1" customWidth="1"/>
    <col min="14" max="14" width="7.85546875" style="218" bestFit="1" customWidth="1"/>
    <col min="15" max="15" width="18.140625" style="32" bestFit="1" customWidth="1"/>
    <col min="16" max="16" width="7.85546875" style="218" bestFit="1" customWidth="1"/>
    <col min="17" max="17" width="14" style="32" customWidth="1"/>
    <col min="18" max="18" width="7.85546875" style="218" bestFit="1" customWidth="1"/>
    <col min="19" max="19" width="18.140625" style="32" bestFit="1" customWidth="1"/>
    <col min="20" max="20" width="8.140625" style="218" bestFit="1" customWidth="1"/>
    <col min="21" max="21" width="13.28515625" style="269" bestFit="1" customWidth="1"/>
    <col min="22" max="22" width="7.85546875" style="218" bestFit="1" customWidth="1"/>
    <col min="23" max="23" width="13.28515625" style="213" bestFit="1" customWidth="1"/>
    <col min="24" max="24" width="7.5703125" style="218" customWidth="1"/>
    <col min="25" max="25" width="13.28515625" style="269" bestFit="1" customWidth="1"/>
    <col min="26" max="26" width="9.85546875" style="218" bestFit="1" customWidth="1"/>
    <col min="27" max="27" width="14" style="213" bestFit="1" customWidth="1"/>
    <col min="28" max="28" width="9.7109375" style="363" customWidth="1"/>
    <col min="29" max="29" width="11.28515625" style="213" customWidth="1"/>
    <col min="30" max="30" width="7.5703125" style="363" customWidth="1"/>
    <col min="31" max="31" width="21" style="607" customWidth="1"/>
    <col min="32" max="32" width="42.85546875" style="607" customWidth="1"/>
    <col min="33" max="33" width="7.5703125" style="633" customWidth="1"/>
    <col min="34" max="50" width="9.140625" style="213" customWidth="1"/>
    <col min="51" max="51" width="12.7109375" style="213" bestFit="1" customWidth="1"/>
    <col min="52" max="52" width="9.140625" style="213" customWidth="1"/>
    <col min="53" max="16384" width="9.140625" style="213"/>
  </cols>
  <sheetData>
    <row r="1" spans="1:33" s="1" customFormat="1">
      <c r="A1" s="995" t="s">
        <v>365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591"/>
      <c r="AF1" s="591"/>
      <c r="AG1" s="591"/>
    </row>
    <row r="2" spans="1:33" s="1" customFormat="1">
      <c r="A2" s="43"/>
      <c r="B2" s="988" t="s">
        <v>353</v>
      </c>
      <c r="C2" s="290" t="s">
        <v>64</v>
      </c>
      <c r="D2" s="108"/>
      <c r="E2" s="1001" t="s">
        <v>65</v>
      </c>
      <c r="F2" s="1002"/>
      <c r="G2" s="353" t="s">
        <v>81</v>
      </c>
      <c r="H2" s="108"/>
      <c r="I2" s="1001" t="s">
        <v>82</v>
      </c>
      <c r="J2" s="1002"/>
      <c r="K2" s="1001" t="s">
        <v>83</v>
      </c>
      <c r="L2" s="1003"/>
      <c r="M2" s="1001" t="s">
        <v>84</v>
      </c>
      <c r="N2" s="1002"/>
      <c r="O2" s="1001" t="s">
        <v>85</v>
      </c>
      <c r="P2" s="1003"/>
      <c r="Q2" s="1001" t="s">
        <v>86</v>
      </c>
      <c r="R2" s="1002"/>
      <c r="S2" s="1005" t="s">
        <v>87</v>
      </c>
      <c r="T2" s="1005"/>
      <c r="U2" s="1001" t="s">
        <v>123</v>
      </c>
      <c r="V2" s="1003"/>
      <c r="W2" s="1001" t="s">
        <v>124</v>
      </c>
      <c r="X2" s="1002"/>
      <c r="Y2" s="1004" t="s">
        <v>125</v>
      </c>
      <c r="Z2" s="1004"/>
      <c r="AA2" s="997" t="s">
        <v>120</v>
      </c>
      <c r="AB2" s="997"/>
      <c r="AC2" s="998" t="s">
        <v>121</v>
      </c>
      <c r="AD2" s="998"/>
      <c r="AE2" s="592"/>
      <c r="AF2" s="592"/>
      <c r="AG2" s="615"/>
    </row>
    <row r="3" spans="1:33" s="1" customFormat="1" ht="15.75" thickBot="1">
      <c r="A3" s="65"/>
      <c r="B3" s="12" t="s">
        <v>69</v>
      </c>
      <c r="C3" s="291" t="s">
        <v>115</v>
      </c>
      <c r="D3" s="101" t="s">
        <v>80</v>
      </c>
      <c r="E3" s="73" t="s">
        <v>115</v>
      </c>
      <c r="F3" s="101" t="s">
        <v>80</v>
      </c>
      <c r="G3" s="111" t="s">
        <v>115</v>
      </c>
      <c r="H3" s="101" t="s">
        <v>80</v>
      </c>
      <c r="I3" s="70" t="s">
        <v>115</v>
      </c>
      <c r="J3" s="101" t="s">
        <v>80</v>
      </c>
      <c r="K3" s="73" t="s">
        <v>115</v>
      </c>
      <c r="L3" s="101" t="s">
        <v>80</v>
      </c>
      <c r="M3" s="70" t="s">
        <v>115</v>
      </c>
      <c r="N3" s="101" t="s">
        <v>80</v>
      </c>
      <c r="O3" s="70" t="s">
        <v>115</v>
      </c>
      <c r="P3" s="101" t="s">
        <v>80</v>
      </c>
      <c r="Q3" s="70" t="s">
        <v>115</v>
      </c>
      <c r="R3" s="101" t="s">
        <v>80</v>
      </c>
      <c r="S3" s="70" t="s">
        <v>115</v>
      </c>
      <c r="T3" s="101" t="s">
        <v>80</v>
      </c>
      <c r="U3" s="73" t="s">
        <v>115</v>
      </c>
      <c r="V3" s="101" t="s">
        <v>80</v>
      </c>
      <c r="W3" s="66" t="s">
        <v>115</v>
      </c>
      <c r="X3" s="101" t="s">
        <v>80</v>
      </c>
      <c r="Y3" s="73" t="s">
        <v>115</v>
      </c>
      <c r="Z3" s="101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90" t="s">
        <v>183</v>
      </c>
      <c r="AF3" s="590" t="s">
        <v>181</v>
      </c>
      <c r="AG3" s="590" t="s">
        <v>225</v>
      </c>
    </row>
    <row r="4" spans="1:33" s="1" customFormat="1">
      <c r="C4" s="704" t="s">
        <v>234</v>
      </c>
      <c r="D4" s="102"/>
      <c r="E4" s="74" t="s">
        <v>234</v>
      </c>
      <c r="F4" s="102"/>
      <c r="G4" s="112" t="s">
        <v>234</v>
      </c>
      <c r="H4" s="102"/>
      <c r="I4" s="26" t="s">
        <v>234</v>
      </c>
      <c r="J4" s="102"/>
      <c r="K4" s="74" t="s">
        <v>234</v>
      </c>
      <c r="L4" s="102"/>
      <c r="M4" s="26" t="s">
        <v>234</v>
      </c>
      <c r="N4" s="102"/>
      <c r="O4" s="26" t="s">
        <v>234</v>
      </c>
      <c r="P4" s="102"/>
      <c r="Q4" s="26" t="s">
        <v>234</v>
      </c>
      <c r="R4" s="102"/>
      <c r="S4" s="26" t="s">
        <v>234</v>
      </c>
      <c r="T4" s="102"/>
      <c r="U4" s="74" t="s">
        <v>234</v>
      </c>
      <c r="V4" s="102"/>
      <c r="W4" s="5" t="s">
        <v>234</v>
      </c>
      <c r="X4" s="102"/>
      <c r="Y4" s="74" t="s">
        <v>234</v>
      </c>
      <c r="Z4" s="102"/>
      <c r="AA4" s="142"/>
      <c r="AB4" s="143"/>
      <c r="AC4" s="126"/>
      <c r="AD4" s="127"/>
      <c r="AE4" s="593"/>
      <c r="AF4" s="593"/>
      <c r="AG4" s="616"/>
    </row>
    <row r="5" spans="1:33" s="5" customFormat="1">
      <c r="A5" s="6">
        <v>5004</v>
      </c>
      <c r="B5" s="16" t="s">
        <v>71</v>
      </c>
      <c r="C5" s="890">
        <f>747202.611657+C9</f>
        <v>963891.36903779907</v>
      </c>
      <c r="E5" s="891">
        <f>581324.725624976+E9</f>
        <v>680149.92898122198</v>
      </c>
      <c r="G5" s="892">
        <f>964288.430134496+G9</f>
        <v>1263217.8434761898</v>
      </c>
      <c r="I5" s="893">
        <f>851461+I9</f>
        <v>1081355.5117624248</v>
      </c>
      <c r="K5" s="894">
        <f>778747.965044002+K9</f>
        <v>918922.59875192237</v>
      </c>
      <c r="M5" s="895">
        <f>1104253.83249474+M9</f>
        <v>1446572.5205681087</v>
      </c>
      <c r="O5" s="896">
        <f>699114.719311409+O9</f>
        <v>908849.13510483189</v>
      </c>
      <c r="Q5" s="897">
        <f>868118.039701217+Q9</f>
        <v>1111191.0908175576</v>
      </c>
      <c r="S5" s="898">
        <f>874524.122128014+S9</f>
        <v>1075664.6702174572</v>
      </c>
      <c r="U5" s="899">
        <f>693678.243672484+U9</f>
        <v>908718.49921095395</v>
      </c>
      <c r="W5" s="900">
        <f>705777.053098093+W9</f>
        <v>825759.15212476882</v>
      </c>
      <c r="Y5" s="901">
        <f>1066191.62072623+Y9</f>
        <v>1364725.2745295735</v>
      </c>
      <c r="Z5" s="22"/>
      <c r="AA5" s="144">
        <f t="shared" ref="AA5:AA11" si="0">C5+E5+G5+I5+K5+M5+O5+Q5+S5+U5+W5+Y5</f>
        <v>12549017.594582811</v>
      </c>
      <c r="AB5" s="185"/>
      <c r="AC5" s="128">
        <f>AA5/12</f>
        <v>1045751.4662152342</v>
      </c>
      <c r="AD5" s="185"/>
      <c r="AE5" s="594"/>
      <c r="AF5" s="594"/>
      <c r="AG5" s="617"/>
    </row>
    <row r="6" spans="1:33" s="1" customFormat="1">
      <c r="A6" s="5">
        <v>5005</v>
      </c>
      <c r="B6" s="17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si="0"/>
        <v>0</v>
      </c>
      <c r="AB6" s="102">
        <f>AA6/AA$5</f>
        <v>0</v>
      </c>
      <c r="AC6" s="128">
        <f t="shared" ref="AC6:AC10" si="1">AA6/12</f>
        <v>0</v>
      </c>
      <c r="AD6" s="102">
        <f>AC6/AC$5</f>
        <v>0</v>
      </c>
      <c r="AE6" s="595"/>
      <c r="AF6" s="595"/>
      <c r="AG6" s="618"/>
    </row>
    <row r="7" spans="1:33" s="1" customFormat="1">
      <c r="A7" s="6">
        <v>5051</v>
      </c>
      <c r="B7" s="759" t="s">
        <v>118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/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68">
        <f t="shared" ref="AB7:AB11" si="2">AA7/AA$5</f>
        <v>0</v>
      </c>
      <c r="AC7" s="128">
        <f t="shared" si="1"/>
        <v>0</v>
      </c>
      <c r="AD7" s="68">
        <f t="shared" ref="AD7:AD11" si="3">AC7/AC$5</f>
        <v>0</v>
      </c>
      <c r="AE7" s="595"/>
      <c r="AF7" s="595"/>
      <c r="AG7" s="555"/>
    </row>
    <row r="8" spans="1:33" s="1" customFormat="1">
      <c r="A8" s="1">
        <v>5052</v>
      </c>
      <c r="B8" s="1" t="s">
        <v>90</v>
      </c>
      <c r="C8" s="31"/>
      <c r="D8" s="702">
        <f t="shared" ref="D8:D11" si="4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5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6">Y8/Y$5</f>
        <v>0</v>
      </c>
      <c r="AA8" s="144">
        <f t="shared" si="0"/>
        <v>0</v>
      </c>
      <c r="AB8" s="68">
        <f t="shared" si="2"/>
        <v>0</v>
      </c>
      <c r="AC8" s="128">
        <f t="shared" si="1"/>
        <v>0</v>
      </c>
      <c r="AD8" s="68">
        <f t="shared" si="3"/>
        <v>0</v>
      </c>
      <c r="AE8" s="595"/>
      <c r="AF8" s="595"/>
      <c r="AG8" s="555"/>
    </row>
    <row r="9" spans="1:33" s="1" customFormat="1">
      <c r="A9" s="1">
        <v>5101</v>
      </c>
      <c r="B9" s="20" t="s">
        <v>46</v>
      </c>
      <c r="C9" s="371">
        <v>216688.75738079907</v>
      </c>
      <c r="D9" s="990">
        <v>0.21688532454410617</v>
      </c>
      <c r="E9" s="371">
        <v>98825.20335624594</v>
      </c>
      <c r="F9" s="990">
        <v>0.12713967300861395</v>
      </c>
      <c r="G9" s="371">
        <v>298929.41334169375</v>
      </c>
      <c r="H9" s="990">
        <v>0.23184293313335488</v>
      </c>
      <c r="I9" s="371">
        <v>229894.5117624249</v>
      </c>
      <c r="J9" s="990">
        <v>0.20192771595485751</v>
      </c>
      <c r="K9" s="371">
        <v>140174.63370792035</v>
      </c>
      <c r="L9" s="990">
        <v>0.13461847730323831</v>
      </c>
      <c r="M9" s="991">
        <v>342318.68807336886</v>
      </c>
      <c r="N9" s="990">
        <v>0.23184293313335486</v>
      </c>
      <c r="O9" s="371">
        <v>209734.41579342281</v>
      </c>
      <c r="P9" s="990">
        <v>0.22436412883873055</v>
      </c>
      <c r="Q9" s="371">
        <v>243073.05111634065</v>
      </c>
      <c r="R9" s="990">
        <v>0.20940652024948189</v>
      </c>
      <c r="S9" s="371">
        <v>201140.5480894433</v>
      </c>
      <c r="T9" s="990">
        <v>0.17201249877636013</v>
      </c>
      <c r="U9" s="371">
        <v>215040.25553847</v>
      </c>
      <c r="V9" s="990">
        <v>0.23184293313335488</v>
      </c>
      <c r="W9" s="371">
        <v>119982.0990266758</v>
      </c>
      <c r="X9" s="990">
        <v>0.12713967300861401</v>
      </c>
      <c r="Y9" s="371">
        <v>298533.65380334336</v>
      </c>
      <c r="Z9" s="990">
        <f t="shared" si="6"/>
        <v>0.21874999999999939</v>
      </c>
      <c r="AA9" s="144">
        <f t="shared" si="0"/>
        <v>2614335.2309901486</v>
      </c>
      <c r="AB9" s="677">
        <f t="shared" si="2"/>
        <v>0.20832987214223933</v>
      </c>
      <c r="AC9" s="128">
        <f t="shared" si="1"/>
        <v>217861.26924917905</v>
      </c>
      <c r="AD9" s="68">
        <f t="shared" si="3"/>
        <v>0.20832987214223933</v>
      </c>
      <c r="AE9" s="595"/>
      <c r="AF9" s="595"/>
      <c r="AG9" s="555"/>
    </row>
    <row r="10" spans="1:33" s="1" customFormat="1">
      <c r="A10" s="1">
        <v>5102</v>
      </c>
      <c r="B10" s="1" t="s">
        <v>220</v>
      </c>
      <c r="C10" s="31"/>
      <c r="D10" s="702">
        <f t="shared" si="4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5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6"/>
        <v>0</v>
      </c>
      <c r="AA10" s="144">
        <f t="shared" si="0"/>
        <v>0</v>
      </c>
      <c r="AB10" s="68">
        <f t="shared" si="2"/>
        <v>0</v>
      </c>
      <c r="AC10" s="128">
        <f t="shared" si="1"/>
        <v>0</v>
      </c>
      <c r="AD10" s="68">
        <f t="shared" si="3"/>
        <v>0</v>
      </c>
      <c r="AE10" s="595"/>
      <c r="AF10" s="595"/>
      <c r="AG10" s="555"/>
    </row>
    <row r="11" spans="1:33" s="1" customFormat="1">
      <c r="A11" s="1">
        <v>5103</v>
      </c>
      <c r="B11" s="1" t="s">
        <v>63</v>
      </c>
      <c r="C11" s="26"/>
      <c r="D11" s="702">
        <f t="shared" si="4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5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6"/>
        <v>0</v>
      </c>
      <c r="AA11" s="144">
        <f t="shared" si="0"/>
        <v>0</v>
      </c>
      <c r="AB11" s="68">
        <f t="shared" si="2"/>
        <v>0</v>
      </c>
      <c r="AC11" s="128">
        <f t="shared" ref="AC11" si="16">AA11/12</f>
        <v>0</v>
      </c>
      <c r="AD11" s="68">
        <f t="shared" si="3"/>
        <v>0</v>
      </c>
      <c r="AE11" s="595"/>
      <c r="AF11" s="595"/>
      <c r="AG11" s="555"/>
    </row>
    <row r="12" spans="1:33" s="1" customFormat="1" ht="15.75" thickBot="1">
      <c r="A12" s="7">
        <v>5149</v>
      </c>
      <c r="B12" s="242" t="s">
        <v>66</v>
      </c>
      <c r="C12" s="76">
        <f>C5+C6-C7-C8-C9-C10+C11</f>
        <v>747202.61165700003</v>
      </c>
      <c r="D12" s="156">
        <v>1</v>
      </c>
      <c r="E12" s="76">
        <f>E5+E6-E7-E8-E9-E10+E11</f>
        <v>581324.72562497598</v>
      </c>
      <c r="F12" s="156">
        <v>1</v>
      </c>
      <c r="G12" s="76">
        <f>G5+G6-G7-G8-G9-G10+G11</f>
        <v>964288.43013449595</v>
      </c>
      <c r="H12" s="156">
        <v>1</v>
      </c>
      <c r="I12" s="76">
        <f>I5+I6-I7-I8-I9-I10+I11</f>
        <v>851461</v>
      </c>
      <c r="J12" s="156">
        <v>1</v>
      </c>
      <c r="K12" s="76">
        <f>K5+K6-K7-K8-K9-K10+K11</f>
        <v>778747.96504400205</v>
      </c>
      <c r="L12" s="156">
        <v>1</v>
      </c>
      <c r="M12" s="28">
        <f>M5+M6-M7-M8-M9-M10+M11</f>
        <v>1104253.8324947399</v>
      </c>
      <c r="N12" s="156">
        <v>1</v>
      </c>
      <c r="O12" s="76">
        <f>O5+O6-O7-O8-O9-O10+O11</f>
        <v>699114.71931140905</v>
      </c>
      <c r="P12" s="156">
        <v>1</v>
      </c>
      <c r="Q12" s="76">
        <f>Q5+Q6-Q7-Q8-Q9-Q10+Q11</f>
        <v>868118.03970121697</v>
      </c>
      <c r="R12" s="156">
        <v>1</v>
      </c>
      <c r="S12" s="76">
        <f>S5+S6-S7-S8-S9-S10+S11</f>
        <v>874524.12212801399</v>
      </c>
      <c r="T12" s="156">
        <v>1</v>
      </c>
      <c r="U12" s="76">
        <f>U5+U6-U7-U8-U9-U10+U11</f>
        <v>693678.24367248395</v>
      </c>
      <c r="V12" s="156">
        <v>1</v>
      </c>
      <c r="W12" s="76">
        <f>W5+W6-W7-W8-W9-W10+W11</f>
        <v>705777.05309809302</v>
      </c>
      <c r="X12" s="156">
        <v>1</v>
      </c>
      <c r="Y12" s="76">
        <f>Y5+Y6-Y7-Y8-Y9-Y10+Y11</f>
        <v>1066191.6207262301</v>
      </c>
      <c r="Z12" s="156">
        <v>1</v>
      </c>
      <c r="AA12" s="158">
        <f>AA5+AA6-AA7-AA8-AA9-AA10+AA11</f>
        <v>9934682.3635926619</v>
      </c>
      <c r="AB12" s="156">
        <v>1</v>
      </c>
      <c r="AC12" s="186">
        <f>AC5+AC6-AC7-AC8-AC9-AC10+AC11</f>
        <v>827890.1969660552</v>
      </c>
      <c r="AD12" s="156">
        <v>1</v>
      </c>
      <c r="AE12" s="635"/>
      <c r="AF12" s="635"/>
      <c r="AG12" s="619"/>
    </row>
    <row r="13" spans="1:33" s="1" customFormat="1" ht="15.75" thickTop="1">
      <c r="A13" s="1">
        <v>5151</v>
      </c>
      <c r="B13" s="20" t="s">
        <v>47</v>
      </c>
      <c r="C13" s="292"/>
      <c r="D13" s="102"/>
      <c r="E13" s="61"/>
      <c r="F13" s="102"/>
      <c r="G13" s="114"/>
      <c r="H13" s="102"/>
      <c r="I13" s="26"/>
      <c r="J13" s="102"/>
      <c r="K13" s="61"/>
      <c r="L13" s="102"/>
      <c r="M13" s="26"/>
      <c r="N13" s="102"/>
      <c r="O13" s="26"/>
      <c r="P13" s="102"/>
      <c r="Q13" s="26"/>
      <c r="R13" s="102"/>
      <c r="S13" s="26"/>
      <c r="T13" s="102"/>
      <c r="U13" s="61"/>
      <c r="V13" s="102"/>
      <c r="W13" s="51"/>
      <c r="X13" s="102"/>
      <c r="Y13" s="61"/>
      <c r="Z13" s="102"/>
      <c r="AA13" s="144">
        <f>C13+E13+G13+I13+K13+M13+O13+Q13+S13+U13+W13+Y13</f>
        <v>0</v>
      </c>
      <c r="AB13" s="102"/>
      <c r="AC13" s="128">
        <f t="shared" ref="AC13:AC14" si="17">AA13/12</f>
        <v>0</v>
      </c>
      <c r="AD13" s="102"/>
      <c r="AE13" s="595"/>
      <c r="AF13" s="595"/>
      <c r="AG13" s="618"/>
    </row>
    <row r="14" spans="1:33" s="1" customFormat="1">
      <c r="A14" s="1">
        <v>5152</v>
      </c>
      <c r="B14" s="20" t="s">
        <v>48</v>
      </c>
      <c r="C14" s="292"/>
      <c r="D14" s="102"/>
      <c r="E14" s="61"/>
      <c r="F14" s="102"/>
      <c r="G14" s="114"/>
      <c r="H14" s="102"/>
      <c r="I14" s="26"/>
      <c r="J14" s="102"/>
      <c r="K14" s="61"/>
      <c r="L14" s="102"/>
      <c r="M14" s="26"/>
      <c r="N14" s="102"/>
      <c r="O14" s="26"/>
      <c r="P14" s="102"/>
      <c r="Q14" s="26"/>
      <c r="R14" s="102"/>
      <c r="S14" s="26"/>
      <c r="T14" s="102"/>
      <c r="U14" s="61"/>
      <c r="V14" s="102"/>
      <c r="W14" s="51"/>
      <c r="X14" s="102"/>
      <c r="Y14" s="61"/>
      <c r="Z14" s="102"/>
      <c r="AA14" s="144">
        <f>C14+E14+G14+I14+K14+M14+O14+Q14+S14+U14+W14+Y14</f>
        <v>0</v>
      </c>
      <c r="AB14" s="102"/>
      <c r="AC14" s="128">
        <f t="shared" si="17"/>
        <v>0</v>
      </c>
      <c r="AD14" s="102"/>
      <c r="AE14" s="595"/>
      <c r="AF14" s="595"/>
      <c r="AG14" s="618"/>
    </row>
    <row r="15" spans="1:33" s="1" customFormat="1" ht="15.75" thickBot="1">
      <c r="A15" s="53">
        <v>5198</v>
      </c>
      <c r="B15" s="243" t="s">
        <v>106</v>
      </c>
      <c r="C15" s="293">
        <f>C13+C14</f>
        <v>0</v>
      </c>
      <c r="D15" s="103"/>
      <c r="E15" s="77">
        <f>E13+E14</f>
        <v>0</v>
      </c>
      <c r="F15" s="103"/>
      <c r="G15" s="117">
        <f>G13+G14</f>
        <v>0</v>
      </c>
      <c r="H15" s="103"/>
      <c r="I15" s="288">
        <f>I13+I14</f>
        <v>0</v>
      </c>
      <c r="J15" s="103"/>
      <c r="K15" s="77">
        <f>K13+K14</f>
        <v>0</v>
      </c>
      <c r="L15" s="103"/>
      <c r="M15" s="288">
        <f>M13+M14</f>
        <v>0</v>
      </c>
      <c r="N15" s="103"/>
      <c r="O15" s="288">
        <f>O13+O14</f>
        <v>0</v>
      </c>
      <c r="P15" s="103"/>
      <c r="Q15" s="288">
        <f>Q13+Q14</f>
        <v>0</v>
      </c>
      <c r="R15" s="103"/>
      <c r="S15" s="288">
        <f>S13+S14</f>
        <v>0</v>
      </c>
      <c r="T15" s="103"/>
      <c r="U15" s="77">
        <f>U13+U14</f>
        <v>0</v>
      </c>
      <c r="V15" s="103"/>
      <c r="W15" s="54">
        <f>W13+W14</f>
        <v>0</v>
      </c>
      <c r="X15" s="103"/>
      <c r="Y15" s="77">
        <f>Y13+Y14</f>
        <v>0</v>
      </c>
      <c r="Z15" s="103"/>
      <c r="AA15" s="158">
        <f>AA13+AA14</f>
        <v>0</v>
      </c>
      <c r="AB15" s="103"/>
      <c r="AC15" s="135">
        <f>AC13+AC14</f>
        <v>0</v>
      </c>
      <c r="AD15" s="103"/>
      <c r="AE15" s="597"/>
      <c r="AF15" s="597"/>
      <c r="AG15" s="620"/>
    </row>
    <row r="16" spans="1:33" s="1" customFormat="1" ht="16.5" thickTop="1" thickBot="1">
      <c r="A16" s="55">
        <v>5199</v>
      </c>
      <c r="B16" s="244" t="s">
        <v>70</v>
      </c>
      <c r="C16" s="294">
        <f>C12+C15</f>
        <v>747202.61165700003</v>
      </c>
      <c r="D16" s="57">
        <f>C16/C12</f>
        <v>1</v>
      </c>
      <c r="E16" s="78">
        <f>E12+E15</f>
        <v>581324.72562497598</v>
      </c>
      <c r="F16" s="57">
        <f>E16/E12</f>
        <v>1</v>
      </c>
      <c r="G16" s="118">
        <f>G12+G15</f>
        <v>964288.43013449595</v>
      </c>
      <c r="H16" s="57">
        <f>G16/G12</f>
        <v>1</v>
      </c>
      <c r="I16" s="289">
        <f>I12+I15</f>
        <v>851461</v>
      </c>
      <c r="J16" s="57">
        <f>I16/I12</f>
        <v>1</v>
      </c>
      <c r="K16" s="78">
        <f>K12+K15</f>
        <v>778747.96504400205</v>
      </c>
      <c r="L16" s="57">
        <f>K16/K12</f>
        <v>1</v>
      </c>
      <c r="M16" s="289">
        <f>M12+M15</f>
        <v>1104253.8324947399</v>
      </c>
      <c r="N16" s="57">
        <f>M16/M12</f>
        <v>1</v>
      </c>
      <c r="O16" s="289">
        <f>O12+O15</f>
        <v>699114.71931140905</v>
      </c>
      <c r="P16" s="57">
        <f>O16/O12</f>
        <v>1</v>
      </c>
      <c r="Q16" s="289">
        <f>Q12+Q15</f>
        <v>868118.03970121697</v>
      </c>
      <c r="R16" s="57">
        <f>Q16/Q12</f>
        <v>1</v>
      </c>
      <c r="S16" s="289">
        <f>S12+S15</f>
        <v>874524.12212801399</v>
      </c>
      <c r="T16" s="57">
        <f>S16/S12</f>
        <v>1</v>
      </c>
      <c r="U16" s="78">
        <f>U12+U15</f>
        <v>693678.24367248395</v>
      </c>
      <c r="V16" s="57">
        <f>U16/U12</f>
        <v>1</v>
      </c>
      <c r="W16" s="56">
        <f>W12+W15</f>
        <v>705777.05309809302</v>
      </c>
      <c r="X16" s="57">
        <f>W16/W12</f>
        <v>1</v>
      </c>
      <c r="Y16" s="78">
        <f>Y12+Y15</f>
        <v>1066191.6207262301</v>
      </c>
      <c r="Z16" s="57">
        <f>Y16/Y12</f>
        <v>1</v>
      </c>
      <c r="AA16" s="174">
        <f>AA12+AA15</f>
        <v>9934682.3635926619</v>
      </c>
      <c r="AB16" s="57">
        <f>AA16/AA12</f>
        <v>1</v>
      </c>
      <c r="AC16" s="135">
        <f>AC12+AC15</f>
        <v>827890.1969660552</v>
      </c>
      <c r="AD16" s="57">
        <f>AC16/AC12</f>
        <v>1</v>
      </c>
      <c r="AE16" s="598"/>
      <c r="AF16" s="598"/>
      <c r="AG16" s="621"/>
    </row>
    <row r="17" spans="1:33" s="1" customFormat="1" ht="15.75" thickTop="1">
      <c r="A17" s="13">
        <v>5502</v>
      </c>
      <c r="B17" s="17" t="s">
        <v>49</v>
      </c>
      <c r="C17" s="704">
        <f>C12*52.01%</f>
        <v>388620.0783228057</v>
      </c>
      <c r="D17" s="677">
        <f>C17/C12</f>
        <v>0.52010000000000001</v>
      </c>
      <c r="E17" s="704">
        <f>E12*49.83%</f>
        <v>289674.11077892553</v>
      </c>
      <c r="F17" s="702">
        <f>E17/E12</f>
        <v>0.49830000000000002</v>
      </c>
      <c r="G17" s="704">
        <f>G12*55.83%</f>
        <v>538362.23054408911</v>
      </c>
      <c r="H17" s="702">
        <f>G17/G12</f>
        <v>0.55830000000000002</v>
      </c>
      <c r="I17" s="704">
        <f>I12*51.35%</f>
        <v>437225.22350000008</v>
      </c>
      <c r="J17" s="702">
        <f>I17/I12</f>
        <v>0.51350000000000007</v>
      </c>
      <c r="K17" s="704">
        <f>K12*44.86%</f>
        <v>349346.33711873932</v>
      </c>
      <c r="L17" s="702">
        <f>K17/K12</f>
        <v>0.4486</v>
      </c>
      <c r="M17" s="704">
        <f>M12*54.15%</f>
        <v>597953.45029590162</v>
      </c>
      <c r="N17" s="702">
        <f>M17/M12</f>
        <v>0.54149999999999998</v>
      </c>
      <c r="O17" s="704">
        <f>O12*49%</f>
        <v>342566.21246259043</v>
      </c>
      <c r="P17" s="702">
        <f>O17/O12</f>
        <v>0.49</v>
      </c>
      <c r="Q17" s="704">
        <f>Q12*46%</f>
        <v>399334.29826255981</v>
      </c>
      <c r="R17" s="702">
        <f>Q17/Q12</f>
        <v>0.46</v>
      </c>
      <c r="S17" s="704">
        <f>S12*55.49%</f>
        <v>485273.43536883499</v>
      </c>
      <c r="T17" s="702">
        <f>S17/S12</f>
        <v>0.55490000000000006</v>
      </c>
      <c r="U17" s="704">
        <f>U12*49.48%</f>
        <v>343231.99496914505</v>
      </c>
      <c r="V17" s="702">
        <f>U17/U12</f>
        <v>0.49479999999999996</v>
      </c>
      <c r="W17" s="704">
        <f>W12*45.34%</f>
        <v>319999.31587467541</v>
      </c>
      <c r="X17" s="702">
        <f>W17/W12</f>
        <v>0.45340000000000003</v>
      </c>
      <c r="Y17" s="704">
        <f>Y12*52.71%</f>
        <v>561989.60328479588</v>
      </c>
      <c r="Z17" s="702">
        <f>Y17/Y12</f>
        <v>0.52710000000000001</v>
      </c>
      <c r="AA17" s="144">
        <f>C17+E17+G17+I17+K17+M17+O17+Q17+S17+U17+W17+Y17</f>
        <v>5053576.2907830626</v>
      </c>
      <c r="AB17" s="68">
        <f>AA17/AA12</f>
        <v>0.50868020796545599</v>
      </c>
      <c r="AC17" s="128">
        <f t="shared" ref="AC17:AC20" si="18">AA17/12</f>
        <v>421131.3575652552</v>
      </c>
      <c r="AD17" s="68">
        <f>AC17/AC12</f>
        <v>0.50868020796545588</v>
      </c>
      <c r="AE17" s="595"/>
      <c r="AF17" s="595"/>
      <c r="AG17" s="555"/>
    </row>
    <row r="18" spans="1:33" s="1" customFormat="1">
      <c r="A18" s="3">
        <v>5503</v>
      </c>
      <c r="B18" s="238" t="s">
        <v>50</v>
      </c>
      <c r="C18" s="292"/>
      <c r="D18" s="102"/>
      <c r="E18" s="61"/>
      <c r="F18" s="102"/>
      <c r="G18" s="114"/>
      <c r="H18" s="102"/>
      <c r="I18" s="26"/>
      <c r="J18" s="102"/>
      <c r="K18" s="61"/>
      <c r="L18" s="102"/>
      <c r="M18" s="26"/>
      <c r="N18" s="102"/>
      <c r="O18" s="26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18"/>
        <v>0</v>
      </c>
      <c r="AD18" s="102"/>
      <c r="AE18" s="595"/>
      <c r="AF18" s="595"/>
      <c r="AG18" s="618"/>
    </row>
    <row r="19" spans="1:33" s="1" customFormat="1">
      <c r="A19" s="187">
        <v>5504</v>
      </c>
      <c r="B19" s="758" t="s">
        <v>51</v>
      </c>
      <c r="C19" s="26"/>
      <c r="D19" s="677">
        <f>C19/C12</f>
        <v>0</v>
      </c>
      <c r="E19" s="26"/>
      <c r="F19" s="677">
        <f>E19/E12</f>
        <v>0</v>
      </c>
      <c r="H19" s="677">
        <f>G19/G12</f>
        <v>0</v>
      </c>
      <c r="I19" s="705"/>
      <c r="J19" s="677">
        <f>I19/I12</f>
        <v>0</v>
      </c>
      <c r="K19" s="26"/>
      <c r="L19" s="677">
        <f>K19/K12</f>
        <v>0</v>
      </c>
      <c r="M19" s="33"/>
      <c r="N19" s="702">
        <f>M19/M12</f>
        <v>0</v>
      </c>
      <c r="O19" s="420"/>
      <c r="P19" s="702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8"/>
        <v>0</v>
      </c>
      <c r="AD19" s="68">
        <f>AC19/AC12</f>
        <v>0</v>
      </c>
      <c r="AE19" s="595"/>
      <c r="AF19" s="595"/>
      <c r="AG19" s="555"/>
    </row>
    <row r="20" spans="1:33" s="1" customFormat="1">
      <c r="A20" s="3">
        <v>5505</v>
      </c>
      <c r="B20" s="238" t="s">
        <v>52</v>
      </c>
      <c r="C20" s="292"/>
      <c r="D20" s="102"/>
      <c r="E20" s="61"/>
      <c r="F20" s="102"/>
      <c r="G20" s="114"/>
      <c r="H20" s="102"/>
      <c r="I20" s="26">
        <v>0</v>
      </c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8"/>
        <v>0</v>
      </c>
      <c r="AD20" s="102"/>
      <c r="AE20" s="595"/>
      <c r="AF20" s="595"/>
      <c r="AG20" s="618"/>
    </row>
    <row r="21" spans="1:33" s="1" customFormat="1" ht="15.75" thickBot="1">
      <c r="A21" s="8">
        <v>5599</v>
      </c>
      <c r="B21" s="245" t="s">
        <v>107</v>
      </c>
      <c r="C21" s="45">
        <f>SUM(C17:C20)</f>
        <v>388620.0783228057</v>
      </c>
      <c r="D21" s="89">
        <f>C21/C12</f>
        <v>0.52010000000000001</v>
      </c>
      <c r="E21" s="76">
        <f>SUM(E17:E20)</f>
        <v>289674.11077892553</v>
      </c>
      <c r="F21" s="89">
        <f>E21/E12</f>
        <v>0.49830000000000002</v>
      </c>
      <c r="G21" s="116">
        <f>SUM(G17:G20)</f>
        <v>538362.23054408911</v>
      </c>
      <c r="H21" s="89">
        <f>G21/G12</f>
        <v>0.55830000000000002</v>
      </c>
      <c r="I21" s="28">
        <f>SUM(I17:I20)</f>
        <v>437225.22350000008</v>
      </c>
      <c r="J21" s="89">
        <f>I21/I12</f>
        <v>0.51350000000000007</v>
      </c>
      <c r="K21" s="76">
        <f>SUM(K17:K20)</f>
        <v>349346.33711873932</v>
      </c>
      <c r="L21" s="89">
        <f>K21/K12</f>
        <v>0.4486</v>
      </c>
      <c r="M21" s="28">
        <f>SUM(M17:M20)</f>
        <v>597953.45029590162</v>
      </c>
      <c r="N21" s="89">
        <f>M21/M12</f>
        <v>0.54149999999999998</v>
      </c>
      <c r="O21" s="28">
        <f>SUM(O17:O20)</f>
        <v>342566.21246259043</v>
      </c>
      <c r="P21" s="89">
        <f>O21/O12</f>
        <v>0.49</v>
      </c>
      <c r="Q21" s="28">
        <f>SUM(Q17:Q20)</f>
        <v>399334.29826255981</v>
      </c>
      <c r="R21" s="89">
        <f>Q21/Q12</f>
        <v>0.46</v>
      </c>
      <c r="S21" s="28">
        <f>SUM(S17:S20)</f>
        <v>485273.43536883499</v>
      </c>
      <c r="T21" s="89">
        <f>S21/S12</f>
        <v>0.55490000000000006</v>
      </c>
      <c r="U21" s="76">
        <f>SUM(U17:U20)</f>
        <v>343231.99496914505</v>
      </c>
      <c r="V21" s="89">
        <f>U21/U12</f>
        <v>0.49479999999999996</v>
      </c>
      <c r="W21" s="52">
        <f>SUM(W17:W20)</f>
        <v>319999.31587467541</v>
      </c>
      <c r="X21" s="89">
        <f>W21/W12</f>
        <v>0.45340000000000003</v>
      </c>
      <c r="Y21" s="76">
        <f>SUM(Y17:Y20)</f>
        <v>561989.60328479588</v>
      </c>
      <c r="Z21" s="89">
        <f>Y21/Y12</f>
        <v>0.52710000000000001</v>
      </c>
      <c r="AA21" s="150">
        <f>SUM(AA17:AA20)</f>
        <v>5053576.2907830626</v>
      </c>
      <c r="AB21" s="89">
        <f>AA21/AA12</f>
        <v>0.50868020796545599</v>
      </c>
      <c r="AC21" s="135">
        <f>SUM(AC17:AC20)</f>
        <v>421131.3575652552</v>
      </c>
      <c r="AD21" s="89">
        <f>AC21/AC12</f>
        <v>0.50868020796545588</v>
      </c>
      <c r="AE21" s="596"/>
      <c r="AF21" s="596"/>
      <c r="AG21" s="622"/>
    </row>
    <row r="22" spans="1:33" s="1" customFormat="1" ht="15.75" thickTop="1">
      <c r="A22" s="187">
        <v>5601</v>
      </c>
      <c r="B22" s="3" t="s">
        <v>53</v>
      </c>
      <c r="C22" s="26"/>
      <c r="D22" s="68">
        <f>C22/C12</f>
        <v>0</v>
      </c>
      <c r="E22" s="26"/>
      <c r="F22" s="68">
        <f>E22/E12</f>
        <v>0</v>
      </c>
      <c r="G22" s="26"/>
      <c r="H22" s="68">
        <f>G22/G12</f>
        <v>0</v>
      </c>
      <c r="I22" s="26"/>
      <c r="J22" s="68">
        <f>I22/I12</f>
        <v>0</v>
      </c>
      <c r="K22" s="26"/>
      <c r="L22" s="68">
        <f>K22/K12</f>
        <v>0</v>
      </c>
      <c r="M22" s="26"/>
      <c r="N22" s="702">
        <f>M22/M12</f>
        <v>0</v>
      </c>
      <c r="O22" s="26"/>
      <c r="P22" s="702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19">C22+E22+G22+I22+K22+M22+O22+Q22+S22+U22+W22+Y22</f>
        <v>0</v>
      </c>
      <c r="AB22" s="68">
        <f>AA22/AA12</f>
        <v>0</v>
      </c>
      <c r="AC22" s="128">
        <f t="shared" ref="AC22:AC34" si="20">AA22/12</f>
        <v>0</v>
      </c>
      <c r="AD22" s="68">
        <f>AC22/AC12</f>
        <v>0</v>
      </c>
      <c r="AE22" s="595"/>
      <c r="AF22" s="595"/>
      <c r="AG22" s="555"/>
    </row>
    <row r="23" spans="1:33" s="1" customFormat="1">
      <c r="A23" s="3">
        <v>5602</v>
      </c>
      <c r="B23" s="3" t="s">
        <v>54</v>
      </c>
      <c r="C23" s="26"/>
      <c r="D23" s="68">
        <f>C23/C12</f>
        <v>0</v>
      </c>
      <c r="E23" s="26"/>
      <c r="F23" s="68">
        <f>E23/E12</f>
        <v>0</v>
      </c>
      <c r="G23" s="26"/>
      <c r="H23" s="68">
        <f>G23/G12</f>
        <v>0</v>
      </c>
      <c r="I23" s="26"/>
      <c r="J23" s="68">
        <f>I23/I12</f>
        <v>0</v>
      </c>
      <c r="K23" s="26"/>
      <c r="L23" s="68">
        <f>K23/K12</f>
        <v>0</v>
      </c>
      <c r="M23" s="26"/>
      <c r="N23" s="702">
        <f>M23/M12</f>
        <v>0</v>
      </c>
      <c r="O23" s="26"/>
      <c r="P23" s="702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19"/>
        <v>0</v>
      </c>
      <c r="AB23" s="68">
        <f>AA23/AA12</f>
        <v>0</v>
      </c>
      <c r="AC23" s="128">
        <f t="shared" si="20"/>
        <v>0</v>
      </c>
      <c r="AD23" s="68">
        <f>AC23/AC12</f>
        <v>0</v>
      </c>
      <c r="AE23" s="595"/>
      <c r="AF23" s="595"/>
      <c r="AG23" s="555"/>
    </row>
    <row r="24" spans="1:33" s="1" customFormat="1">
      <c r="A24" s="3">
        <v>5603</v>
      </c>
      <c r="B24" s="3" t="s">
        <v>55</v>
      </c>
      <c r="C24" s="26"/>
      <c r="D24" s="68">
        <f>C24/C12</f>
        <v>0</v>
      </c>
      <c r="E24" s="26"/>
      <c r="F24" s="68">
        <f>E24/E12</f>
        <v>0</v>
      </c>
      <c r="G24" s="26"/>
      <c r="H24" s="68">
        <f>G24/G12</f>
        <v>0</v>
      </c>
      <c r="I24" s="26"/>
      <c r="J24" s="68">
        <f>I24/I12</f>
        <v>0</v>
      </c>
      <c r="K24" s="26"/>
      <c r="L24" s="68">
        <f>K24/K12</f>
        <v>0</v>
      </c>
      <c r="M24" s="26"/>
      <c r="N24" s="702">
        <f>M24/M12</f>
        <v>0</v>
      </c>
      <c r="O24" s="26"/>
      <c r="P24" s="702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19"/>
        <v>0</v>
      </c>
      <c r="AB24" s="68">
        <f>AA24/AA12</f>
        <v>0</v>
      </c>
      <c r="AC24" s="128">
        <f t="shared" si="20"/>
        <v>0</v>
      </c>
      <c r="AD24" s="68">
        <f>AC24/AC12</f>
        <v>0</v>
      </c>
      <c r="AE24" s="595"/>
      <c r="AF24" s="595"/>
      <c r="AG24" s="555"/>
    </row>
    <row r="25" spans="1:33" s="1" customFormat="1">
      <c r="A25" s="187">
        <v>5604</v>
      </c>
      <c r="B25" s="187" t="s">
        <v>56</v>
      </c>
      <c r="C25" s="26">
        <v>250</v>
      </c>
      <c r="D25" s="702">
        <f>C25/C12</f>
        <v>3.3458127166552431E-4</v>
      </c>
      <c r="E25" s="26">
        <v>250</v>
      </c>
      <c r="F25" s="702">
        <f>E25/E12</f>
        <v>4.3005223927337287E-4</v>
      </c>
      <c r="G25" s="26">
        <v>250</v>
      </c>
      <c r="H25" s="702">
        <f>G25/G12</f>
        <v>2.5925852907426335E-4</v>
      </c>
      <c r="I25" s="26">
        <v>250</v>
      </c>
      <c r="J25" s="702">
        <f>I25/I12</f>
        <v>2.9361297816341556E-4</v>
      </c>
      <c r="K25" s="26">
        <v>250</v>
      </c>
      <c r="L25" s="702">
        <f>K25/K12</f>
        <v>3.2102812619982143E-4</v>
      </c>
      <c r="M25" s="26">
        <v>250</v>
      </c>
      <c r="N25" s="702">
        <f>M25/M12</f>
        <v>2.2639722194597034E-4</v>
      </c>
      <c r="O25" s="26">
        <v>250</v>
      </c>
      <c r="P25" s="702">
        <f>O25/O12</f>
        <v>3.5759510291277628E-4</v>
      </c>
      <c r="Q25" s="26">
        <v>250</v>
      </c>
      <c r="R25" s="702">
        <f>Q25/Q12</f>
        <v>2.8797927075221628E-4</v>
      </c>
      <c r="S25" s="26">
        <v>250</v>
      </c>
      <c r="T25" s="702">
        <f>S25/S12</f>
        <v>2.8586975896292621E-4</v>
      </c>
      <c r="U25" s="26">
        <v>250</v>
      </c>
      <c r="V25" s="702">
        <f>U25/U12</f>
        <v>3.6039763720488834E-4</v>
      </c>
      <c r="W25" s="26">
        <v>250</v>
      </c>
      <c r="X25" s="702">
        <f>W25/W12</f>
        <v>3.5421950728292315E-4</v>
      </c>
      <c r="Y25" s="26">
        <v>250</v>
      </c>
      <c r="Z25" s="702">
        <f>Y25/Y12</f>
        <v>2.3447942671854239E-4</v>
      </c>
      <c r="AA25" s="144">
        <f t="shared" si="19"/>
        <v>3000</v>
      </c>
      <c r="AB25" s="68">
        <f>AA25/AA12</f>
        <v>3.0197241242397557E-4</v>
      </c>
      <c r="AC25" s="128">
        <f t="shared" si="20"/>
        <v>250</v>
      </c>
      <c r="AD25" s="68">
        <f>AC25/AC12</f>
        <v>3.0197241242397557E-4</v>
      </c>
      <c r="AE25" s="595" t="s">
        <v>249</v>
      </c>
      <c r="AF25" s="595"/>
      <c r="AG25" s="555"/>
    </row>
    <row r="26" spans="1:33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9"/>
        <v>0</v>
      </c>
      <c r="AB26" s="68">
        <f>AA26/AA12</f>
        <v>0</v>
      </c>
      <c r="AC26" s="128">
        <f t="shared" si="20"/>
        <v>0</v>
      </c>
      <c r="AD26" s="68">
        <f>AC26/AC12</f>
        <v>0</v>
      </c>
      <c r="AE26" s="595"/>
      <c r="AF26" s="595"/>
      <c r="AG26" s="555"/>
    </row>
    <row r="27" spans="1:33" s="1" customFormat="1">
      <c r="A27" s="187">
        <v>5606</v>
      </c>
      <c r="B27" s="187" t="s">
        <v>77</v>
      </c>
      <c r="C27" s="26">
        <f>C16*0.3%</f>
        <v>2241.6078349710001</v>
      </c>
      <c r="D27" s="702">
        <f>C27/C12</f>
        <v>3.0000000000000001E-3</v>
      </c>
      <c r="E27" s="26">
        <f>E16*0.3%</f>
        <v>1743.9741768749279</v>
      </c>
      <c r="F27" s="702">
        <f>E27/E12</f>
        <v>3.0000000000000001E-3</v>
      </c>
      <c r="G27" s="26">
        <f>G16*0.3%</f>
        <v>2892.865290403488</v>
      </c>
      <c r="H27" s="702">
        <f>G27/G12</f>
        <v>3.0000000000000001E-3</v>
      </c>
      <c r="I27" s="26">
        <f>I16*0.3%</f>
        <v>2554.3830000000003</v>
      </c>
      <c r="J27" s="702">
        <f>I27/I12</f>
        <v>3.0000000000000005E-3</v>
      </c>
      <c r="K27" s="26">
        <f>K16*0.3%</f>
        <v>2336.2438951320064</v>
      </c>
      <c r="L27" s="702">
        <f>K27/K12</f>
        <v>3.0000000000000005E-3</v>
      </c>
      <c r="M27" s="26">
        <f>M16*0.3%</f>
        <v>3312.7614974842199</v>
      </c>
      <c r="N27" s="702">
        <f>M27/M12</f>
        <v>3.0000000000000001E-3</v>
      </c>
      <c r="O27" s="26">
        <f>O16*0.3%</f>
        <v>2097.344157934227</v>
      </c>
      <c r="P27" s="702">
        <f>O27/O12</f>
        <v>3.0000000000000001E-3</v>
      </c>
      <c r="Q27" s="26">
        <f>Q16*0.3%</f>
        <v>2604.3541191036511</v>
      </c>
      <c r="R27" s="702">
        <f>Q27/Q12</f>
        <v>3.0000000000000001E-3</v>
      </c>
      <c r="S27" s="26">
        <f>S16*0.3%</f>
        <v>2623.5723663840422</v>
      </c>
      <c r="T27" s="702">
        <f>S27/S12</f>
        <v>3.0000000000000001E-3</v>
      </c>
      <c r="U27" s="26">
        <f>U16*0.3%</f>
        <v>2081.034731017452</v>
      </c>
      <c r="V27" s="702">
        <f>U27/U12</f>
        <v>3.0000000000000001E-3</v>
      </c>
      <c r="W27" s="26">
        <f>W16*0.3%</f>
        <v>2117.3311592942791</v>
      </c>
      <c r="X27" s="702">
        <f>W27/W12</f>
        <v>3.0000000000000001E-3</v>
      </c>
      <c r="Y27" s="26">
        <f>Y16*0.3%</f>
        <v>3198.5748621786902</v>
      </c>
      <c r="Z27" s="702">
        <f>Y27/Y12</f>
        <v>3.0000000000000001E-3</v>
      </c>
      <c r="AA27" s="144">
        <f t="shared" si="19"/>
        <v>29804.047090777982</v>
      </c>
      <c r="AB27" s="702">
        <f>AA27/AA12</f>
        <v>2.9999999999999996E-3</v>
      </c>
      <c r="AC27" s="128">
        <f t="shared" si="20"/>
        <v>2483.6705908981653</v>
      </c>
      <c r="AD27" s="702">
        <f>AC27/AC12</f>
        <v>2.9999999999999996E-3</v>
      </c>
      <c r="AE27" s="645"/>
      <c r="AF27" s="226"/>
      <c r="AG27" s="226"/>
    </row>
    <row r="28" spans="1:33" s="1" customFormat="1">
      <c r="A28" s="3">
        <v>5607</v>
      </c>
      <c r="B28" s="238" t="s">
        <v>57</v>
      </c>
      <c r="C28" s="26"/>
      <c r="D28" s="68">
        <f>C28/C12</f>
        <v>0</v>
      </c>
      <c r="E28" s="26"/>
      <c r="F28" s="68">
        <f>E28/E12</f>
        <v>0</v>
      </c>
      <c r="G28" s="26"/>
      <c r="H28" s="68">
        <f>G28/G12</f>
        <v>0</v>
      </c>
      <c r="I28" s="26"/>
      <c r="J28" s="68">
        <f>I28/I12</f>
        <v>0</v>
      </c>
      <c r="K28" s="26"/>
      <c r="L28" s="68">
        <f>K28/K12</f>
        <v>0</v>
      </c>
      <c r="M28" s="26"/>
      <c r="N28" s="702">
        <f>M28/M12</f>
        <v>0</v>
      </c>
      <c r="O28" s="26"/>
      <c r="P28" s="702">
        <f>O28/O12</f>
        <v>0</v>
      </c>
      <c r="Q28" s="26"/>
      <c r="R28" s="68">
        <f>Q28/Q12</f>
        <v>0</v>
      </c>
      <c r="S28" s="26"/>
      <c r="T28" s="68">
        <f>S28/S12</f>
        <v>0</v>
      </c>
      <c r="U28" s="26"/>
      <c r="V28" s="68">
        <f>U28/U12</f>
        <v>0</v>
      </c>
      <c r="W28" s="26"/>
      <c r="X28" s="68">
        <f>W28/W12</f>
        <v>0</v>
      </c>
      <c r="Y28" s="26"/>
      <c r="Z28" s="68">
        <f>Y28/Y12</f>
        <v>0</v>
      </c>
      <c r="AA28" s="144">
        <f t="shared" si="19"/>
        <v>0</v>
      </c>
      <c r="AB28" s="68">
        <f>AA28/AA12</f>
        <v>0</v>
      </c>
      <c r="AC28" s="128">
        <f t="shared" si="20"/>
        <v>0</v>
      </c>
      <c r="AD28" s="68">
        <f>AC28/AC12</f>
        <v>0</v>
      </c>
      <c r="AE28" s="595"/>
      <c r="AF28" s="595"/>
      <c r="AG28" s="555"/>
    </row>
    <row r="29" spans="1:33" s="1" customFormat="1">
      <c r="A29" s="3">
        <v>5608</v>
      </c>
      <c r="B29" s="238" t="s">
        <v>58</v>
      </c>
      <c r="C29" s="26"/>
      <c r="D29" s="68">
        <f>C29/C12</f>
        <v>0</v>
      </c>
      <c r="E29" s="26"/>
      <c r="F29" s="68">
        <f>E29/E12</f>
        <v>0</v>
      </c>
      <c r="G29" s="26"/>
      <c r="H29" s="68">
        <f>G29/G12</f>
        <v>0</v>
      </c>
      <c r="I29" s="26"/>
      <c r="J29" s="68">
        <f>I29/I12</f>
        <v>0</v>
      </c>
      <c r="K29" s="26"/>
      <c r="L29" s="68">
        <f>K29/K12</f>
        <v>0</v>
      </c>
      <c r="M29" s="26"/>
      <c r="N29" s="702">
        <f>M29/M12</f>
        <v>0</v>
      </c>
      <c r="O29" s="26"/>
      <c r="P29" s="702">
        <f>O29/O12</f>
        <v>0</v>
      </c>
      <c r="Q29" s="26"/>
      <c r="R29" s="68">
        <f>Q29/Q12</f>
        <v>0</v>
      </c>
      <c r="S29" s="26"/>
      <c r="T29" s="68">
        <f>S29/S12</f>
        <v>0</v>
      </c>
      <c r="U29" s="26"/>
      <c r="V29" s="68">
        <f>U29/U12</f>
        <v>0</v>
      </c>
      <c r="W29" s="26"/>
      <c r="X29" s="68">
        <f>W29/W12</f>
        <v>0</v>
      </c>
      <c r="Y29" s="26"/>
      <c r="Z29" s="68">
        <f>Y29/Y12</f>
        <v>0</v>
      </c>
      <c r="AA29" s="144">
        <f t="shared" si="19"/>
        <v>0</v>
      </c>
      <c r="AB29" s="68">
        <f>AA29/AA12</f>
        <v>0</v>
      </c>
      <c r="AC29" s="128">
        <f t="shared" si="20"/>
        <v>0</v>
      </c>
      <c r="AD29" s="68">
        <f>AC29/AC12</f>
        <v>0</v>
      </c>
      <c r="AE29" s="595"/>
      <c r="AF29" s="595"/>
      <c r="AG29" s="555"/>
    </row>
    <row r="30" spans="1:33" s="1" customFormat="1">
      <c r="A30" s="3">
        <v>5609</v>
      </c>
      <c r="B30" s="238" t="s">
        <v>59</v>
      </c>
      <c r="C30" s="26"/>
      <c r="D30" s="68">
        <f>C30/C12</f>
        <v>0</v>
      </c>
      <c r="E30" s="26"/>
      <c r="F30" s="68">
        <f>E30/E12</f>
        <v>0</v>
      </c>
      <c r="G30" s="26"/>
      <c r="H30" s="68">
        <f>G30/G12</f>
        <v>0</v>
      </c>
      <c r="I30" s="26"/>
      <c r="J30" s="68">
        <f>I30/I12</f>
        <v>0</v>
      </c>
      <c r="K30" s="26"/>
      <c r="L30" s="68">
        <f>K30/K12</f>
        <v>0</v>
      </c>
      <c r="M30" s="26"/>
      <c r="N30" s="702">
        <f>M30/M12</f>
        <v>0</v>
      </c>
      <c r="O30" s="26"/>
      <c r="P30" s="702">
        <f>O30/O12</f>
        <v>0</v>
      </c>
      <c r="Q30" s="26"/>
      <c r="R30" s="68">
        <f>Q30/Q12</f>
        <v>0</v>
      </c>
      <c r="S30" s="26"/>
      <c r="T30" s="68">
        <f>S30/S12</f>
        <v>0</v>
      </c>
      <c r="U30" s="26"/>
      <c r="V30" s="68">
        <f>U30/U12</f>
        <v>0</v>
      </c>
      <c r="W30" s="26"/>
      <c r="X30" s="68">
        <f>W30/W12</f>
        <v>0</v>
      </c>
      <c r="Y30" s="26"/>
      <c r="Z30" s="68">
        <f>Y30/Y12</f>
        <v>0</v>
      </c>
      <c r="AA30" s="144">
        <f t="shared" si="19"/>
        <v>0</v>
      </c>
      <c r="AB30" s="68">
        <f>AA30/AA12</f>
        <v>0</v>
      </c>
      <c r="AC30" s="128">
        <f t="shared" si="20"/>
        <v>0</v>
      </c>
      <c r="AD30" s="68">
        <f>AC30/AC12</f>
        <v>0</v>
      </c>
      <c r="AE30" s="595"/>
      <c r="AF30" s="595"/>
      <c r="AG30" s="555"/>
    </row>
    <row r="31" spans="1:33" s="1" customFormat="1">
      <c r="A31" s="3">
        <v>5610</v>
      </c>
      <c r="B31" s="238" t="s">
        <v>60</v>
      </c>
      <c r="C31" s="26"/>
      <c r="D31" s="68">
        <f>C31/C12</f>
        <v>0</v>
      </c>
      <c r="E31" s="26"/>
      <c r="F31" s="68">
        <f>E31/E12</f>
        <v>0</v>
      </c>
      <c r="G31" s="26"/>
      <c r="H31" s="68">
        <f>G31/G12</f>
        <v>0</v>
      </c>
      <c r="I31" s="26"/>
      <c r="J31" s="68">
        <f>I31/I12</f>
        <v>0</v>
      </c>
      <c r="K31" s="26"/>
      <c r="L31" s="68">
        <f>K31/K12</f>
        <v>0</v>
      </c>
      <c r="M31" s="26"/>
      <c r="N31" s="702">
        <f>M31/M12</f>
        <v>0</v>
      </c>
      <c r="O31" s="26"/>
      <c r="P31" s="702">
        <f>O31/O12</f>
        <v>0</v>
      </c>
      <c r="Q31" s="26"/>
      <c r="R31" s="68">
        <f>Q31/Q12</f>
        <v>0</v>
      </c>
      <c r="S31" s="26"/>
      <c r="T31" s="68">
        <f>S31/S12</f>
        <v>0</v>
      </c>
      <c r="U31" s="26"/>
      <c r="V31" s="68">
        <f>U31/U12</f>
        <v>0</v>
      </c>
      <c r="W31" s="26"/>
      <c r="X31" s="68">
        <f>W31/W12</f>
        <v>0</v>
      </c>
      <c r="Y31" s="26"/>
      <c r="Z31" s="68">
        <f>Y31/Y12</f>
        <v>0</v>
      </c>
      <c r="AA31" s="144">
        <f t="shared" si="19"/>
        <v>0</v>
      </c>
      <c r="AB31" s="68">
        <f>AA31/AA12</f>
        <v>0</v>
      </c>
      <c r="AC31" s="128">
        <f t="shared" si="20"/>
        <v>0</v>
      </c>
      <c r="AD31" s="68">
        <f>AC31/AC12</f>
        <v>0</v>
      </c>
      <c r="AE31" s="595"/>
      <c r="AF31" s="595"/>
      <c r="AG31" s="555"/>
    </row>
    <row r="32" spans="1:33" s="1" customFormat="1">
      <c r="A32" s="3">
        <v>5611</v>
      </c>
      <c r="B32" s="238" t="s">
        <v>108</v>
      </c>
      <c r="C32" s="26"/>
      <c r="D32" s="68">
        <f>C32/C12</f>
        <v>0</v>
      </c>
      <c r="E32" s="26"/>
      <c r="F32" s="68">
        <f>E32/E12</f>
        <v>0</v>
      </c>
      <c r="G32" s="26"/>
      <c r="H32" s="68">
        <f>G32/G12</f>
        <v>0</v>
      </c>
      <c r="I32" s="26"/>
      <c r="J32" s="68">
        <f>I32/I12</f>
        <v>0</v>
      </c>
      <c r="K32" s="26"/>
      <c r="L32" s="68">
        <f>K32/K12</f>
        <v>0</v>
      </c>
      <c r="M32" s="26"/>
      <c r="N32" s="702">
        <f>M32/M12</f>
        <v>0</v>
      </c>
      <c r="O32" s="26"/>
      <c r="P32" s="702">
        <f>O32/O12</f>
        <v>0</v>
      </c>
      <c r="Q32" s="26"/>
      <c r="R32" s="68">
        <f>Q32/Q12</f>
        <v>0</v>
      </c>
      <c r="S32" s="26"/>
      <c r="T32" s="68">
        <f>S32/S12</f>
        <v>0</v>
      </c>
      <c r="U32" s="26"/>
      <c r="V32" s="68">
        <f>U32/U12</f>
        <v>0</v>
      </c>
      <c r="W32" s="26"/>
      <c r="X32" s="68">
        <f>W32/W12</f>
        <v>0</v>
      </c>
      <c r="Y32" s="26"/>
      <c r="Z32" s="68">
        <f>Y32/Y12</f>
        <v>0</v>
      </c>
      <c r="AA32" s="144">
        <f t="shared" si="19"/>
        <v>0</v>
      </c>
      <c r="AB32" s="68">
        <f>AA32/AA12</f>
        <v>0</v>
      </c>
      <c r="AC32" s="128">
        <f t="shared" si="20"/>
        <v>0</v>
      </c>
      <c r="AD32" s="68">
        <f>AC32/AC12</f>
        <v>0</v>
      </c>
      <c r="AE32" s="595"/>
      <c r="AF32" s="595"/>
      <c r="AG32" s="555"/>
    </row>
    <row r="33" spans="1:33" s="1" customFormat="1">
      <c r="A33" s="3">
        <v>5612</v>
      </c>
      <c r="B33" s="238" t="s">
        <v>61</v>
      </c>
      <c r="C33" s="26"/>
      <c r="D33" s="68">
        <f>C33/C12</f>
        <v>0</v>
      </c>
      <c r="E33" s="26"/>
      <c r="F33" s="68">
        <f>E33/E12</f>
        <v>0</v>
      </c>
      <c r="G33" s="26"/>
      <c r="H33" s="68">
        <f>G33/G12</f>
        <v>0</v>
      </c>
      <c r="I33" s="26"/>
      <c r="J33" s="68">
        <f>I33/I12</f>
        <v>0</v>
      </c>
      <c r="K33" s="26"/>
      <c r="L33" s="68">
        <f>K33/K12</f>
        <v>0</v>
      </c>
      <c r="M33" s="26"/>
      <c r="N33" s="702">
        <f>M33/M12</f>
        <v>0</v>
      </c>
      <c r="O33" s="26"/>
      <c r="P33" s="702">
        <f>O33/O12</f>
        <v>0</v>
      </c>
      <c r="Q33" s="26"/>
      <c r="R33" s="68">
        <f>Q33/Q12</f>
        <v>0</v>
      </c>
      <c r="S33" s="26"/>
      <c r="T33" s="68">
        <f>S33/S12</f>
        <v>0</v>
      </c>
      <c r="U33" s="26"/>
      <c r="V33" s="68">
        <f>U33/U12</f>
        <v>0</v>
      </c>
      <c r="W33" s="26"/>
      <c r="X33" s="68">
        <f>W33/W12</f>
        <v>0</v>
      </c>
      <c r="Y33" s="26"/>
      <c r="Z33" s="68">
        <f>Y33/Y12</f>
        <v>0</v>
      </c>
      <c r="AA33" s="144">
        <f t="shared" si="19"/>
        <v>0</v>
      </c>
      <c r="AB33" s="68">
        <f>AA33/AA12</f>
        <v>0</v>
      </c>
      <c r="AC33" s="128">
        <f t="shared" si="20"/>
        <v>0</v>
      </c>
      <c r="AD33" s="68">
        <f>AC33/AC12</f>
        <v>0</v>
      </c>
      <c r="AE33" s="595"/>
      <c r="AF33" s="595"/>
      <c r="AG33" s="555"/>
    </row>
    <row r="34" spans="1:33" s="1" customFormat="1">
      <c r="A34" s="3">
        <v>5613</v>
      </c>
      <c r="B34" s="238" t="s">
        <v>62</v>
      </c>
      <c r="C34" s="26"/>
      <c r="D34" s="68">
        <f>C34/C12</f>
        <v>0</v>
      </c>
      <c r="E34" s="26"/>
      <c r="F34" s="68">
        <f>E34/E12</f>
        <v>0</v>
      </c>
      <c r="G34" s="26"/>
      <c r="H34" s="68">
        <f>G34/G12</f>
        <v>0</v>
      </c>
      <c r="I34" s="26"/>
      <c r="J34" s="68">
        <f>I34/I12</f>
        <v>0</v>
      </c>
      <c r="K34" s="26"/>
      <c r="L34" s="68">
        <f>K34/K12</f>
        <v>0</v>
      </c>
      <c r="M34" s="26"/>
      <c r="N34" s="702">
        <f>M34/M12</f>
        <v>0</v>
      </c>
      <c r="O34" s="26"/>
      <c r="P34" s="702">
        <f>O34/O12</f>
        <v>0</v>
      </c>
      <c r="Q34" s="26"/>
      <c r="R34" s="68">
        <f>Q34/Q12</f>
        <v>0</v>
      </c>
      <c r="S34" s="26"/>
      <c r="T34" s="68">
        <f>S34/S12</f>
        <v>0</v>
      </c>
      <c r="U34" s="26"/>
      <c r="V34" s="68">
        <f>U34/U12</f>
        <v>0</v>
      </c>
      <c r="W34" s="26"/>
      <c r="X34" s="68">
        <f>W34/W12</f>
        <v>0</v>
      </c>
      <c r="Y34" s="26"/>
      <c r="Z34" s="68">
        <f>Y34/Y12</f>
        <v>0</v>
      </c>
      <c r="AA34" s="144">
        <f t="shared" si="19"/>
        <v>0</v>
      </c>
      <c r="AB34" s="68">
        <f>AA34/AA12</f>
        <v>0</v>
      </c>
      <c r="AC34" s="128">
        <f t="shared" si="20"/>
        <v>0</v>
      </c>
      <c r="AD34" s="68">
        <f>AC34/AC12</f>
        <v>0</v>
      </c>
      <c r="AE34" s="595"/>
      <c r="AF34" s="595"/>
      <c r="AG34" s="555"/>
    </row>
    <row r="35" spans="1:33" s="1" customFormat="1">
      <c r="A35" s="9">
        <v>5699</v>
      </c>
      <c r="B35" s="239" t="s">
        <v>109</v>
      </c>
      <c r="C35" s="47">
        <f>SUM(C22:C34)</f>
        <v>2491.6078349710001</v>
      </c>
      <c r="D35" s="87">
        <f>C35/C12</f>
        <v>3.3345812716655244E-3</v>
      </c>
      <c r="E35" s="79">
        <f>SUM(E22:E34)</f>
        <v>1993.9741768749279</v>
      </c>
      <c r="F35" s="87">
        <f>E35/E12</f>
        <v>3.4300522392733727E-3</v>
      </c>
      <c r="G35" s="119">
        <f>SUM(G22:G34)</f>
        <v>3142.865290403488</v>
      </c>
      <c r="H35" s="87">
        <f>G35/G12</f>
        <v>3.2592585290742637E-3</v>
      </c>
      <c r="I35" s="29">
        <f>SUM(I22:I34)</f>
        <v>2804.3830000000003</v>
      </c>
      <c r="J35" s="87">
        <f>I35/I12</f>
        <v>3.2936129781634157E-3</v>
      </c>
      <c r="K35" s="79">
        <f>SUM(K22:K34)</f>
        <v>2586.2438951320064</v>
      </c>
      <c r="L35" s="87">
        <f>K35/K12</f>
        <v>3.3210281261998216E-3</v>
      </c>
      <c r="M35" s="29">
        <f>SUM(M22:M34)</f>
        <v>3562.7614974842199</v>
      </c>
      <c r="N35" s="87">
        <f>M35/M12</f>
        <v>3.2263972219459705E-3</v>
      </c>
      <c r="O35" s="29">
        <f>SUM(O22:O34)</f>
        <v>2347.344157934227</v>
      </c>
      <c r="P35" s="87">
        <f>O35/O12</f>
        <v>3.3575951029127761E-3</v>
      </c>
      <c r="Q35" s="29">
        <f>SUM(Q22:Q34)</f>
        <v>2854.3541191036511</v>
      </c>
      <c r="R35" s="87">
        <f>Q35/Q12</f>
        <v>3.2879792707522166E-3</v>
      </c>
      <c r="S35" s="29">
        <f>SUM(S22:S34)</f>
        <v>2873.5723663840422</v>
      </c>
      <c r="T35" s="87">
        <f>S35/S12</f>
        <v>3.2858697589629266E-3</v>
      </c>
      <c r="U35" s="79">
        <f>SUM(U22:U34)</f>
        <v>2331.034731017452</v>
      </c>
      <c r="V35" s="87">
        <f>U35/U12</f>
        <v>3.3603976372048885E-3</v>
      </c>
      <c r="W35" s="58">
        <f>SUM(W22:W34)</f>
        <v>2367.3311592942791</v>
      </c>
      <c r="X35" s="87">
        <f>W35/W12</f>
        <v>3.3542195072829234E-3</v>
      </c>
      <c r="Y35" s="79">
        <f>SUM(Y22:Y34)</f>
        <v>3448.5748621786902</v>
      </c>
      <c r="Z35" s="87">
        <f>Y35/Y12</f>
        <v>3.2344794267185422E-3</v>
      </c>
      <c r="AA35" s="165">
        <f>SUM(AA22:AA34)</f>
        <v>32804.047090777982</v>
      </c>
      <c r="AB35" s="87">
        <f>AA35/AA12</f>
        <v>3.301972412423975E-3</v>
      </c>
      <c r="AC35" s="173">
        <f>SUM(AC22:AC34)</f>
        <v>2733.6705908981653</v>
      </c>
      <c r="AD35" s="87">
        <f>AC35/AC12</f>
        <v>3.3019724124239754E-3</v>
      </c>
      <c r="AE35" s="599">
        <f>AE36/AD37</f>
        <v>334004.19707258529</v>
      </c>
      <c r="AF35" s="599"/>
      <c r="AG35" s="623"/>
    </row>
    <row r="36" spans="1:33" s="1" customFormat="1">
      <c r="A36" s="9">
        <v>5999</v>
      </c>
      <c r="B36" s="239" t="s">
        <v>110</v>
      </c>
      <c r="C36" s="47">
        <f>C21+C35</f>
        <v>391111.68615777668</v>
      </c>
      <c r="D36" s="87">
        <f>C36/C12</f>
        <v>0.52343458127166553</v>
      </c>
      <c r="E36" s="79">
        <f>E21+E35</f>
        <v>291668.08495580044</v>
      </c>
      <c r="F36" s="87">
        <f>E36/E12</f>
        <v>0.50173005223927336</v>
      </c>
      <c r="G36" s="119">
        <f>G21+G35</f>
        <v>541505.09583449259</v>
      </c>
      <c r="H36" s="87">
        <f>G36/G12</f>
        <v>0.56155925852907429</v>
      </c>
      <c r="I36" s="29">
        <f>I21+I35</f>
        <v>440029.60650000005</v>
      </c>
      <c r="J36" s="87">
        <f>I36/I12</f>
        <v>0.51679361297816351</v>
      </c>
      <c r="K36" s="79">
        <f>K21+K35</f>
        <v>351932.5810138713</v>
      </c>
      <c r="L36" s="87">
        <f>K36/K12</f>
        <v>0.45192102812619978</v>
      </c>
      <c r="M36" s="29">
        <f>M21+M35</f>
        <v>601516.2117933858</v>
      </c>
      <c r="N36" s="87">
        <f>M36/M12</f>
        <v>0.54472639722194593</v>
      </c>
      <c r="O36" s="29">
        <f>O21+O35</f>
        <v>344913.55662052467</v>
      </c>
      <c r="P36" s="87">
        <f>O36/O12</f>
        <v>0.49335759510291277</v>
      </c>
      <c r="Q36" s="29">
        <f>Q21+Q35</f>
        <v>402188.65238166344</v>
      </c>
      <c r="R36" s="87">
        <f>Q36/Q12</f>
        <v>0.46328797927075221</v>
      </c>
      <c r="S36" s="29">
        <f>S21+S35</f>
        <v>488147.00773521903</v>
      </c>
      <c r="T36" s="87">
        <f>S36/S12</f>
        <v>0.558185869758963</v>
      </c>
      <c r="U36" s="79">
        <f>U21+U35</f>
        <v>345563.02970016247</v>
      </c>
      <c r="V36" s="87">
        <f>U36/U12</f>
        <v>0.49816039763720482</v>
      </c>
      <c r="W36" s="58">
        <f>W21+W35</f>
        <v>322366.6470339697</v>
      </c>
      <c r="X36" s="87">
        <f>W36/W12</f>
        <v>0.45675421950728301</v>
      </c>
      <c r="Y36" s="79">
        <f>Y21+Y35</f>
        <v>565438.17814697453</v>
      </c>
      <c r="Z36" s="87">
        <f>Y36/Y12</f>
        <v>0.53033447942671852</v>
      </c>
      <c r="AA36" s="165">
        <f>AA21+AA35</f>
        <v>5086380.3378738407</v>
      </c>
      <c r="AB36" s="87">
        <f>AA36/AA12</f>
        <v>0.5119821803778799</v>
      </c>
      <c r="AC36" s="173">
        <f>AC21+AC35</f>
        <v>423865.02815615333</v>
      </c>
      <c r="AD36" s="87">
        <f>AC36/AC12</f>
        <v>0.51198218037787979</v>
      </c>
      <c r="AE36" s="599">
        <v>163000</v>
      </c>
      <c r="AF36" s="599"/>
      <c r="AG36" s="623"/>
    </row>
    <row r="37" spans="1:33" s="1" customFormat="1" ht="15.75" thickBot="1">
      <c r="A37" s="10"/>
      <c r="B37" s="240" t="s">
        <v>68</v>
      </c>
      <c r="C37" s="46">
        <f>(C16-C36)</f>
        <v>356090.92549922335</v>
      </c>
      <c r="D37" s="88">
        <f>C37/C12</f>
        <v>0.47656541872833452</v>
      </c>
      <c r="E37" s="80">
        <f>(E16-E36)</f>
        <v>289656.64066917554</v>
      </c>
      <c r="F37" s="88">
        <f>E37/E12</f>
        <v>0.49826994776072664</v>
      </c>
      <c r="G37" s="120">
        <f>(G16-G36)</f>
        <v>422783.33430000336</v>
      </c>
      <c r="H37" s="88">
        <f>G37/G12</f>
        <v>0.43844074147092571</v>
      </c>
      <c r="I37" s="30">
        <f>(I16-I36)</f>
        <v>411431.39349999995</v>
      </c>
      <c r="J37" s="88">
        <f>I37/I12</f>
        <v>0.48320638702183655</v>
      </c>
      <c r="K37" s="80">
        <f>(K16-K36)</f>
        <v>426815.38403013075</v>
      </c>
      <c r="L37" s="88">
        <f>K37/K12</f>
        <v>0.54807897187380017</v>
      </c>
      <c r="M37" s="30">
        <f>(M16-M36)</f>
        <v>502737.62070135411</v>
      </c>
      <c r="N37" s="88">
        <f>M37/M12</f>
        <v>0.45527360277805412</v>
      </c>
      <c r="O37" s="30">
        <f>(O16-O36)</f>
        <v>354201.16269088438</v>
      </c>
      <c r="P37" s="88">
        <f>O37/O12</f>
        <v>0.50664240489708723</v>
      </c>
      <c r="Q37" s="30">
        <f>(Q16-Q36)</f>
        <v>465929.38731955353</v>
      </c>
      <c r="R37" s="88">
        <f>Q37/Q12</f>
        <v>0.53671202072924784</v>
      </c>
      <c r="S37" s="30">
        <f>(S16-S36)</f>
        <v>386377.11439279496</v>
      </c>
      <c r="T37" s="88">
        <f>S37/S12</f>
        <v>0.44181413024103705</v>
      </c>
      <c r="U37" s="80">
        <f>(U16-U36)</f>
        <v>348115.21397232148</v>
      </c>
      <c r="V37" s="88">
        <f>U37/U12</f>
        <v>0.50183960236279512</v>
      </c>
      <c r="W37" s="59">
        <f>(W16-W36)</f>
        <v>383410.40606412332</v>
      </c>
      <c r="X37" s="88">
        <f>W37/W12</f>
        <v>0.54324578049271699</v>
      </c>
      <c r="Y37" s="80">
        <f>(Y16-Y36)</f>
        <v>500753.44257925556</v>
      </c>
      <c r="Z37" s="88">
        <f>Y37/Y12</f>
        <v>0.46966552057328148</v>
      </c>
      <c r="AA37" s="150">
        <f>(AA16-AA36)</f>
        <v>4848302.0257188212</v>
      </c>
      <c r="AB37" s="88">
        <f>AA37/AA12</f>
        <v>0.4880178196221201</v>
      </c>
      <c r="AC37" s="135">
        <f>(AC16-AC36)</f>
        <v>404025.16880990186</v>
      </c>
      <c r="AD37" s="88">
        <f>AC37/AC12</f>
        <v>0.48801781962212015</v>
      </c>
      <c r="AE37" s="600"/>
      <c r="AF37" s="600"/>
      <c r="AG37" s="624"/>
    </row>
    <row r="38" spans="1:33" s="1" customFormat="1" ht="15.75" thickTop="1">
      <c r="A38" s="2">
        <v>6002</v>
      </c>
      <c r="B38" s="228" t="s">
        <v>45</v>
      </c>
      <c r="C38" s="292"/>
      <c r="D38" s="68">
        <f>C38/C12</f>
        <v>0</v>
      </c>
      <c r="E38" s="61"/>
      <c r="F38" s="68">
        <f>E38/E12</f>
        <v>0</v>
      </c>
      <c r="G38" s="114"/>
      <c r="H38" s="68">
        <f>G38/G12</f>
        <v>0</v>
      </c>
      <c r="I38" s="26"/>
      <c r="J38" s="68">
        <f>I38/I12</f>
        <v>0</v>
      </c>
      <c r="K38" s="61"/>
      <c r="L38" s="68">
        <f>K38/K12</f>
        <v>0</v>
      </c>
      <c r="M38" s="26"/>
      <c r="N38" s="702">
        <f>M38/M12</f>
        <v>0</v>
      </c>
      <c r="O38" s="26"/>
      <c r="P38" s="702">
        <f>O38/O12</f>
        <v>0</v>
      </c>
      <c r="Q38" s="26"/>
      <c r="R38" s="68">
        <f>Q38/Q12</f>
        <v>0</v>
      </c>
      <c r="S38" s="26"/>
      <c r="T38" s="68">
        <f>S38/S12</f>
        <v>0</v>
      </c>
      <c r="U38" s="61"/>
      <c r="V38" s="68">
        <f>U38/U12</f>
        <v>0</v>
      </c>
      <c r="W38" s="51"/>
      <c r="X38" s="68">
        <f>W38/W12</f>
        <v>0</v>
      </c>
      <c r="Y38" s="61"/>
      <c r="Z38" s="68">
        <f>Y38/Y12</f>
        <v>0</v>
      </c>
      <c r="AA38" s="144">
        <f>C38+E38+G38+I38+K38+M38+O38+Q38+S38+U38+W38+Y38</f>
        <v>0</v>
      </c>
      <c r="AB38" s="68">
        <f>AA38/AA12</f>
        <v>0</v>
      </c>
      <c r="AC38" s="128">
        <f t="shared" ref="AC38:AC40" si="21">AA38/12</f>
        <v>0</v>
      </c>
      <c r="AD38" s="68">
        <f>AC38/AC12</f>
        <v>0</v>
      </c>
      <c r="AE38" s="595"/>
      <c r="AF38" s="595"/>
      <c r="AG38" s="555"/>
    </row>
    <row r="39" spans="1:33" s="1" customFormat="1">
      <c r="A39" s="2">
        <v>6003</v>
      </c>
      <c r="B39" s="2" t="s">
        <v>0</v>
      </c>
      <c r="C39" s="26"/>
      <c r="D39" s="68">
        <f>C39/C12</f>
        <v>0</v>
      </c>
      <c r="E39" s="26"/>
      <c r="F39" s="68">
        <f>E39/E12</f>
        <v>0</v>
      </c>
      <c r="G39" s="26">
        <v>0</v>
      </c>
      <c r="H39" s="68">
        <f>G39/G12</f>
        <v>0</v>
      </c>
      <c r="I39" s="26"/>
      <c r="J39" s="68">
        <f>I39/I12</f>
        <v>0</v>
      </c>
      <c r="K39" s="26">
        <v>0</v>
      </c>
      <c r="L39" s="68">
        <f>K39/K12</f>
        <v>0</v>
      </c>
      <c r="M39" s="26"/>
      <c r="N39" s="702">
        <f>M39/M12</f>
        <v>0</v>
      </c>
      <c r="O39" s="26"/>
      <c r="P39" s="702">
        <f>O39/O12</f>
        <v>0</v>
      </c>
      <c r="Q39" s="26"/>
      <c r="R39" s="68">
        <f>Q39/Q12</f>
        <v>0</v>
      </c>
      <c r="S39" s="26">
        <v>0</v>
      </c>
      <c r="T39" s="68">
        <f>S39/S12</f>
        <v>0</v>
      </c>
      <c r="U39" s="26"/>
      <c r="V39" s="68">
        <f>U39/U12</f>
        <v>0</v>
      </c>
      <c r="W39" s="26"/>
      <c r="X39" s="68">
        <f>W39/W12</f>
        <v>0</v>
      </c>
      <c r="Y39" s="26"/>
      <c r="Z39" s="68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si="21"/>
        <v>0</v>
      </c>
      <c r="AD39" s="68">
        <f>AC39/AC12</f>
        <v>0</v>
      </c>
      <c r="AE39" s="595"/>
      <c r="AF39" s="595"/>
      <c r="AG39" s="555"/>
    </row>
    <row r="40" spans="1:33" s="1" customFormat="1">
      <c r="A40" s="2">
        <v>6004</v>
      </c>
      <c r="B40" s="228" t="s">
        <v>1</v>
      </c>
      <c r="C40" s="292"/>
      <c r="D40" s="68">
        <f>C40/C12</f>
        <v>0</v>
      </c>
      <c r="E40" s="61"/>
      <c r="F40" s="68">
        <f>E40/E12</f>
        <v>0</v>
      </c>
      <c r="G40" s="114"/>
      <c r="H40" s="68">
        <f>G40/G12</f>
        <v>0</v>
      </c>
      <c r="I40" s="26"/>
      <c r="J40" s="68">
        <f>I40/I12</f>
        <v>0</v>
      </c>
      <c r="K40" s="61"/>
      <c r="L40" s="68">
        <f>K40/K12</f>
        <v>0</v>
      </c>
      <c r="M40" s="26"/>
      <c r="N40" s="702">
        <f>M40/M12</f>
        <v>0</v>
      </c>
      <c r="O40" s="26"/>
      <c r="P40" s="702">
        <f>O40/O12</f>
        <v>0</v>
      </c>
      <c r="Q40" s="26"/>
      <c r="R40" s="68">
        <f>Q40/Q12</f>
        <v>0</v>
      </c>
      <c r="S40" s="26"/>
      <c r="T40" s="68">
        <f>S40/S12</f>
        <v>0</v>
      </c>
      <c r="U40" s="61"/>
      <c r="V40" s="68">
        <f>U40/U12</f>
        <v>0</v>
      </c>
      <c r="W40" s="51"/>
      <c r="X40" s="68">
        <f>W40/W12</f>
        <v>0</v>
      </c>
      <c r="Y40" s="61"/>
      <c r="Z40" s="68">
        <f>Y40/Y12</f>
        <v>0</v>
      </c>
      <c r="AA40" s="144">
        <f>C40+E40+G40+I40+K40+M40+O40+Q40+S40+U40+W40+Y40</f>
        <v>0</v>
      </c>
      <c r="AB40" s="68">
        <f>AA40/AA12</f>
        <v>0</v>
      </c>
      <c r="AC40" s="128">
        <f t="shared" si="21"/>
        <v>0</v>
      </c>
      <c r="AD40" s="68">
        <f>AC40/AC12</f>
        <v>0</v>
      </c>
      <c r="AE40" s="595"/>
      <c r="AF40" s="595"/>
      <c r="AG40" s="555"/>
    </row>
    <row r="41" spans="1:33" s="1" customFormat="1" ht="15.75" thickBot="1">
      <c r="A41" s="4">
        <v>6099</v>
      </c>
      <c r="B41" s="229" t="s">
        <v>111</v>
      </c>
      <c r="C41" s="45">
        <f>SUM(C38:C40)</f>
        <v>0</v>
      </c>
      <c r="D41" s="89">
        <f>C41/C12</f>
        <v>0</v>
      </c>
      <c r="E41" s="76">
        <f>SUM(E38:E40)</f>
        <v>0</v>
      </c>
      <c r="F41" s="89">
        <f>E41/E12</f>
        <v>0</v>
      </c>
      <c r="G41" s="116">
        <f>SUM(G38:G40)</f>
        <v>0</v>
      </c>
      <c r="H41" s="89">
        <f>G41/G12</f>
        <v>0</v>
      </c>
      <c r="I41" s="28">
        <f>SUM(I38:I40)</f>
        <v>0</v>
      </c>
      <c r="J41" s="89">
        <f>I41/I12</f>
        <v>0</v>
      </c>
      <c r="K41" s="76">
        <f>SUM(K38:K40)</f>
        <v>0</v>
      </c>
      <c r="L41" s="89">
        <f>K41/K12</f>
        <v>0</v>
      </c>
      <c r="M41" s="28">
        <f>SUM(M38:M40)</f>
        <v>0</v>
      </c>
      <c r="N41" s="89">
        <f>M41/M12</f>
        <v>0</v>
      </c>
      <c r="O41" s="28">
        <f>SUM(O38:O40)</f>
        <v>0</v>
      </c>
      <c r="P41" s="89">
        <f>O41/O12</f>
        <v>0</v>
      </c>
      <c r="Q41" s="28">
        <f>SUM(Q38:Q40)</f>
        <v>0</v>
      </c>
      <c r="R41" s="89">
        <f>Q41/Q12</f>
        <v>0</v>
      </c>
      <c r="S41" s="28">
        <f>SUM(S38:S40)</f>
        <v>0</v>
      </c>
      <c r="T41" s="89">
        <f>S41/S12</f>
        <v>0</v>
      </c>
      <c r="U41" s="76">
        <f>SUM(U38:U40)</f>
        <v>0</v>
      </c>
      <c r="V41" s="89">
        <f>U41/U12</f>
        <v>0</v>
      </c>
      <c r="W41" s="52">
        <f>SUM(W38:W40)</f>
        <v>0</v>
      </c>
      <c r="X41" s="89">
        <f>W41/W12</f>
        <v>0</v>
      </c>
      <c r="Y41" s="76">
        <f>SUM(Y38:Y40)</f>
        <v>0</v>
      </c>
      <c r="Z41" s="89">
        <f>Y41/Y12</f>
        <v>0</v>
      </c>
      <c r="AA41" s="148">
        <f>SUM(AA38:AA40)</f>
        <v>0</v>
      </c>
      <c r="AB41" s="89">
        <f>AA41/AA12</f>
        <v>0</v>
      </c>
      <c r="AC41" s="132">
        <f>SUM(AC38:AC40)</f>
        <v>0</v>
      </c>
      <c r="AD41" s="89">
        <f>AC41/AC12</f>
        <v>0</v>
      </c>
      <c r="AE41" s="596"/>
      <c r="AF41" s="596"/>
      <c r="AG41" s="622"/>
    </row>
    <row r="42" spans="1:33" s="1" customFormat="1" ht="15.75" thickTop="1">
      <c r="A42" s="757">
        <v>6101</v>
      </c>
      <c r="B42" s="227" t="s">
        <v>2</v>
      </c>
      <c r="C42" s="706">
        <f>C16*7%</f>
        <v>52304.182815990011</v>
      </c>
      <c r="D42" s="68">
        <f>C42/C12</f>
        <v>7.0000000000000007E-2</v>
      </c>
      <c r="E42" s="706">
        <f>E16*7%</f>
        <v>40692.73079374832</v>
      </c>
      <c r="F42" s="68">
        <f>E42/E12</f>
        <v>7.0000000000000007E-2</v>
      </c>
      <c r="G42" s="706">
        <f>G16*7%</f>
        <v>67500.190109414718</v>
      </c>
      <c r="H42" s="68">
        <f>G42/G12</f>
        <v>7.0000000000000007E-2</v>
      </c>
      <c r="I42" s="706">
        <f>I16*7%</f>
        <v>59602.270000000004</v>
      </c>
      <c r="J42" s="68">
        <f>I42/I12</f>
        <v>7.0000000000000007E-2</v>
      </c>
      <c r="K42" s="706">
        <f>K16*7%</f>
        <v>54512.357553080146</v>
      </c>
      <c r="L42" s="68">
        <f>K42/K12</f>
        <v>7.0000000000000007E-2</v>
      </c>
      <c r="M42" s="706">
        <f>M16*7%</f>
        <v>77297.768274631802</v>
      </c>
      <c r="N42" s="702">
        <f>M42/M12</f>
        <v>7.0000000000000007E-2</v>
      </c>
      <c r="O42" s="706">
        <v>149440.49</v>
      </c>
      <c r="P42" s="702">
        <f>O42/O12</f>
        <v>0.21375674960354282</v>
      </c>
      <c r="Q42" s="706">
        <v>149440.49</v>
      </c>
      <c r="R42" s="68">
        <f>Q42/Q12</f>
        <v>0.17214305332421548</v>
      </c>
      <c r="S42" s="706">
        <v>149440.49</v>
      </c>
      <c r="T42" s="68">
        <f>S42/S12</f>
        <v>0.17088206742240633</v>
      </c>
      <c r="U42" s="706">
        <v>149440.49</v>
      </c>
      <c r="V42" s="68">
        <f>U42/U12</f>
        <v>0.21543199799496296</v>
      </c>
      <c r="W42" s="706">
        <v>149440.49</v>
      </c>
      <c r="X42" s="68">
        <f>W42/W12</f>
        <v>0.2117389469436744</v>
      </c>
      <c r="Y42" s="706">
        <v>149440.49</v>
      </c>
      <c r="Z42" s="68">
        <f>Y42/Y12</f>
        <v>0.14016288169495225</v>
      </c>
      <c r="AA42" s="144">
        <f t="shared" ref="AA42:AA75" si="22">C42+E42+G42+I42+K42+M42+O42+Q42+S42+U42+W42+Y42</f>
        <v>1248552.4395468649</v>
      </c>
      <c r="AB42" s="68">
        <f>AA42/AA12</f>
        <v>0.12567613073593559</v>
      </c>
      <c r="AC42" s="128">
        <f>AA42/12</f>
        <v>104046.03662890541</v>
      </c>
      <c r="AD42" s="68">
        <f>AC42/AC12</f>
        <v>0.12567613073593559</v>
      </c>
      <c r="AE42" s="595" t="s">
        <v>300</v>
      </c>
      <c r="AF42" s="595" t="s">
        <v>331</v>
      </c>
      <c r="AG42" s="555"/>
    </row>
    <row r="43" spans="1:33" s="1" customFormat="1">
      <c r="A43" s="188">
        <v>6102</v>
      </c>
      <c r="B43" s="227" t="s">
        <v>3</v>
      </c>
      <c r="C43" s="295">
        <v>8100</v>
      </c>
      <c r="D43" s="68">
        <f>C43/C12</f>
        <v>1.0840433201962988E-2</v>
      </c>
      <c r="E43" s="295">
        <v>8100</v>
      </c>
      <c r="F43" s="68">
        <f>E43/E12</f>
        <v>1.3933692552457281E-2</v>
      </c>
      <c r="G43" s="295">
        <v>8100</v>
      </c>
      <c r="H43" s="68">
        <f>G43/G12</f>
        <v>8.3999763420061335E-3</v>
      </c>
      <c r="I43" s="295">
        <v>8100</v>
      </c>
      <c r="J43" s="68">
        <f>I43/I12</f>
        <v>9.5130604924946651E-3</v>
      </c>
      <c r="K43" s="295">
        <v>8100</v>
      </c>
      <c r="L43" s="68">
        <f>K43/K12</f>
        <v>1.0401311288874214E-2</v>
      </c>
      <c r="M43" s="295">
        <v>8100</v>
      </c>
      <c r="N43" s="702">
        <f>M43/M12</f>
        <v>7.3352699910494397E-3</v>
      </c>
      <c r="O43" s="295">
        <v>8100</v>
      </c>
      <c r="P43" s="702">
        <f>O43/O12</f>
        <v>1.158608133437395E-2</v>
      </c>
      <c r="Q43" s="295">
        <v>8100</v>
      </c>
      <c r="R43" s="68">
        <f>Q43/Q12</f>
        <v>9.3305283723718081E-3</v>
      </c>
      <c r="S43" s="295">
        <v>8100</v>
      </c>
      <c r="T43" s="68">
        <f>S43/S12</f>
        <v>9.2621801903988096E-3</v>
      </c>
      <c r="U43" s="295">
        <v>8100</v>
      </c>
      <c r="V43" s="68">
        <f>U43/U12</f>
        <v>1.1676883445438381E-2</v>
      </c>
      <c r="W43" s="295">
        <v>8100</v>
      </c>
      <c r="X43" s="68">
        <f>W43/W12</f>
        <v>1.1476712035966711E-2</v>
      </c>
      <c r="Y43" s="295">
        <v>8100</v>
      </c>
      <c r="Z43" s="68">
        <f>Y43/Y12</f>
        <v>7.5971334256807735E-3</v>
      </c>
      <c r="AA43" s="144">
        <f t="shared" si="22"/>
        <v>97200</v>
      </c>
      <c r="AB43" s="68">
        <f>AA43/AA12</f>
        <v>9.7839061625368089E-3</v>
      </c>
      <c r="AC43" s="128">
        <f t="shared" ref="AC43:AC75" si="23">AA43/12</f>
        <v>8100</v>
      </c>
      <c r="AD43" s="68">
        <f>AC43/AC12</f>
        <v>9.7839061625368089E-3</v>
      </c>
      <c r="AE43" s="595" t="s">
        <v>310</v>
      </c>
      <c r="AF43" s="735" t="s">
        <v>297</v>
      </c>
      <c r="AG43" s="555"/>
    </row>
    <row r="44" spans="1:33" s="1" customFormat="1">
      <c r="A44" s="188">
        <v>6103</v>
      </c>
      <c r="B44" s="227" t="s">
        <v>4</v>
      </c>
      <c r="C44" s="292">
        <v>0</v>
      </c>
      <c r="D44" s="68">
        <f>C44/C12</f>
        <v>0</v>
      </c>
      <c r="E44" s="703"/>
      <c r="F44" s="68">
        <f>E44/E12</f>
        <v>0</v>
      </c>
      <c r="G44" s="114">
        <v>0</v>
      </c>
      <c r="H44" s="68">
        <f>G44/G12</f>
        <v>0</v>
      </c>
      <c r="I44" s="292">
        <v>0</v>
      </c>
      <c r="J44" s="68">
        <f>I44/I12</f>
        <v>0</v>
      </c>
      <c r="K44" s="703">
        <v>0</v>
      </c>
      <c r="L44" s="68">
        <f>K44/K12</f>
        <v>0</v>
      </c>
      <c r="M44" s="704">
        <v>0</v>
      </c>
      <c r="N44" s="702">
        <f>M44/M12</f>
        <v>0</v>
      </c>
      <c r="P44" s="702">
        <f>O44/O12</f>
        <v>0</v>
      </c>
      <c r="Q44" s="292">
        <v>0</v>
      </c>
      <c r="R44" s="68">
        <f>Q44/Q12</f>
        <v>0</v>
      </c>
      <c r="S44" s="292"/>
      <c r="T44" s="68">
        <f>S44/S12</f>
        <v>0</v>
      </c>
      <c r="U44" s="114">
        <v>0</v>
      </c>
      <c r="V44" s="68">
        <f>U44/U12</f>
        <v>0</v>
      </c>
      <c r="W44" s="114"/>
      <c r="X44" s="68">
        <f>W44/W12</f>
        <v>0</v>
      </c>
      <c r="Y44" s="114"/>
      <c r="Z44" s="68">
        <f>Y44/Y12</f>
        <v>0</v>
      </c>
      <c r="AA44" s="144">
        <f t="shared" si="22"/>
        <v>0</v>
      </c>
      <c r="AB44" s="68">
        <f>AA44/AA12</f>
        <v>0</v>
      </c>
      <c r="AC44" s="128">
        <f t="shared" si="23"/>
        <v>0</v>
      </c>
      <c r="AD44" s="68">
        <f>AC44/AC12</f>
        <v>0</v>
      </c>
      <c r="AE44" s="595"/>
      <c r="AF44" s="595"/>
      <c r="AG44" s="555"/>
    </row>
    <row r="45" spans="1:33" s="1" customFormat="1">
      <c r="A45" s="188">
        <v>6104</v>
      </c>
      <c r="B45" s="227" t="s">
        <v>5</v>
      </c>
      <c r="C45" s="693">
        <v>2750</v>
      </c>
      <c r="D45" s="68">
        <f>C45/C12</f>
        <v>3.6803939883207674E-3</v>
      </c>
      <c r="E45" s="693">
        <v>2750</v>
      </c>
      <c r="F45" s="68">
        <f>E45/E12</f>
        <v>4.7305746320071016E-3</v>
      </c>
      <c r="G45" s="693">
        <v>2750</v>
      </c>
      <c r="H45" s="68">
        <f>G45/G12</f>
        <v>2.8518438198168973E-3</v>
      </c>
      <c r="I45" s="693">
        <v>2750</v>
      </c>
      <c r="J45" s="68">
        <f>I45/I12</f>
        <v>3.2297427597975715E-3</v>
      </c>
      <c r="K45" s="693">
        <v>2750</v>
      </c>
      <c r="L45" s="68">
        <f>K45/K12</f>
        <v>3.5313093881980356E-3</v>
      </c>
      <c r="M45" s="693">
        <v>2750</v>
      </c>
      <c r="N45" s="702">
        <f>M45/M12</f>
        <v>2.4903694414056738E-3</v>
      </c>
      <c r="O45" s="693">
        <v>2750</v>
      </c>
      <c r="P45" s="702">
        <f>O45/O12</f>
        <v>3.9335461320405387E-3</v>
      </c>
      <c r="Q45" s="693">
        <v>2750</v>
      </c>
      <c r="R45" s="68">
        <f>Q45/Q12</f>
        <v>3.1677719782743788E-3</v>
      </c>
      <c r="S45" s="693">
        <v>2750</v>
      </c>
      <c r="T45" s="68">
        <f>S45/S12</f>
        <v>3.1445673485921881E-3</v>
      </c>
      <c r="U45" s="693">
        <v>2750</v>
      </c>
      <c r="V45" s="68">
        <f>U45/U12</f>
        <v>3.9643740092537719E-3</v>
      </c>
      <c r="W45" s="693">
        <v>2750</v>
      </c>
      <c r="X45" s="68">
        <f>W45/W12</f>
        <v>3.8964145801121544E-3</v>
      </c>
      <c r="Y45" s="693">
        <v>2750</v>
      </c>
      <c r="Z45" s="68">
        <f>Y45/Y12</f>
        <v>2.5792736939039664E-3</v>
      </c>
      <c r="AA45" s="144">
        <f t="shared" si="22"/>
        <v>33000</v>
      </c>
      <c r="AB45" s="68">
        <f>AA45/AA12</f>
        <v>3.3216965366637315E-3</v>
      </c>
      <c r="AC45" s="128">
        <f t="shared" si="23"/>
        <v>2750</v>
      </c>
      <c r="AD45" s="68">
        <f>AC45/AC12</f>
        <v>3.3216965366637315E-3</v>
      </c>
      <c r="AE45" s="645"/>
      <c r="AF45" s="694"/>
      <c r="AG45" s="555"/>
    </row>
    <row r="46" spans="1:33" s="1" customFormat="1">
      <c r="A46" s="188">
        <v>6105</v>
      </c>
      <c r="B46" s="227" t="s">
        <v>39</v>
      </c>
      <c r="C46" s="436">
        <f>C12*0.24%</f>
        <v>1793.2862679768</v>
      </c>
      <c r="D46" s="702">
        <f>C46/C$12</f>
        <v>2.3999999999999998E-3</v>
      </c>
      <c r="E46" s="436">
        <f>E12*0.24%</f>
        <v>1395.1793414999422</v>
      </c>
      <c r="F46" s="702">
        <f>E46/E$12</f>
        <v>2.3999999999999998E-3</v>
      </c>
      <c r="G46" s="436">
        <f>G12*0.24%</f>
        <v>2314.2922323227899</v>
      </c>
      <c r="H46" s="702">
        <f>G46/$G$12</f>
        <v>2.3999999999999998E-3</v>
      </c>
      <c r="I46" s="436">
        <f>I12*0.24%</f>
        <v>2043.5063999999998</v>
      </c>
      <c r="J46" s="226">
        <v>2.282921148507532E-3</v>
      </c>
      <c r="K46" s="436">
        <f>K12*0.24%</f>
        <v>1868.9951161056047</v>
      </c>
      <c r="L46" s="226">
        <v>1.4480363095715567E-3</v>
      </c>
      <c r="M46" s="436">
        <f>M12*0.24%</f>
        <v>2650.2091979873758</v>
      </c>
      <c r="N46" s="702">
        <v>1.4265472348621291E-3</v>
      </c>
      <c r="O46" s="436">
        <f>O12*0.24%</f>
        <v>1677.8753263473816</v>
      </c>
      <c r="P46" s="702">
        <f>O46/O$12</f>
        <v>2.3999999999999998E-3</v>
      </c>
      <c r="Q46" s="436">
        <f>Q12*0.24%</f>
        <v>2083.4832952829206</v>
      </c>
      <c r="R46" s="702">
        <f>Q46/Q$12</f>
        <v>2.3999999999999998E-3</v>
      </c>
      <c r="S46" s="436">
        <f>S12*0.24%</f>
        <v>2098.8578931072334</v>
      </c>
      <c r="T46" s="702">
        <f>S46/S$12</f>
        <v>2.3999999999999998E-3</v>
      </c>
      <c r="U46" s="436">
        <f>U12*0.24%</f>
        <v>1664.8277848139614</v>
      </c>
      <c r="V46" s="702">
        <f>U46/U12</f>
        <v>2.3999999999999998E-3</v>
      </c>
      <c r="W46" s="436">
        <f>W12*0.24%</f>
        <v>1693.8649274354232</v>
      </c>
      <c r="X46" s="702">
        <f>W46/W12</f>
        <v>2.3999999999999998E-3</v>
      </c>
      <c r="Y46" s="436">
        <f>Y16*0.24%</f>
        <v>2558.859889742952</v>
      </c>
      <c r="Z46" s="702">
        <f>Y46/Y12</f>
        <v>2.3999999999999998E-3</v>
      </c>
      <c r="AA46" s="144">
        <f t="shared" ref="AA46:AA47" si="24">C46+E46+G46+I46+K46+M46+O46+Q46+S46+U46+W46+Y46</f>
        <v>23843.237672622385</v>
      </c>
      <c r="AB46" s="677">
        <f>AA46/AA12</f>
        <v>2.3999999999999998E-3</v>
      </c>
      <c r="AC46" s="128">
        <f t="shared" ref="AC46:AC47" si="25">AA46/12</f>
        <v>1986.9364727185321</v>
      </c>
      <c r="AD46" s="677">
        <f>AC46/AC12</f>
        <v>2.3999999999999994E-3</v>
      </c>
      <c r="AE46" s="645"/>
      <c r="AF46" s="694"/>
      <c r="AG46" s="555"/>
    </row>
    <row r="47" spans="1:33" s="1" customFormat="1">
      <c r="A47" s="188">
        <v>6106</v>
      </c>
      <c r="B47" s="188" t="s">
        <v>6</v>
      </c>
      <c r="C47" s="432">
        <v>200</v>
      </c>
      <c r="D47" s="702">
        <f>C47/C12</f>
        <v>2.6766501733241946E-4</v>
      </c>
      <c r="E47" s="432">
        <v>200</v>
      </c>
      <c r="F47" s="702">
        <f>E47/E12</f>
        <v>3.4404179141869827E-4</v>
      </c>
      <c r="G47" s="432">
        <v>200</v>
      </c>
      <c r="H47" s="702">
        <f>G47/G12</f>
        <v>2.0740682325941069E-4</v>
      </c>
      <c r="I47" s="432">
        <v>200</v>
      </c>
      <c r="J47" s="702">
        <f>I47/I12</f>
        <v>2.3489038253073248E-4</v>
      </c>
      <c r="K47" s="432">
        <v>200</v>
      </c>
      <c r="L47" s="702">
        <f>K47/K12</f>
        <v>2.5682250095985712E-4</v>
      </c>
      <c r="M47" s="432">
        <v>200</v>
      </c>
      <c r="N47" s="702">
        <f>M47/M12</f>
        <v>1.8111777755677627E-4</v>
      </c>
      <c r="O47" s="432">
        <v>200</v>
      </c>
      <c r="P47" s="702">
        <f>O47/O12</f>
        <v>2.86076082330221E-4</v>
      </c>
      <c r="Q47" s="432">
        <v>200</v>
      </c>
      <c r="R47" s="702">
        <f>Q47/Q12</f>
        <v>2.3038341660177301E-4</v>
      </c>
      <c r="S47" s="432">
        <v>200</v>
      </c>
      <c r="T47" s="702">
        <f>S47/S12</f>
        <v>2.2869580717034096E-4</v>
      </c>
      <c r="U47" s="432">
        <v>200</v>
      </c>
      <c r="V47" s="702">
        <f>U47/U12</f>
        <v>2.8831810976391066E-4</v>
      </c>
      <c r="W47" s="432">
        <v>200</v>
      </c>
      <c r="X47" s="702">
        <f>W47/W12</f>
        <v>2.8337560582633852E-4</v>
      </c>
      <c r="Y47" s="432">
        <v>200</v>
      </c>
      <c r="Z47" s="702">
        <f>Y47/Y12</f>
        <v>1.8758354137483392E-4</v>
      </c>
      <c r="AA47" s="144">
        <f t="shared" si="24"/>
        <v>2400</v>
      </c>
      <c r="AB47" s="702">
        <f>AA47/AA12</f>
        <v>2.4157792993918049E-4</v>
      </c>
      <c r="AC47" s="128">
        <f t="shared" si="25"/>
        <v>200</v>
      </c>
      <c r="AD47" s="702">
        <f>AC47/AC12</f>
        <v>2.4157792993918046E-4</v>
      </c>
      <c r="AE47" s="645"/>
      <c r="AF47" s="694"/>
      <c r="AG47" s="226"/>
    </row>
    <row r="48" spans="1:33" s="1" customFormat="1">
      <c r="A48" s="188">
        <v>6107</v>
      </c>
      <c r="B48" s="227" t="s">
        <v>7</v>
      </c>
      <c r="C48" s="31">
        <v>0</v>
      </c>
      <c r="D48" s="68">
        <f>C48/C12</f>
        <v>0</v>
      </c>
      <c r="E48" s="31">
        <v>0</v>
      </c>
      <c r="F48" s="68">
        <f>E48/E12</f>
        <v>0</v>
      </c>
      <c r="H48" s="68">
        <f>G48/G12</f>
        <v>0</v>
      </c>
      <c r="I48" s="31">
        <v>0</v>
      </c>
      <c r="J48" s="68">
        <f>I48/I12</f>
        <v>0</v>
      </c>
      <c r="K48" s="31">
        <v>0</v>
      </c>
      <c r="L48" s="68">
        <f>K48/K12</f>
        <v>0</v>
      </c>
      <c r="M48" s="31">
        <v>0</v>
      </c>
      <c r="N48" s="702">
        <f>M48/M12</f>
        <v>0</v>
      </c>
      <c r="P48" s="702">
        <f>O48/O12</f>
        <v>0</v>
      </c>
      <c r="Q48" s="31"/>
      <c r="R48" s="68">
        <f>Q48/Q12</f>
        <v>0</v>
      </c>
      <c r="S48" s="31"/>
      <c r="T48" s="68">
        <f>S48/S12</f>
        <v>0</v>
      </c>
      <c r="U48" s="31"/>
      <c r="V48" s="68">
        <f>U48/U12</f>
        <v>0</v>
      </c>
      <c r="W48" s="31"/>
      <c r="X48" s="68">
        <f>W48/W12</f>
        <v>0</v>
      </c>
      <c r="Y48" s="31"/>
      <c r="Z48" s="68">
        <f>Y48/Y12</f>
        <v>0</v>
      </c>
      <c r="AA48" s="144">
        <f t="shared" si="22"/>
        <v>0</v>
      </c>
      <c r="AB48" s="68">
        <f>AA48/AA12</f>
        <v>0</v>
      </c>
      <c r="AC48" s="128">
        <f t="shared" si="23"/>
        <v>0</v>
      </c>
      <c r="AD48" s="68">
        <f>AC48/AC12</f>
        <v>0</v>
      </c>
      <c r="AE48" s="595"/>
      <c r="AF48" s="595"/>
      <c r="AG48" s="555"/>
    </row>
    <row r="49" spans="1:33" s="1" customFormat="1">
      <c r="A49" s="188">
        <v>6108</v>
      </c>
      <c r="B49" s="227" t="s">
        <v>8</v>
      </c>
      <c r="C49" s="31">
        <v>0</v>
      </c>
      <c r="D49" s="68">
        <f>C49/C12</f>
        <v>0</v>
      </c>
      <c r="E49" s="31">
        <v>0</v>
      </c>
      <c r="F49" s="68">
        <f>E49/E12</f>
        <v>0</v>
      </c>
      <c r="H49" s="68">
        <f>G49/G12</f>
        <v>0</v>
      </c>
      <c r="I49" s="31">
        <v>0</v>
      </c>
      <c r="J49" s="68">
        <f>I49/I12</f>
        <v>0</v>
      </c>
      <c r="K49" s="31">
        <v>0</v>
      </c>
      <c r="L49" s="68">
        <f>K49/K12</f>
        <v>0</v>
      </c>
      <c r="M49" s="31">
        <v>0</v>
      </c>
      <c r="N49" s="702">
        <f>M49/M12</f>
        <v>0</v>
      </c>
      <c r="P49" s="702">
        <f>O49/O12</f>
        <v>0</v>
      </c>
      <c r="Q49" s="31"/>
      <c r="R49" s="68">
        <f>Q49/Q12</f>
        <v>0</v>
      </c>
      <c r="S49" s="31"/>
      <c r="T49" s="68">
        <f>S49/S12</f>
        <v>0</v>
      </c>
      <c r="U49" s="31"/>
      <c r="V49" s="68">
        <f>U49/U12</f>
        <v>0</v>
      </c>
      <c r="W49" s="31"/>
      <c r="X49" s="68">
        <f>W49/W12</f>
        <v>0</v>
      </c>
      <c r="Y49" s="31"/>
      <c r="Z49" s="68">
        <f>Y49/Y12</f>
        <v>0</v>
      </c>
      <c r="AA49" s="144">
        <f t="shared" si="22"/>
        <v>0</v>
      </c>
      <c r="AB49" s="68">
        <f>AA49/AA12</f>
        <v>0</v>
      </c>
      <c r="AC49" s="128">
        <f t="shared" si="23"/>
        <v>0</v>
      </c>
      <c r="AD49" s="68">
        <f>AC49/AC12</f>
        <v>0</v>
      </c>
      <c r="AE49" s="595"/>
      <c r="AF49" s="595"/>
      <c r="AG49" s="555"/>
    </row>
    <row r="50" spans="1:33" s="1" customFormat="1">
      <c r="A50" s="188">
        <v>6109</v>
      </c>
      <c r="B50" s="227" t="s">
        <v>79</v>
      </c>
      <c r="C50" s="295"/>
      <c r="D50" s="68">
        <f>C50/C12</f>
        <v>0</v>
      </c>
      <c r="E50" s="295"/>
      <c r="F50" s="68">
        <f>E50/E12</f>
        <v>0</v>
      </c>
      <c r="H50" s="68">
        <f>G50/G12</f>
        <v>0</v>
      </c>
      <c r="I50" s="295"/>
      <c r="J50" s="68">
        <f>I50/I12</f>
        <v>0</v>
      </c>
      <c r="K50" s="295"/>
      <c r="L50" s="68">
        <f>K50/K12</f>
        <v>0</v>
      </c>
      <c r="M50" s="295"/>
      <c r="N50" s="702">
        <f>M50/M12</f>
        <v>0</v>
      </c>
      <c r="P50" s="702">
        <f>O50/O12</f>
        <v>0</v>
      </c>
      <c r="Q50" s="295"/>
      <c r="R50" s="68">
        <f>Q50/Q12</f>
        <v>0</v>
      </c>
      <c r="S50" s="295"/>
      <c r="T50" s="68">
        <f>S50/S12</f>
        <v>0</v>
      </c>
      <c r="U50" s="295"/>
      <c r="V50" s="68">
        <f>U50/U12</f>
        <v>0</v>
      </c>
      <c r="W50" s="295"/>
      <c r="X50" s="68">
        <f>W50/W12</f>
        <v>0</v>
      </c>
      <c r="Y50" s="295"/>
      <c r="Z50" s="68">
        <f>Y50/Y12</f>
        <v>0</v>
      </c>
      <c r="AA50" s="144">
        <f t="shared" si="22"/>
        <v>0</v>
      </c>
      <c r="AB50" s="68">
        <f>AA50/AA12</f>
        <v>0</v>
      </c>
      <c r="AC50" s="128">
        <f t="shared" si="23"/>
        <v>0</v>
      </c>
      <c r="AD50" s="68">
        <f>AC50/AC12</f>
        <v>0</v>
      </c>
      <c r="AE50" s="595"/>
      <c r="AF50" s="595"/>
      <c r="AG50" s="555"/>
    </row>
    <row r="51" spans="1:33" s="1" customFormat="1">
      <c r="A51" s="188">
        <v>6110</v>
      </c>
      <c r="B51" s="188" t="s">
        <v>9</v>
      </c>
      <c r="C51" s="432">
        <v>250</v>
      </c>
      <c r="D51" s="702">
        <f>C51/C12</f>
        <v>3.3458127166552431E-4</v>
      </c>
      <c r="E51" s="432">
        <v>250</v>
      </c>
      <c r="F51" s="702">
        <f>E51/E12</f>
        <v>4.3005223927337287E-4</v>
      </c>
      <c r="G51" s="432">
        <v>250</v>
      </c>
      <c r="H51" s="702">
        <f>G51/G12</f>
        <v>2.5925852907426335E-4</v>
      </c>
      <c r="I51" s="432">
        <v>250</v>
      </c>
      <c r="J51" s="702">
        <f>I51/I12</f>
        <v>2.9361297816341556E-4</v>
      </c>
      <c r="K51" s="432">
        <v>250</v>
      </c>
      <c r="L51" s="702">
        <f>K51/K12</f>
        <v>3.2102812619982143E-4</v>
      </c>
      <c r="M51" s="432">
        <v>250</v>
      </c>
      <c r="N51" s="702">
        <f>M51/M12</f>
        <v>2.2639722194597034E-4</v>
      </c>
      <c r="O51" s="432">
        <v>250</v>
      </c>
      <c r="P51" s="702">
        <f>O51/O12</f>
        <v>3.5759510291277628E-4</v>
      </c>
      <c r="Q51" s="432">
        <v>250</v>
      </c>
      <c r="R51" s="702">
        <f>Q51/Q12</f>
        <v>2.8797927075221628E-4</v>
      </c>
      <c r="S51" s="432">
        <v>250</v>
      </c>
      <c r="T51" s="702">
        <f>S51/S12</f>
        <v>2.8586975896292621E-4</v>
      </c>
      <c r="U51" s="432">
        <v>250</v>
      </c>
      <c r="V51" s="702">
        <f>U51/U12</f>
        <v>3.6039763720488834E-4</v>
      </c>
      <c r="W51" s="432">
        <v>250</v>
      </c>
      <c r="X51" s="702">
        <f>W51/W12</f>
        <v>3.5421950728292315E-4</v>
      </c>
      <c r="Y51" s="432">
        <v>250</v>
      </c>
      <c r="Z51" s="702">
        <f>Y51/Y12</f>
        <v>2.3447942671854239E-4</v>
      </c>
      <c r="AA51" s="144">
        <f t="shared" si="22"/>
        <v>3000</v>
      </c>
      <c r="AB51" s="68">
        <f>AA51/AA12</f>
        <v>3.0197241242397557E-4</v>
      </c>
      <c r="AC51" s="128">
        <f t="shared" si="23"/>
        <v>250</v>
      </c>
      <c r="AD51" s="68">
        <f>AC51/AC12</f>
        <v>3.0197241242397557E-4</v>
      </c>
      <c r="AE51" s="645"/>
      <c r="AF51" s="694"/>
      <c r="AG51" s="555"/>
    </row>
    <row r="52" spans="1:33" s="1" customFormat="1">
      <c r="A52" s="757">
        <v>6111</v>
      </c>
      <c r="B52" s="227" t="s">
        <v>10</v>
      </c>
      <c r="C52" s="292"/>
      <c r="D52" s="68">
        <f>C52/C12</f>
        <v>0</v>
      </c>
      <c r="E52" s="703"/>
      <c r="F52" s="68">
        <f>E52/E12</f>
        <v>0</v>
      </c>
      <c r="H52" s="68">
        <f>G52/G12</f>
        <v>0</v>
      </c>
      <c r="I52" s="292"/>
      <c r="J52" s="68">
        <f>I52/I12</f>
        <v>0</v>
      </c>
      <c r="K52" s="703"/>
      <c r="L52" s="68">
        <f>K52/K12</f>
        <v>0</v>
      </c>
      <c r="M52" s="704"/>
      <c r="N52" s="702">
        <f>M52/M12</f>
        <v>0</v>
      </c>
      <c r="P52" s="702">
        <f>O52/O12</f>
        <v>0</v>
      </c>
      <c r="Q52" s="292"/>
      <c r="R52" s="68">
        <f>Q52/Q12</f>
        <v>0</v>
      </c>
      <c r="S52" s="292"/>
      <c r="T52" s="68">
        <f>S52/S12</f>
        <v>0</v>
      </c>
      <c r="U52" s="114"/>
      <c r="V52" s="68">
        <f>U52/U12</f>
        <v>0</v>
      </c>
      <c r="W52" s="114"/>
      <c r="X52" s="68">
        <f>W52/W12</f>
        <v>0</v>
      </c>
      <c r="Y52" s="114"/>
      <c r="Z52" s="68">
        <f>Y52/Y12</f>
        <v>0</v>
      </c>
      <c r="AA52" s="144">
        <f t="shared" si="22"/>
        <v>0</v>
      </c>
      <c r="AB52" s="68">
        <f>AA52/AA12</f>
        <v>0</v>
      </c>
      <c r="AC52" s="128">
        <f t="shared" si="23"/>
        <v>0</v>
      </c>
      <c r="AD52" s="68">
        <f>AC52/AC12</f>
        <v>0</v>
      </c>
      <c r="AE52" s="595"/>
      <c r="AF52" s="595"/>
      <c r="AG52" s="555"/>
    </row>
    <row r="53" spans="1:33" s="1" customFormat="1">
      <c r="A53" s="188">
        <v>6112</v>
      </c>
      <c r="B53" s="188" t="s">
        <v>11</v>
      </c>
      <c r="C53" s="705">
        <v>2650</v>
      </c>
      <c r="D53" s="702">
        <f>C53/C12</f>
        <v>3.546561479654558E-3</v>
      </c>
      <c r="E53" s="705">
        <v>2650</v>
      </c>
      <c r="F53" s="702">
        <f>E53/E12</f>
        <v>4.5585537362977527E-3</v>
      </c>
      <c r="G53" s="705">
        <v>2650</v>
      </c>
      <c r="H53" s="702">
        <f>G53/G12</f>
        <v>2.7481404081871916E-3</v>
      </c>
      <c r="I53" s="705">
        <v>2650</v>
      </c>
      <c r="J53" s="702">
        <f>I53/I12</f>
        <v>3.1122975685322052E-3</v>
      </c>
      <c r="K53" s="705">
        <v>2650</v>
      </c>
      <c r="L53" s="702">
        <f>K53/K12</f>
        <v>3.402898137718107E-3</v>
      </c>
      <c r="M53" s="705">
        <v>2650</v>
      </c>
      <c r="N53" s="702">
        <f>M53/M12</f>
        <v>2.3998105526272856E-3</v>
      </c>
      <c r="O53" s="705">
        <v>2650</v>
      </c>
      <c r="P53" s="702">
        <f>O53/O12</f>
        <v>3.7905080908754284E-3</v>
      </c>
      <c r="Q53" s="705">
        <v>2650</v>
      </c>
      <c r="R53" s="702">
        <f>Q53/Q12</f>
        <v>3.0525802699734924E-3</v>
      </c>
      <c r="S53" s="705">
        <v>2650</v>
      </c>
      <c r="T53" s="702">
        <f>S53/S12</f>
        <v>3.030219445007018E-3</v>
      </c>
      <c r="U53" s="705">
        <v>2650</v>
      </c>
      <c r="V53" s="702">
        <f>U53/U12</f>
        <v>3.8202149543718165E-3</v>
      </c>
      <c r="W53" s="705">
        <v>2650</v>
      </c>
      <c r="X53" s="702">
        <f>W53/W12</f>
        <v>3.7547267771989852E-3</v>
      </c>
      <c r="Y53" s="705">
        <v>2650</v>
      </c>
      <c r="Z53" s="702">
        <f>Y53/Y12</f>
        <v>2.4854819232165491E-3</v>
      </c>
      <c r="AA53" s="144">
        <f t="shared" si="22"/>
        <v>31800</v>
      </c>
      <c r="AB53" s="702">
        <f>AA53/AA12</f>
        <v>3.2009075716941415E-3</v>
      </c>
      <c r="AC53" s="128">
        <f t="shared" si="23"/>
        <v>2650</v>
      </c>
      <c r="AD53" s="702">
        <f>AC53/AC12</f>
        <v>3.200907571694141E-3</v>
      </c>
      <c r="AE53" s="645"/>
      <c r="AF53" s="694"/>
      <c r="AG53" s="226"/>
    </row>
    <row r="54" spans="1:33" s="1" customFormat="1">
      <c r="A54" s="188">
        <v>6113</v>
      </c>
      <c r="B54" s="227" t="s">
        <v>12</v>
      </c>
      <c r="C54" s="292">
        <v>0</v>
      </c>
      <c r="D54" s="68">
        <f>C54/C12</f>
        <v>0</v>
      </c>
      <c r="E54" s="61"/>
      <c r="F54" s="68">
        <f>E54/E12</f>
        <v>0</v>
      </c>
      <c r="H54" s="68">
        <f>G54/G12</f>
        <v>0</v>
      </c>
      <c r="I54" s="26"/>
      <c r="J54" s="68">
        <f>I54/I12</f>
        <v>0</v>
      </c>
      <c r="K54" s="61"/>
      <c r="L54" s="68">
        <f>K54/K12</f>
        <v>0</v>
      </c>
      <c r="M54" s="26"/>
      <c r="N54" s="702">
        <f>M54/M12</f>
        <v>0</v>
      </c>
      <c r="P54" s="702">
        <f>O54/O12</f>
        <v>0</v>
      </c>
      <c r="Q54" s="26">
        <v>0</v>
      </c>
      <c r="R54" s="68">
        <f>Q54/Q12</f>
        <v>0</v>
      </c>
      <c r="S54" s="26"/>
      <c r="T54" s="68">
        <f>S54/S12</f>
        <v>0</v>
      </c>
      <c r="U54" s="61"/>
      <c r="V54" s="68">
        <f>U54/U12</f>
        <v>0</v>
      </c>
      <c r="W54" s="51">
        <v>0</v>
      </c>
      <c r="X54" s="68">
        <f>W54/W12</f>
        <v>0</v>
      </c>
      <c r="Y54" s="61"/>
      <c r="Z54" s="68">
        <f>Y54/Y12</f>
        <v>0</v>
      </c>
      <c r="AA54" s="144">
        <f>C54+E54+G54+I54+K54+M54+O54+Q54+S54+U54+W54+Y54</f>
        <v>0</v>
      </c>
      <c r="AB54" s="68">
        <f>AA54/AA12</f>
        <v>0</v>
      </c>
      <c r="AC54" s="128">
        <f t="shared" si="23"/>
        <v>0</v>
      </c>
      <c r="AD54" s="68">
        <f>AC54/AC12</f>
        <v>0</v>
      </c>
      <c r="AE54" s="595"/>
      <c r="AF54" s="595"/>
      <c r="AG54" s="555"/>
    </row>
    <row r="55" spans="1:33" s="1" customFormat="1">
      <c r="A55" s="188">
        <v>6114</v>
      </c>
      <c r="B55" s="227" t="s">
        <v>88</v>
      </c>
      <c r="C55" s="432">
        <v>2000</v>
      </c>
      <c r="D55" s="68">
        <f>C55/C12</f>
        <v>2.6766501733241944E-3</v>
      </c>
      <c r="E55" s="432">
        <v>2000</v>
      </c>
      <c r="F55" s="68">
        <f>E55/E12</f>
        <v>3.4404179141869829E-3</v>
      </c>
      <c r="G55" s="432">
        <v>2000</v>
      </c>
      <c r="H55" s="68">
        <f>G55/G12</f>
        <v>2.0740682325941068E-3</v>
      </c>
      <c r="I55" s="432">
        <v>2000</v>
      </c>
      <c r="J55" s="68">
        <f>I55/I12</f>
        <v>2.3489038253073245E-3</v>
      </c>
      <c r="K55" s="432">
        <v>2000</v>
      </c>
      <c r="L55" s="68">
        <f>K55/K12</f>
        <v>2.5682250095985714E-3</v>
      </c>
      <c r="M55" s="432">
        <f>2000+2000</f>
        <v>4000</v>
      </c>
      <c r="N55" s="702">
        <f>M55/M12</f>
        <v>3.6223555511355255E-3</v>
      </c>
      <c r="O55" s="432">
        <v>2000</v>
      </c>
      <c r="P55" s="702">
        <f>O55/O12</f>
        <v>2.8607608233022102E-3</v>
      </c>
      <c r="Q55" s="432">
        <v>2000</v>
      </c>
      <c r="R55" s="68">
        <f>Q55/Q12</f>
        <v>2.3038341660177302E-3</v>
      </c>
      <c r="S55" s="432">
        <f>2000+2000</f>
        <v>4000</v>
      </c>
      <c r="T55" s="68">
        <f>S55/S12</f>
        <v>4.5739161434068193E-3</v>
      </c>
      <c r="U55" s="432">
        <v>2000</v>
      </c>
      <c r="V55" s="68">
        <f>U55/U12</f>
        <v>2.8831810976391067E-3</v>
      </c>
      <c r="W55" s="432">
        <v>2000</v>
      </c>
      <c r="X55" s="68">
        <f>W55/W12</f>
        <v>2.8337560582633852E-3</v>
      </c>
      <c r="Y55" s="432">
        <f>2000+2000</f>
        <v>4000</v>
      </c>
      <c r="Z55" s="68">
        <f>Y55/Y12</f>
        <v>3.7516708274966783E-3</v>
      </c>
      <c r="AA55" s="144">
        <f>C55+E55+G55+I55+K55+M55+O55+Q55+S55+U55+W55+Y55</f>
        <v>30000</v>
      </c>
      <c r="AB55" s="68">
        <f>AA55/AA12</f>
        <v>3.0197241242397562E-3</v>
      </c>
      <c r="AC55" s="128">
        <f t="shared" si="23"/>
        <v>2500</v>
      </c>
      <c r="AD55" s="68">
        <f>AC55/AC12</f>
        <v>3.0197241242397557E-3</v>
      </c>
      <c r="AE55" s="595"/>
      <c r="AF55" s="595"/>
      <c r="AG55" s="555"/>
    </row>
    <row r="56" spans="1:33" s="1" customFormat="1">
      <c r="A56" s="188">
        <v>6115</v>
      </c>
      <c r="B56" s="227" t="s">
        <v>13</v>
      </c>
      <c r="C56" s="437">
        <v>250</v>
      </c>
      <c r="D56" s="68">
        <f>C56/C12</f>
        <v>3.3458127166552431E-4</v>
      </c>
      <c r="E56" s="437">
        <v>250</v>
      </c>
      <c r="F56" s="68">
        <f>E56/E12</f>
        <v>4.3005223927337287E-4</v>
      </c>
      <c r="G56" s="437">
        <v>250</v>
      </c>
      <c r="H56" s="68">
        <f>G56/G12</f>
        <v>2.5925852907426335E-4</v>
      </c>
      <c r="I56" s="437">
        <v>250</v>
      </c>
      <c r="J56" s="68">
        <f>I56/I12</f>
        <v>2.9361297816341556E-4</v>
      </c>
      <c r="K56" s="437">
        <v>250</v>
      </c>
      <c r="L56" s="68">
        <f>K56/K12</f>
        <v>3.2102812619982143E-4</v>
      </c>
      <c r="M56" s="437">
        <v>250</v>
      </c>
      <c r="N56" s="702">
        <f>M56/M12</f>
        <v>2.2639722194597034E-4</v>
      </c>
      <c r="O56" s="437">
        <v>250</v>
      </c>
      <c r="P56" s="702">
        <f>O56/O12</f>
        <v>3.5759510291277628E-4</v>
      </c>
      <c r="Q56" s="437">
        <v>250</v>
      </c>
      <c r="R56" s="68">
        <f>Q56/Q12</f>
        <v>2.8797927075221628E-4</v>
      </c>
      <c r="S56" s="437">
        <v>250</v>
      </c>
      <c r="T56" s="68">
        <f>S56/S12</f>
        <v>2.8586975896292621E-4</v>
      </c>
      <c r="U56" s="437">
        <v>250</v>
      </c>
      <c r="V56" s="68">
        <f>U56/U12</f>
        <v>3.6039763720488834E-4</v>
      </c>
      <c r="W56" s="437">
        <v>250</v>
      </c>
      <c r="X56" s="68">
        <f>W56/W12</f>
        <v>3.5421950728292315E-4</v>
      </c>
      <c r="Y56" s="437">
        <v>250</v>
      </c>
      <c r="Z56" s="68">
        <f>Y56/Y12</f>
        <v>2.3447942671854239E-4</v>
      </c>
      <c r="AA56" s="144">
        <f t="shared" si="22"/>
        <v>3000</v>
      </c>
      <c r="AB56" s="68">
        <f>AA56/AA12</f>
        <v>3.0197241242397557E-4</v>
      </c>
      <c r="AC56" s="128">
        <f t="shared" si="23"/>
        <v>250</v>
      </c>
      <c r="AD56" s="68">
        <f>AC56/AC12</f>
        <v>3.0197241242397557E-4</v>
      </c>
      <c r="AE56" s="595"/>
      <c r="AF56" s="595"/>
      <c r="AG56" s="555"/>
    </row>
    <row r="57" spans="1:33" s="1" customFormat="1">
      <c r="A57" s="188">
        <v>6116</v>
      </c>
      <c r="B57" s="227" t="s">
        <v>14</v>
      </c>
      <c r="C57" s="433">
        <f>3922.13+250</f>
        <v>4172.13</v>
      </c>
      <c r="D57" s="68">
        <f>C57/C12</f>
        <v>5.5836662438155365E-3</v>
      </c>
      <c r="E57" s="433">
        <f>3922.13+250</f>
        <v>4172.13</v>
      </c>
      <c r="F57" s="68">
        <f>E57/E12</f>
        <v>7.1769353961584686E-3</v>
      </c>
      <c r="G57" s="433">
        <f>3922.13+250</f>
        <v>4172.13</v>
      </c>
      <c r="H57" s="68">
        <f>G57/G12</f>
        <v>4.3266411476264258E-3</v>
      </c>
      <c r="I57" s="433">
        <f>3922.13+250</f>
        <v>4172.13</v>
      </c>
      <c r="J57" s="68">
        <f>I57/I12</f>
        <v>4.8999660583397241E-3</v>
      </c>
      <c r="K57" s="433">
        <f>3922.13+250</f>
        <v>4172.13</v>
      </c>
      <c r="L57" s="68">
        <f>K57/K12</f>
        <v>5.3574843046482433E-3</v>
      </c>
      <c r="M57" s="433">
        <f>3922.13+250</f>
        <v>4172.13</v>
      </c>
      <c r="N57" s="702">
        <f>M57/M12</f>
        <v>3.7782345663897651E-3</v>
      </c>
      <c r="O57" s="433">
        <f>3922.13+250</f>
        <v>4172.13</v>
      </c>
      <c r="P57" s="702">
        <f>O57/O12</f>
        <v>5.9677330268619252E-3</v>
      </c>
      <c r="Q57" s="433">
        <f>3922.13+250</f>
        <v>4172.13</v>
      </c>
      <c r="R57" s="68">
        <f>Q57/Q12</f>
        <v>4.8059478195337764E-3</v>
      </c>
      <c r="S57" s="433">
        <f>3922.13+250</f>
        <v>4172.13</v>
      </c>
      <c r="T57" s="68">
        <f>S57/S12</f>
        <v>4.7707431898479733E-3</v>
      </c>
      <c r="U57" s="433">
        <f>3922.13+250</f>
        <v>4172.13</v>
      </c>
      <c r="V57" s="68">
        <f>U57/U12</f>
        <v>6.0145031764465232E-3</v>
      </c>
      <c r="W57" s="433">
        <f>3922.13+250</f>
        <v>4172.13</v>
      </c>
      <c r="X57" s="68">
        <f>W57/W12</f>
        <v>5.9113993316812089E-3</v>
      </c>
      <c r="Y57" s="433">
        <f>3922.13+250</f>
        <v>4172.13</v>
      </c>
      <c r="Z57" s="68">
        <f>Y57/Y12</f>
        <v>3.9131146023809286E-3</v>
      </c>
      <c r="AA57" s="144">
        <f t="shared" si="22"/>
        <v>50065.55999999999</v>
      </c>
      <c r="AB57" s="68">
        <f>AA57/AA12</f>
        <v>5.0394726441857643E-3</v>
      </c>
      <c r="AC57" s="128">
        <f t="shared" si="23"/>
        <v>4172.1299999999992</v>
      </c>
      <c r="AD57" s="68">
        <f>AC57/AC12</f>
        <v>5.0394726441857643E-3</v>
      </c>
      <c r="AE57" s="595"/>
      <c r="AF57" s="595"/>
      <c r="AG57" s="555"/>
    </row>
    <row r="58" spans="1:33" s="1" customFormat="1">
      <c r="A58" s="188">
        <v>6117</v>
      </c>
      <c r="B58" s="227" t="s">
        <v>15</v>
      </c>
      <c r="C58" s="292"/>
      <c r="D58" s="68">
        <f>C58/C12</f>
        <v>0</v>
      </c>
      <c r="E58" s="61"/>
      <c r="F58" s="68">
        <f>E58/E12</f>
        <v>0</v>
      </c>
      <c r="H58" s="68">
        <f>G58/G12</f>
        <v>0</v>
      </c>
      <c r="I58" s="26"/>
      <c r="J58" s="68">
        <f>I58/I12</f>
        <v>0</v>
      </c>
      <c r="K58" s="61">
        <v>0</v>
      </c>
      <c r="L58" s="68">
        <f>K58/K12</f>
        <v>0</v>
      </c>
      <c r="M58" s="26">
        <v>0</v>
      </c>
      <c r="N58" s="702">
        <f>M58/M12</f>
        <v>0</v>
      </c>
      <c r="P58" s="702">
        <f>O58/O12</f>
        <v>0</v>
      </c>
      <c r="Q58" s="26"/>
      <c r="R58" s="68">
        <f>Q58/Q12</f>
        <v>0</v>
      </c>
      <c r="S58" s="26"/>
      <c r="T58" s="68">
        <f>S58/S12</f>
        <v>0</v>
      </c>
      <c r="U58" s="61"/>
      <c r="V58" s="68">
        <f>U58/U12</f>
        <v>0</v>
      </c>
      <c r="W58" s="51"/>
      <c r="X58" s="68">
        <f>W58/W12</f>
        <v>0</v>
      </c>
      <c r="Y58" s="61"/>
      <c r="Z58" s="68">
        <f>Y58/Y12</f>
        <v>0</v>
      </c>
      <c r="AA58" s="144">
        <f t="shared" si="22"/>
        <v>0</v>
      </c>
      <c r="AB58" s="68">
        <f>AA58/AA12</f>
        <v>0</v>
      </c>
      <c r="AC58" s="128">
        <f t="shared" si="23"/>
        <v>0</v>
      </c>
      <c r="AD58" s="68">
        <f>AC58/AC12</f>
        <v>0</v>
      </c>
      <c r="AE58" s="595"/>
      <c r="AF58" s="595"/>
      <c r="AG58" s="555"/>
    </row>
    <row r="59" spans="1:33" s="1" customFormat="1">
      <c r="A59" s="188">
        <v>6118</v>
      </c>
      <c r="B59" s="227" t="s">
        <v>16</v>
      </c>
      <c r="C59" s="113">
        <v>22500</v>
      </c>
      <c r="D59" s="68">
        <f t="shared" ref="D59" si="26">C59/C$12</f>
        <v>3.011231444989719E-2</v>
      </c>
      <c r="E59" s="113">
        <v>22500</v>
      </c>
      <c r="F59" s="68">
        <f t="shared" ref="F59" si="27">E59/E$12</f>
        <v>3.8704701534603557E-2</v>
      </c>
      <c r="G59" s="113">
        <v>22500</v>
      </c>
      <c r="H59" s="68">
        <f t="shared" ref="H59" si="28">G59/G$5</f>
        <v>1.78116546692242E-2</v>
      </c>
      <c r="I59" s="113">
        <v>22500</v>
      </c>
      <c r="J59" s="68">
        <f t="shared" ref="J59" si="29">I59/I$5</f>
        <v>2.0807218121382524E-2</v>
      </c>
      <c r="K59" s="113">
        <f>22500+2000</f>
        <v>24500</v>
      </c>
      <c r="L59" s="68">
        <f t="shared" ref="L59" si="30">K59/K$5</f>
        <v>2.6661657938629239E-2</v>
      </c>
      <c r="M59" s="113">
        <f>22500+2000</f>
        <v>24500</v>
      </c>
      <c r="N59" s="702">
        <f t="shared" ref="N59" si="31">M59/M$5</f>
        <v>1.6936586069240537E-2</v>
      </c>
      <c r="O59" s="113">
        <f>22500+2000</f>
        <v>24500</v>
      </c>
      <c r="P59" s="702">
        <f t="shared" ref="P59" si="32">O59/O$5</f>
        <v>2.695716929650159E-2</v>
      </c>
      <c r="Q59" s="113">
        <f>22500+2000</f>
        <v>24500</v>
      </c>
      <c r="R59" s="68">
        <f t="shared" ref="R59" si="33">Q59/Q$5</f>
        <v>2.2048412916966562E-2</v>
      </c>
      <c r="S59" s="113">
        <v>22500</v>
      </c>
      <c r="T59" s="68">
        <f t="shared" ref="T59" si="34">S59/S$5</f>
        <v>2.0917299436311675E-2</v>
      </c>
      <c r="U59" s="113">
        <v>22500</v>
      </c>
      <c r="V59" s="68">
        <f t="shared" ref="V59" si="35">U59/U$5</f>
        <v>2.4760143014076298E-2</v>
      </c>
      <c r="W59" s="113">
        <v>22500</v>
      </c>
      <c r="X59" s="68">
        <f t="shared" ref="X59" si="36">W59/W$5</f>
        <v>2.7247654406378705E-2</v>
      </c>
      <c r="Y59" s="113">
        <v>22500</v>
      </c>
      <c r="Z59" s="68">
        <f t="shared" ref="Z59" si="37">Y59/Y$5</f>
        <v>1.6486834691147523E-2</v>
      </c>
      <c r="AA59" s="144">
        <f t="shared" si="22"/>
        <v>278000</v>
      </c>
      <c r="AB59" s="147">
        <f t="shared" ref="AB59" si="38">AA59/AA$5</f>
        <v>2.2153128554063681E-2</v>
      </c>
      <c r="AC59" s="128">
        <f t="shared" si="23"/>
        <v>23166.666666666668</v>
      </c>
      <c r="AD59" s="131">
        <f t="shared" ref="AD59" si="39">AC59/AC$5</f>
        <v>2.2153128554063681E-2</v>
      </c>
      <c r="AE59" s="595"/>
      <c r="AF59" s="603"/>
      <c r="AG59" s="625"/>
    </row>
    <row r="60" spans="1:33" s="1" customFormat="1">
      <c r="A60" s="188">
        <v>6119</v>
      </c>
      <c r="B60" s="227" t="s">
        <v>17</v>
      </c>
      <c r="C60" s="292">
        <v>0</v>
      </c>
      <c r="D60" s="68">
        <f>C60/C12</f>
        <v>0</v>
      </c>
      <c r="E60" s="61">
        <v>0</v>
      </c>
      <c r="F60" s="68">
        <f>E60/E12</f>
        <v>0</v>
      </c>
      <c r="H60" s="68">
        <f>G60/G12</f>
        <v>0</v>
      </c>
      <c r="I60" s="26"/>
      <c r="J60" s="68">
        <f>I60/I12</f>
        <v>0</v>
      </c>
      <c r="K60" s="61">
        <v>0</v>
      </c>
      <c r="L60" s="68">
        <f>K60/K12</f>
        <v>0</v>
      </c>
      <c r="M60" s="26">
        <v>0</v>
      </c>
      <c r="N60" s="702">
        <f>M60/M12</f>
        <v>0</v>
      </c>
      <c r="P60" s="702">
        <f>O60/O12</f>
        <v>0</v>
      </c>
      <c r="Q60" s="26"/>
      <c r="R60" s="68">
        <f>Q60/Q12</f>
        <v>0</v>
      </c>
      <c r="S60" s="26"/>
      <c r="T60" s="68">
        <f>S60/S12</f>
        <v>0</v>
      </c>
      <c r="U60" s="61"/>
      <c r="V60" s="68">
        <f>U60/U12</f>
        <v>0</v>
      </c>
      <c r="W60" s="51"/>
      <c r="X60" s="68">
        <f>W60/W12</f>
        <v>0</v>
      </c>
      <c r="Y60" s="61"/>
      <c r="Z60" s="68">
        <f>Y60/Y12</f>
        <v>0</v>
      </c>
      <c r="AA60" s="144">
        <f t="shared" si="22"/>
        <v>0</v>
      </c>
      <c r="AB60" s="68">
        <f>AA60/AA12</f>
        <v>0</v>
      </c>
      <c r="AC60" s="128">
        <f t="shared" si="23"/>
        <v>0</v>
      </c>
      <c r="AD60" s="68">
        <f>AC60/AC12</f>
        <v>0</v>
      </c>
      <c r="AE60" s="595"/>
      <c r="AF60" s="595"/>
      <c r="AG60" s="555"/>
    </row>
    <row r="61" spans="1:33" s="1" customFormat="1">
      <c r="A61" s="188">
        <v>6120</v>
      </c>
      <c r="B61" s="227" t="s">
        <v>18</v>
      </c>
      <c r="C61" s="292"/>
      <c r="D61" s="68">
        <f>C61/C12</f>
        <v>0</v>
      </c>
      <c r="E61" s="61"/>
      <c r="F61" s="68">
        <f>E61/E12</f>
        <v>0</v>
      </c>
      <c r="H61" s="68">
        <f>G61/G12</f>
        <v>0</v>
      </c>
      <c r="I61" s="26"/>
      <c r="J61" s="68">
        <f>I61/I12</f>
        <v>0</v>
      </c>
      <c r="K61" s="61">
        <v>0</v>
      </c>
      <c r="L61" s="68">
        <f>K61/K12</f>
        <v>0</v>
      </c>
      <c r="M61" s="26">
        <v>0</v>
      </c>
      <c r="N61" s="702">
        <f>M61/M12</f>
        <v>0</v>
      </c>
      <c r="P61" s="702">
        <f>O61/O12</f>
        <v>0</v>
      </c>
      <c r="Q61" s="26"/>
      <c r="R61" s="68">
        <f>Q61/Q12</f>
        <v>0</v>
      </c>
      <c r="S61" s="26"/>
      <c r="T61" s="68">
        <f>S61/S12</f>
        <v>0</v>
      </c>
      <c r="U61" s="61"/>
      <c r="V61" s="68">
        <f>U61/U12</f>
        <v>0</v>
      </c>
      <c r="W61" s="51"/>
      <c r="X61" s="68">
        <f>W61/W12</f>
        <v>0</v>
      </c>
      <c r="Y61" s="61"/>
      <c r="Z61" s="68">
        <f>Y61/Y12</f>
        <v>0</v>
      </c>
      <c r="AA61" s="144">
        <f t="shared" si="22"/>
        <v>0</v>
      </c>
      <c r="AB61" s="68">
        <f>AA61/AA12</f>
        <v>0</v>
      </c>
      <c r="AC61" s="128">
        <f t="shared" si="23"/>
        <v>0</v>
      </c>
      <c r="AD61" s="68">
        <f>AC61/AC12</f>
        <v>0</v>
      </c>
      <c r="AE61" s="595"/>
      <c r="AF61" s="595"/>
      <c r="AG61" s="555"/>
    </row>
    <row r="62" spans="1:33" s="1" customFormat="1">
      <c r="A62" s="188">
        <v>6121</v>
      </c>
      <c r="B62" s="188" t="s">
        <v>19</v>
      </c>
      <c r="C62" s="705">
        <v>250</v>
      </c>
      <c r="D62" s="702">
        <f>C62/C12</f>
        <v>3.3458127166552431E-4</v>
      </c>
      <c r="E62" s="705">
        <v>250</v>
      </c>
      <c r="F62" s="702">
        <f>E62/E12</f>
        <v>4.3005223927337287E-4</v>
      </c>
      <c r="G62" s="705">
        <v>250</v>
      </c>
      <c r="H62" s="702">
        <f>G62/G12</f>
        <v>2.5925852907426335E-4</v>
      </c>
      <c r="I62" s="705">
        <v>250</v>
      </c>
      <c r="J62" s="702">
        <f>I62/I12</f>
        <v>2.9361297816341556E-4</v>
      </c>
      <c r="K62" s="705">
        <v>250</v>
      </c>
      <c r="L62" s="702">
        <f>K62/K12</f>
        <v>3.2102812619982143E-4</v>
      </c>
      <c r="M62" s="705">
        <v>500</v>
      </c>
      <c r="N62" s="702">
        <f>M62/M12</f>
        <v>4.5279444389194069E-4</v>
      </c>
      <c r="O62" s="705">
        <v>250</v>
      </c>
      <c r="P62" s="702">
        <f>O62/O12</f>
        <v>3.5759510291277628E-4</v>
      </c>
      <c r="Q62" s="705">
        <v>250</v>
      </c>
      <c r="R62" s="702">
        <f>Q62/Q12</f>
        <v>2.8797927075221628E-4</v>
      </c>
      <c r="S62" s="705">
        <v>500</v>
      </c>
      <c r="T62" s="702">
        <f>S62/S12</f>
        <v>5.7173951792585242E-4</v>
      </c>
      <c r="U62" s="705">
        <v>250</v>
      </c>
      <c r="V62" s="702">
        <f>U62/U12</f>
        <v>3.6039763720488834E-4</v>
      </c>
      <c r="W62" s="705">
        <v>250</v>
      </c>
      <c r="X62" s="702">
        <f>W62/W12</f>
        <v>3.5421950728292315E-4</v>
      </c>
      <c r="Y62" s="705">
        <f>250+250</f>
        <v>500</v>
      </c>
      <c r="Z62" s="702">
        <f>Y62/Y12</f>
        <v>4.6895885343708479E-4</v>
      </c>
      <c r="AA62" s="144">
        <f t="shared" si="22"/>
        <v>3750</v>
      </c>
      <c r="AB62" s="702">
        <f>AA62/AA12</f>
        <v>3.7746551552996952E-4</v>
      </c>
      <c r="AC62" s="128">
        <f t="shared" si="23"/>
        <v>312.5</v>
      </c>
      <c r="AD62" s="702">
        <f>AC62/AC12</f>
        <v>3.7746551552996947E-4</v>
      </c>
      <c r="AE62" s="645"/>
      <c r="AF62" s="226"/>
      <c r="AG62" s="226"/>
    </row>
    <row r="63" spans="1:33" s="1" customFormat="1">
      <c r="A63" s="188">
        <v>6122</v>
      </c>
      <c r="B63" s="227" t="s">
        <v>20</v>
      </c>
      <c r="C63" s="292"/>
      <c r="D63" s="68">
        <f>C63/C12</f>
        <v>0</v>
      </c>
      <c r="E63" s="61"/>
      <c r="F63" s="68">
        <f>E63/E12</f>
        <v>0</v>
      </c>
      <c r="H63" s="68">
        <f>G63/G12</f>
        <v>0</v>
      </c>
      <c r="I63" s="26"/>
      <c r="J63" s="68">
        <f>I63/I12</f>
        <v>0</v>
      </c>
      <c r="K63" s="61">
        <v>0</v>
      </c>
      <c r="L63" s="68">
        <f>K63/K12</f>
        <v>0</v>
      </c>
      <c r="M63" s="26">
        <v>0</v>
      </c>
      <c r="N63" s="702">
        <f>M63/M12</f>
        <v>0</v>
      </c>
      <c r="P63" s="702">
        <f>O63/O12</f>
        <v>0</v>
      </c>
      <c r="Q63" s="26"/>
      <c r="R63" s="68">
        <f>Q63/Q12</f>
        <v>0</v>
      </c>
      <c r="S63" s="26"/>
      <c r="T63" s="68">
        <f>S63/S12</f>
        <v>0</v>
      </c>
      <c r="U63" s="61"/>
      <c r="V63" s="68">
        <f>U63/U12</f>
        <v>0</v>
      </c>
      <c r="W63" s="51"/>
      <c r="X63" s="68">
        <f>W63/W12</f>
        <v>0</v>
      </c>
      <c r="Y63" s="61"/>
      <c r="Z63" s="68">
        <f>Y63/Y12</f>
        <v>0</v>
      </c>
      <c r="AA63" s="144">
        <f t="shared" si="22"/>
        <v>0</v>
      </c>
      <c r="AB63" s="68">
        <f>AA63/AA12</f>
        <v>0</v>
      </c>
      <c r="AC63" s="128">
        <f t="shared" si="23"/>
        <v>0</v>
      </c>
      <c r="AD63" s="68">
        <f>AC63/AC12</f>
        <v>0</v>
      </c>
      <c r="AE63" s="595"/>
      <c r="AF63" s="595"/>
      <c r="AG63" s="555"/>
    </row>
    <row r="64" spans="1:33" s="1" customFormat="1">
      <c r="A64" s="188">
        <v>6123</v>
      </c>
      <c r="B64" s="227" t="s">
        <v>21</v>
      </c>
      <c r="C64" s="292"/>
      <c r="D64" s="68">
        <f>C64/C12</f>
        <v>0</v>
      </c>
      <c r="E64" s="61"/>
      <c r="F64" s="68">
        <f>E64/E12</f>
        <v>0</v>
      </c>
      <c r="H64" s="68">
        <f>G64/G12</f>
        <v>0</v>
      </c>
      <c r="I64" s="26"/>
      <c r="J64" s="68">
        <f>I64/I12</f>
        <v>0</v>
      </c>
      <c r="K64" s="61">
        <v>0</v>
      </c>
      <c r="L64" s="68">
        <f>K64/K12</f>
        <v>0</v>
      </c>
      <c r="M64" s="26">
        <v>0</v>
      </c>
      <c r="N64" s="702">
        <f>M64/M12</f>
        <v>0</v>
      </c>
      <c r="P64" s="702">
        <f>O64/O12</f>
        <v>0</v>
      </c>
      <c r="Q64" s="26"/>
      <c r="R64" s="68">
        <f>Q64/Q12</f>
        <v>0</v>
      </c>
      <c r="S64" s="26"/>
      <c r="T64" s="68">
        <f>S64/S12</f>
        <v>0</v>
      </c>
      <c r="U64" s="61"/>
      <c r="V64" s="68">
        <f>U64/U12</f>
        <v>0</v>
      </c>
      <c r="W64" s="51"/>
      <c r="X64" s="68">
        <f>W64/W12</f>
        <v>0</v>
      </c>
      <c r="Y64" s="61"/>
      <c r="Z64" s="68">
        <f>Y64/Y12</f>
        <v>0</v>
      </c>
      <c r="AA64" s="144">
        <f t="shared" si="22"/>
        <v>0</v>
      </c>
      <c r="AB64" s="68">
        <f>AA64/AA12</f>
        <v>0</v>
      </c>
      <c r="AC64" s="128">
        <f t="shared" si="23"/>
        <v>0</v>
      </c>
      <c r="AD64" s="68">
        <f>AC64/AC12</f>
        <v>0</v>
      </c>
      <c r="AE64" s="595"/>
      <c r="AF64" s="595"/>
      <c r="AG64" s="555"/>
    </row>
    <row r="65" spans="1:33" s="1" customFormat="1">
      <c r="A65" s="188">
        <v>6124</v>
      </c>
      <c r="B65" s="227" t="s">
        <v>22</v>
      </c>
      <c r="C65" s="705">
        <v>12000</v>
      </c>
      <c r="D65" s="68">
        <f>C65/C12</f>
        <v>1.6059901039945167E-2</v>
      </c>
      <c r="E65" s="705">
        <v>12000</v>
      </c>
      <c r="F65" s="68">
        <f>E65/E12</f>
        <v>2.0642507485121898E-2</v>
      </c>
      <c r="G65" s="705">
        <v>12000</v>
      </c>
      <c r="H65" s="68">
        <f>G65/G12</f>
        <v>1.2444409395564642E-2</v>
      </c>
      <c r="I65" s="705">
        <v>12000</v>
      </c>
      <c r="J65" s="68">
        <f>I65/I12</f>
        <v>1.4093422951843949E-2</v>
      </c>
      <c r="K65" s="705">
        <v>12000</v>
      </c>
      <c r="L65" s="68">
        <f>K65/K12</f>
        <v>1.5409350057591427E-2</v>
      </c>
      <c r="M65" s="705">
        <v>12000</v>
      </c>
      <c r="N65" s="702">
        <f>M65/M12</f>
        <v>1.0867066653406577E-2</v>
      </c>
      <c r="O65" s="705">
        <v>12000</v>
      </c>
      <c r="P65" s="702">
        <f>O65/O12</f>
        <v>1.7164564939813259E-2</v>
      </c>
      <c r="Q65" s="705">
        <v>12000</v>
      </c>
      <c r="R65" s="68">
        <f>Q65/Q12</f>
        <v>1.3823004996106381E-2</v>
      </c>
      <c r="S65" s="705">
        <v>12000</v>
      </c>
      <c r="T65" s="68">
        <f>S65/S12</f>
        <v>1.3721748430220457E-2</v>
      </c>
      <c r="U65" s="705">
        <v>12000</v>
      </c>
      <c r="V65" s="68">
        <f>U65/U12</f>
        <v>1.7299086585834639E-2</v>
      </c>
      <c r="W65" s="705">
        <v>12000</v>
      </c>
      <c r="X65" s="68">
        <f>W65/W12</f>
        <v>1.7002536349580311E-2</v>
      </c>
      <c r="Y65" s="705">
        <v>12000</v>
      </c>
      <c r="Z65" s="68">
        <f>Y65/Y12</f>
        <v>1.1255012482490034E-2</v>
      </c>
      <c r="AA65" s="144">
        <f t="shared" si="22"/>
        <v>144000</v>
      </c>
      <c r="AB65" s="68">
        <f>AA65/AA12</f>
        <v>1.4494675796350829E-2</v>
      </c>
      <c r="AC65" s="128">
        <f t="shared" si="23"/>
        <v>12000</v>
      </c>
      <c r="AD65" s="68">
        <f>AC65/AC12</f>
        <v>1.4494675796350828E-2</v>
      </c>
      <c r="AE65" s="637"/>
      <c r="AF65" s="595"/>
      <c r="AG65" s="555"/>
    </row>
    <row r="66" spans="1:33" s="1" customFormat="1">
      <c r="A66" s="188">
        <v>6125</v>
      </c>
      <c r="B66" s="227" t="s">
        <v>78</v>
      </c>
      <c r="C66" s="705">
        <v>423.01184433164127</v>
      </c>
      <c r="D66" s="702">
        <f>C66/C12</f>
        <v>5.661273632242374E-4</v>
      </c>
      <c r="E66" s="705">
        <v>423.01184433164127</v>
      </c>
      <c r="F66" s="702">
        <f>E66/E12</f>
        <v>7.2766876357592699E-4</v>
      </c>
      <c r="G66" s="705">
        <v>423.01184433164127</v>
      </c>
      <c r="H66" s="702">
        <f>G66/G12</f>
        <v>4.3867771416965034E-4</v>
      </c>
      <c r="I66" s="705">
        <v>423.01184433164127</v>
      </c>
      <c r="J66" s="702">
        <f>I66/I12</f>
        <v>4.968070696504494E-4</v>
      </c>
      <c r="K66" s="705">
        <v>423.01184433164127</v>
      </c>
      <c r="L66" s="702">
        <f>K66/K12</f>
        <v>5.431947989844694E-4</v>
      </c>
      <c r="M66" s="705">
        <v>423.01184433164127</v>
      </c>
      <c r="N66" s="702">
        <f>M66/M12</f>
        <v>3.8307482562769941E-4</v>
      </c>
      <c r="O66" s="705">
        <v>423.01184433164127</v>
      </c>
      <c r="P66" s="702">
        <f>O66/O12</f>
        <v>6.0506785602838624E-4</v>
      </c>
      <c r="Q66" s="705">
        <v>423.01184433164127</v>
      </c>
      <c r="R66" s="702">
        <f>Q66/Q12</f>
        <v>4.8727456980070434E-4</v>
      </c>
      <c r="S66" s="705">
        <v>423.01184433164127</v>
      </c>
      <c r="T66" s="702">
        <f>S66/S12</f>
        <v>4.8370517591019664E-4</v>
      </c>
      <c r="U66" s="705">
        <v>423.01184433164127</v>
      </c>
      <c r="V66" s="702">
        <f>U66/U12</f>
        <v>6.0980987682722216E-4</v>
      </c>
      <c r="W66" s="705">
        <v>423.01184433164127</v>
      </c>
      <c r="X66" s="702">
        <f>W66/W12</f>
        <v>5.993561882959782E-4</v>
      </c>
      <c r="Y66" s="705">
        <v>423.01184433164127</v>
      </c>
      <c r="Z66" s="702">
        <f>Y66/Y12</f>
        <v>3.9675029901614612E-4</v>
      </c>
      <c r="AA66" s="144">
        <f t="shared" si="22"/>
        <v>5076.1421319796964</v>
      </c>
      <c r="AB66" s="68">
        <f>AA66/AA12</f>
        <v>5.1095162846696385E-4</v>
      </c>
      <c r="AC66" s="128">
        <f t="shared" si="23"/>
        <v>423.01184433164138</v>
      </c>
      <c r="AD66" s="68">
        <f>AC66/AC12</f>
        <v>5.1095162846696385E-4</v>
      </c>
      <c r="AE66" s="658" t="s">
        <v>295</v>
      </c>
      <c r="AF66" s="393" t="s">
        <v>296</v>
      </c>
      <c r="AG66" s="555"/>
    </row>
    <row r="67" spans="1:33" s="1" customFormat="1">
      <c r="A67" s="188">
        <v>6126</v>
      </c>
      <c r="B67" s="227" t="s">
        <v>116</v>
      </c>
      <c r="C67" s="26"/>
      <c r="D67" s="702" t="e">
        <f>C67/C13</f>
        <v>#DIV/0!</v>
      </c>
      <c r="E67" s="26"/>
      <c r="F67" s="702" t="e">
        <f>E67/E13</f>
        <v>#DIV/0!</v>
      </c>
      <c r="G67" s="26"/>
      <c r="H67" s="702" t="e">
        <f>G67/G13</f>
        <v>#DIV/0!</v>
      </c>
      <c r="I67" s="26"/>
      <c r="J67" s="702" t="e">
        <f>I67/I13</f>
        <v>#DIV/0!</v>
      </c>
      <c r="K67" s="26"/>
      <c r="L67" s="702" t="e">
        <f>K67/K13</f>
        <v>#DIV/0!</v>
      </c>
      <c r="M67" s="26"/>
      <c r="N67" s="702" t="e">
        <f>M67/M13</f>
        <v>#DIV/0!</v>
      </c>
      <c r="O67" s="26"/>
      <c r="P67" s="702" t="e">
        <f>O67/O13</f>
        <v>#DIV/0!</v>
      </c>
      <c r="Q67" s="26"/>
      <c r="R67" s="702" t="e">
        <f>Q67/Q13</f>
        <v>#DIV/0!</v>
      </c>
      <c r="S67" s="26"/>
      <c r="T67" s="702" t="e">
        <f>S67/S13</f>
        <v>#DIV/0!</v>
      </c>
      <c r="U67" s="26"/>
      <c r="V67" s="702" t="e">
        <f>U67/U13</f>
        <v>#DIV/0!</v>
      </c>
      <c r="W67" s="26"/>
      <c r="X67" s="702" t="e">
        <f>W67/W13</f>
        <v>#DIV/0!</v>
      </c>
      <c r="Y67" s="26"/>
      <c r="Z67" s="702" t="e">
        <f>Y67/Y13</f>
        <v>#DIV/0!</v>
      </c>
      <c r="AA67" s="144">
        <f t="shared" si="22"/>
        <v>0</v>
      </c>
      <c r="AB67" s="68">
        <f>AA67/AA12</f>
        <v>0</v>
      </c>
      <c r="AC67" s="128">
        <f t="shared" si="23"/>
        <v>0</v>
      </c>
      <c r="AD67" s="68">
        <f>AC67/AC12</f>
        <v>0</v>
      </c>
      <c r="AE67" s="595"/>
      <c r="AF67" s="595"/>
      <c r="AG67" s="555"/>
    </row>
    <row r="68" spans="1:33" s="1" customFormat="1">
      <c r="A68" s="188">
        <v>6127</v>
      </c>
      <c r="B68" s="188" t="s">
        <v>76</v>
      </c>
      <c r="C68" s="705">
        <v>382</v>
      </c>
      <c r="D68" s="702">
        <f>C68/C$12</f>
        <v>5.1124018310492114E-4</v>
      </c>
      <c r="E68" s="705">
        <v>382</v>
      </c>
      <c r="F68" s="702">
        <f>E68/E$12</f>
        <v>6.571198216097137E-4</v>
      </c>
      <c r="G68" s="705">
        <v>382</v>
      </c>
      <c r="H68" s="702">
        <f>G68/G$12</f>
        <v>3.9614703242547443E-4</v>
      </c>
      <c r="I68" s="705">
        <v>382</v>
      </c>
      <c r="J68" s="702">
        <f>I68/I$12</f>
        <v>4.48640630633699E-4</v>
      </c>
      <c r="K68" s="705">
        <v>382</v>
      </c>
      <c r="L68" s="702">
        <f>K68/K$12</f>
        <v>4.905309768333271E-4</v>
      </c>
      <c r="M68" s="705">
        <v>382</v>
      </c>
      <c r="N68" s="702">
        <f>M68/M$12</f>
        <v>3.4593495513344271E-4</v>
      </c>
      <c r="O68" s="705">
        <v>382</v>
      </c>
      <c r="P68" s="702">
        <f>O68/O$12</f>
        <v>5.4640531725072214E-4</v>
      </c>
      <c r="Q68" s="705">
        <v>382</v>
      </c>
      <c r="R68" s="702">
        <f>Q68/Q$12</f>
        <v>4.4003232570938647E-4</v>
      </c>
      <c r="S68" s="705">
        <v>382</v>
      </c>
      <c r="T68" s="702">
        <f>S68/S$12</f>
        <v>4.3680899169535123E-4</v>
      </c>
      <c r="U68" s="705">
        <v>382</v>
      </c>
      <c r="V68" s="702">
        <f>U68/U$12</f>
        <v>5.5068758964906938E-4</v>
      </c>
      <c r="W68" s="705">
        <v>382</v>
      </c>
      <c r="X68" s="702">
        <f>W68/W$12</f>
        <v>5.4124740712830656E-4</v>
      </c>
      <c r="Y68" s="705">
        <v>382</v>
      </c>
      <c r="Z68" s="702">
        <f>Y68/Y$12</f>
        <v>3.5828456402593278E-4</v>
      </c>
      <c r="AA68" s="144">
        <f t="shared" si="22"/>
        <v>4584</v>
      </c>
      <c r="AB68" s="702">
        <f>AA68/AA12</f>
        <v>4.6141384618383473E-4</v>
      </c>
      <c r="AC68" s="128">
        <f t="shared" si="23"/>
        <v>382</v>
      </c>
      <c r="AD68" s="702">
        <f>AC68/AC12</f>
        <v>4.6141384618383468E-4</v>
      </c>
      <c r="AE68" s="645"/>
      <c r="AF68" s="226"/>
      <c r="AG68" s="226"/>
    </row>
    <row r="69" spans="1:33" s="1" customFormat="1">
      <c r="A69" s="188">
        <v>6128</v>
      </c>
      <c r="B69" s="188" t="s">
        <v>270</v>
      </c>
      <c r="C69" s="678">
        <v>0</v>
      </c>
      <c r="D69" s="702">
        <f>C69/C$12</f>
        <v>0</v>
      </c>
      <c r="E69" s="678">
        <v>0</v>
      </c>
      <c r="F69" s="702">
        <f>E69/E$12</f>
        <v>0</v>
      </c>
      <c r="G69" s="678">
        <v>0</v>
      </c>
      <c r="H69" s="702">
        <f>G69/G$12</f>
        <v>0</v>
      </c>
      <c r="I69" s="678">
        <v>0</v>
      </c>
      <c r="J69" s="702">
        <f>I69/I$12</f>
        <v>0</v>
      </c>
      <c r="K69" s="678">
        <v>0</v>
      </c>
      <c r="L69" s="702">
        <f>K69/K$12</f>
        <v>0</v>
      </c>
      <c r="M69" s="678">
        <v>0</v>
      </c>
      <c r="N69" s="702">
        <f>M69/M$12</f>
        <v>0</v>
      </c>
      <c r="O69" s="678">
        <v>0</v>
      </c>
      <c r="P69" s="702">
        <f>O69/O$12</f>
        <v>0</v>
      </c>
      <c r="Q69" s="678">
        <v>0</v>
      </c>
      <c r="R69" s="702">
        <f>Q69/Q$12</f>
        <v>0</v>
      </c>
      <c r="S69" s="678">
        <v>0</v>
      </c>
      <c r="T69" s="702">
        <f>S69/S$12</f>
        <v>0</v>
      </c>
      <c r="U69" s="678">
        <v>0</v>
      </c>
      <c r="V69" s="702">
        <f>U69/U$12</f>
        <v>0</v>
      </c>
      <c r="W69" s="678">
        <v>0</v>
      </c>
      <c r="X69" s="702">
        <f>W69/W$12</f>
        <v>0</v>
      </c>
      <c r="Y69" s="678">
        <v>0</v>
      </c>
      <c r="Z69" s="702">
        <f>Y69/Y$12</f>
        <v>0</v>
      </c>
      <c r="AA69" s="144">
        <f t="shared" si="22"/>
        <v>0</v>
      </c>
      <c r="AB69" s="677">
        <f t="shared" ref="AB69:AD75" si="40">AA69/AA$12</f>
        <v>0</v>
      </c>
      <c r="AC69" s="128">
        <f t="shared" si="23"/>
        <v>0</v>
      </c>
      <c r="AD69" s="677">
        <f t="shared" si="40"/>
        <v>0</v>
      </c>
      <c r="AE69" s="595"/>
      <c r="AF69" s="595"/>
      <c r="AG69" s="555"/>
    </row>
    <row r="70" spans="1:33" s="1" customFormat="1">
      <c r="A70" s="2">
        <v>6131</v>
      </c>
      <c r="B70" s="188" t="s">
        <v>314</v>
      </c>
      <c r="C70" s="676">
        <v>676.8189509306261</v>
      </c>
      <c r="D70" s="702">
        <f t="shared" ref="D70:D75" si="41">C70/C$12</f>
        <v>9.0580378115877997E-4</v>
      </c>
      <c r="E70" s="676">
        <v>676.8189509306261</v>
      </c>
      <c r="F70" s="702">
        <f t="shared" ref="F70:F75" si="42">E70/E$12</f>
        <v>1.1642700217214834E-3</v>
      </c>
      <c r="G70" s="676">
        <v>676.8189509306261</v>
      </c>
      <c r="H70" s="702">
        <f t="shared" ref="H70:H75" si="43">G70/G$12</f>
        <v>7.0188434267144065E-4</v>
      </c>
      <c r="I70" s="676">
        <v>676.8189509306261</v>
      </c>
      <c r="J70" s="702">
        <f t="shared" ref="J70:J75" si="44">I70/I$12</f>
        <v>7.9489131144071907E-4</v>
      </c>
      <c r="K70" s="676">
        <v>676.8189509306261</v>
      </c>
      <c r="L70" s="702">
        <f t="shared" ref="L70:L75" si="45">K70/K$12</f>
        <v>8.6911167837515108E-4</v>
      </c>
      <c r="M70" s="676">
        <v>676.8189509306261</v>
      </c>
      <c r="N70" s="702">
        <f t="shared" ref="N70:N75" si="46">M70/M$12</f>
        <v>6.1291972100431915E-4</v>
      </c>
      <c r="O70" s="676">
        <v>676.8189509306261</v>
      </c>
      <c r="P70" s="702">
        <f t="shared" ref="P70:P75" si="47">O70/O$12</f>
        <v>9.6810856964541804E-4</v>
      </c>
      <c r="Q70" s="676">
        <v>676.8189509306261</v>
      </c>
      <c r="R70" s="702">
        <f t="shared" ref="R70:R75" si="48">Q70/Q$12</f>
        <v>7.7963931168112703E-4</v>
      </c>
      <c r="S70" s="676">
        <v>676.8189509306261</v>
      </c>
      <c r="T70" s="702">
        <f t="shared" ref="T70:T75" si="49">S70/S$12</f>
        <v>7.7392828145631464E-4</v>
      </c>
      <c r="U70" s="676">
        <v>676.8189509306261</v>
      </c>
      <c r="V70" s="702">
        <f t="shared" ref="V70:V75" si="50">U70/U$12</f>
        <v>9.7569580292355561E-4</v>
      </c>
      <c r="W70" s="676">
        <v>676.8189509306261</v>
      </c>
      <c r="X70" s="702">
        <f t="shared" ref="X70:X75" si="51">W70/W$12</f>
        <v>9.5896990127356527E-4</v>
      </c>
      <c r="Y70" s="676">
        <v>676.8189509306261</v>
      </c>
      <c r="Z70" s="702">
        <f t="shared" ref="Z70:Z75" si="52">Y70/Y$12</f>
        <v>6.3480047842583392E-4</v>
      </c>
      <c r="AA70" s="144">
        <f t="shared" si="22"/>
        <v>8121.8274111675119</v>
      </c>
      <c r="AB70" s="702">
        <f t="shared" si="40"/>
        <v>8.1752260554714194E-4</v>
      </c>
      <c r="AC70" s="128">
        <f t="shared" si="23"/>
        <v>676.81895093062599</v>
      </c>
      <c r="AD70" s="702">
        <f t="shared" si="40"/>
        <v>8.1752260554714194E-4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676">
        <v>46.531302876480538</v>
      </c>
      <c r="D71" s="702">
        <f t="shared" si="41"/>
        <v>6.2274009954666113E-5</v>
      </c>
      <c r="E71" s="676">
        <v>46.531302876480538</v>
      </c>
      <c r="F71" s="702">
        <f t="shared" si="42"/>
        <v>8.0043563993351959E-5</v>
      </c>
      <c r="G71" s="676">
        <v>46.531302876480538</v>
      </c>
      <c r="H71" s="702">
        <f t="shared" si="43"/>
        <v>4.8254548558661537E-5</v>
      </c>
      <c r="I71" s="676">
        <v>46.531302876480538</v>
      </c>
      <c r="J71" s="702">
        <f t="shared" si="44"/>
        <v>5.464877766154943E-5</v>
      </c>
      <c r="K71" s="676">
        <v>46.531302876480538</v>
      </c>
      <c r="L71" s="702">
        <f t="shared" si="45"/>
        <v>5.975142788829163E-5</v>
      </c>
      <c r="M71" s="676">
        <v>46.531302876480538</v>
      </c>
      <c r="N71" s="702">
        <f t="shared" si="46"/>
        <v>4.2138230819046929E-5</v>
      </c>
      <c r="O71" s="676">
        <v>46.531302876480538</v>
      </c>
      <c r="P71" s="702">
        <f t="shared" si="47"/>
        <v>6.6557464163122482E-5</v>
      </c>
      <c r="Q71" s="676">
        <v>46.531302876480538</v>
      </c>
      <c r="R71" s="702">
        <f t="shared" si="48"/>
        <v>5.3600202678077475E-5</v>
      </c>
      <c r="S71" s="676">
        <v>46.531302876480538</v>
      </c>
      <c r="T71" s="702">
        <f t="shared" si="49"/>
        <v>5.3207569350121628E-5</v>
      </c>
      <c r="U71" s="676">
        <v>46.531302876480538</v>
      </c>
      <c r="V71" s="702">
        <f t="shared" si="50"/>
        <v>6.7079086450994434E-5</v>
      </c>
      <c r="W71" s="676">
        <v>46.531302876480538</v>
      </c>
      <c r="X71" s="702">
        <f t="shared" si="51"/>
        <v>6.5929180712557601E-5</v>
      </c>
      <c r="Y71" s="676">
        <v>46.531302876480538</v>
      </c>
      <c r="Z71" s="702">
        <f t="shared" si="52"/>
        <v>4.3642532891776075E-5</v>
      </c>
      <c r="AA71" s="144">
        <f t="shared" si="22"/>
        <v>558.37563451776646</v>
      </c>
      <c r="AB71" s="702">
        <f t="shared" si="40"/>
        <v>5.6204679131366011E-5</v>
      </c>
      <c r="AC71" s="128">
        <f t="shared" si="23"/>
        <v>46.531302876480538</v>
      </c>
      <c r="AD71" s="702">
        <f t="shared" si="40"/>
        <v>5.6204679131366011E-5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41"/>
        <v>1.3383250866620973E-4</v>
      </c>
      <c r="E72" s="676">
        <v>100</v>
      </c>
      <c r="F72" s="702">
        <f t="shared" si="42"/>
        <v>1.7202089570934914E-4</v>
      </c>
      <c r="G72" s="676">
        <v>100</v>
      </c>
      <c r="H72" s="702">
        <f t="shared" si="43"/>
        <v>1.0370341162970534E-4</v>
      </c>
      <c r="I72" s="676">
        <v>100</v>
      </c>
      <c r="J72" s="702">
        <f t="shared" si="44"/>
        <v>1.1744519126536624E-4</v>
      </c>
      <c r="K72" s="676">
        <v>100</v>
      </c>
      <c r="L72" s="702">
        <f t="shared" si="45"/>
        <v>1.2841125047992856E-4</v>
      </c>
      <c r="M72" s="676">
        <v>100</v>
      </c>
      <c r="N72" s="702">
        <f t="shared" si="46"/>
        <v>9.0558888778388135E-5</v>
      </c>
      <c r="O72" s="676">
        <v>100</v>
      </c>
      <c r="P72" s="702">
        <f t="shared" si="47"/>
        <v>1.430380411651105E-4</v>
      </c>
      <c r="Q72" s="676">
        <v>100</v>
      </c>
      <c r="R72" s="702">
        <f t="shared" si="48"/>
        <v>1.1519170830088651E-4</v>
      </c>
      <c r="S72" s="676">
        <v>100</v>
      </c>
      <c r="T72" s="702">
        <f t="shared" si="49"/>
        <v>1.1434790358517048E-4</v>
      </c>
      <c r="U72" s="676">
        <v>100</v>
      </c>
      <c r="V72" s="702">
        <f t="shared" si="50"/>
        <v>1.4415905488195533E-4</v>
      </c>
      <c r="W72" s="676">
        <v>100</v>
      </c>
      <c r="X72" s="702">
        <f t="shared" si="51"/>
        <v>1.4168780291316926E-4</v>
      </c>
      <c r="Y72" s="676">
        <v>100</v>
      </c>
      <c r="Z72" s="702">
        <f t="shared" si="52"/>
        <v>9.3791770687416958E-5</v>
      </c>
      <c r="AA72" s="144">
        <f t="shared" si="22"/>
        <v>1200</v>
      </c>
      <c r="AB72" s="702">
        <f t="shared" si="40"/>
        <v>1.2078896496959025E-4</v>
      </c>
      <c r="AC72" s="128">
        <f t="shared" si="23"/>
        <v>100</v>
      </c>
      <c r="AD72" s="702">
        <f t="shared" si="40"/>
        <v>1.2078896496959023E-4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676">
        <v>118.44331641285957</v>
      </c>
      <c r="D73" s="702">
        <f t="shared" si="41"/>
        <v>1.585156617027865E-4</v>
      </c>
      <c r="E73" s="676">
        <v>118.44331641285957</v>
      </c>
      <c r="F73" s="702">
        <f t="shared" si="42"/>
        <v>2.0374725380125958E-4</v>
      </c>
      <c r="G73" s="676">
        <v>118.44331641285957</v>
      </c>
      <c r="H73" s="702">
        <f t="shared" si="43"/>
        <v>1.2282975996750212E-4</v>
      </c>
      <c r="I73" s="676">
        <v>118.44331641285957</v>
      </c>
      <c r="J73" s="702">
        <f t="shared" si="44"/>
        <v>1.3910597950212586E-4</v>
      </c>
      <c r="K73" s="676">
        <v>118.44331641285957</v>
      </c>
      <c r="L73" s="702">
        <f t="shared" si="45"/>
        <v>1.5209454371565144E-4</v>
      </c>
      <c r="M73" s="676">
        <v>118.44331641285957</v>
      </c>
      <c r="N73" s="702">
        <f t="shared" si="46"/>
        <v>1.0726095117575585E-4</v>
      </c>
      <c r="O73" s="676">
        <v>118.44331641285957</v>
      </c>
      <c r="P73" s="702">
        <f t="shared" si="47"/>
        <v>1.6941899968794815E-4</v>
      </c>
      <c r="Q73" s="676">
        <v>118.44331641285957</v>
      </c>
      <c r="R73" s="702">
        <f t="shared" si="48"/>
        <v>1.3643687954419725E-4</v>
      </c>
      <c r="S73" s="676">
        <v>118.44331641285957</v>
      </c>
      <c r="T73" s="702">
        <f t="shared" si="49"/>
        <v>1.3543744925485508E-4</v>
      </c>
      <c r="U73" s="676">
        <v>118.44331641285957</v>
      </c>
      <c r="V73" s="702">
        <f t="shared" si="50"/>
        <v>1.7074676551162224E-4</v>
      </c>
      <c r="W73" s="676">
        <v>118.44331641285957</v>
      </c>
      <c r="X73" s="702">
        <f t="shared" si="51"/>
        <v>1.6781973272287393E-4</v>
      </c>
      <c r="Y73" s="676">
        <v>118.44331641285957</v>
      </c>
      <c r="Z73" s="702">
        <f t="shared" si="52"/>
        <v>1.1109008372452094E-4</v>
      </c>
      <c r="AA73" s="144">
        <f t="shared" si="22"/>
        <v>1421.3197969543146</v>
      </c>
      <c r="AB73" s="702">
        <f t="shared" si="40"/>
        <v>1.4306645597074986E-4</v>
      </c>
      <c r="AC73" s="128">
        <f t="shared" si="23"/>
        <v>118.44331641285955</v>
      </c>
      <c r="AD73" s="702">
        <f t="shared" si="40"/>
        <v>1.4306645597074983E-4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41"/>
        <v>0</v>
      </c>
      <c r="E74" s="676">
        <v>0</v>
      </c>
      <c r="F74" s="702">
        <f t="shared" si="42"/>
        <v>0</v>
      </c>
      <c r="G74" s="676">
        <v>0</v>
      </c>
      <c r="H74" s="702">
        <f t="shared" si="43"/>
        <v>0</v>
      </c>
      <c r="I74" s="676">
        <v>0</v>
      </c>
      <c r="J74" s="702">
        <f t="shared" si="44"/>
        <v>0</v>
      </c>
      <c r="K74" s="676">
        <v>0</v>
      </c>
      <c r="L74" s="702">
        <f t="shared" si="45"/>
        <v>0</v>
      </c>
      <c r="M74" s="676">
        <v>0</v>
      </c>
      <c r="N74" s="702">
        <f t="shared" si="46"/>
        <v>0</v>
      </c>
      <c r="O74" s="676">
        <v>0</v>
      </c>
      <c r="P74" s="702">
        <f t="shared" si="47"/>
        <v>0</v>
      </c>
      <c r="Q74" s="676">
        <v>0</v>
      </c>
      <c r="R74" s="702">
        <f t="shared" si="48"/>
        <v>0</v>
      </c>
      <c r="S74" s="676">
        <v>0</v>
      </c>
      <c r="T74" s="702">
        <f t="shared" si="49"/>
        <v>0</v>
      </c>
      <c r="U74" s="676">
        <v>0</v>
      </c>
      <c r="V74" s="702">
        <f t="shared" si="50"/>
        <v>0</v>
      </c>
      <c r="W74" s="676">
        <v>0</v>
      </c>
      <c r="X74" s="702">
        <f t="shared" si="51"/>
        <v>0</v>
      </c>
      <c r="Y74" s="676">
        <v>0</v>
      </c>
      <c r="Z74" s="702">
        <f t="shared" si="52"/>
        <v>0</v>
      </c>
      <c r="AA74" s="144">
        <f t="shared" si="22"/>
        <v>0</v>
      </c>
      <c r="AB74" s="702">
        <f t="shared" si="40"/>
        <v>0</v>
      </c>
      <c r="AC74" s="128">
        <f t="shared" si="23"/>
        <v>0</v>
      </c>
      <c r="AD74" s="702">
        <f t="shared" si="40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676">
        <v>155</v>
      </c>
      <c r="D75" s="702">
        <f t="shared" si="41"/>
        <v>2.0744038843262507E-4</v>
      </c>
      <c r="E75" s="676">
        <v>155</v>
      </c>
      <c r="F75" s="702">
        <f t="shared" si="42"/>
        <v>2.6663238834949117E-4</v>
      </c>
      <c r="G75" s="676">
        <v>155</v>
      </c>
      <c r="H75" s="702">
        <f t="shared" si="43"/>
        <v>1.6074028802604329E-4</v>
      </c>
      <c r="I75" s="676">
        <v>155</v>
      </c>
      <c r="J75" s="702">
        <f t="shared" si="44"/>
        <v>1.8204004646131766E-4</v>
      </c>
      <c r="K75" s="676">
        <v>155</v>
      </c>
      <c r="L75" s="702">
        <f t="shared" si="45"/>
        <v>1.9903743824388928E-4</v>
      </c>
      <c r="M75" s="676">
        <v>155</v>
      </c>
      <c r="N75" s="702">
        <f t="shared" si="46"/>
        <v>1.4036627760650162E-4</v>
      </c>
      <c r="O75" s="676">
        <v>155</v>
      </c>
      <c r="P75" s="702">
        <f t="shared" si="47"/>
        <v>2.2170896380592129E-4</v>
      </c>
      <c r="Q75" s="676">
        <v>155</v>
      </c>
      <c r="R75" s="702">
        <f t="shared" si="48"/>
        <v>1.785471478663741E-4</v>
      </c>
      <c r="S75" s="676">
        <v>155</v>
      </c>
      <c r="T75" s="702">
        <f t="shared" si="49"/>
        <v>1.7723925055701425E-4</v>
      </c>
      <c r="U75" s="676">
        <v>155</v>
      </c>
      <c r="V75" s="702">
        <f t="shared" si="50"/>
        <v>2.2344653506703078E-4</v>
      </c>
      <c r="W75" s="676">
        <v>155</v>
      </c>
      <c r="X75" s="702">
        <f t="shared" si="51"/>
        <v>2.1961609451541235E-4</v>
      </c>
      <c r="Y75" s="676">
        <v>155</v>
      </c>
      <c r="Z75" s="702">
        <f t="shared" si="52"/>
        <v>1.4537724456549627E-4</v>
      </c>
      <c r="AA75" s="144">
        <f t="shared" si="22"/>
        <v>1860</v>
      </c>
      <c r="AB75" s="702">
        <f t="shared" si="40"/>
        <v>1.8722289570286487E-4</v>
      </c>
      <c r="AC75" s="128">
        <f t="shared" si="23"/>
        <v>155</v>
      </c>
      <c r="AD75" s="702"/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398">
        <f>SUM(C42:C75)</f>
        <v>111121.40449851842</v>
      </c>
      <c r="D76" s="401">
        <f>C76/C12</f>
        <v>0.14871656330549363</v>
      </c>
      <c r="E76" s="398">
        <f>SUM(E42:E75)</f>
        <v>99111.845549799866</v>
      </c>
      <c r="F76" s="401">
        <f>E76/E12</f>
        <v>0.17049308446883243</v>
      </c>
      <c r="G76" s="398">
        <f>SUM(G42:G75)</f>
        <v>126838.41775628911</v>
      </c>
      <c r="H76" s="401">
        <f>G76/G12</f>
        <v>0.13153576647040977</v>
      </c>
      <c r="I76" s="398">
        <f>SUM(I42:I75)</f>
        <v>118669.71181455161</v>
      </c>
      <c r="J76" s="401">
        <f>I76/I12</f>
        <v>0.13937187001465906</v>
      </c>
      <c r="K76" s="398">
        <f>SUM(K42:K75)</f>
        <v>115405.28808373737</v>
      </c>
      <c r="L76" s="401">
        <f>K76/K12</f>
        <v>0.14819337354829115</v>
      </c>
      <c r="M76" s="400">
        <f>SUM(M42:M75)</f>
        <v>141221.91288717079</v>
      </c>
      <c r="N76" s="401">
        <f>M76/M12</f>
        <v>0.12788899502220519</v>
      </c>
      <c r="O76" s="398">
        <f>SUM(O42:O75)</f>
        <v>210142.30074089899</v>
      </c>
      <c r="P76" s="401">
        <f>O76/O12</f>
        <v>0.30058343063907739</v>
      </c>
      <c r="Q76" s="398">
        <f>SUM(Q42:Q75)</f>
        <v>210547.90870983453</v>
      </c>
      <c r="R76" s="401">
        <f>Q76/Q12</f>
        <v>0.24253373283464941</v>
      </c>
      <c r="S76" s="398">
        <f>SUM(S42:S75)</f>
        <v>210813.28330765883</v>
      </c>
      <c r="T76" s="401">
        <f>S76/S12</f>
        <v>0.24106056994137401</v>
      </c>
      <c r="U76" s="398">
        <f>SUM(U42:U75)</f>
        <v>208129.25319936557</v>
      </c>
      <c r="V76" s="401">
        <f>U76/U12</f>
        <v>0.30003716434507721</v>
      </c>
      <c r="W76" s="398">
        <f>SUM(W42:W75)</f>
        <v>208158.29034198701</v>
      </c>
      <c r="X76" s="401">
        <f>W76/W12</f>
        <v>0.29493490816717721</v>
      </c>
      <c r="Y76" s="398">
        <f>SUM(Y42:Y75)</f>
        <v>211273.28530429455</v>
      </c>
      <c r="Z76" s="401">
        <f>Y76/Y12</f>
        <v>0.19815695527637611</v>
      </c>
      <c r="AA76" s="148">
        <f>SUM(AA42:AA75)</f>
        <v>1971432.9021941067</v>
      </c>
      <c r="AB76" s="89">
        <f>AA76/AA12</f>
        <v>0.19843944980251799</v>
      </c>
      <c r="AC76" s="132">
        <f>SUM(AC42:AC75)</f>
        <v>164286.07518284221</v>
      </c>
      <c r="AD76" s="89">
        <f>AC76/AC12</f>
        <v>0.19843944980251796</v>
      </c>
      <c r="AE76" s="596"/>
      <c r="AF76" s="596"/>
      <c r="AG76" s="622"/>
    </row>
    <row r="77" spans="1:33" s="1" customFormat="1" ht="15.75" thickTop="1">
      <c r="A77" s="188">
        <v>6201</v>
      </c>
      <c r="B77" s="228" t="s">
        <v>24</v>
      </c>
      <c r="C77" s="703">
        <v>53400</v>
      </c>
      <c r="D77" s="68">
        <f>C77/C12</f>
        <v>7.1466559627755999E-2</v>
      </c>
      <c r="E77" s="703">
        <v>53400</v>
      </c>
      <c r="F77" s="68">
        <f>E77/E12</f>
        <v>9.1859158308792446E-2</v>
      </c>
      <c r="G77" s="703">
        <v>53400</v>
      </c>
      <c r="H77" s="68">
        <f>G77/G12</f>
        <v>5.5377621810262657E-2</v>
      </c>
      <c r="I77" s="703">
        <v>53400</v>
      </c>
      <c r="J77" s="68">
        <f>I77/I12</f>
        <v>6.2715732135705568E-2</v>
      </c>
      <c r="K77" s="703">
        <v>53400</v>
      </c>
      <c r="L77" s="68">
        <f>K77/K12</f>
        <v>6.8571607756281849E-2</v>
      </c>
      <c r="M77" s="703">
        <v>53400</v>
      </c>
      <c r="N77" s="702">
        <f>M77/M12</f>
        <v>4.835844660765927E-2</v>
      </c>
      <c r="O77" s="703">
        <v>53400</v>
      </c>
      <c r="P77" s="702">
        <f>O77/O12</f>
        <v>7.6382313982169006E-2</v>
      </c>
      <c r="Q77" s="703">
        <v>53400</v>
      </c>
      <c r="R77" s="68">
        <f>Q77/Q12</f>
        <v>6.1512372232673397E-2</v>
      </c>
      <c r="S77" s="703">
        <v>53400</v>
      </c>
      <c r="T77" s="68">
        <f>S77/S12</f>
        <v>6.1061780514481037E-2</v>
      </c>
      <c r="U77" s="703">
        <v>53400</v>
      </c>
      <c r="V77" s="68">
        <f>U77/U12</f>
        <v>7.6980935306964149E-2</v>
      </c>
      <c r="W77" s="703">
        <v>53400</v>
      </c>
      <c r="X77" s="68">
        <f>W77/W12</f>
        <v>7.5661286755632384E-2</v>
      </c>
      <c r="Y77" s="703">
        <v>53400</v>
      </c>
      <c r="Z77" s="68">
        <f>Y77/Y12</f>
        <v>5.0084805547080655E-2</v>
      </c>
      <c r="AA77" s="144">
        <f t="shared" ref="AA77:AA92" si="53">C77+E77+G77+I77+K77+M77+O77+Q77+S77+U77+W77+Y77</f>
        <v>640800</v>
      </c>
      <c r="AB77" s="68">
        <f>AA77/AA12</f>
        <v>6.450130729376119E-2</v>
      </c>
      <c r="AC77" s="128">
        <f t="shared" ref="AC77:AC92" si="54">AA77/12</f>
        <v>53400</v>
      </c>
      <c r="AD77" s="68">
        <f>AC77/AC12</f>
        <v>6.450130729376119E-2</v>
      </c>
      <c r="AE77" s="595"/>
      <c r="AF77" s="595"/>
      <c r="AG77" s="555"/>
    </row>
    <row r="78" spans="1:33" s="1" customFormat="1">
      <c r="A78" s="188">
        <v>6202</v>
      </c>
      <c r="B78" s="228" t="s">
        <v>25</v>
      </c>
      <c r="C78" s="703">
        <v>26700</v>
      </c>
      <c r="D78" s="68">
        <f>C78/C12</f>
        <v>3.5733279813877999E-2</v>
      </c>
      <c r="E78" s="703">
        <v>26700</v>
      </c>
      <c r="F78" s="68">
        <f>E78/E12</f>
        <v>4.5929579154396223E-2</v>
      </c>
      <c r="G78" s="703">
        <v>26700</v>
      </c>
      <c r="H78" s="68">
        <f>G78/G12</f>
        <v>2.7688810905131329E-2</v>
      </c>
      <c r="I78" s="703">
        <v>26700</v>
      </c>
      <c r="J78" s="68">
        <f>I78/I12</f>
        <v>3.1357866067852784E-2</v>
      </c>
      <c r="K78" s="703">
        <v>26700</v>
      </c>
      <c r="L78" s="68">
        <f>K78/K12</f>
        <v>3.4285803878140925E-2</v>
      </c>
      <c r="M78" s="703">
        <v>26700</v>
      </c>
      <c r="N78" s="702">
        <f>M78/M12</f>
        <v>2.4179223303829635E-2</v>
      </c>
      <c r="O78" s="703">
        <v>26700</v>
      </c>
      <c r="P78" s="702">
        <f>O78/O12</f>
        <v>3.8191156991084503E-2</v>
      </c>
      <c r="Q78" s="703">
        <v>26700</v>
      </c>
      <c r="R78" s="68">
        <f>Q78/Q12</f>
        <v>3.0756186116336699E-2</v>
      </c>
      <c r="S78" s="703">
        <v>26700</v>
      </c>
      <c r="T78" s="68">
        <f>S78/S12</f>
        <v>3.0530890257240519E-2</v>
      </c>
      <c r="U78" s="703">
        <v>26700</v>
      </c>
      <c r="V78" s="68">
        <f>U78/U12</f>
        <v>3.8490467653482074E-2</v>
      </c>
      <c r="W78" s="703">
        <v>26700</v>
      </c>
      <c r="X78" s="68">
        <f>W78/W12</f>
        <v>3.7830643377816192E-2</v>
      </c>
      <c r="Y78" s="703">
        <v>26700</v>
      </c>
      <c r="Z78" s="68">
        <f>Y78/Y12</f>
        <v>2.5042402773540327E-2</v>
      </c>
      <c r="AA78" s="144">
        <f t="shared" si="53"/>
        <v>320400</v>
      </c>
      <c r="AB78" s="68">
        <f>AA78/AA12</f>
        <v>3.2250653646880595E-2</v>
      </c>
      <c r="AC78" s="128">
        <f t="shared" si="54"/>
        <v>26700</v>
      </c>
      <c r="AD78" s="68">
        <f>AC78/AC12</f>
        <v>3.2250653646880595E-2</v>
      </c>
      <c r="AE78" s="595"/>
      <c r="AF78" s="595"/>
      <c r="AG78" s="555"/>
    </row>
    <row r="79" spans="1:33" s="1" customFormat="1">
      <c r="A79" s="188">
        <v>6203</v>
      </c>
      <c r="B79" s="228" t="s">
        <v>26</v>
      </c>
      <c r="C79" s="703">
        <v>8900</v>
      </c>
      <c r="D79" s="68">
        <f>C79/C12</f>
        <v>1.1911093271292666E-2</v>
      </c>
      <c r="E79" s="703">
        <v>8900</v>
      </c>
      <c r="F79" s="68">
        <f>E79/E12</f>
        <v>1.5309859718132073E-2</v>
      </c>
      <c r="G79" s="703">
        <v>8900</v>
      </c>
      <c r="H79" s="68">
        <f>G79/G12</f>
        <v>9.2296036350437757E-3</v>
      </c>
      <c r="I79" s="703">
        <v>8900</v>
      </c>
      <c r="J79" s="68">
        <f>I79/I12</f>
        <v>1.0452622022617595E-2</v>
      </c>
      <c r="K79" s="703">
        <v>8900</v>
      </c>
      <c r="L79" s="68">
        <f>K79/K12</f>
        <v>1.1428601292713642E-2</v>
      </c>
      <c r="M79" s="703">
        <v>8900</v>
      </c>
      <c r="N79" s="702">
        <f>M79/M12</f>
        <v>8.0597411012765449E-3</v>
      </c>
      <c r="O79" s="703">
        <v>8900</v>
      </c>
      <c r="P79" s="702">
        <f>O79/O12</f>
        <v>1.2730385663694834E-2</v>
      </c>
      <c r="Q79" s="703">
        <v>8900</v>
      </c>
      <c r="R79" s="68">
        <f>Q79/Q12</f>
        <v>1.02520620387789E-2</v>
      </c>
      <c r="S79" s="703">
        <v>8900</v>
      </c>
      <c r="T79" s="68">
        <f>S79/S12</f>
        <v>1.0176963419080172E-2</v>
      </c>
      <c r="U79" s="703">
        <v>8900</v>
      </c>
      <c r="V79" s="68">
        <f>U79/U12</f>
        <v>1.2830155884494024E-2</v>
      </c>
      <c r="W79" s="703">
        <v>8900</v>
      </c>
      <c r="X79" s="68">
        <f>W79/W12</f>
        <v>1.2610214459272065E-2</v>
      </c>
      <c r="Y79" s="703">
        <v>8900</v>
      </c>
      <c r="Z79" s="68">
        <f>Y79/Y12</f>
        <v>8.3474675911801091E-3</v>
      </c>
      <c r="AA79" s="144">
        <f t="shared" si="53"/>
        <v>106800</v>
      </c>
      <c r="AB79" s="68">
        <f>AA79/AA12</f>
        <v>1.0750217882293531E-2</v>
      </c>
      <c r="AC79" s="128">
        <f t="shared" si="54"/>
        <v>8900</v>
      </c>
      <c r="AD79" s="68">
        <f>AC79/AC12</f>
        <v>1.0750217882293531E-2</v>
      </c>
      <c r="AE79" s="595"/>
      <c r="AF79" s="595"/>
      <c r="AG79" s="555"/>
    </row>
    <row r="80" spans="1:33" s="1" customFormat="1">
      <c r="A80" s="188">
        <v>6204</v>
      </c>
      <c r="B80" s="228" t="s">
        <v>27</v>
      </c>
      <c r="C80" s="292"/>
      <c r="D80" s="68">
        <f>C80/C12</f>
        <v>0</v>
      </c>
      <c r="E80" s="704"/>
      <c r="F80" s="68">
        <f>E80/E12</f>
        <v>0</v>
      </c>
      <c r="G80" s="704"/>
      <c r="H80" s="68">
        <f>G80/G12</f>
        <v>0</v>
      </c>
      <c r="I80" s="704"/>
      <c r="J80" s="68">
        <f>I80/I12</f>
        <v>0</v>
      </c>
      <c r="K80" s="704"/>
      <c r="L80" s="68">
        <f>K80/K12</f>
        <v>0</v>
      </c>
      <c r="M80" s="704"/>
      <c r="N80" s="702">
        <f>M80/M12</f>
        <v>0</v>
      </c>
      <c r="O80" s="704"/>
      <c r="P80" s="702">
        <f>O80/O12</f>
        <v>0</v>
      </c>
      <c r="Q80" s="704"/>
      <c r="R80" s="68">
        <f>Q80/Q12</f>
        <v>0</v>
      </c>
      <c r="S80" s="704"/>
      <c r="T80" s="68">
        <f>S80/S12</f>
        <v>0</v>
      </c>
      <c r="U80" s="704"/>
      <c r="V80" s="68">
        <f>U80/U12</f>
        <v>0</v>
      </c>
      <c r="W80" s="704"/>
      <c r="X80" s="68">
        <f>W80/W12</f>
        <v>0</v>
      </c>
      <c r="Y80" s="704"/>
      <c r="Z80" s="68">
        <f>Y80/Y12</f>
        <v>0</v>
      </c>
      <c r="AA80" s="144">
        <f t="shared" si="53"/>
        <v>0</v>
      </c>
      <c r="AB80" s="68">
        <f>AA80/AA12</f>
        <v>0</v>
      </c>
      <c r="AC80" s="128">
        <f t="shared" si="54"/>
        <v>0</v>
      </c>
      <c r="AD80" s="68">
        <f>AC80/AC12</f>
        <v>0</v>
      </c>
      <c r="AE80" s="595"/>
      <c r="AF80" s="595"/>
      <c r="AG80" s="555"/>
    </row>
    <row r="81" spans="1:33" s="1" customFormat="1">
      <c r="A81" s="188">
        <v>6205</v>
      </c>
      <c r="B81" s="228" t="s">
        <v>28</v>
      </c>
      <c r="C81" s="292"/>
      <c r="D81" s="68">
        <f>C81/C12</f>
        <v>0</v>
      </c>
      <c r="E81" s="704"/>
      <c r="F81" s="68">
        <f>E81/E12</f>
        <v>0</v>
      </c>
      <c r="G81" s="704"/>
      <c r="H81" s="68">
        <f>G81/G12</f>
        <v>0</v>
      </c>
      <c r="I81" s="704"/>
      <c r="J81" s="68">
        <f>I81/I12</f>
        <v>0</v>
      </c>
      <c r="K81" s="704"/>
      <c r="L81" s="68">
        <f>K81/K12</f>
        <v>0</v>
      </c>
      <c r="M81" s="704"/>
      <c r="N81" s="702">
        <f>M81/M12</f>
        <v>0</v>
      </c>
      <c r="O81" s="704"/>
      <c r="P81" s="702">
        <f>O81/O12</f>
        <v>0</v>
      </c>
      <c r="Q81" s="704"/>
      <c r="R81" s="68">
        <f>Q81/Q12</f>
        <v>0</v>
      </c>
      <c r="S81" s="704"/>
      <c r="T81" s="68">
        <f>S81/S12</f>
        <v>0</v>
      </c>
      <c r="U81" s="704"/>
      <c r="V81" s="68">
        <f>U81/U12</f>
        <v>0</v>
      </c>
      <c r="W81" s="704"/>
      <c r="X81" s="68">
        <f>W81/W12</f>
        <v>0</v>
      </c>
      <c r="Y81" s="704"/>
      <c r="Z81" s="68">
        <f>Y81/Y12</f>
        <v>0</v>
      </c>
      <c r="AA81" s="144">
        <f t="shared" si="53"/>
        <v>0</v>
      </c>
      <c r="AB81" s="68">
        <f>AA81/AA12</f>
        <v>0</v>
      </c>
      <c r="AC81" s="128">
        <f t="shared" si="54"/>
        <v>0</v>
      </c>
      <c r="AD81" s="68">
        <f>AC81/AC12</f>
        <v>0</v>
      </c>
      <c r="AE81" s="595"/>
      <c r="AF81" s="595"/>
      <c r="AG81" s="555"/>
    </row>
    <row r="82" spans="1:33" s="1" customFormat="1">
      <c r="A82" s="188">
        <v>6206</v>
      </c>
      <c r="B82" s="2" t="s">
        <v>217</v>
      </c>
      <c r="C82" s="704">
        <v>1484.6333333333332</v>
      </c>
      <c r="D82" s="68">
        <f>C82/C12</f>
        <v>1.9869220344947715E-3</v>
      </c>
      <c r="E82" s="704">
        <v>1484.6333333333332</v>
      </c>
      <c r="F82" s="68">
        <f>E82/E12</f>
        <v>2.5538795579995669E-3</v>
      </c>
      <c r="G82" s="704">
        <v>1484.6333333333332</v>
      </c>
      <c r="H82" s="68">
        <f>G82/G12</f>
        <v>1.539615416858482E-3</v>
      </c>
      <c r="I82" s="704">
        <v>1484.6333333333332</v>
      </c>
      <c r="J82" s="68">
        <f>I82/I12</f>
        <v>1.7436304579227155E-3</v>
      </c>
      <c r="K82" s="704">
        <v>1484.6333333333332</v>
      </c>
      <c r="L82" s="68">
        <f>K82/K12</f>
        <v>1.9064362283751793E-3</v>
      </c>
      <c r="M82" s="704">
        <v>1484.6333333333332</v>
      </c>
      <c r="N82" s="702">
        <f>M82/M12</f>
        <v>1.3444674491002097E-3</v>
      </c>
      <c r="O82" s="704">
        <v>1484.6333333333332</v>
      </c>
      <c r="P82" s="702">
        <f>O82/O12</f>
        <v>2.1235904384842852E-3</v>
      </c>
      <c r="Q82" s="704">
        <v>1484.6333333333332</v>
      </c>
      <c r="R82" s="68">
        <f>Q82/Q12</f>
        <v>1.7101744986710613E-3</v>
      </c>
      <c r="S82" s="704">
        <v>1484.6333333333332</v>
      </c>
      <c r="T82" s="68">
        <f>S82/S12</f>
        <v>1.6976470925933026E-3</v>
      </c>
      <c r="U82" s="704">
        <v>1484.6333333333332</v>
      </c>
      <c r="V82" s="68">
        <f>U82/U12</f>
        <v>2.1402333817958025E-3</v>
      </c>
      <c r="W82" s="704">
        <v>1484.6333333333332</v>
      </c>
      <c r="X82" s="68">
        <f>W82/W12</f>
        <v>2.1035443513165485E-3</v>
      </c>
      <c r="Y82" s="704">
        <v>1484.6333333333332</v>
      </c>
      <c r="Z82" s="68">
        <f>Y82/Y12</f>
        <v>1.3924638915489545E-3</v>
      </c>
      <c r="AA82" s="144">
        <f t="shared" si="53"/>
        <v>17815.599999999999</v>
      </c>
      <c r="AB82" s="68">
        <f>AA82/AA12</f>
        <v>1.7932732369268598E-3</v>
      </c>
      <c r="AC82" s="128">
        <f t="shared" si="54"/>
        <v>1484.6333333333332</v>
      </c>
      <c r="AD82" s="68">
        <f>AC82/AC12</f>
        <v>1.7932732369268596E-3</v>
      </c>
      <c r="AE82" s="595" t="s">
        <v>269</v>
      </c>
      <c r="AF82" s="595"/>
      <c r="AG82" s="555"/>
    </row>
    <row r="83" spans="1:33" s="1" customFormat="1">
      <c r="A83" s="188">
        <v>6207</v>
      </c>
      <c r="B83" s="2" t="s">
        <v>218</v>
      </c>
      <c r="C83" s="295">
        <v>4833.333333333333</v>
      </c>
      <c r="D83" s="68">
        <f>C83/C$12</f>
        <v>6.4685712522001369E-3</v>
      </c>
      <c r="E83" s="295">
        <v>4833.333333333333</v>
      </c>
      <c r="F83" s="68">
        <f>E83/E$12</f>
        <v>8.3143432926185423E-3</v>
      </c>
      <c r="G83" s="295">
        <v>4833.333333333333</v>
      </c>
      <c r="H83" s="68">
        <f>G83/G$12</f>
        <v>5.0123315621024246E-3</v>
      </c>
      <c r="I83" s="295">
        <v>4833.333333333333</v>
      </c>
      <c r="J83" s="68">
        <f>I83/I$12</f>
        <v>5.6765175778260343E-3</v>
      </c>
      <c r="K83" s="295">
        <v>4833.333333333333</v>
      </c>
      <c r="L83" s="68">
        <f>K83/K$12</f>
        <v>6.2065437731965468E-3</v>
      </c>
      <c r="M83" s="295">
        <v>4833.333333333333</v>
      </c>
      <c r="N83" s="702">
        <f>M83/M$12</f>
        <v>4.3770129576220932E-3</v>
      </c>
      <c r="O83" s="295">
        <v>4833.333333333333</v>
      </c>
      <c r="P83" s="702">
        <f>O83/O$12</f>
        <v>6.9135053229803407E-3</v>
      </c>
      <c r="Q83" s="295">
        <v>4833.333333333333</v>
      </c>
      <c r="R83" s="68">
        <f>Q83/Q$12</f>
        <v>5.5675992345428473E-3</v>
      </c>
      <c r="S83" s="295">
        <v>4833.333333333333</v>
      </c>
      <c r="T83" s="68">
        <f>S83/S$12</f>
        <v>5.5268153399499059E-3</v>
      </c>
      <c r="U83" s="295">
        <v>4833.333333333333</v>
      </c>
      <c r="V83" s="68">
        <f>U83/U$12</f>
        <v>6.9676876526278408E-3</v>
      </c>
      <c r="W83" s="295">
        <v>4833.333333333333</v>
      </c>
      <c r="X83" s="68">
        <f>W83/W$12</f>
        <v>6.8482438074698474E-3</v>
      </c>
      <c r="Y83" s="295">
        <v>4833.333333333333</v>
      </c>
      <c r="Z83" s="68">
        <f>Y83/Y$12</f>
        <v>4.5332689165584854E-3</v>
      </c>
      <c r="AA83" s="144">
        <f t="shared" si="53"/>
        <v>58000.000000000007</v>
      </c>
      <c r="AB83" s="68">
        <f>AA83/AA$12</f>
        <v>5.8381333068635291E-3</v>
      </c>
      <c r="AC83" s="128">
        <f t="shared" si="54"/>
        <v>4833.3333333333339</v>
      </c>
      <c r="AD83" s="68">
        <f>AC83/AC$12</f>
        <v>5.8381333068635291E-3</v>
      </c>
      <c r="AE83" s="595"/>
      <c r="AF83" s="595"/>
      <c r="AG83" s="555"/>
    </row>
    <row r="84" spans="1:33" s="1" customFormat="1">
      <c r="A84" s="188">
        <v>6208</v>
      </c>
      <c r="B84" s="2" t="s">
        <v>219</v>
      </c>
      <c r="C84" s="292"/>
      <c r="D84" s="68">
        <f>C84/C12</f>
        <v>0</v>
      </c>
      <c r="E84" s="704"/>
      <c r="F84" s="68">
        <f>E84/E12</f>
        <v>0</v>
      </c>
      <c r="G84" s="704"/>
      <c r="H84" s="68">
        <f>G84/G12</f>
        <v>0</v>
      </c>
      <c r="I84" s="704"/>
      <c r="J84" s="68">
        <f>I84/I12</f>
        <v>0</v>
      </c>
      <c r="K84" s="704"/>
      <c r="L84" s="68">
        <f>K84/K12</f>
        <v>0</v>
      </c>
      <c r="M84" s="704"/>
      <c r="N84" s="702">
        <f>M84/M12</f>
        <v>0</v>
      </c>
      <c r="O84" s="704"/>
      <c r="P84" s="702">
        <f>O84/O12</f>
        <v>0</v>
      </c>
      <c r="Q84" s="704"/>
      <c r="R84" s="68">
        <f>Q84/Q12</f>
        <v>0</v>
      </c>
      <c r="S84" s="704"/>
      <c r="T84" s="68">
        <f>S84/S12</f>
        <v>0</v>
      </c>
      <c r="U84" s="704"/>
      <c r="V84" s="68">
        <f>U84/U12</f>
        <v>0</v>
      </c>
      <c r="W84" s="704"/>
      <c r="X84" s="68">
        <f>W84/W12</f>
        <v>0</v>
      </c>
      <c r="Y84" s="704"/>
      <c r="Z84" s="68">
        <f>Y84/Y12</f>
        <v>0</v>
      </c>
      <c r="AA84" s="144">
        <f t="shared" si="53"/>
        <v>0</v>
      </c>
      <c r="AB84" s="68">
        <f>AA84/AA12</f>
        <v>0</v>
      </c>
      <c r="AC84" s="128">
        <f t="shared" si="54"/>
        <v>0</v>
      </c>
      <c r="AD84" s="68">
        <f>AC84/AC12</f>
        <v>0</v>
      </c>
      <c r="AE84" s="595"/>
      <c r="AF84" s="595"/>
      <c r="AG84" s="555"/>
    </row>
    <row r="85" spans="1:33" s="1" customFormat="1">
      <c r="A85" s="188">
        <v>6209</v>
      </c>
      <c r="B85" s="228" t="s">
        <v>29</v>
      </c>
      <c r="C85" s="704">
        <v>6675</v>
      </c>
      <c r="D85" s="68">
        <f>C85/C12</f>
        <v>8.9333199534694999E-3</v>
      </c>
      <c r="E85" s="704">
        <v>6675</v>
      </c>
      <c r="F85" s="68">
        <f>E85/E12</f>
        <v>1.1482394788599056E-2</v>
      </c>
      <c r="G85" s="704">
        <v>6675</v>
      </c>
      <c r="H85" s="68">
        <f>G85/G12</f>
        <v>6.9222027262828322E-3</v>
      </c>
      <c r="I85" s="704">
        <v>6675</v>
      </c>
      <c r="J85" s="68">
        <f>I85/I12</f>
        <v>7.839466516963196E-3</v>
      </c>
      <c r="K85" s="704">
        <v>6675</v>
      </c>
      <c r="L85" s="68">
        <f>K85/K12</f>
        <v>8.5714509695352312E-3</v>
      </c>
      <c r="M85" s="704">
        <v>6675</v>
      </c>
      <c r="N85" s="702">
        <f>M85/M12</f>
        <v>6.0448058259574087E-3</v>
      </c>
      <c r="O85" s="704">
        <v>6675</v>
      </c>
      <c r="P85" s="702">
        <f>O85/O12</f>
        <v>9.5477892477711258E-3</v>
      </c>
      <c r="Q85" s="704">
        <v>6675</v>
      </c>
      <c r="R85" s="68">
        <f>Q85/Q12</f>
        <v>7.6890465290841746E-3</v>
      </c>
      <c r="S85" s="704">
        <v>6675</v>
      </c>
      <c r="T85" s="68">
        <f>S85/S12</f>
        <v>7.6327225643101296E-3</v>
      </c>
      <c r="U85" s="704">
        <v>6675</v>
      </c>
      <c r="V85" s="68">
        <f>U85/U12</f>
        <v>9.6226169133705186E-3</v>
      </c>
      <c r="W85" s="704">
        <v>6675</v>
      </c>
      <c r="X85" s="68">
        <f>W85/W12</f>
        <v>9.457660844454048E-3</v>
      </c>
      <c r="Y85" s="704">
        <v>6675</v>
      </c>
      <c r="Z85" s="68">
        <f>Y85/Y12</f>
        <v>6.2606006933850818E-3</v>
      </c>
      <c r="AA85" s="144">
        <f t="shared" si="53"/>
        <v>80100</v>
      </c>
      <c r="AB85" s="68">
        <f>AA85/AA12</f>
        <v>8.0626634117201487E-3</v>
      </c>
      <c r="AC85" s="128">
        <f t="shared" si="54"/>
        <v>6675</v>
      </c>
      <c r="AD85" s="68">
        <f>AC85/AC12</f>
        <v>8.0626634117201487E-3</v>
      </c>
      <c r="AE85" s="595"/>
      <c r="AF85" s="595"/>
      <c r="AG85" s="555"/>
    </row>
    <row r="86" spans="1:33" s="1" customFormat="1">
      <c r="A86" s="188">
        <v>6210</v>
      </c>
      <c r="B86" s="228" t="s">
        <v>30</v>
      </c>
      <c r="C86" s="704">
        <v>3072.3287671232874</v>
      </c>
      <c r="D86" s="68">
        <f>C86/C12</f>
        <v>4.1117746635147279E-3</v>
      </c>
      <c r="E86" s="704">
        <v>3072.3287671232874</v>
      </c>
      <c r="F86" s="68">
        <f>E86/E12</f>
        <v>5.285047464341483E-3</v>
      </c>
      <c r="G86" s="704">
        <v>3072.3287671232874</v>
      </c>
      <c r="H86" s="68">
        <f>G86/G12</f>
        <v>3.1861097479877142E-3</v>
      </c>
      <c r="I86" s="704">
        <v>3072.3287671232874</v>
      </c>
      <c r="J86" s="68">
        <f>I86/I12</f>
        <v>3.6083023968488132E-3</v>
      </c>
      <c r="K86" s="704">
        <v>3072.3287671232874</v>
      </c>
      <c r="L86" s="68">
        <f>K86/K12</f>
        <v>3.9452157887175853E-3</v>
      </c>
      <c r="M86" s="704">
        <v>3072.3287671232874</v>
      </c>
      <c r="N86" s="702">
        <f>M86/M12</f>
        <v>2.7822667911256015E-3</v>
      </c>
      <c r="O86" s="704">
        <v>3072.3287671232874</v>
      </c>
      <c r="P86" s="702">
        <f>O86/O12</f>
        <v>4.39459888664534E-3</v>
      </c>
      <c r="Q86" s="704">
        <v>3072.3287671232874</v>
      </c>
      <c r="R86" s="68">
        <f>Q86/Q12</f>
        <v>3.53906799146888E-3</v>
      </c>
      <c r="S86" s="704">
        <v>3072.3287671232874</v>
      </c>
      <c r="T86" s="68">
        <f>S86/S12</f>
        <v>3.5131435364495938E-3</v>
      </c>
      <c r="U86" s="704">
        <v>3072.3287671232874</v>
      </c>
      <c r="V86" s="68">
        <f>U86/U12</f>
        <v>4.4290401135513614E-3</v>
      </c>
      <c r="W86" s="704">
        <v>3072.3287671232874</v>
      </c>
      <c r="X86" s="68">
        <f>W86/W12</f>
        <v>4.3531151284062469E-3</v>
      </c>
      <c r="Y86" s="704">
        <v>3072.3287671232874</v>
      </c>
      <c r="Z86" s="68">
        <f>Y86/Y12</f>
        <v>2.8815915520238183E-3</v>
      </c>
      <c r="AA86" s="144">
        <f t="shared" si="53"/>
        <v>36867.945205479446</v>
      </c>
      <c r="AB86" s="68">
        <f>AA86/AA12</f>
        <v>3.7110341182711908E-3</v>
      </c>
      <c r="AC86" s="128">
        <f t="shared" si="54"/>
        <v>3072.328767123287</v>
      </c>
      <c r="AD86" s="68">
        <f>AC86/AC12</f>
        <v>3.7110341182711908E-3</v>
      </c>
      <c r="AE86" s="595"/>
      <c r="AF86" s="595"/>
      <c r="AG86" s="555"/>
    </row>
    <row r="87" spans="1:33" s="1" customFormat="1">
      <c r="A87" s="188">
        <v>6211</v>
      </c>
      <c r="B87" s="228" t="s">
        <v>31</v>
      </c>
      <c r="C87" s="704">
        <v>1780</v>
      </c>
      <c r="D87" s="68">
        <f>C87/C12</f>
        <v>2.3822186542585334E-3</v>
      </c>
      <c r="E87" s="704">
        <v>1780</v>
      </c>
      <c r="F87" s="68">
        <f>E87/E12</f>
        <v>3.061971943626415E-3</v>
      </c>
      <c r="G87" s="704">
        <v>1780</v>
      </c>
      <c r="H87" s="68">
        <f>G87/G12</f>
        <v>1.8459207270087551E-3</v>
      </c>
      <c r="I87" s="704">
        <v>1780</v>
      </c>
      <c r="J87" s="68">
        <f>I87/I12</f>
        <v>2.0905244045235191E-3</v>
      </c>
      <c r="K87" s="704">
        <v>1780</v>
      </c>
      <c r="L87" s="68">
        <f>K87/K12</f>
        <v>2.2857202585427282E-3</v>
      </c>
      <c r="M87" s="704">
        <v>1780</v>
      </c>
      <c r="N87" s="702">
        <f>M87/M12</f>
        <v>1.611948220255309E-3</v>
      </c>
      <c r="O87" s="704">
        <v>1780</v>
      </c>
      <c r="P87" s="702">
        <f>O87/O12</f>
        <v>2.5460771327389668E-3</v>
      </c>
      <c r="Q87" s="704">
        <v>1780</v>
      </c>
      <c r="R87" s="68">
        <f>Q87/Q12</f>
        <v>2.0504124077557798E-3</v>
      </c>
      <c r="S87" s="704">
        <v>1780</v>
      </c>
      <c r="T87" s="68">
        <f>S87/S12</f>
        <v>2.0353926838160346E-3</v>
      </c>
      <c r="U87" s="704">
        <v>1780</v>
      </c>
      <c r="V87" s="68">
        <f>U87/U12</f>
        <v>2.5660311768988049E-3</v>
      </c>
      <c r="W87" s="704">
        <v>1780</v>
      </c>
      <c r="X87" s="68">
        <f>W87/W12</f>
        <v>2.5220428918544128E-3</v>
      </c>
      <c r="Y87" s="704">
        <v>1780</v>
      </c>
      <c r="Z87" s="68">
        <f>Y87/Y12</f>
        <v>1.6694935182360218E-3</v>
      </c>
      <c r="AA87" s="144">
        <f t="shared" si="53"/>
        <v>21360</v>
      </c>
      <c r="AB87" s="68">
        <f>AA87/AA12</f>
        <v>2.1500435764587062E-3</v>
      </c>
      <c r="AC87" s="128">
        <f t="shared" si="54"/>
        <v>1780</v>
      </c>
      <c r="AD87" s="68">
        <f>AC87/AC12</f>
        <v>2.1500435764587062E-3</v>
      </c>
      <c r="AE87" s="595"/>
      <c r="AF87" s="595"/>
      <c r="AG87" s="555"/>
    </row>
    <row r="88" spans="1:33" s="1" customFormat="1">
      <c r="A88" s="188">
        <v>6212</v>
      </c>
      <c r="B88" s="228" t="s">
        <v>32</v>
      </c>
      <c r="C88" s="75">
        <v>100</v>
      </c>
      <c r="D88" s="702">
        <f>C88/C12</f>
        <v>1.3383250866620973E-4</v>
      </c>
      <c r="E88" s="75">
        <v>100</v>
      </c>
      <c r="F88" s="702">
        <f>E88/E12</f>
        <v>1.7202089570934914E-4</v>
      </c>
      <c r="G88" s="75">
        <v>100</v>
      </c>
      <c r="H88" s="702">
        <f>G88/G12</f>
        <v>1.0370341162970534E-4</v>
      </c>
      <c r="I88" s="75">
        <v>100</v>
      </c>
      <c r="J88" s="702">
        <f>I88/I12</f>
        <v>1.1744519126536624E-4</v>
      </c>
      <c r="K88" s="75">
        <v>100</v>
      </c>
      <c r="L88" s="702">
        <f>K88/K12</f>
        <v>1.2841125047992856E-4</v>
      </c>
      <c r="M88" s="75">
        <v>100</v>
      </c>
      <c r="N88" s="702">
        <f>M88/M12</f>
        <v>9.0558888778388135E-5</v>
      </c>
      <c r="O88" s="75">
        <v>100</v>
      </c>
      <c r="P88" s="702">
        <f>O88/O12</f>
        <v>1.430380411651105E-4</v>
      </c>
      <c r="Q88" s="75">
        <v>100</v>
      </c>
      <c r="R88" s="702">
        <f>Q88/Q12</f>
        <v>1.1519170830088651E-4</v>
      </c>
      <c r="S88" s="75">
        <v>100</v>
      </c>
      <c r="T88" s="702">
        <f>S88/S12</f>
        <v>1.1434790358517048E-4</v>
      </c>
      <c r="U88" s="75">
        <v>100</v>
      </c>
      <c r="V88" s="702">
        <f>U88/U12</f>
        <v>1.4415905488195533E-4</v>
      </c>
      <c r="W88" s="75">
        <v>100</v>
      </c>
      <c r="X88" s="702">
        <f>W88/W12</f>
        <v>1.4168780291316926E-4</v>
      </c>
      <c r="Y88" s="75">
        <v>100</v>
      </c>
      <c r="Z88" s="702">
        <f>Y88/Y12</f>
        <v>9.3791770687416958E-5</v>
      </c>
      <c r="AA88" s="144">
        <f t="shared" si="53"/>
        <v>1200</v>
      </c>
      <c r="AB88" s="68">
        <f>AA88/AA12</f>
        <v>1.2078896496959025E-4</v>
      </c>
      <c r="AC88" s="128">
        <f t="shared" si="54"/>
        <v>100</v>
      </c>
      <c r="AD88" s="68">
        <f>AC88/AC12</f>
        <v>1.2078896496959023E-4</v>
      </c>
      <c r="AE88" s="595"/>
      <c r="AF88" s="595"/>
      <c r="AG88" s="555"/>
    </row>
    <row r="89" spans="1:33" s="1" customFormat="1">
      <c r="A89" s="188">
        <v>6213</v>
      </c>
      <c r="B89" s="228" t="s">
        <v>33</v>
      </c>
      <c r="C89" s="295"/>
      <c r="D89" s="68">
        <f>C89/C12</f>
        <v>0</v>
      </c>
      <c r="E89" s="295"/>
      <c r="F89" s="68">
        <f>E89/E12</f>
        <v>0</v>
      </c>
      <c r="G89" s="295"/>
      <c r="H89" s="68">
        <f>G89/G12</f>
        <v>0</v>
      </c>
      <c r="I89" s="295"/>
      <c r="J89" s="68">
        <f>I89/I12</f>
        <v>0</v>
      </c>
      <c r="K89" s="295"/>
      <c r="L89" s="68">
        <f>K89/K12</f>
        <v>0</v>
      </c>
      <c r="M89" s="295"/>
      <c r="N89" s="702">
        <f>M89/M12</f>
        <v>0</v>
      </c>
      <c r="O89" s="295"/>
      <c r="P89" s="702">
        <f>O89/O12</f>
        <v>0</v>
      </c>
      <c r="Q89" s="295"/>
      <c r="R89" s="68">
        <f>Q89/Q12</f>
        <v>0</v>
      </c>
      <c r="S89" s="295"/>
      <c r="T89" s="68">
        <f>S89/S12</f>
        <v>0</v>
      </c>
      <c r="U89" s="295"/>
      <c r="V89" s="68">
        <f>U89/U12</f>
        <v>0</v>
      </c>
      <c r="W89" s="295"/>
      <c r="X89" s="68">
        <f>W89/W12</f>
        <v>0</v>
      </c>
      <c r="Y89" s="295"/>
      <c r="Z89" s="68">
        <f>Y89/Y12</f>
        <v>0</v>
      </c>
      <c r="AA89" s="144">
        <f t="shared" si="53"/>
        <v>0</v>
      </c>
      <c r="AB89" s="68">
        <f>AA89/AA12</f>
        <v>0</v>
      </c>
      <c r="AC89" s="128">
        <f t="shared" si="54"/>
        <v>0</v>
      </c>
      <c r="AD89" s="68">
        <f>AC89/AC12</f>
        <v>0</v>
      </c>
      <c r="AE89" s="595"/>
      <c r="AF89" s="595"/>
      <c r="AG89" s="555"/>
    </row>
    <row r="90" spans="1:33" s="1" customFormat="1">
      <c r="A90" s="188">
        <v>6214</v>
      </c>
      <c r="B90" s="228" t="s">
        <v>34</v>
      </c>
      <c r="C90" s="295">
        <v>3560</v>
      </c>
      <c r="D90" s="68">
        <f>C90/C12</f>
        <v>4.7644373085170668E-3</v>
      </c>
      <c r="E90" s="295">
        <v>3560</v>
      </c>
      <c r="F90" s="68">
        <f>E90/E12</f>
        <v>6.12394388725283E-3</v>
      </c>
      <c r="G90" s="295">
        <v>3560</v>
      </c>
      <c r="H90" s="68">
        <f>G90/G12</f>
        <v>3.6918414540175102E-3</v>
      </c>
      <c r="I90" s="295">
        <v>3560</v>
      </c>
      <c r="J90" s="68">
        <f>I90/I12</f>
        <v>4.1810488090470383E-3</v>
      </c>
      <c r="K90" s="295">
        <v>3560</v>
      </c>
      <c r="L90" s="68">
        <f>K90/K12</f>
        <v>4.5714405170854564E-3</v>
      </c>
      <c r="M90" s="295">
        <v>3560</v>
      </c>
      <c r="N90" s="702">
        <f>M90/M12</f>
        <v>3.223896440510618E-3</v>
      </c>
      <c r="O90" s="295">
        <v>3560</v>
      </c>
      <c r="P90" s="702">
        <f>O90/O12</f>
        <v>5.0921542654779337E-3</v>
      </c>
      <c r="Q90" s="295">
        <v>3560</v>
      </c>
      <c r="R90" s="68">
        <f>Q90/Q12</f>
        <v>4.1008248155115596E-3</v>
      </c>
      <c r="S90" s="295">
        <v>3560</v>
      </c>
      <c r="T90" s="68">
        <f>S90/S12</f>
        <v>4.0707853676320693E-3</v>
      </c>
      <c r="U90" s="295">
        <v>3560</v>
      </c>
      <c r="V90" s="68">
        <f>U90/U12</f>
        <v>5.1320623537976099E-3</v>
      </c>
      <c r="W90" s="295">
        <v>3560</v>
      </c>
      <c r="X90" s="68">
        <f>W90/W12</f>
        <v>5.0440857837088255E-3</v>
      </c>
      <c r="Y90" s="295">
        <v>3560</v>
      </c>
      <c r="Z90" s="68">
        <f>Y90/Y12</f>
        <v>3.3389870364720436E-3</v>
      </c>
      <c r="AA90" s="144">
        <f t="shared" si="53"/>
        <v>42720</v>
      </c>
      <c r="AB90" s="68">
        <f>AA90/AA12</f>
        <v>4.3000871529174124E-3</v>
      </c>
      <c r="AC90" s="128">
        <f t="shared" si="54"/>
        <v>3560</v>
      </c>
      <c r="AD90" s="68">
        <f>AC90/AC12</f>
        <v>4.3000871529174124E-3</v>
      </c>
      <c r="AE90" s="595"/>
      <c r="AF90" s="595"/>
      <c r="AG90" s="555"/>
    </row>
    <row r="91" spans="1:33" s="1" customFormat="1">
      <c r="A91" s="2">
        <v>6215</v>
      </c>
      <c r="B91" s="228" t="s">
        <v>35</v>
      </c>
      <c r="C91" s="292"/>
      <c r="D91" s="68">
        <f>C91/C12</f>
        <v>0</v>
      </c>
      <c r="E91" s="292"/>
      <c r="F91" s="68">
        <f>E91/E12</f>
        <v>0</v>
      </c>
      <c r="G91" s="292"/>
      <c r="H91" s="68">
        <f>G91/G12</f>
        <v>0</v>
      </c>
      <c r="I91" s="292"/>
      <c r="J91" s="68">
        <f>I91/I12</f>
        <v>0</v>
      </c>
      <c r="K91" s="704"/>
      <c r="L91" s="68">
        <f>K91/K12</f>
        <v>0</v>
      </c>
      <c r="M91" s="704"/>
      <c r="N91" s="702">
        <f>M91/M12</f>
        <v>0</v>
      </c>
      <c r="O91" s="704"/>
      <c r="P91" s="702">
        <f>O91/O12</f>
        <v>0</v>
      </c>
      <c r="Q91" s="292"/>
      <c r="R91" s="68">
        <f>Q91/Q12</f>
        <v>0</v>
      </c>
      <c r="S91" s="292"/>
      <c r="T91" s="68">
        <f>S91/S12</f>
        <v>0</v>
      </c>
      <c r="U91" s="292"/>
      <c r="V91" s="68">
        <f>U91/U12</f>
        <v>0</v>
      </c>
      <c r="W91" s="292"/>
      <c r="X91" s="68">
        <f>W91/W12</f>
        <v>0</v>
      </c>
      <c r="Y91" s="292"/>
      <c r="Z91" s="68">
        <f>Y91/Y12</f>
        <v>0</v>
      </c>
      <c r="AA91" s="144">
        <f t="shared" si="53"/>
        <v>0</v>
      </c>
      <c r="AB91" s="68">
        <f>AA91/AA12</f>
        <v>0</v>
      </c>
      <c r="AC91" s="128">
        <f t="shared" si="54"/>
        <v>0</v>
      </c>
      <c r="AD91" s="68">
        <f>AC91/AC12</f>
        <v>0</v>
      </c>
      <c r="AE91" s="595"/>
      <c r="AF91" s="595"/>
      <c r="AG91" s="555"/>
    </row>
    <row r="92" spans="1:33" s="1" customFormat="1">
      <c r="A92" s="2">
        <v>6216</v>
      </c>
      <c r="B92" s="228" t="s">
        <v>126</v>
      </c>
      <c r="C92" s="292"/>
      <c r="D92" s="68">
        <f>C92/C12</f>
        <v>0</v>
      </c>
      <c r="E92" s="292"/>
      <c r="F92" s="68">
        <f>E92/E12</f>
        <v>0</v>
      </c>
      <c r="G92" s="292"/>
      <c r="H92" s="68">
        <f>G92/G12</f>
        <v>0</v>
      </c>
      <c r="I92" s="292"/>
      <c r="J92" s="68">
        <f>I92/I12</f>
        <v>0</v>
      </c>
      <c r="K92" s="704"/>
      <c r="L92" s="68">
        <f>K92/K12</f>
        <v>0</v>
      </c>
      <c r="M92" s="704"/>
      <c r="N92" s="702">
        <f>M92/M12</f>
        <v>0</v>
      </c>
      <c r="O92" s="704"/>
      <c r="P92" s="702">
        <f>O92/O12</f>
        <v>0</v>
      </c>
      <c r="Q92" s="292"/>
      <c r="R92" s="68">
        <f>Q92/Q12</f>
        <v>0</v>
      </c>
      <c r="S92" s="292"/>
      <c r="T92" s="68">
        <f>S92/S12</f>
        <v>0</v>
      </c>
      <c r="U92" s="292"/>
      <c r="V92" s="68">
        <f>U92/U12</f>
        <v>0</v>
      </c>
      <c r="W92" s="292"/>
      <c r="X92" s="68">
        <f>W92/W12</f>
        <v>0</v>
      </c>
      <c r="Y92" s="292"/>
      <c r="Z92" s="68">
        <f>Y92/Y12</f>
        <v>0</v>
      </c>
      <c r="AA92" s="144">
        <f t="shared" si="53"/>
        <v>0</v>
      </c>
      <c r="AB92" s="68">
        <f>AA92/AA12</f>
        <v>0</v>
      </c>
      <c r="AC92" s="128">
        <f t="shared" si="54"/>
        <v>0</v>
      </c>
      <c r="AD92" s="68">
        <f>AC92/AC12</f>
        <v>0</v>
      </c>
      <c r="AE92" s="595"/>
      <c r="AF92" s="595"/>
      <c r="AG92" s="555"/>
    </row>
    <row r="93" spans="1:33" s="1" customFormat="1" ht="15.75" thickBot="1">
      <c r="A93" s="4">
        <v>6299</v>
      </c>
      <c r="B93" s="229" t="s">
        <v>112</v>
      </c>
      <c r="C93" s="47">
        <f>SUM(C77:C92)</f>
        <v>110505.29543378994</v>
      </c>
      <c r="D93" s="87">
        <f>C93/C12</f>
        <v>0.14789200908804759</v>
      </c>
      <c r="E93" s="79">
        <f>SUM(E77:E92)</f>
        <v>110505.29543378994</v>
      </c>
      <c r="F93" s="87">
        <f>E93/E12</f>
        <v>0.19009219901146795</v>
      </c>
      <c r="G93" s="119">
        <f>SUM(G77:G92)</f>
        <v>110505.29543378994</v>
      </c>
      <c r="H93" s="87">
        <f>G93/G12</f>
        <v>0.11459776139632517</v>
      </c>
      <c r="I93" s="29">
        <f>SUM(I77:I92)</f>
        <v>110505.29543378994</v>
      </c>
      <c r="J93" s="87">
        <f>I93/I12</f>
        <v>0.12978315558057263</v>
      </c>
      <c r="K93" s="79">
        <f>SUM(K77:K92)</f>
        <v>110505.29543378994</v>
      </c>
      <c r="L93" s="87">
        <f>K93/K12</f>
        <v>0.14190123171306906</v>
      </c>
      <c r="M93" s="29">
        <f>SUM(M77:M92)</f>
        <v>110505.29543378994</v>
      </c>
      <c r="N93" s="87">
        <f>M93/M12</f>
        <v>0.10007236758611507</v>
      </c>
      <c r="O93" s="29">
        <f>SUM(O77:O92)</f>
        <v>110505.29543378994</v>
      </c>
      <c r="P93" s="87">
        <f>O93/O12</f>
        <v>0.15806460997221145</v>
      </c>
      <c r="Q93" s="29">
        <f>SUM(Q77:Q92)</f>
        <v>110505.29543378994</v>
      </c>
      <c r="R93" s="87">
        <f>Q93/Q12</f>
        <v>0.12729293757312418</v>
      </c>
      <c r="S93" s="29">
        <f>SUM(S77:S92)</f>
        <v>110505.29543378994</v>
      </c>
      <c r="T93" s="87">
        <f>S93/S12</f>
        <v>0.12636048867913793</v>
      </c>
      <c r="U93" s="79">
        <f>SUM(U77:U92)</f>
        <v>110505.29543378994</v>
      </c>
      <c r="V93" s="87">
        <f>U93/U12</f>
        <v>0.15930338949186412</v>
      </c>
      <c r="W93" s="58">
        <f>SUM(W77:W92)</f>
        <v>110505.29543378994</v>
      </c>
      <c r="X93" s="87">
        <f>W93/W12</f>
        <v>0.15657252520284373</v>
      </c>
      <c r="Y93" s="79">
        <f>SUM(Y77:Y92)</f>
        <v>110505.29543378994</v>
      </c>
      <c r="Z93" s="87">
        <f>Y93/Y12</f>
        <v>0.1036448732907129</v>
      </c>
      <c r="AA93" s="148">
        <f>SUM(AA77:AA92)</f>
        <v>1326063.5452054795</v>
      </c>
      <c r="AB93" s="89">
        <f>AA93/AA12</f>
        <v>0.13347820259106274</v>
      </c>
      <c r="AC93" s="132">
        <f>SUM(AC77:AC92)</f>
        <v>110505.29543378994</v>
      </c>
      <c r="AD93" s="89">
        <f>AC93/AC12</f>
        <v>0.13347820259106272</v>
      </c>
      <c r="AE93" s="596"/>
      <c r="AF93" s="596"/>
      <c r="AG93" s="622"/>
    </row>
    <row r="94" spans="1:33" s="1" customFormat="1" ht="15.75" thickTop="1">
      <c r="A94" s="2">
        <v>6301</v>
      </c>
      <c r="B94" s="231" t="s">
        <v>36</v>
      </c>
      <c r="C94" s="992"/>
      <c r="D94" s="994">
        <f t="shared" ref="D94:D101" si="55">C94/C$12</f>
        <v>0</v>
      </c>
      <c r="E94" s="992"/>
      <c r="F94" s="994">
        <f t="shared" ref="F94:F101" si="56">E94/E$12</f>
        <v>0</v>
      </c>
      <c r="G94" s="992"/>
      <c r="H94" s="994">
        <f t="shared" ref="H94:H101" si="57">G94/G$12</f>
        <v>0</v>
      </c>
      <c r="I94" s="992"/>
      <c r="J94" s="994">
        <f t="shared" ref="J94:J101" si="58">I94/I$12</f>
        <v>0</v>
      </c>
      <c r="K94" s="992"/>
      <c r="L94" s="994">
        <f t="shared" ref="L94:L101" si="59">K94/K$12</f>
        <v>0</v>
      </c>
      <c r="M94" s="992"/>
      <c r="N94" s="994">
        <f t="shared" ref="N94:N101" si="60">M94/M$12</f>
        <v>0</v>
      </c>
      <c r="O94" s="992"/>
      <c r="P94" s="994">
        <f t="shared" ref="P94:P101" si="61">O94/O$12</f>
        <v>0</v>
      </c>
      <c r="Q94" s="992"/>
      <c r="R94" s="994">
        <f t="shared" ref="R94:R101" si="62">Q94/Q$12</f>
        <v>0</v>
      </c>
      <c r="S94" s="992"/>
      <c r="T94" s="994">
        <f t="shared" ref="T94:T101" si="63">S94/S$12</f>
        <v>0</v>
      </c>
      <c r="U94" s="992"/>
      <c r="V94" s="994">
        <f t="shared" ref="V94:V101" si="64">U94/U$12</f>
        <v>0</v>
      </c>
      <c r="W94" s="992"/>
      <c r="X94" s="994">
        <f t="shared" ref="X94:X101" si="65">W94/W$12</f>
        <v>0</v>
      </c>
      <c r="Y94" s="992"/>
      <c r="Z94" s="994">
        <f t="shared" ref="Z94:Z101" si="66">Y94/Y$12</f>
        <v>0</v>
      </c>
      <c r="AA94" s="144">
        <f t="shared" ref="AA94:AA114" si="67">C94+E94+G94+I94+K94+M94+O94+Q94+S94+U94+W94+Y94</f>
        <v>0</v>
      </c>
      <c r="AB94" s="702">
        <f>AA94/AA$12</f>
        <v>0</v>
      </c>
      <c r="AC94" s="128">
        <f t="shared" ref="AC94:AC115" si="68">AA94/12</f>
        <v>0</v>
      </c>
      <c r="AD94" s="702">
        <f>AC94/AC$12</f>
        <v>0</v>
      </c>
      <c r="AE94" s="595"/>
      <c r="AF94" s="595"/>
      <c r="AG94" s="555"/>
    </row>
    <row r="95" spans="1:33" s="1" customFormat="1">
      <c r="A95" s="188">
        <v>6302</v>
      </c>
      <c r="B95" s="231" t="s">
        <v>37</v>
      </c>
      <c r="C95" s="678"/>
      <c r="D95" s="702">
        <f t="shared" si="55"/>
        <v>0</v>
      </c>
      <c r="E95" s="678"/>
      <c r="F95" s="702">
        <f t="shared" si="56"/>
        <v>0</v>
      </c>
      <c r="G95" s="678"/>
      <c r="H95" s="702">
        <f t="shared" si="57"/>
        <v>0</v>
      </c>
      <c r="I95" s="678"/>
      <c r="J95" s="702">
        <f t="shared" si="58"/>
        <v>0</v>
      </c>
      <c r="K95" s="678"/>
      <c r="L95" s="702">
        <f t="shared" si="59"/>
        <v>0</v>
      </c>
      <c r="M95" s="678"/>
      <c r="N95" s="702">
        <f t="shared" si="60"/>
        <v>0</v>
      </c>
      <c r="O95" s="678"/>
      <c r="P95" s="702">
        <f t="shared" si="61"/>
        <v>0</v>
      </c>
      <c r="Q95" s="678"/>
      <c r="R95" s="702">
        <f t="shared" si="62"/>
        <v>0</v>
      </c>
      <c r="S95" s="678"/>
      <c r="T95" s="702">
        <f t="shared" si="63"/>
        <v>0</v>
      </c>
      <c r="U95" s="678"/>
      <c r="V95" s="702">
        <f t="shared" si="64"/>
        <v>0</v>
      </c>
      <c r="W95" s="678"/>
      <c r="X95" s="702">
        <f t="shared" si="65"/>
        <v>0</v>
      </c>
      <c r="Y95" s="678"/>
      <c r="Z95" s="702">
        <f t="shared" si="66"/>
        <v>0</v>
      </c>
      <c r="AA95" s="144">
        <f t="shared" si="67"/>
        <v>0</v>
      </c>
      <c r="AB95" s="702">
        <f t="shared" ref="AB95:AB99" si="69">AA95/AA$12</f>
        <v>0</v>
      </c>
      <c r="AC95" s="128">
        <f t="shared" si="68"/>
        <v>0</v>
      </c>
      <c r="AD95" s="702">
        <f t="shared" ref="AD95:AD99" si="70">AC95/AC$12</f>
        <v>0</v>
      </c>
      <c r="AE95" s="595"/>
      <c r="AF95" s="595"/>
      <c r="AG95" s="555"/>
    </row>
    <row r="96" spans="1:33" s="1" customFormat="1">
      <c r="A96" s="2">
        <v>6303</v>
      </c>
      <c r="B96" s="2" t="s">
        <v>132</v>
      </c>
      <c r="C96" s="678"/>
      <c r="D96" s="702">
        <f t="shared" si="55"/>
        <v>0</v>
      </c>
      <c r="E96" s="678"/>
      <c r="F96" s="702">
        <f t="shared" si="56"/>
        <v>0</v>
      </c>
      <c r="G96" s="678"/>
      <c r="H96" s="702">
        <f t="shared" si="57"/>
        <v>0</v>
      </c>
      <c r="I96" s="678"/>
      <c r="J96" s="702">
        <f t="shared" si="58"/>
        <v>0</v>
      </c>
      <c r="K96" s="678"/>
      <c r="L96" s="702">
        <f t="shared" si="59"/>
        <v>0</v>
      </c>
      <c r="M96" s="678"/>
      <c r="N96" s="702">
        <f t="shared" si="60"/>
        <v>0</v>
      </c>
      <c r="O96" s="678"/>
      <c r="P96" s="702">
        <f t="shared" si="61"/>
        <v>0</v>
      </c>
      <c r="Q96" s="678"/>
      <c r="R96" s="702">
        <f t="shared" si="62"/>
        <v>0</v>
      </c>
      <c r="S96" s="678"/>
      <c r="T96" s="702">
        <f t="shared" si="63"/>
        <v>0</v>
      </c>
      <c r="U96" s="678"/>
      <c r="V96" s="702">
        <f t="shared" si="64"/>
        <v>0</v>
      </c>
      <c r="W96" s="678"/>
      <c r="X96" s="702">
        <f t="shared" si="65"/>
        <v>0</v>
      </c>
      <c r="Y96" s="678"/>
      <c r="Z96" s="702">
        <f t="shared" si="66"/>
        <v>0</v>
      </c>
      <c r="AA96" s="144">
        <f t="shared" si="67"/>
        <v>0</v>
      </c>
      <c r="AB96" s="702">
        <f t="shared" si="69"/>
        <v>0</v>
      </c>
      <c r="AC96" s="128">
        <f t="shared" si="68"/>
        <v>0</v>
      </c>
      <c r="AD96" s="702">
        <f t="shared" si="70"/>
        <v>0</v>
      </c>
      <c r="AE96" s="595"/>
      <c r="AF96" s="595"/>
      <c r="AG96" s="555"/>
    </row>
    <row r="97" spans="1:33" s="1" customFormat="1">
      <c r="A97" s="2">
        <v>6304</v>
      </c>
      <c r="B97" s="2" t="s">
        <v>38</v>
      </c>
      <c r="C97" s="753"/>
      <c r="D97" s="702">
        <f t="shared" si="55"/>
        <v>0</v>
      </c>
      <c r="E97" s="753"/>
      <c r="F97" s="702">
        <f t="shared" si="56"/>
        <v>0</v>
      </c>
      <c r="G97" s="753"/>
      <c r="H97" s="702">
        <f t="shared" si="57"/>
        <v>0</v>
      </c>
      <c r="I97" s="753"/>
      <c r="J97" s="702">
        <f t="shared" si="58"/>
        <v>0</v>
      </c>
      <c r="K97" s="753"/>
      <c r="L97" s="702">
        <f t="shared" si="59"/>
        <v>0</v>
      </c>
      <c r="M97" s="753"/>
      <c r="N97" s="702">
        <f t="shared" si="60"/>
        <v>0</v>
      </c>
      <c r="O97" s="753"/>
      <c r="P97" s="702">
        <f t="shared" si="61"/>
        <v>0</v>
      </c>
      <c r="Q97" s="753"/>
      <c r="R97" s="702">
        <f t="shared" si="62"/>
        <v>0</v>
      </c>
      <c r="S97" s="753"/>
      <c r="T97" s="702">
        <f t="shared" si="63"/>
        <v>0</v>
      </c>
      <c r="U97" s="753"/>
      <c r="V97" s="702">
        <f t="shared" si="64"/>
        <v>0</v>
      </c>
      <c r="W97" s="753"/>
      <c r="X97" s="702">
        <f t="shared" si="65"/>
        <v>0</v>
      </c>
      <c r="Y97" s="753"/>
      <c r="Z97" s="702">
        <f t="shared" si="66"/>
        <v>0</v>
      </c>
      <c r="AA97" s="144">
        <f t="shared" si="67"/>
        <v>0</v>
      </c>
      <c r="AB97" s="702">
        <f t="shared" si="69"/>
        <v>0</v>
      </c>
      <c r="AC97" s="128">
        <f t="shared" si="68"/>
        <v>0</v>
      </c>
      <c r="AD97" s="702">
        <f t="shared" si="70"/>
        <v>0</v>
      </c>
      <c r="AE97" s="595"/>
      <c r="AF97" s="595"/>
      <c r="AG97" s="555"/>
    </row>
    <row r="98" spans="1:33" s="1" customFormat="1">
      <c r="A98" s="188">
        <v>6305</v>
      </c>
      <c r="B98" s="2" t="s">
        <v>39</v>
      </c>
      <c r="C98" s="678"/>
      <c r="D98" s="702">
        <f t="shared" si="55"/>
        <v>0</v>
      </c>
      <c r="E98" s="678"/>
      <c r="F98" s="702">
        <f t="shared" si="56"/>
        <v>0</v>
      </c>
      <c r="G98" s="678"/>
      <c r="H98" s="702">
        <f t="shared" si="57"/>
        <v>0</v>
      </c>
      <c r="I98" s="678"/>
      <c r="J98" s="702">
        <f t="shared" si="58"/>
        <v>0</v>
      </c>
      <c r="K98" s="678"/>
      <c r="L98" s="702">
        <f t="shared" si="59"/>
        <v>0</v>
      </c>
      <c r="M98" s="678"/>
      <c r="N98" s="702">
        <f t="shared" si="60"/>
        <v>0</v>
      </c>
      <c r="O98" s="678"/>
      <c r="P98" s="702">
        <f t="shared" si="61"/>
        <v>0</v>
      </c>
      <c r="Q98" s="678"/>
      <c r="R98" s="702">
        <f t="shared" si="62"/>
        <v>0</v>
      </c>
      <c r="S98" s="678"/>
      <c r="T98" s="702">
        <f t="shared" si="63"/>
        <v>0</v>
      </c>
      <c r="U98" s="678"/>
      <c r="V98" s="702">
        <f t="shared" si="64"/>
        <v>0</v>
      </c>
      <c r="W98" s="678"/>
      <c r="X98" s="702">
        <f t="shared" si="65"/>
        <v>0</v>
      </c>
      <c r="Y98" s="678"/>
      <c r="Z98" s="702">
        <f t="shared" si="66"/>
        <v>0</v>
      </c>
      <c r="AA98" s="144">
        <f t="shared" si="67"/>
        <v>0</v>
      </c>
      <c r="AB98" s="702">
        <f t="shared" si="69"/>
        <v>0</v>
      </c>
      <c r="AC98" s="128">
        <f t="shared" si="68"/>
        <v>0</v>
      </c>
      <c r="AD98" s="702">
        <f t="shared" si="70"/>
        <v>0</v>
      </c>
      <c r="AE98" s="595"/>
      <c r="AF98" s="595"/>
      <c r="AG98" s="555"/>
    </row>
    <row r="99" spans="1:33" s="1" customFormat="1">
      <c r="A99" s="2">
        <v>6306</v>
      </c>
      <c r="B99" s="2" t="s">
        <v>40</v>
      </c>
      <c r="C99" s="678"/>
      <c r="D99" s="702">
        <f t="shared" si="55"/>
        <v>0</v>
      </c>
      <c r="E99" s="678"/>
      <c r="F99" s="702">
        <f t="shared" si="56"/>
        <v>0</v>
      </c>
      <c r="G99" s="678"/>
      <c r="H99" s="702">
        <f t="shared" si="57"/>
        <v>0</v>
      </c>
      <c r="I99" s="678"/>
      <c r="J99" s="702">
        <f t="shared" si="58"/>
        <v>0</v>
      </c>
      <c r="K99" s="678"/>
      <c r="L99" s="702">
        <f t="shared" si="59"/>
        <v>0</v>
      </c>
      <c r="M99" s="678"/>
      <c r="N99" s="702">
        <f t="shared" si="60"/>
        <v>0</v>
      </c>
      <c r="O99" s="678"/>
      <c r="P99" s="702">
        <f t="shared" si="61"/>
        <v>0</v>
      </c>
      <c r="Q99" s="678"/>
      <c r="R99" s="702">
        <f t="shared" si="62"/>
        <v>0</v>
      </c>
      <c r="S99" s="678"/>
      <c r="T99" s="702">
        <f t="shared" si="63"/>
        <v>0</v>
      </c>
      <c r="U99" s="678"/>
      <c r="V99" s="702">
        <f t="shared" si="64"/>
        <v>0</v>
      </c>
      <c r="W99" s="678"/>
      <c r="X99" s="702">
        <f t="shared" si="65"/>
        <v>0</v>
      </c>
      <c r="Y99" s="678"/>
      <c r="Z99" s="702">
        <f t="shared" si="66"/>
        <v>0</v>
      </c>
      <c r="AA99" s="144">
        <f t="shared" si="67"/>
        <v>0</v>
      </c>
      <c r="AB99" s="702">
        <f t="shared" si="69"/>
        <v>0</v>
      </c>
      <c r="AC99" s="128">
        <f t="shared" si="68"/>
        <v>0</v>
      </c>
      <c r="AD99" s="702">
        <f t="shared" si="70"/>
        <v>0</v>
      </c>
      <c r="AE99" s="595"/>
      <c r="AF99" s="595"/>
      <c r="AG99" s="555"/>
    </row>
    <row r="100" spans="1:33" s="1" customFormat="1">
      <c r="A100" s="2">
        <v>6307</v>
      </c>
      <c r="B100" s="2" t="s">
        <v>322</v>
      </c>
      <c r="C100" s="678"/>
      <c r="D100" s="702">
        <f t="shared" si="55"/>
        <v>0</v>
      </c>
      <c r="E100" s="678">
        <v>350</v>
      </c>
      <c r="F100" s="702">
        <f t="shared" si="56"/>
        <v>6.02073134982722E-4</v>
      </c>
      <c r="G100" s="678">
        <v>350</v>
      </c>
      <c r="H100" s="702">
        <f t="shared" si="57"/>
        <v>3.6296194070396874E-4</v>
      </c>
      <c r="I100" s="678">
        <v>1080</v>
      </c>
      <c r="J100" s="702">
        <f t="shared" si="58"/>
        <v>1.2684080656659553E-3</v>
      </c>
      <c r="K100" s="678">
        <v>350</v>
      </c>
      <c r="L100" s="702">
        <f t="shared" si="59"/>
        <v>4.4943937667974999E-4</v>
      </c>
      <c r="M100" s="678"/>
      <c r="N100" s="702">
        <f t="shared" si="60"/>
        <v>0</v>
      </c>
      <c r="O100" s="678">
        <v>350</v>
      </c>
      <c r="P100" s="702">
        <f t="shared" si="61"/>
        <v>5.0063314407788678E-4</v>
      </c>
      <c r="Q100" s="678">
        <v>350</v>
      </c>
      <c r="R100" s="702">
        <f t="shared" si="62"/>
        <v>4.0317097905310281E-4</v>
      </c>
      <c r="S100" s="678">
        <v>350</v>
      </c>
      <c r="T100" s="702">
        <f t="shared" si="63"/>
        <v>4.002176625480967E-4</v>
      </c>
      <c r="U100" s="678">
        <v>350</v>
      </c>
      <c r="V100" s="702">
        <f t="shared" si="64"/>
        <v>5.0455669208684364E-4</v>
      </c>
      <c r="W100" s="678">
        <v>350</v>
      </c>
      <c r="X100" s="702">
        <f t="shared" si="65"/>
        <v>4.9590731019609241E-4</v>
      </c>
      <c r="Y100" s="678">
        <v>350</v>
      </c>
      <c r="Z100" s="702">
        <f t="shared" si="66"/>
        <v>3.2827119740595935E-4</v>
      </c>
      <c r="AA100" s="144">
        <f t="shared" si="67"/>
        <v>4230</v>
      </c>
      <c r="AB100" s="226">
        <f>AA100/AA$12</f>
        <v>4.2578110151780558E-4</v>
      </c>
      <c r="AC100" s="128">
        <f t="shared" si="68"/>
        <v>352.5</v>
      </c>
      <c r="AD100" s="226">
        <f>AC100/AC$12</f>
        <v>4.2578110151780558E-4</v>
      </c>
      <c r="AE100" s="595"/>
      <c r="AF100" s="595"/>
      <c r="AG100" s="555"/>
    </row>
    <row r="101" spans="1:33" s="1" customFormat="1">
      <c r="A101" s="2">
        <v>6308</v>
      </c>
      <c r="B101" s="2" t="s">
        <v>151</v>
      </c>
      <c r="C101" s="678"/>
      <c r="D101" s="702">
        <f t="shared" si="55"/>
        <v>0</v>
      </c>
      <c r="E101" s="678"/>
      <c r="F101" s="702">
        <f t="shared" si="56"/>
        <v>0</v>
      </c>
      <c r="G101" s="678"/>
      <c r="H101" s="702">
        <f t="shared" si="57"/>
        <v>0</v>
      </c>
      <c r="I101" s="678"/>
      <c r="J101" s="702">
        <f t="shared" si="58"/>
        <v>0</v>
      </c>
      <c r="K101" s="678"/>
      <c r="L101" s="702">
        <f t="shared" si="59"/>
        <v>0</v>
      </c>
      <c r="M101" s="678"/>
      <c r="N101" s="702">
        <f t="shared" si="60"/>
        <v>0</v>
      </c>
      <c r="O101" s="678"/>
      <c r="P101" s="702">
        <f t="shared" si="61"/>
        <v>0</v>
      </c>
      <c r="Q101" s="678"/>
      <c r="R101" s="702">
        <f t="shared" si="62"/>
        <v>0</v>
      </c>
      <c r="S101" s="678"/>
      <c r="T101" s="702">
        <f t="shared" si="63"/>
        <v>0</v>
      </c>
      <c r="U101" s="678"/>
      <c r="V101" s="702">
        <f t="shared" si="64"/>
        <v>0</v>
      </c>
      <c r="W101" s="678"/>
      <c r="X101" s="702">
        <f t="shared" si="65"/>
        <v>0</v>
      </c>
      <c r="Y101" s="678"/>
      <c r="Z101" s="702">
        <f t="shared" si="66"/>
        <v>0</v>
      </c>
      <c r="AA101" s="144">
        <f t="shared" si="67"/>
        <v>0</v>
      </c>
      <c r="AB101" s="226">
        <f>AA101/AA$12</f>
        <v>0</v>
      </c>
      <c r="AC101" s="128">
        <f t="shared" si="68"/>
        <v>0</v>
      </c>
      <c r="AD101" s="226">
        <f>AC101/AC$12</f>
        <v>0</v>
      </c>
      <c r="AE101" s="595"/>
      <c r="AF101" s="595"/>
      <c r="AG101" s="555"/>
    </row>
    <row r="102" spans="1:33" s="1" customFormat="1">
      <c r="A102" s="2">
        <v>6309</v>
      </c>
      <c r="B102" s="2" t="s">
        <v>152</v>
      </c>
      <c r="C102" s="753">
        <f>2846.51035279016*2</f>
        <v>5693.0207055803203</v>
      </c>
      <c r="D102" s="702">
        <f>C102/C$12</f>
        <v>7.6191124291648963E-3</v>
      </c>
      <c r="E102" s="678">
        <f>2899.17079431678*2</f>
        <v>5798.3415886335597</v>
      </c>
      <c r="F102" s="702">
        <f>E102/E$12</f>
        <v>9.974359137055154E-3</v>
      </c>
      <c r="G102" s="678">
        <v>2952.8054540116395</v>
      </c>
      <c r="H102" s="702">
        <f>G102/G$12</f>
        <v>3.0621599945980802E-3</v>
      </c>
      <c r="I102" s="678">
        <v>3005.9559521838491</v>
      </c>
      <c r="J102" s="702">
        <f>I102/I$12</f>
        <v>3.5303507173949826E-3</v>
      </c>
      <c r="K102" s="678">
        <f>3060.06315932316*2</f>
        <v>6120.1263186463202</v>
      </c>
      <c r="L102" s="702">
        <f>K102/K$12</f>
        <v>7.8589307367249572E-3</v>
      </c>
      <c r="M102" s="678">
        <v>3115.1442961909752</v>
      </c>
      <c r="N102" s="702">
        <f>M102/M$12</f>
        <v>2.8210400584738871E-3</v>
      </c>
      <c r="O102" s="678">
        <v>3171.2168935224131</v>
      </c>
      <c r="P102" s="702">
        <f>O102/O$12</f>
        <v>4.5360465255915279E-3</v>
      </c>
      <c r="Q102" s="678">
        <v>3228.2987976058166</v>
      </c>
      <c r="R102" s="702">
        <f>Q102/Q$12</f>
        <v>3.7187325340191191E-3</v>
      </c>
      <c r="S102" s="678">
        <f>3286.40817596272*2</f>
        <v>6572.8163519254404</v>
      </c>
      <c r="T102" s="702">
        <f>S102/S$12</f>
        <v>7.5158777049300221E-3</v>
      </c>
      <c r="U102" s="678">
        <f>3345.56352313005*2</f>
        <v>6691.1270462600996</v>
      </c>
      <c r="V102" s="702">
        <f>U102/U$12</f>
        <v>9.6458655108394541E-3</v>
      </c>
      <c r="W102" s="678">
        <v>3405.783666546391</v>
      </c>
      <c r="X102" s="702">
        <f>W102/W$12</f>
        <v>4.8255800491051604E-3</v>
      </c>
      <c r="Y102" s="678">
        <v>3467.087772544226</v>
      </c>
      <c r="Z102" s="702">
        <f>Y102/Y$12</f>
        <v>3.2518430131561527E-3</v>
      </c>
      <c r="AA102" s="144">
        <f t="shared" si="67"/>
        <v>53221.724843651049</v>
      </c>
      <c r="AB102" s="226">
        <f>AA102/AA$12</f>
        <v>5.3571642148007807E-3</v>
      </c>
      <c r="AC102" s="128">
        <f t="shared" si="68"/>
        <v>4435.1437369709211</v>
      </c>
      <c r="AD102" s="226">
        <f>AC102/AC$12</f>
        <v>5.3571642148007807E-3</v>
      </c>
      <c r="AE102" s="595"/>
      <c r="AF102" s="595"/>
      <c r="AG102" s="555"/>
    </row>
    <row r="103" spans="1:33" s="1" customFormat="1">
      <c r="A103" s="2">
        <v>6310</v>
      </c>
      <c r="B103" s="2" t="s">
        <v>153</v>
      </c>
      <c r="C103" s="678">
        <v>2500</v>
      </c>
      <c r="D103" s="702">
        <f t="shared" ref="D103:D114" si="71">C103/C$12</f>
        <v>3.3458127166552431E-3</v>
      </c>
      <c r="E103" s="678">
        <v>1500</v>
      </c>
      <c r="F103" s="702">
        <f t="shared" ref="F103:F114" si="72">E103/E$12</f>
        <v>2.5803134356402373E-3</v>
      </c>
      <c r="G103" s="371">
        <f>4370-280</f>
        <v>4090</v>
      </c>
      <c r="H103" s="702">
        <f t="shared" ref="H103:H114" si="73">G103/G$12</f>
        <v>4.2414695356549487E-3</v>
      </c>
      <c r="I103" s="678">
        <v>1000</v>
      </c>
      <c r="J103" s="702">
        <f t="shared" ref="J103:J114" si="74">I103/I$12</f>
        <v>1.1744519126536622E-3</v>
      </c>
      <c r="K103" s="678">
        <v>3000</v>
      </c>
      <c r="L103" s="702">
        <f t="shared" ref="L103:L114" si="75">K103/K$12</f>
        <v>3.8523375143978567E-3</v>
      </c>
      <c r="M103" s="48"/>
      <c r="N103" s="702">
        <f t="shared" ref="N103:P114" si="76">M103/M$12</f>
        <v>0</v>
      </c>
      <c r="O103" s="371">
        <v>5500</v>
      </c>
      <c r="P103" s="702">
        <f t="shared" ref="P103:P114" si="77">O103/O$12</f>
        <v>7.8670922640810773E-3</v>
      </c>
      <c r="Q103" s="678">
        <v>2500</v>
      </c>
      <c r="R103" s="702">
        <f t="shared" ref="R103:R114" si="78">Q103/Q$12</f>
        <v>2.8797927075221628E-3</v>
      </c>
      <c r="S103" s="371">
        <f>4370-280</f>
        <v>4090</v>
      </c>
      <c r="T103" s="702">
        <f t="shared" ref="T103:T114" si="79">S103/S$12</f>
        <v>4.6768292566334727E-3</v>
      </c>
      <c r="U103" s="678">
        <v>5000</v>
      </c>
      <c r="V103" s="702">
        <f t="shared" ref="V103:V114" si="80">U103/U$12</f>
        <v>7.207952744097767E-3</v>
      </c>
      <c r="W103" s="678">
        <v>3000</v>
      </c>
      <c r="X103" s="702">
        <f t="shared" ref="X103:X114" si="81">W103/W$12</f>
        <v>4.2506340873950778E-3</v>
      </c>
      <c r="Y103" s="678">
        <v>3000</v>
      </c>
      <c r="Z103" s="702">
        <f t="shared" ref="Z103:Z114" si="82">Y103/Y$12</f>
        <v>2.8137531206225085E-3</v>
      </c>
      <c r="AA103" s="144">
        <f t="shared" si="67"/>
        <v>35180</v>
      </c>
      <c r="AB103" s="226">
        <f t="shared" ref="AB103:AB114" si="83">AA103/AA$12</f>
        <v>3.5411298230251537E-3</v>
      </c>
      <c r="AC103" s="128">
        <f t="shared" si="68"/>
        <v>2931.6666666666665</v>
      </c>
      <c r="AD103" s="226">
        <f t="shared" ref="AD103:AD114" si="84">AC103/AC$12</f>
        <v>3.5411298230251533E-3</v>
      </c>
      <c r="AE103" s="595"/>
      <c r="AF103" s="595"/>
      <c r="AG103" s="555"/>
    </row>
    <row r="104" spans="1:33" s="1" customFormat="1">
      <c r="A104" s="2">
        <v>6311</v>
      </c>
      <c r="B104" s="2" t="s">
        <v>154</v>
      </c>
      <c r="C104" s="753">
        <v>10284.905617732022</v>
      </c>
      <c r="D104" s="702">
        <f t="shared" si="71"/>
        <v>1.37645472021627E-2</v>
      </c>
      <c r="E104" s="678"/>
      <c r="F104" s="702">
        <f t="shared" si="72"/>
        <v>0</v>
      </c>
      <c r="G104" s="678"/>
      <c r="H104" s="702">
        <f t="shared" si="73"/>
        <v>0</v>
      </c>
      <c r="I104" s="678"/>
      <c r="J104" s="702">
        <f t="shared" si="74"/>
        <v>0</v>
      </c>
      <c r="K104" s="678"/>
      <c r="L104" s="702">
        <f t="shared" si="75"/>
        <v>0</v>
      </c>
      <c r="M104" s="678"/>
      <c r="N104" s="702">
        <f t="shared" si="76"/>
        <v>0</v>
      </c>
      <c r="O104" s="678"/>
      <c r="P104" s="702">
        <f t="shared" si="77"/>
        <v>0</v>
      </c>
      <c r="Q104" s="678"/>
      <c r="R104" s="702">
        <f t="shared" si="78"/>
        <v>0</v>
      </c>
      <c r="S104" s="678"/>
      <c r="T104" s="702">
        <f t="shared" si="79"/>
        <v>0</v>
      </c>
      <c r="U104" s="678"/>
      <c r="V104" s="702">
        <f t="shared" si="80"/>
        <v>0</v>
      </c>
      <c r="W104" s="678"/>
      <c r="X104" s="702">
        <f t="shared" si="81"/>
        <v>0</v>
      </c>
      <c r="Y104" s="678"/>
      <c r="Z104" s="702">
        <f t="shared" si="82"/>
        <v>0</v>
      </c>
      <c r="AA104" s="144">
        <f t="shared" si="67"/>
        <v>10284.905617732022</v>
      </c>
      <c r="AB104" s="226">
        <f t="shared" si="83"/>
        <v>1.0352525869798126E-3</v>
      </c>
      <c r="AC104" s="128">
        <f t="shared" si="68"/>
        <v>857.0754681443351</v>
      </c>
      <c r="AD104" s="226">
        <f t="shared" si="84"/>
        <v>1.0352525869798124E-3</v>
      </c>
      <c r="AE104" s="595"/>
      <c r="AF104" s="595"/>
      <c r="AG104" s="555"/>
    </row>
    <row r="105" spans="1:33" s="1" customFormat="1">
      <c r="A105" s="2">
        <v>6312</v>
      </c>
      <c r="B105" s="2" t="s">
        <v>155</v>
      </c>
      <c r="C105" s="678"/>
      <c r="D105" s="702">
        <f t="shared" si="71"/>
        <v>0</v>
      </c>
      <c r="E105" s="678"/>
      <c r="F105" s="702">
        <f t="shared" si="72"/>
        <v>0</v>
      </c>
      <c r="G105" s="678"/>
      <c r="H105" s="702">
        <f t="shared" si="73"/>
        <v>0</v>
      </c>
      <c r="I105" s="678"/>
      <c r="J105" s="702">
        <f t="shared" si="74"/>
        <v>0</v>
      </c>
      <c r="K105" s="678"/>
      <c r="L105" s="702">
        <f t="shared" si="75"/>
        <v>0</v>
      </c>
      <c r="M105" s="678"/>
      <c r="N105" s="702">
        <f t="shared" si="76"/>
        <v>0</v>
      </c>
      <c r="O105" s="678"/>
      <c r="P105" s="702">
        <f t="shared" si="77"/>
        <v>0</v>
      </c>
      <c r="Q105" s="678"/>
      <c r="R105" s="702">
        <f t="shared" si="78"/>
        <v>0</v>
      </c>
      <c r="S105" s="678"/>
      <c r="T105" s="702">
        <f t="shared" si="79"/>
        <v>0</v>
      </c>
      <c r="U105" s="678"/>
      <c r="V105" s="702">
        <f t="shared" si="80"/>
        <v>0</v>
      </c>
      <c r="W105" s="678"/>
      <c r="X105" s="702">
        <f t="shared" si="81"/>
        <v>0</v>
      </c>
      <c r="Y105" s="678"/>
      <c r="Z105" s="702">
        <f t="shared" si="82"/>
        <v>0</v>
      </c>
      <c r="AA105" s="144">
        <f t="shared" si="67"/>
        <v>0</v>
      </c>
      <c r="AB105" s="226">
        <f t="shared" si="83"/>
        <v>0</v>
      </c>
      <c r="AC105" s="128">
        <f t="shared" si="68"/>
        <v>0</v>
      </c>
      <c r="AD105" s="226">
        <f t="shared" si="84"/>
        <v>0</v>
      </c>
      <c r="AE105" s="595"/>
      <c r="AF105" s="595"/>
      <c r="AG105" s="555"/>
    </row>
    <row r="106" spans="1:33" s="1" customFormat="1">
      <c r="A106" s="2">
        <v>6313</v>
      </c>
      <c r="B106" s="2" t="s">
        <v>156</v>
      </c>
      <c r="C106" s="753"/>
      <c r="D106" s="702">
        <f t="shared" si="71"/>
        <v>0</v>
      </c>
      <c r="E106" s="753"/>
      <c r="F106" s="702">
        <f t="shared" si="72"/>
        <v>0</v>
      </c>
      <c r="G106" s="753">
        <f>(27272.7272727273/0.985)/12</f>
        <v>2307.3373327180457</v>
      </c>
      <c r="H106" s="702">
        <f t="shared" si="73"/>
        <v>2.3927875318344588E-3</v>
      </c>
      <c r="I106" s="753"/>
      <c r="J106" s="702">
        <f t="shared" si="74"/>
        <v>0</v>
      </c>
      <c r="K106" s="753">
        <f>(27272.7272727273/0.985)/12</f>
        <v>2307.3373327180457</v>
      </c>
      <c r="L106" s="702">
        <f t="shared" si="75"/>
        <v>2.9628807217334722E-3</v>
      </c>
      <c r="M106" s="753"/>
      <c r="N106" s="702">
        <f t="shared" si="76"/>
        <v>0</v>
      </c>
      <c r="O106" s="753"/>
      <c r="P106" s="702">
        <f t="shared" si="76"/>
        <v>0</v>
      </c>
      <c r="Q106" s="753">
        <f>(27272.7272727273/0.985)/12</f>
        <v>2307.3373327180457</v>
      </c>
      <c r="R106" s="702">
        <f t="shared" si="78"/>
        <v>2.6578612898220263E-3</v>
      </c>
      <c r="S106" s="753"/>
      <c r="T106" s="702">
        <f t="shared" si="79"/>
        <v>0</v>
      </c>
      <c r="U106" s="753"/>
      <c r="V106" s="702">
        <f t="shared" si="80"/>
        <v>0</v>
      </c>
      <c r="W106" s="753"/>
      <c r="X106" s="702">
        <f t="shared" si="81"/>
        <v>0</v>
      </c>
      <c r="Y106" s="753">
        <f>(27272.7272727273/0.985)/12</f>
        <v>2307.3373327180457</v>
      </c>
      <c r="Z106" s="702">
        <f t="shared" si="82"/>
        <v>2.1640925400880722E-3</v>
      </c>
      <c r="AA106" s="144">
        <f t="shared" si="67"/>
        <v>9229.3493308721827</v>
      </c>
      <c r="AB106" s="226">
        <f t="shared" si="83"/>
        <v>9.2900296084902595E-4</v>
      </c>
      <c r="AC106" s="128">
        <f t="shared" si="68"/>
        <v>769.11244423934852</v>
      </c>
      <c r="AD106" s="226">
        <f t="shared" si="84"/>
        <v>9.2900296084902595E-4</v>
      </c>
      <c r="AE106" s="595"/>
      <c r="AF106" s="595"/>
      <c r="AG106" s="555"/>
    </row>
    <row r="107" spans="1:33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71"/>
        <v>1.6729063583276218E-2</v>
      </c>
      <c r="E107" s="678">
        <f>(206850/12)/0.985</f>
        <v>17500</v>
      </c>
      <c r="F107" s="702">
        <f t="shared" si="72"/>
        <v>3.01036567491361E-2</v>
      </c>
      <c r="G107" s="678">
        <f>(159570/12)/0.985</f>
        <v>13500</v>
      </c>
      <c r="H107" s="702">
        <f t="shared" si="73"/>
        <v>1.3999960570010222E-2</v>
      </c>
      <c r="I107" s="678">
        <f>(159570/12)/0.985</f>
        <v>13500</v>
      </c>
      <c r="J107" s="702">
        <f t="shared" si="74"/>
        <v>1.585510082082444E-2</v>
      </c>
      <c r="K107" s="678">
        <f>(206850/12)/0.985</f>
        <v>17500</v>
      </c>
      <c r="L107" s="702">
        <f t="shared" si="75"/>
        <v>2.2471968833987499E-2</v>
      </c>
      <c r="M107" s="678">
        <f>(159570/12)/0.985</f>
        <v>13500</v>
      </c>
      <c r="N107" s="702">
        <f t="shared" si="76"/>
        <v>1.2225449985082399E-2</v>
      </c>
      <c r="O107" s="678">
        <f>(159570/12)/0.985</f>
        <v>13500</v>
      </c>
      <c r="P107" s="702">
        <f t="shared" si="76"/>
        <v>1.9310135557289918E-2</v>
      </c>
      <c r="Q107" s="678">
        <f>(206850/12)/0.985</f>
        <v>17500</v>
      </c>
      <c r="R107" s="702">
        <f t="shared" si="78"/>
        <v>2.0158548952655141E-2</v>
      </c>
      <c r="S107" s="678">
        <f>(159570/12)/0.985</f>
        <v>13500</v>
      </c>
      <c r="T107" s="702">
        <f t="shared" si="79"/>
        <v>1.5436966983998015E-2</v>
      </c>
      <c r="U107" s="678">
        <f>(159570/12)/0.985</f>
        <v>13500</v>
      </c>
      <c r="V107" s="702">
        <f t="shared" si="80"/>
        <v>1.9461472409063971E-2</v>
      </c>
      <c r="W107" s="678">
        <f>(206850/12)/0.985</f>
        <v>17500</v>
      </c>
      <c r="X107" s="702">
        <f t="shared" si="81"/>
        <v>2.4795365509804622E-2</v>
      </c>
      <c r="Y107" s="678">
        <f>(159570/12)/0.985</f>
        <v>13500</v>
      </c>
      <c r="Z107" s="702">
        <f t="shared" si="82"/>
        <v>1.2661889042801289E-2</v>
      </c>
      <c r="AA107" s="144">
        <f t="shared" si="67"/>
        <v>177000</v>
      </c>
      <c r="AB107" s="226">
        <f t="shared" si="83"/>
        <v>1.7816372333014561E-2</v>
      </c>
      <c r="AC107" s="128">
        <f t="shared" si="68"/>
        <v>14750</v>
      </c>
      <c r="AD107" s="226">
        <f t="shared" si="84"/>
        <v>1.7816372333014561E-2</v>
      </c>
      <c r="AE107" s="595"/>
      <c r="AF107" s="595"/>
      <c r="AG107" s="555"/>
    </row>
    <row r="108" spans="1:33" s="1" customFormat="1">
      <c r="A108" s="2">
        <v>6315</v>
      </c>
      <c r="B108" s="2" t="s">
        <v>323</v>
      </c>
      <c r="C108" s="678"/>
      <c r="D108" s="702">
        <f t="shared" si="71"/>
        <v>0</v>
      </c>
      <c r="E108" s="678">
        <v>2960</v>
      </c>
      <c r="F108" s="702">
        <f t="shared" si="72"/>
        <v>5.0918185129967351E-3</v>
      </c>
      <c r="G108" s="678">
        <v>4210</v>
      </c>
      <c r="H108" s="702">
        <f t="shared" si="73"/>
        <v>4.3659136296105953E-3</v>
      </c>
      <c r="I108" s="678">
        <v>2960</v>
      </c>
      <c r="J108" s="702">
        <f t="shared" si="74"/>
        <v>3.4763776614548407E-3</v>
      </c>
      <c r="K108" s="678">
        <v>1250</v>
      </c>
      <c r="L108" s="702">
        <f t="shared" si="75"/>
        <v>1.605140630999107E-3</v>
      </c>
      <c r="M108" s="678"/>
      <c r="N108" s="702">
        <f t="shared" si="76"/>
        <v>0</v>
      </c>
      <c r="O108" s="678">
        <v>875</v>
      </c>
      <c r="P108" s="702">
        <f t="shared" si="77"/>
        <v>1.2515828601947169E-3</v>
      </c>
      <c r="Q108" s="678">
        <v>1250</v>
      </c>
      <c r="R108" s="702">
        <f t="shared" si="78"/>
        <v>1.4398963537610814E-3</v>
      </c>
      <c r="S108" s="678"/>
      <c r="T108" s="702">
        <f t="shared" si="79"/>
        <v>0</v>
      </c>
      <c r="U108" s="678">
        <v>875</v>
      </c>
      <c r="V108" s="702">
        <f t="shared" si="80"/>
        <v>1.2613917302171092E-3</v>
      </c>
      <c r="W108" s="678"/>
      <c r="X108" s="702">
        <f t="shared" si="81"/>
        <v>0</v>
      </c>
      <c r="Y108" s="678">
        <v>1250</v>
      </c>
      <c r="Z108" s="702">
        <f t="shared" si="82"/>
        <v>1.1723971335927119E-3</v>
      </c>
      <c r="AA108" s="144">
        <f t="shared" si="67"/>
        <v>15630</v>
      </c>
      <c r="AB108" s="226">
        <f t="shared" si="83"/>
        <v>1.5732762687289128E-3</v>
      </c>
      <c r="AC108" s="128">
        <f t="shared" si="68"/>
        <v>1302.5</v>
      </c>
      <c r="AD108" s="226">
        <f t="shared" si="84"/>
        <v>1.5732762687289128E-3</v>
      </c>
      <c r="AE108" s="595"/>
      <c r="AF108" s="595"/>
      <c r="AG108" s="555"/>
    </row>
    <row r="109" spans="1:33" s="1" customFormat="1">
      <c r="A109" s="2">
        <v>6316</v>
      </c>
      <c r="B109" s="2" t="s">
        <v>324</v>
      </c>
      <c r="C109" s="678"/>
      <c r="D109" s="702">
        <f t="shared" si="71"/>
        <v>0</v>
      </c>
      <c r="E109" s="678">
        <v>6522.2222222222226</v>
      </c>
      <c r="F109" s="702">
        <f t="shared" si="72"/>
        <v>1.1219585086820884E-2</v>
      </c>
      <c r="G109" s="678"/>
      <c r="H109" s="702">
        <f t="shared" si="73"/>
        <v>0</v>
      </c>
      <c r="I109" s="678"/>
      <c r="J109" s="702">
        <f t="shared" si="74"/>
        <v>0</v>
      </c>
      <c r="K109" s="678">
        <v>5000</v>
      </c>
      <c r="L109" s="702">
        <f t="shared" si="75"/>
        <v>6.4205625239964282E-3</v>
      </c>
      <c r="M109" s="678">
        <v>1900</v>
      </c>
      <c r="N109" s="702">
        <f t="shared" si="76"/>
        <v>1.7206188867893747E-3</v>
      </c>
      <c r="O109" s="678"/>
      <c r="P109" s="702">
        <f t="shared" si="77"/>
        <v>0</v>
      </c>
      <c r="Q109" s="678">
        <v>7922.2222222222226</v>
      </c>
      <c r="R109" s="702">
        <f t="shared" si="78"/>
        <v>9.1257431131702323E-3</v>
      </c>
      <c r="S109" s="678">
        <v>1900</v>
      </c>
      <c r="T109" s="702">
        <f t="shared" si="79"/>
        <v>2.1726101681182391E-3</v>
      </c>
      <c r="U109" s="678">
        <v>5600</v>
      </c>
      <c r="V109" s="702">
        <f t="shared" si="80"/>
        <v>8.0729070733894983E-3</v>
      </c>
      <c r="W109" s="678"/>
      <c r="X109" s="702">
        <f t="shared" si="81"/>
        <v>0</v>
      </c>
      <c r="Y109" s="678"/>
      <c r="Z109" s="702">
        <f t="shared" si="82"/>
        <v>0</v>
      </c>
      <c r="AA109" s="144">
        <f t="shared" si="67"/>
        <v>28844.444444444445</v>
      </c>
      <c r="AB109" s="226">
        <f t="shared" si="83"/>
        <v>2.9034088246394098E-3</v>
      </c>
      <c r="AC109" s="128">
        <f t="shared" si="68"/>
        <v>2403.7037037037039</v>
      </c>
      <c r="AD109" s="226">
        <f t="shared" si="84"/>
        <v>2.9034088246394098E-3</v>
      </c>
      <c r="AE109" s="595"/>
      <c r="AF109" s="595"/>
      <c r="AG109" s="555"/>
    </row>
    <row r="110" spans="1:33" s="1" customFormat="1">
      <c r="A110" s="2">
        <v>6317</v>
      </c>
      <c r="B110" s="2" t="s">
        <v>325</v>
      </c>
      <c r="C110" s="678"/>
      <c r="D110" s="702">
        <f t="shared" si="71"/>
        <v>0</v>
      </c>
      <c r="E110" s="678">
        <v>2750</v>
      </c>
      <c r="F110" s="702">
        <f t="shared" si="72"/>
        <v>4.7305746320071016E-3</v>
      </c>
      <c r="G110" s="678"/>
      <c r="H110" s="702">
        <f t="shared" si="73"/>
        <v>0</v>
      </c>
      <c r="I110" s="678">
        <v>16120</v>
      </c>
      <c r="J110" s="702">
        <f t="shared" si="74"/>
        <v>1.8932164831977037E-2</v>
      </c>
      <c r="K110" s="678">
        <v>3100</v>
      </c>
      <c r="L110" s="702">
        <f t="shared" si="75"/>
        <v>3.9807487648777853E-3</v>
      </c>
      <c r="M110" s="678"/>
      <c r="N110" s="702">
        <f t="shared" si="76"/>
        <v>0</v>
      </c>
      <c r="O110" s="678"/>
      <c r="P110" s="702">
        <f t="shared" si="77"/>
        <v>0</v>
      </c>
      <c r="Q110" s="678">
        <v>10466</v>
      </c>
      <c r="R110" s="702">
        <f t="shared" si="78"/>
        <v>1.2055964190770782E-2</v>
      </c>
      <c r="S110" s="678"/>
      <c r="T110" s="702">
        <f t="shared" si="79"/>
        <v>0</v>
      </c>
      <c r="U110" s="678">
        <v>2750</v>
      </c>
      <c r="V110" s="702">
        <f t="shared" si="80"/>
        <v>3.9643740092537719E-3</v>
      </c>
      <c r="W110" s="678"/>
      <c r="X110" s="702">
        <f t="shared" si="81"/>
        <v>0</v>
      </c>
      <c r="Y110" s="678"/>
      <c r="Z110" s="702">
        <f t="shared" si="82"/>
        <v>0</v>
      </c>
      <c r="AA110" s="144">
        <f t="shared" si="67"/>
        <v>35186</v>
      </c>
      <c r="AB110" s="226">
        <f t="shared" si="83"/>
        <v>3.5417337678500019E-3</v>
      </c>
      <c r="AC110" s="128">
        <f t="shared" si="68"/>
        <v>2932.1666666666665</v>
      </c>
      <c r="AD110" s="226">
        <f t="shared" si="84"/>
        <v>3.5417337678500015E-3</v>
      </c>
      <c r="AE110" s="595"/>
      <c r="AF110" s="595"/>
      <c r="AG110" s="555"/>
    </row>
    <row r="111" spans="1:33" s="1" customFormat="1">
      <c r="A111" s="2">
        <v>6318</v>
      </c>
      <c r="B111" s="2" t="s">
        <v>326</v>
      </c>
      <c r="C111" s="678">
        <f>(6660/12)</f>
        <v>555</v>
      </c>
      <c r="D111" s="702">
        <f t="shared" si="71"/>
        <v>7.4277042309746398E-4</v>
      </c>
      <c r="E111" s="678">
        <f>(6660/12)</f>
        <v>555</v>
      </c>
      <c r="F111" s="702">
        <f t="shared" si="72"/>
        <v>9.5471597118688772E-4</v>
      </c>
      <c r="G111" s="678">
        <f>(6660/12)</f>
        <v>555</v>
      </c>
      <c r="H111" s="702">
        <f t="shared" si="73"/>
        <v>5.755539345448647E-4</v>
      </c>
      <c r="I111" s="678">
        <f>(6660/12)</f>
        <v>555</v>
      </c>
      <c r="J111" s="702">
        <f t="shared" si="74"/>
        <v>6.5182081152278257E-4</v>
      </c>
      <c r="K111" s="678">
        <f>(6660/12)</f>
        <v>555</v>
      </c>
      <c r="L111" s="702">
        <f t="shared" si="75"/>
        <v>7.1268244016360355E-4</v>
      </c>
      <c r="M111" s="678">
        <f>(6660/12)</f>
        <v>555</v>
      </c>
      <c r="N111" s="702">
        <f t="shared" si="76"/>
        <v>5.0260183272005413E-4</v>
      </c>
      <c r="O111" s="678">
        <f>(6660/12)</f>
        <v>555</v>
      </c>
      <c r="P111" s="702">
        <f t="shared" si="76"/>
        <v>7.9386112846636329E-4</v>
      </c>
      <c r="Q111" s="678">
        <f>(6660/12)</f>
        <v>555</v>
      </c>
      <c r="R111" s="702">
        <f t="shared" si="78"/>
        <v>6.3931398106992015E-4</v>
      </c>
      <c r="S111" s="678">
        <f>(6660/12)</f>
        <v>555</v>
      </c>
      <c r="T111" s="702">
        <f t="shared" si="79"/>
        <v>6.3463086489769617E-4</v>
      </c>
      <c r="U111" s="678">
        <f>(6660/12)</f>
        <v>555</v>
      </c>
      <c r="V111" s="702">
        <f t="shared" si="80"/>
        <v>8.0008275459485213E-4</v>
      </c>
      <c r="W111" s="678">
        <f>(6660/12)</f>
        <v>555</v>
      </c>
      <c r="X111" s="702">
        <f t="shared" si="81"/>
        <v>7.8636730616808942E-4</v>
      </c>
      <c r="Y111" s="678">
        <f>(6660/12)</f>
        <v>555</v>
      </c>
      <c r="Z111" s="702">
        <f t="shared" si="82"/>
        <v>5.2054432731516408E-4</v>
      </c>
      <c r="AA111" s="144">
        <f t="shared" si="67"/>
        <v>6660</v>
      </c>
      <c r="AB111" s="226">
        <f t="shared" si="83"/>
        <v>6.7037875558122585E-4</v>
      </c>
      <c r="AC111" s="128">
        <f t="shared" si="68"/>
        <v>555</v>
      </c>
      <c r="AD111" s="226">
        <f t="shared" si="84"/>
        <v>6.7037875558122574E-4</v>
      </c>
      <c r="AE111" s="595"/>
      <c r="AF111" s="595"/>
      <c r="AG111" s="555"/>
    </row>
    <row r="112" spans="1:33" s="1" customFormat="1">
      <c r="A112" s="2">
        <v>6319</v>
      </c>
      <c r="B112" s="2" t="s">
        <v>327</v>
      </c>
      <c r="C112" s="678"/>
      <c r="D112" s="702">
        <f t="shared" si="71"/>
        <v>0</v>
      </c>
      <c r="E112" s="678">
        <f>(43504.1666666667/12)/0.985</f>
        <v>3680.5555555555584</v>
      </c>
      <c r="F112" s="702">
        <f t="shared" si="72"/>
        <v>6.3313246337468833E-3</v>
      </c>
      <c r="G112" s="678">
        <f>(43504.1666666667/12)/0.985</f>
        <v>3680.5555555555584</v>
      </c>
      <c r="H112" s="702">
        <f t="shared" si="73"/>
        <v>3.8168616780377691E-3</v>
      </c>
      <c r="I112" s="678">
        <f>(43504.1666666667/12)/0.985</f>
        <v>3680.5555555555584</v>
      </c>
      <c r="J112" s="702">
        <f t="shared" si="74"/>
        <v>4.3226355118502887E-3</v>
      </c>
      <c r="K112" s="678">
        <f>(43504.1666666667/12)/0.985</f>
        <v>3680.5555555555584</v>
      </c>
      <c r="L112" s="702">
        <f t="shared" si="75"/>
        <v>4.7262474134973746E-3</v>
      </c>
      <c r="M112" s="678"/>
      <c r="N112" s="702">
        <f t="shared" si="76"/>
        <v>0</v>
      </c>
      <c r="O112" s="678">
        <f>(43504.1666666667/12)/0.985</f>
        <v>3680.5555555555584</v>
      </c>
      <c r="P112" s="702">
        <f t="shared" si="76"/>
        <v>5.2645945706603211E-3</v>
      </c>
      <c r="Q112" s="678">
        <f>(43504.1666666667/12)/0.985</f>
        <v>3680.5555555555584</v>
      </c>
      <c r="R112" s="702">
        <f t="shared" si="78"/>
        <v>4.2396948194076316E-3</v>
      </c>
      <c r="S112" s="678">
        <f>(43504.1666666667/12)/0.985</f>
        <v>3680.5555555555584</v>
      </c>
      <c r="T112" s="702">
        <f t="shared" si="79"/>
        <v>4.2086381180653056E-3</v>
      </c>
      <c r="U112" s="678">
        <f>(43504.1666666667/12)/0.985</f>
        <v>3680.5555555555584</v>
      </c>
      <c r="V112" s="702">
        <f t="shared" si="80"/>
        <v>5.3058541032941931E-3</v>
      </c>
      <c r="W112" s="678">
        <f>(43504.1666666667/12)/0.985</f>
        <v>3680.5555555555584</v>
      </c>
      <c r="X112" s="702">
        <f t="shared" si="81"/>
        <v>5.2148983016652613E-3</v>
      </c>
      <c r="Y112" s="678">
        <f>(43504.1666666667/12)/0.985</f>
        <v>3680.5555555555584</v>
      </c>
      <c r="Z112" s="702">
        <f t="shared" si="82"/>
        <v>3.4520582266896545E-3</v>
      </c>
      <c r="AA112" s="144">
        <f t="shared" si="67"/>
        <v>36805.555555555591</v>
      </c>
      <c r="AB112" s="226">
        <f t="shared" si="83"/>
        <v>3.7047541339052599E-3</v>
      </c>
      <c r="AC112" s="128">
        <f t="shared" si="68"/>
        <v>3067.1296296296327</v>
      </c>
      <c r="AD112" s="226">
        <f t="shared" si="84"/>
        <v>3.7047541339052599E-3</v>
      </c>
      <c r="AE112" s="595"/>
      <c r="AF112" s="595"/>
      <c r="AG112" s="555"/>
    </row>
    <row r="113" spans="1:34" s="1" customFormat="1">
      <c r="A113" s="2">
        <v>6320</v>
      </c>
      <c r="B113" s="2" t="s">
        <v>328</v>
      </c>
      <c r="C113" s="678"/>
      <c r="D113" s="702">
        <f t="shared" si="71"/>
        <v>0</v>
      </c>
      <c r="E113" s="678"/>
      <c r="F113" s="702">
        <f t="shared" si="72"/>
        <v>0</v>
      </c>
      <c r="G113" s="678"/>
      <c r="H113" s="702">
        <f t="shared" si="73"/>
        <v>0</v>
      </c>
      <c r="I113" s="678"/>
      <c r="J113" s="702">
        <f t="shared" si="74"/>
        <v>0</v>
      </c>
      <c r="K113" s="678"/>
      <c r="L113" s="702">
        <f t="shared" si="75"/>
        <v>0</v>
      </c>
      <c r="M113" s="678"/>
      <c r="N113" s="702">
        <f t="shared" si="76"/>
        <v>0</v>
      </c>
      <c r="O113" s="678"/>
      <c r="P113" s="702">
        <f t="shared" si="77"/>
        <v>0</v>
      </c>
      <c r="Q113" s="678"/>
      <c r="R113" s="702">
        <f t="shared" si="78"/>
        <v>0</v>
      </c>
      <c r="S113" s="678"/>
      <c r="T113" s="702">
        <f t="shared" si="79"/>
        <v>0</v>
      </c>
      <c r="U113" s="678"/>
      <c r="V113" s="702">
        <f t="shared" si="80"/>
        <v>0</v>
      </c>
      <c r="W113" s="678"/>
      <c r="X113" s="702">
        <f t="shared" si="81"/>
        <v>0</v>
      </c>
      <c r="Y113" s="678"/>
      <c r="Z113" s="702">
        <f t="shared" si="82"/>
        <v>0</v>
      </c>
      <c r="AA113" s="144">
        <f t="shared" si="67"/>
        <v>0</v>
      </c>
      <c r="AB113" s="226">
        <f t="shared" si="83"/>
        <v>0</v>
      </c>
      <c r="AC113" s="128">
        <f t="shared" si="68"/>
        <v>0</v>
      </c>
      <c r="AD113" s="226">
        <f t="shared" si="84"/>
        <v>0</v>
      </c>
      <c r="AE113" s="595"/>
      <c r="AF113" s="595"/>
      <c r="AG113" s="555"/>
    </row>
    <row r="114" spans="1:34" s="1" customFormat="1">
      <c r="A114" s="2">
        <v>6321</v>
      </c>
      <c r="B114" s="2" t="s">
        <v>329</v>
      </c>
      <c r="C114" s="754"/>
      <c r="D114" s="684">
        <f t="shared" si="71"/>
        <v>0</v>
      </c>
      <c r="E114" s="754"/>
      <c r="F114" s="684">
        <f t="shared" si="72"/>
        <v>0</v>
      </c>
      <c r="G114" s="754"/>
      <c r="H114" s="684">
        <f t="shared" si="73"/>
        <v>0</v>
      </c>
      <c r="I114" s="754"/>
      <c r="J114" s="684">
        <f t="shared" si="74"/>
        <v>0</v>
      </c>
      <c r="K114" s="754"/>
      <c r="L114" s="684">
        <f t="shared" si="75"/>
        <v>0</v>
      </c>
      <c r="M114" s="754"/>
      <c r="N114" s="684">
        <f t="shared" si="76"/>
        <v>0</v>
      </c>
      <c r="O114" s="754"/>
      <c r="P114" s="684">
        <f t="shared" si="77"/>
        <v>0</v>
      </c>
      <c r="Q114" s="754"/>
      <c r="R114" s="684">
        <f t="shared" si="78"/>
        <v>0</v>
      </c>
      <c r="S114" s="754"/>
      <c r="T114" s="684">
        <f t="shared" si="79"/>
        <v>0</v>
      </c>
      <c r="U114" s="754"/>
      <c r="V114" s="684">
        <f t="shared" si="80"/>
        <v>0</v>
      </c>
      <c r="W114" s="754">
        <f>100000/12</f>
        <v>8333.3333333333339</v>
      </c>
      <c r="X114" s="684">
        <f t="shared" si="81"/>
        <v>1.1807316909430772E-2</v>
      </c>
      <c r="Y114" s="754"/>
      <c r="Z114" s="684">
        <f t="shared" si="82"/>
        <v>0</v>
      </c>
      <c r="AA114" s="144">
        <f t="shared" si="67"/>
        <v>8333.3333333333339</v>
      </c>
      <c r="AB114" s="226">
        <f t="shared" si="83"/>
        <v>8.3881225673326559E-4</v>
      </c>
      <c r="AC114" s="128">
        <f t="shared" si="68"/>
        <v>694.44444444444446</v>
      </c>
      <c r="AD114" s="226">
        <f t="shared" si="84"/>
        <v>8.3881225673326548E-4</v>
      </c>
      <c r="AE114" s="595"/>
      <c r="AF114" s="595"/>
      <c r="AG114" s="555"/>
    </row>
    <row r="115" spans="1:34" s="1" customFormat="1" ht="15.75" thickBot="1">
      <c r="A115" s="4">
        <v>6399</v>
      </c>
      <c r="B115" s="229" t="s">
        <v>113</v>
      </c>
      <c r="C115" s="298">
        <f>SUM(C94:C114)</f>
        <v>31532.926323312342</v>
      </c>
      <c r="D115" s="987">
        <f>C115/C12</f>
        <v>4.2201306354356517E-2</v>
      </c>
      <c r="E115" s="298">
        <f>SUM(E94:E114)</f>
        <v>41616.119366411338</v>
      </c>
      <c r="F115" s="987">
        <f>E115/E12</f>
        <v>7.1588421293572693E-2</v>
      </c>
      <c r="G115" s="298">
        <f>SUM(G94:G114)</f>
        <v>31645.698342285243</v>
      </c>
      <c r="H115" s="987">
        <f>G115/G12</f>
        <v>3.2817668814994906E-2</v>
      </c>
      <c r="I115" s="298">
        <f>SUM(I94:I114)</f>
        <v>41901.511507739415</v>
      </c>
      <c r="J115" s="987">
        <f>I115/I12</f>
        <v>4.9211310333343999E-2</v>
      </c>
      <c r="K115" s="298">
        <f>SUM(K94:K114)</f>
        <v>42863.019206919926</v>
      </c>
      <c r="L115" s="987">
        <f>K115/K12</f>
        <v>5.5040938957057833E-2</v>
      </c>
      <c r="M115" s="298">
        <f>SUM(M94:M114)</f>
        <v>19070.144296190974</v>
      </c>
      <c r="N115" s="987">
        <f>M115/M12</f>
        <v>1.7269710763065715E-2</v>
      </c>
      <c r="O115" s="298">
        <f>SUM(O94:O114)</f>
        <v>27631.772449077969</v>
      </c>
      <c r="P115" s="987">
        <f>O115/O12</f>
        <v>3.9523946050361809E-2</v>
      </c>
      <c r="Q115" s="298">
        <f>SUM(Q94:Q114)</f>
        <v>49759.413908101647</v>
      </c>
      <c r="R115" s="97">
        <f>Q115/Q12</f>
        <v>5.7318718921251205E-2</v>
      </c>
      <c r="S115" s="298">
        <f>SUM(S94:S114)</f>
        <v>30648.371907481</v>
      </c>
      <c r="T115" s="987">
        <f>S115/S12</f>
        <v>3.5045770759190846E-2</v>
      </c>
      <c r="U115" s="298">
        <f>SUM(U94:U114)</f>
        <v>39001.682601815657</v>
      </c>
      <c r="V115" s="987">
        <f>U115/U12</f>
        <v>5.6224457026837461E-2</v>
      </c>
      <c r="W115" s="298">
        <f>SUM(W94:W114)</f>
        <v>36824.672555435282</v>
      </c>
      <c r="X115" s="987">
        <f>W115/W12</f>
        <v>5.2176069473765074E-2</v>
      </c>
      <c r="Y115" s="298">
        <f>SUM(Y94:Y114)</f>
        <v>28109.98066081783</v>
      </c>
      <c r="Z115" s="987">
        <f>Y115/Y12</f>
        <v>2.6364848601671511E-2</v>
      </c>
      <c r="AA115" s="298">
        <f>SUM(AA94:AA114)</f>
        <v>420605.31312558864</v>
      </c>
      <c r="AB115" s="97">
        <f>AA115/AA12</f>
        <v>4.2337067027625214E-2</v>
      </c>
      <c r="AC115" s="137">
        <f t="shared" si="68"/>
        <v>35050.442760465718</v>
      </c>
      <c r="AD115" s="97">
        <f>AC115/AC12</f>
        <v>4.2337067027625214E-2</v>
      </c>
      <c r="AE115" s="596"/>
      <c r="AF115" s="596"/>
      <c r="AG115" s="622"/>
    </row>
    <row r="116" spans="1:34" s="1" customFormat="1" ht="15.75" thickTop="1">
      <c r="A116" s="21">
        <v>6401</v>
      </c>
      <c r="B116" s="21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464">
        <f t="shared" ref="AA116:AA128" si="85">C116+E116+G116+I116+K116+M116+O116+Q116+S116+U116+W116+Y116</f>
        <v>0</v>
      </c>
      <c r="AB116" s="467">
        <f>AA116/AA12</f>
        <v>0</v>
      </c>
      <c r="AC116" s="472">
        <f t="shared" ref="AC116:AC128" si="86">AA116/12</f>
        <v>0</v>
      </c>
      <c r="AD116" s="467">
        <f>AC116/AC12</f>
        <v>0</v>
      </c>
      <c r="AE116" s="595"/>
      <c r="AF116" s="595"/>
      <c r="AG116" s="555"/>
    </row>
    <row r="117" spans="1:34" s="1" customFormat="1">
      <c r="A117" s="188">
        <v>6402</v>
      </c>
      <c r="B117" s="2" t="s">
        <v>75</v>
      </c>
      <c r="C117" s="452">
        <v>500</v>
      </c>
      <c r="D117" s="467">
        <f>C117/C12</f>
        <v>6.6916254333104861E-4</v>
      </c>
      <c r="E117" s="452">
        <v>500</v>
      </c>
      <c r="F117" s="467">
        <f>E117/E12</f>
        <v>8.6010447854674573E-4</v>
      </c>
      <c r="G117" s="452">
        <v>500</v>
      </c>
      <c r="H117" s="467">
        <f>G117/G12</f>
        <v>5.1851705814852671E-4</v>
      </c>
      <c r="I117" s="452">
        <v>500</v>
      </c>
      <c r="J117" s="467">
        <f>I117/I12</f>
        <v>5.8722595632683112E-4</v>
      </c>
      <c r="K117" s="452">
        <v>500</v>
      </c>
      <c r="L117" s="467">
        <f>K117/K12</f>
        <v>6.4205625239964286E-4</v>
      </c>
      <c r="M117" s="452">
        <v>500</v>
      </c>
      <c r="N117" s="467">
        <f>M117/M12</f>
        <v>4.5279444389194069E-4</v>
      </c>
      <c r="O117" s="452">
        <v>500</v>
      </c>
      <c r="P117" s="467">
        <f>O117/O12</f>
        <v>7.1519020582555255E-4</v>
      </c>
      <c r="Q117" s="452">
        <v>500</v>
      </c>
      <c r="R117" s="467">
        <f>Q117/Q12</f>
        <v>5.7595854150443255E-4</v>
      </c>
      <c r="S117" s="452">
        <v>500</v>
      </c>
      <c r="T117" s="467">
        <f>S117/S12</f>
        <v>5.7173951792585242E-4</v>
      </c>
      <c r="U117" s="452">
        <v>500</v>
      </c>
      <c r="V117" s="467">
        <f>U117/U12</f>
        <v>7.2079527440977668E-4</v>
      </c>
      <c r="W117" s="452">
        <v>500</v>
      </c>
      <c r="X117" s="467">
        <f>W117/W12</f>
        <v>7.084390145658463E-4</v>
      </c>
      <c r="Y117" s="452">
        <v>500</v>
      </c>
      <c r="Z117" s="467">
        <f>Y117/Y12</f>
        <v>4.6895885343708479E-4</v>
      </c>
      <c r="AA117" s="464">
        <f t="shared" si="85"/>
        <v>6000</v>
      </c>
      <c r="AB117" s="467">
        <f>AA117/AA12</f>
        <v>6.0394482484795115E-4</v>
      </c>
      <c r="AC117" s="472">
        <f t="shared" si="86"/>
        <v>500</v>
      </c>
      <c r="AD117" s="467">
        <f>AC117/AC12</f>
        <v>6.0394482484795115E-4</v>
      </c>
      <c r="AE117" s="595"/>
      <c r="AF117" s="595"/>
      <c r="AG117" s="555"/>
    </row>
    <row r="118" spans="1:34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464">
        <f t="shared" si="85"/>
        <v>0</v>
      </c>
      <c r="AB118" s="467">
        <f>AA118/AA12</f>
        <v>0</v>
      </c>
      <c r="AC118" s="472">
        <f t="shared" si="86"/>
        <v>0</v>
      </c>
      <c r="AD118" s="467">
        <f>AC118/AC12</f>
        <v>0</v>
      </c>
      <c r="AE118" s="595"/>
      <c r="AF118" s="595"/>
      <c r="AG118" s="555"/>
    </row>
    <row r="119" spans="1:34" s="1" customFormat="1">
      <c r="A119" s="188">
        <v>6404</v>
      </c>
      <c r="B119" s="188" t="s">
        <v>92</v>
      </c>
      <c r="C119" s="707">
        <v>2000</v>
      </c>
      <c r="D119" s="467">
        <f>C119/C12</f>
        <v>2.6766501733241944E-3</v>
      </c>
      <c r="E119" s="707">
        <v>2000</v>
      </c>
      <c r="F119" s="467">
        <f>E119/E12</f>
        <v>3.4404179141869829E-3</v>
      </c>
      <c r="G119" s="707">
        <v>2000</v>
      </c>
      <c r="H119" s="467">
        <f>G119/G12</f>
        <v>2.0740682325941068E-3</v>
      </c>
      <c r="I119" s="707">
        <v>2000</v>
      </c>
      <c r="J119" s="467">
        <f>I119/I12</f>
        <v>2.3489038253073245E-3</v>
      </c>
      <c r="K119" s="707">
        <v>2000</v>
      </c>
      <c r="L119" s="467">
        <f>K119/K12</f>
        <v>2.5682250095985714E-3</v>
      </c>
      <c r="M119" s="707">
        <v>2000</v>
      </c>
      <c r="N119" s="467">
        <f>M119/M12</f>
        <v>1.8111777755677628E-3</v>
      </c>
      <c r="O119" s="707">
        <v>2000</v>
      </c>
      <c r="P119" s="467">
        <f>O119/O12</f>
        <v>2.8607608233022102E-3</v>
      </c>
      <c r="Q119" s="707">
        <v>2000</v>
      </c>
      <c r="R119" s="467">
        <f>Q119/Q12</f>
        <v>2.3038341660177302E-3</v>
      </c>
      <c r="S119" s="707">
        <v>2000</v>
      </c>
      <c r="T119" s="467">
        <f>S119/S12</f>
        <v>2.2869580717034097E-3</v>
      </c>
      <c r="U119" s="707">
        <v>2000</v>
      </c>
      <c r="V119" s="467">
        <f>U119/U12</f>
        <v>2.8831810976391067E-3</v>
      </c>
      <c r="W119" s="707">
        <v>2000</v>
      </c>
      <c r="X119" s="467">
        <f>W119/W12</f>
        <v>2.8337560582633852E-3</v>
      </c>
      <c r="Y119" s="707">
        <v>2000</v>
      </c>
      <c r="Z119" s="467">
        <f>Y119/Y12</f>
        <v>1.8758354137483392E-3</v>
      </c>
      <c r="AA119" s="464">
        <f t="shared" si="85"/>
        <v>24000</v>
      </c>
      <c r="AB119" s="467">
        <f>AA119/AA12</f>
        <v>2.4157792993918046E-3</v>
      </c>
      <c r="AC119" s="472">
        <f t="shared" si="86"/>
        <v>2000</v>
      </c>
      <c r="AD119" s="467">
        <v>0</v>
      </c>
      <c r="AE119" s="645"/>
      <c r="AF119" s="226"/>
      <c r="AG119" s="226"/>
    </row>
    <row r="120" spans="1:34" s="1" customFormat="1">
      <c r="A120" s="188">
        <v>6406</v>
      </c>
      <c r="B120" s="188" t="s">
        <v>72</v>
      </c>
      <c r="C120" s="452">
        <v>750</v>
      </c>
      <c r="D120" s="467">
        <f>C120/C12</f>
        <v>1.0037438149965729E-3</v>
      </c>
      <c r="E120" s="452">
        <v>750</v>
      </c>
      <c r="F120" s="467">
        <f>E120/E12</f>
        <v>1.2901567178201187E-3</v>
      </c>
      <c r="G120" s="452">
        <v>750</v>
      </c>
      <c r="H120" s="467">
        <f>G120/G12</f>
        <v>7.7777558722279011E-4</v>
      </c>
      <c r="I120" s="452">
        <v>750</v>
      </c>
      <c r="J120" s="467">
        <f>I120/I12</f>
        <v>8.8083893449024679E-4</v>
      </c>
      <c r="K120" s="452">
        <v>750</v>
      </c>
      <c r="L120" s="467">
        <f>K120/K12</f>
        <v>9.6308437859946418E-4</v>
      </c>
      <c r="M120" s="452">
        <v>750</v>
      </c>
      <c r="N120" s="467">
        <f>M120/M12</f>
        <v>6.7919166583791106E-4</v>
      </c>
      <c r="O120" s="452">
        <v>750</v>
      </c>
      <c r="P120" s="467">
        <f>O120/O12</f>
        <v>1.0727853087383287E-3</v>
      </c>
      <c r="Q120" s="452">
        <v>750</v>
      </c>
      <c r="R120" s="467">
        <f>Q120/Q12</f>
        <v>8.6393781225664883E-4</v>
      </c>
      <c r="S120" s="452">
        <v>750</v>
      </c>
      <c r="T120" s="467">
        <f>S120/S12</f>
        <v>8.5760927688877857E-4</v>
      </c>
      <c r="U120" s="452">
        <v>750</v>
      </c>
      <c r="V120" s="467">
        <f>U120/U12</f>
        <v>1.081192911614665E-3</v>
      </c>
      <c r="W120" s="452">
        <v>750</v>
      </c>
      <c r="X120" s="467">
        <f>W120/W12</f>
        <v>1.0626585218487695E-3</v>
      </c>
      <c r="Y120" s="452">
        <v>750</v>
      </c>
      <c r="Z120" s="467">
        <f>Y120/Y12</f>
        <v>7.0343828015562713E-4</v>
      </c>
      <c r="AA120" s="464">
        <f t="shared" si="85"/>
        <v>9000</v>
      </c>
      <c r="AB120" s="467">
        <f>AA120/AA12</f>
        <v>9.0591723727192683E-4</v>
      </c>
      <c r="AC120" s="472">
        <f t="shared" si="86"/>
        <v>750</v>
      </c>
      <c r="AD120" s="467">
        <f>AC120/AC12</f>
        <v>9.0591723727192672E-4</v>
      </c>
      <c r="AE120" s="595" t="s">
        <v>231</v>
      </c>
      <c r="AF120" s="595"/>
      <c r="AG120" s="555"/>
      <c r="AH120" s="1" t="s">
        <v>223</v>
      </c>
    </row>
    <row r="121" spans="1:34" s="1" customFormat="1">
      <c r="A121" s="188">
        <v>6407</v>
      </c>
      <c r="B121" s="21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464">
        <f t="shared" si="85"/>
        <v>0</v>
      </c>
      <c r="AB121" s="467">
        <f>AA121/AA12</f>
        <v>0</v>
      </c>
      <c r="AC121" s="472">
        <f t="shared" si="86"/>
        <v>0</v>
      </c>
      <c r="AD121" s="467">
        <f>AC121/AC12</f>
        <v>0</v>
      </c>
      <c r="AE121" s="595"/>
      <c r="AF121" s="595"/>
      <c r="AG121" s="555"/>
    </row>
    <row r="122" spans="1:34" s="1" customFormat="1">
      <c r="A122" s="188">
        <v>6408</v>
      </c>
      <c r="B122" s="21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464">
        <f t="shared" si="85"/>
        <v>0</v>
      </c>
      <c r="AB122" s="467">
        <f>AA122/AA12</f>
        <v>0</v>
      </c>
      <c r="AC122" s="472">
        <f t="shared" si="86"/>
        <v>0</v>
      </c>
      <c r="AD122" s="467">
        <f>AC122/AC12</f>
        <v>0</v>
      </c>
      <c r="AE122" s="595"/>
      <c r="AF122" s="595"/>
      <c r="AG122" s="555"/>
    </row>
    <row r="123" spans="1:34" s="1" customFormat="1">
      <c r="A123" s="188">
        <v>6410</v>
      </c>
      <c r="B123" s="21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464">
        <f t="shared" si="85"/>
        <v>0</v>
      </c>
      <c r="AB123" s="467"/>
      <c r="AC123" s="472">
        <f t="shared" si="86"/>
        <v>0</v>
      </c>
      <c r="AD123" s="467"/>
      <c r="AE123" s="595"/>
      <c r="AF123" s="595"/>
      <c r="AG123" s="555"/>
    </row>
    <row r="124" spans="1:34" s="1" customFormat="1">
      <c r="A124" s="188">
        <v>6411</v>
      </c>
      <c r="B124" s="21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464">
        <f t="shared" si="85"/>
        <v>0</v>
      </c>
      <c r="AB124" s="467"/>
      <c r="AC124" s="472">
        <f t="shared" si="86"/>
        <v>0</v>
      </c>
      <c r="AD124" s="467"/>
      <c r="AE124" s="595"/>
      <c r="AF124" s="595"/>
      <c r="AG124" s="555"/>
    </row>
    <row r="125" spans="1:34" s="1" customFormat="1">
      <c r="A125" s="188">
        <v>6412</v>
      </c>
      <c r="B125" s="21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464">
        <f t="shared" si="85"/>
        <v>0</v>
      </c>
      <c r="AB125" s="467">
        <f>AA125/AA12</f>
        <v>0</v>
      </c>
      <c r="AC125" s="472">
        <f t="shared" si="86"/>
        <v>0</v>
      </c>
      <c r="AD125" s="467">
        <f>AC125/AC12</f>
        <v>0</v>
      </c>
      <c r="AE125" s="595"/>
      <c r="AF125" s="595"/>
      <c r="AG125" s="555"/>
    </row>
    <row r="126" spans="1:34" s="1" customFormat="1">
      <c r="A126" s="188">
        <v>6413</v>
      </c>
      <c r="B126" s="188" t="s">
        <v>41</v>
      </c>
      <c r="C126" s="452">
        <f>C12*1%</f>
        <v>7472.0261165700003</v>
      </c>
      <c r="D126" s="467">
        <f>C126/C12</f>
        <v>0.01</v>
      </c>
      <c r="E126" s="452">
        <f>E12*1%</f>
        <v>5813.2472562497596</v>
      </c>
      <c r="F126" s="467">
        <f>E126/E12</f>
        <v>0.01</v>
      </c>
      <c r="G126" s="452">
        <f>G12*1%</f>
        <v>9642.8843013449605</v>
      </c>
      <c r="H126" s="467">
        <f>G126/G12</f>
        <v>0.01</v>
      </c>
      <c r="I126" s="452">
        <f>I12*1%</f>
        <v>8514.61</v>
      </c>
      <c r="J126" s="467">
        <f>I126/I12</f>
        <v>0.01</v>
      </c>
      <c r="K126" s="452">
        <f>K12*1%</f>
        <v>7787.479650440021</v>
      </c>
      <c r="L126" s="467">
        <f>K126/K12</f>
        <v>0.01</v>
      </c>
      <c r="M126" s="452">
        <f>M12*1%</f>
        <v>11042.5383249474</v>
      </c>
      <c r="N126" s="467">
        <f>M126/M12</f>
        <v>0.01</v>
      </c>
      <c r="O126" s="452">
        <f>O12*1%</f>
        <v>6991.1471931140904</v>
      </c>
      <c r="P126" s="467">
        <f>O126/O12</f>
        <v>0.01</v>
      </c>
      <c r="Q126" s="452">
        <f>Q12*1%</f>
        <v>8681.1803970121691</v>
      </c>
      <c r="R126" s="467">
        <f>Q126/Q12</f>
        <v>9.9999999999999985E-3</v>
      </c>
      <c r="S126" s="452">
        <f>S12*1%</f>
        <v>8745.2412212801391</v>
      </c>
      <c r="T126" s="467">
        <f>S126/S12</f>
        <v>9.9999999999999985E-3</v>
      </c>
      <c r="U126" s="452">
        <f>U12*1%</f>
        <v>6936.7824367248395</v>
      </c>
      <c r="V126" s="467">
        <f>U126/U12</f>
        <v>0.01</v>
      </c>
      <c r="W126" s="452">
        <f>W12*1%</f>
        <v>7057.7705309809307</v>
      </c>
      <c r="X126" s="467">
        <f>W126/W12</f>
        <v>0.01</v>
      </c>
      <c r="Y126" s="452">
        <f>Y12*1%</f>
        <v>10661.9162072623</v>
      </c>
      <c r="Z126" s="467">
        <f>Y126/Y12</f>
        <v>0.01</v>
      </c>
      <c r="AA126" s="464">
        <f t="shared" si="85"/>
        <v>99346.823635926616</v>
      </c>
      <c r="AB126" s="467">
        <f>AA126/AA12</f>
        <v>0.01</v>
      </c>
      <c r="AC126" s="472">
        <f t="shared" si="86"/>
        <v>8278.9019696605519</v>
      </c>
      <c r="AD126" s="467">
        <f>AC126/AC12</f>
        <v>0.01</v>
      </c>
      <c r="AE126" s="595" t="s">
        <v>290</v>
      </c>
      <c r="AF126" s="595"/>
      <c r="AG126" s="555"/>
    </row>
    <row r="127" spans="1:34" s="1" customFormat="1">
      <c r="A127" s="188">
        <v>6414</v>
      </c>
      <c r="B127" s="188" t="s">
        <v>43</v>
      </c>
      <c r="C127" s="486">
        <v>250</v>
      </c>
      <c r="D127" s="467">
        <f>C127/C12</f>
        <v>3.3458127166552431E-4</v>
      </c>
      <c r="E127" s="486">
        <v>250</v>
      </c>
      <c r="F127" s="467">
        <f>E127/E12</f>
        <v>4.3005223927337287E-4</v>
      </c>
      <c r="G127" s="486">
        <v>250</v>
      </c>
      <c r="H127" s="467">
        <f>G127/G12</f>
        <v>2.5925852907426335E-4</v>
      </c>
      <c r="I127" s="486">
        <v>250</v>
      </c>
      <c r="J127" s="467">
        <f>I127/I12</f>
        <v>2.9361297816341556E-4</v>
      </c>
      <c r="K127" s="486">
        <v>250</v>
      </c>
      <c r="L127" s="467">
        <f>K127/K12</f>
        <v>3.2102812619982143E-4</v>
      </c>
      <c r="M127" s="486">
        <v>250</v>
      </c>
      <c r="N127" s="467">
        <f>M127/M12</f>
        <v>2.2639722194597034E-4</v>
      </c>
      <c r="O127" s="486">
        <v>250</v>
      </c>
      <c r="P127" s="467">
        <f>O127/O12</f>
        <v>3.5759510291277628E-4</v>
      </c>
      <c r="Q127" s="486">
        <v>250</v>
      </c>
      <c r="R127" s="467">
        <f>Q127/Q12</f>
        <v>2.8797927075221628E-4</v>
      </c>
      <c r="S127" s="486">
        <v>250</v>
      </c>
      <c r="T127" s="467">
        <f>S127/S12</f>
        <v>2.8586975896292621E-4</v>
      </c>
      <c r="U127" s="486">
        <v>250</v>
      </c>
      <c r="V127" s="467">
        <f>U127/U12</f>
        <v>3.6039763720488834E-4</v>
      </c>
      <c r="W127" s="486">
        <v>250</v>
      </c>
      <c r="X127" s="467">
        <f>W127/W12</f>
        <v>3.5421950728292315E-4</v>
      </c>
      <c r="Y127" s="486">
        <v>250</v>
      </c>
      <c r="Z127" s="467">
        <f>Y127/Y12</f>
        <v>2.3447942671854239E-4</v>
      </c>
      <c r="AA127" s="464">
        <f t="shared" si="85"/>
        <v>3000</v>
      </c>
      <c r="AB127" s="467">
        <f>AA127/AA12</f>
        <v>3.0197241242397557E-4</v>
      </c>
      <c r="AC127" s="472">
        <f t="shared" si="86"/>
        <v>250</v>
      </c>
      <c r="AD127" s="467">
        <f>AC127/AC12</f>
        <v>3.0197241242397557E-4</v>
      </c>
      <c r="AE127" s="645" t="s">
        <v>291</v>
      </c>
      <c r="AF127" s="595"/>
      <c r="AG127" s="555"/>
    </row>
    <row r="128" spans="1:34" s="1" customFormat="1">
      <c r="A128" s="188">
        <v>6415</v>
      </c>
      <c r="B128" s="21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464">
        <f t="shared" si="85"/>
        <v>0</v>
      </c>
      <c r="AB128" s="467">
        <f>AA128/AA12</f>
        <v>0</v>
      </c>
      <c r="AC128" s="472">
        <f t="shared" si="86"/>
        <v>0</v>
      </c>
      <c r="AD128" s="467">
        <f>AC128/AC12</f>
        <v>0</v>
      </c>
      <c r="AE128" s="595"/>
      <c r="AF128" s="595"/>
      <c r="AG128" s="555"/>
    </row>
    <row r="129" spans="1:34" s="1" customFormat="1" ht="15.75" thickBot="1">
      <c r="A129" s="4">
        <v>6499</v>
      </c>
      <c r="B129" s="229" t="s">
        <v>114</v>
      </c>
      <c r="C129" s="45">
        <f>SUM(C116:C128)</f>
        <v>10972.026116569999</v>
      </c>
      <c r="D129" s="89">
        <f>C129/C12</f>
        <v>1.468413780331734E-2</v>
      </c>
      <c r="E129" s="76">
        <f>SUM(E116:E128)</f>
        <v>9313.2472562497605</v>
      </c>
      <c r="F129" s="89">
        <f>E129/E12</f>
        <v>1.6020731349827223E-2</v>
      </c>
      <c r="G129" s="116">
        <f>SUM(G116:G128)</f>
        <v>13142.88430134496</v>
      </c>
      <c r="H129" s="89">
        <f>G129/G12</f>
        <v>1.3629619407039687E-2</v>
      </c>
      <c r="I129" s="28">
        <f>SUM(I116:I128)</f>
        <v>12014.61</v>
      </c>
      <c r="J129" s="89">
        <f>I129/I12</f>
        <v>1.4110581694287819E-2</v>
      </c>
      <c r="K129" s="76">
        <f>SUM(K116:K128)</f>
        <v>11287.479650440022</v>
      </c>
      <c r="L129" s="89">
        <f>K129/K12</f>
        <v>1.4494393766797502E-2</v>
      </c>
      <c r="M129" s="28">
        <f>SUM(M116:M128)</f>
        <v>14542.5383249474</v>
      </c>
      <c r="N129" s="89">
        <f>M129/M12</f>
        <v>1.3169561107243585E-2</v>
      </c>
      <c r="O129" s="28">
        <f>SUM(O116:O128)</f>
        <v>10491.147193114091</v>
      </c>
      <c r="P129" s="89">
        <f>O129/O12</f>
        <v>1.5006331440778869E-2</v>
      </c>
      <c r="Q129" s="28">
        <f>SUM(Q116:Q128)</f>
        <v>12181.180397012169</v>
      </c>
      <c r="R129" s="89">
        <f>Q129/Q12</f>
        <v>1.4031709790531028E-2</v>
      </c>
      <c r="S129" s="28">
        <f>SUM(S116:S128)</f>
        <v>12245.241221280139</v>
      </c>
      <c r="T129" s="89">
        <f>S129/S12</f>
        <v>1.4002176625480965E-2</v>
      </c>
      <c r="U129" s="76">
        <f>SUM(U116:U128)</f>
        <v>10436.782436724839</v>
      </c>
      <c r="V129" s="89">
        <f>U129/U12</f>
        <v>1.5045566920868437E-2</v>
      </c>
      <c r="W129" s="52">
        <f>SUM(W116:W128)</f>
        <v>10557.770530980932</v>
      </c>
      <c r="X129" s="89">
        <f>W129/W12</f>
        <v>1.4959073101960926E-2</v>
      </c>
      <c r="Y129" s="76">
        <f>SUM(Y116:Y128)</f>
        <v>14161.9162072623</v>
      </c>
      <c r="Z129" s="89">
        <f>Y129/Y12</f>
        <v>1.3282711974059593E-2</v>
      </c>
      <c r="AA129" s="148">
        <f>SUM(AA116:AA128)</f>
        <v>141346.82363592662</v>
      </c>
      <c r="AB129" s="89">
        <f>AA129/AA12</f>
        <v>1.4227613773935659E-2</v>
      </c>
      <c r="AC129" s="132">
        <f>SUM(AC116:AC128)</f>
        <v>11778.901969660552</v>
      </c>
      <c r="AD129" s="89">
        <f>AC129/AC12</f>
        <v>1.4227613773935659E-2</v>
      </c>
      <c r="AE129" s="596"/>
      <c r="AF129" s="596"/>
      <c r="AG129" s="622"/>
    </row>
    <row r="130" spans="1:34" s="1" customFormat="1" ht="15.75" thickTop="1">
      <c r="A130" s="222"/>
      <c r="B130" s="230"/>
      <c r="C130" s="292"/>
      <c r="D130" s="102"/>
      <c r="E130" s="82"/>
      <c r="F130" s="102"/>
      <c r="G130" s="114"/>
      <c r="H130" s="102"/>
      <c r="I130" s="32"/>
      <c r="J130" s="102"/>
      <c r="K130" s="82"/>
      <c r="L130" s="102"/>
      <c r="M130" s="32"/>
      <c r="N130" s="102"/>
      <c r="O130" s="32"/>
      <c r="P130" s="102"/>
      <c r="Q130" s="32"/>
      <c r="R130" s="102"/>
      <c r="S130" s="32"/>
      <c r="T130" s="102"/>
      <c r="U130" s="82"/>
      <c r="V130" s="102"/>
      <c r="W130" s="60"/>
      <c r="X130" s="102"/>
      <c r="Y130" s="82"/>
      <c r="Z130" s="102"/>
      <c r="AA130" s="154"/>
      <c r="AB130" s="102"/>
      <c r="AC130" s="139"/>
      <c r="AD130" s="102"/>
      <c r="AE130" s="595"/>
      <c r="AF130" s="595"/>
      <c r="AG130" s="618"/>
    </row>
    <row r="131" spans="1:34" s="1" customFormat="1" ht="15.75" thickBot="1">
      <c r="A131" s="4"/>
      <c r="B131" s="229" t="s">
        <v>133</v>
      </c>
      <c r="C131" s="287">
        <f>C37-C41-C76-C93-C115-C129</f>
        <v>91959.273127032677</v>
      </c>
      <c r="D131" s="259">
        <f>C131/C12</f>
        <v>0.12307140217711948</v>
      </c>
      <c r="E131" s="256">
        <f>E37-E41-E76-E93-E115-E129</f>
        <v>29110.133062924648</v>
      </c>
      <c r="F131" s="259">
        <f>E131/E12</f>
        <v>5.0075511637026372E-2</v>
      </c>
      <c r="G131" s="256">
        <f>G37-G41-G76-G93-G115-G129</f>
        <v>140651.03846629409</v>
      </c>
      <c r="H131" s="259">
        <f>G131/G12</f>
        <v>0.14585992538215617</v>
      </c>
      <c r="I131" s="287">
        <f>I37-I41-I76-I93-I115-I129</f>
        <v>128340.26474391895</v>
      </c>
      <c r="J131" s="259">
        <f>I131/I12</f>
        <v>0.150729469398973</v>
      </c>
      <c r="K131" s="256">
        <f>K37-K41-K76-K93-K115-K129</f>
        <v>146754.30165524347</v>
      </c>
      <c r="L131" s="259">
        <f>K131/K12</f>
        <v>0.18844903388858464</v>
      </c>
      <c r="M131" s="287">
        <f>M37-M41-M76-M93-M115-M129</f>
        <v>217397.72975925499</v>
      </c>
      <c r="N131" s="259">
        <f>M131/M12</f>
        <v>0.19687296829942455</v>
      </c>
      <c r="O131" s="287">
        <f>O37-O41-O76-O93-O115-O129</f>
        <v>-4569.3531259966221</v>
      </c>
      <c r="P131" s="259">
        <f>O131/O12</f>
        <v>-6.5359132053423117E-3</v>
      </c>
      <c r="Q131" s="287">
        <f>Q37-Q41-Q76-Q93-Q115-Q129</f>
        <v>82935.588870815249</v>
      </c>
      <c r="R131" s="259">
        <f>Q131/Q12</f>
        <v>9.5534921609692E-2</v>
      </c>
      <c r="S131" s="287">
        <f>S37-S41-S76-S93-S115-S129</f>
        <v>22164.92252258505</v>
      </c>
      <c r="T131" s="259">
        <f>S131/S12</f>
        <v>2.5345124235853288E-2</v>
      </c>
      <c r="U131" s="256">
        <f>U37-U41-U76-U93-U115-U129</f>
        <v>-19957.799699374533</v>
      </c>
      <c r="V131" s="259">
        <f>U131/U12</f>
        <v>-2.8770975421852051E-2</v>
      </c>
      <c r="W131" s="256">
        <f>W37-W41-W76-W93-W115-W129</f>
        <v>17364.377201930154</v>
      </c>
      <c r="X131" s="259">
        <f>W131/W12</f>
        <v>2.4603204546970091E-2</v>
      </c>
      <c r="Y131" s="256">
        <f>Y37-Y41-Y76-Y93-Y115-Y129</f>
        <v>136702.96497309092</v>
      </c>
      <c r="Z131" s="259">
        <f>Y131/Y12</f>
        <v>0.12821613143046134</v>
      </c>
      <c r="AA131" s="256">
        <f>AA37-AA41-AA76-AA93-AA115-AA129</f>
        <v>988853.44155771949</v>
      </c>
      <c r="AB131" s="259">
        <f>AA131/AA12</f>
        <v>9.9535486426978445E-2</v>
      </c>
      <c r="AC131" s="260">
        <f>AC37-AC41-AC76-AC93-AC115-AC129</f>
        <v>82404.453463143451</v>
      </c>
      <c r="AD131" s="259">
        <f>AC131/AC12</f>
        <v>9.9535486426978625E-2</v>
      </c>
      <c r="AE131" s="601"/>
      <c r="AF131" s="601"/>
      <c r="AG131" s="626"/>
    </row>
    <row r="132" spans="1:34" s="1" customFormat="1" ht="15.75" thickTop="1">
      <c r="A132" s="222"/>
      <c r="B132" s="230"/>
      <c r="C132" s="292"/>
      <c r="D132" s="102"/>
      <c r="E132" s="82"/>
      <c r="F132" s="102"/>
      <c r="G132" s="114"/>
      <c r="H132" s="102"/>
      <c r="I132" s="32"/>
      <c r="J132" s="102"/>
      <c r="K132" s="82"/>
      <c r="L132" s="102"/>
      <c r="M132" s="32"/>
      <c r="N132" s="102"/>
      <c r="O132" s="32"/>
      <c r="P132" s="102"/>
      <c r="Q132" s="32"/>
      <c r="R132" s="102"/>
      <c r="S132" s="32"/>
      <c r="T132" s="102"/>
      <c r="U132" s="82"/>
      <c r="V132" s="102"/>
      <c r="W132" s="60"/>
      <c r="X132" s="102"/>
      <c r="Y132" s="82"/>
      <c r="Z132" s="102"/>
      <c r="AA132" s="154"/>
      <c r="AB132" s="102"/>
      <c r="AC132" s="139"/>
      <c r="AD132" s="102"/>
      <c r="AE132" s="595"/>
      <c r="AF132" s="595"/>
      <c r="AG132" s="618"/>
    </row>
    <row r="133" spans="1:34" s="1" customFormat="1" ht="15.75" thickBot="1">
      <c r="A133" s="4"/>
      <c r="B133" s="4" t="s">
        <v>149</v>
      </c>
      <c r="C133" s="28"/>
      <c r="D133" s="263"/>
      <c r="E133" s="28"/>
      <c r="F133" s="263"/>
      <c r="G133" s="28"/>
      <c r="H133" s="263"/>
      <c r="I133" s="71"/>
      <c r="J133" s="263"/>
      <c r="K133" s="28"/>
      <c r="L133" s="263"/>
      <c r="M133" s="28"/>
      <c r="N133" s="263"/>
      <c r="O133" s="28"/>
      <c r="P133" s="263"/>
      <c r="Q133" s="28"/>
      <c r="R133" s="263"/>
      <c r="S133" s="28"/>
      <c r="T133" s="263"/>
      <c r="U133" s="28"/>
      <c r="V133" s="263"/>
      <c r="W133" s="28"/>
      <c r="X133" s="263"/>
      <c r="Y133" s="28"/>
      <c r="Z133" s="263"/>
      <c r="AA133" s="148">
        <f>C133+E133+G133+I133+K133+M133+O133+Q133+S133+U133+W133+Y133</f>
        <v>0</v>
      </c>
      <c r="AB133" s="263"/>
      <c r="AC133" s="132">
        <f>AA133/12</f>
        <v>0</v>
      </c>
      <c r="AD133" s="263"/>
      <c r="AE133" s="636"/>
      <c r="AF133" s="636"/>
      <c r="AG133" s="627"/>
    </row>
    <row r="134" spans="1:34" s="1" customFormat="1" ht="15.75" thickTop="1">
      <c r="A134" s="222"/>
      <c r="B134" s="222"/>
      <c r="C134" s="292"/>
      <c r="D134" s="102"/>
      <c r="E134" s="82"/>
      <c r="F134" s="102"/>
      <c r="G134" s="114"/>
      <c r="H134" s="102"/>
      <c r="I134" s="32"/>
      <c r="J134" s="102"/>
      <c r="K134" s="82"/>
      <c r="L134" s="102"/>
      <c r="M134" s="32"/>
      <c r="N134" s="102"/>
      <c r="O134" s="32"/>
      <c r="P134" s="102"/>
      <c r="Q134" s="32"/>
      <c r="R134" s="102"/>
      <c r="S134" s="32"/>
      <c r="T134" s="102"/>
      <c r="U134" s="82"/>
      <c r="V134" s="102"/>
      <c r="W134" s="60"/>
      <c r="X134" s="102"/>
      <c r="Y134" s="82"/>
      <c r="Z134" s="102"/>
      <c r="AA134" s="154"/>
      <c r="AB134" s="102"/>
      <c r="AC134" s="139"/>
      <c r="AD134" s="102"/>
      <c r="AE134" s="595"/>
      <c r="AF134" s="595"/>
      <c r="AG134" s="618"/>
    </row>
    <row r="135" spans="1:34" s="1" customFormat="1" ht="15.75" thickBot="1">
      <c r="A135" s="4"/>
      <c r="B135" s="4" t="s">
        <v>140</v>
      </c>
      <c r="C135" s="45">
        <f>C131-C133</f>
        <v>91959.273127032677</v>
      </c>
      <c r="D135" s="89">
        <f>C135/C12</f>
        <v>0.12307140217711948</v>
      </c>
      <c r="E135" s="52">
        <f>E131-E133</f>
        <v>29110.133062924648</v>
      </c>
      <c r="F135" s="89">
        <f>E135/E12</f>
        <v>5.0075511637026372E-2</v>
      </c>
      <c r="G135" s="52">
        <f>G131-G133</f>
        <v>140651.03846629409</v>
      </c>
      <c r="H135" s="89">
        <f>G135/G12</f>
        <v>0.14585992538215617</v>
      </c>
      <c r="I135" s="28">
        <f>I131-I133</f>
        <v>128340.26474391895</v>
      </c>
      <c r="J135" s="89">
        <f>I135/I12</f>
        <v>0.150729469398973</v>
      </c>
      <c r="K135" s="52">
        <f>K131-K133</f>
        <v>146754.30165524347</v>
      </c>
      <c r="L135" s="89">
        <f>K135/K12</f>
        <v>0.18844903388858464</v>
      </c>
      <c r="M135" s="28">
        <f>M131-M133</f>
        <v>217397.72975925499</v>
      </c>
      <c r="N135" s="89">
        <f>M135/M12</f>
        <v>0.19687296829942455</v>
      </c>
      <c r="O135" s="28">
        <f>O131-O133</f>
        <v>-4569.3531259966221</v>
      </c>
      <c r="P135" s="89">
        <f>O135/O12</f>
        <v>-6.5359132053423117E-3</v>
      </c>
      <c r="Q135" s="28">
        <f>Q131-Q133</f>
        <v>82935.588870815249</v>
      </c>
      <c r="R135" s="89">
        <f>Q135/Q12</f>
        <v>9.5534921609692E-2</v>
      </c>
      <c r="S135" s="28">
        <f>S131-S133</f>
        <v>22164.92252258505</v>
      </c>
      <c r="T135" s="89">
        <f>S135/S12</f>
        <v>2.5345124235853288E-2</v>
      </c>
      <c r="U135" s="52">
        <f>U131-U133</f>
        <v>-19957.799699374533</v>
      </c>
      <c r="V135" s="89">
        <f>U135/U12</f>
        <v>-2.8770975421852051E-2</v>
      </c>
      <c r="W135" s="52">
        <f>W131-W133</f>
        <v>17364.377201930154</v>
      </c>
      <c r="X135" s="89">
        <f>W135/W12</f>
        <v>2.4603204546970091E-2</v>
      </c>
      <c r="Y135" s="52">
        <f>Y131-Y133</f>
        <v>136702.96497309092</v>
      </c>
      <c r="Z135" s="89">
        <f>Y135/Y12</f>
        <v>0.12821613143046134</v>
      </c>
      <c r="AA135" s="52">
        <f>AA131-AA133</f>
        <v>988853.44155771949</v>
      </c>
      <c r="AB135" s="89">
        <f>AA135/AA12</f>
        <v>9.9535486426978445E-2</v>
      </c>
      <c r="AC135" s="52">
        <f>AC131-AC133</f>
        <v>82404.453463143451</v>
      </c>
      <c r="AD135" s="89">
        <f>AC135/AC12</f>
        <v>9.9535486426978625E-2</v>
      </c>
      <c r="AE135" s="596"/>
      <c r="AF135" s="596"/>
      <c r="AG135" s="622"/>
    </row>
    <row r="136" spans="1:34" s="1" customFormat="1" ht="15.75" thickTop="1">
      <c r="A136" s="21">
        <v>6501</v>
      </c>
      <c r="B136" s="21" t="s">
        <v>148</v>
      </c>
      <c r="C136" s="292"/>
      <c r="D136" s="68">
        <f>C136/C12</f>
        <v>0</v>
      </c>
      <c r="E136" s="82"/>
      <c r="F136" s="68">
        <f>E136/E12</f>
        <v>0</v>
      </c>
      <c r="G136" s="114"/>
      <c r="H136" s="68">
        <f>G136/G12</f>
        <v>0</v>
      </c>
      <c r="I136" s="32"/>
      <c r="J136" s="68">
        <f>I136/I12</f>
        <v>0</v>
      </c>
      <c r="K136" s="82"/>
      <c r="L136" s="68">
        <f>K136/K12</f>
        <v>0</v>
      </c>
      <c r="M136" s="32"/>
      <c r="N136" s="702">
        <f>M136/M12</f>
        <v>0</v>
      </c>
      <c r="O136" s="32"/>
      <c r="P136" s="702">
        <f>O136/O12</f>
        <v>0</v>
      </c>
      <c r="Q136" s="32"/>
      <c r="R136" s="68">
        <f>Q136/Q12</f>
        <v>0</v>
      </c>
      <c r="S136" s="32"/>
      <c r="T136" s="68">
        <f>S136/S12</f>
        <v>0</v>
      </c>
      <c r="U136" s="82"/>
      <c r="V136" s="68">
        <f>U136/U12</f>
        <v>0</v>
      </c>
      <c r="W136" s="60"/>
      <c r="X136" s="68">
        <f>W136/W12</f>
        <v>0</v>
      </c>
      <c r="Y136" s="82"/>
      <c r="Z136" s="68">
        <f>Y136/Y12</f>
        <v>0</v>
      </c>
      <c r="AA136" s="144">
        <f t="shared" ref="AA136:AC143" si="87">C136+E136+G136+I136+K136+M136+O136+Q136+S136+U136+W136+Y136</f>
        <v>0</v>
      </c>
      <c r="AB136" s="68">
        <f>AA136/AA12</f>
        <v>0</v>
      </c>
      <c r="AC136" s="128">
        <f t="shared" ref="AC136:AC143" si="88">AA136/12</f>
        <v>0</v>
      </c>
      <c r="AD136" s="68">
        <f>AC136/AC12</f>
        <v>0</v>
      </c>
      <c r="AE136" s="595"/>
      <c r="AF136" s="595"/>
      <c r="AG136" s="555"/>
    </row>
    <row r="137" spans="1:34" s="1" customFormat="1">
      <c r="A137" s="188">
        <v>6502</v>
      </c>
      <c r="B137" s="21" t="s">
        <v>136</v>
      </c>
      <c r="C137" s="33">
        <v>1166</v>
      </c>
      <c r="D137" s="68">
        <f>C137/C12</f>
        <v>1.5604870510480054E-3</v>
      </c>
      <c r="E137" s="33">
        <v>1166</v>
      </c>
      <c r="F137" s="68">
        <f>E137/E12</f>
        <v>2.0057636439710109E-3</v>
      </c>
      <c r="G137" s="33">
        <v>1166</v>
      </c>
      <c r="H137" s="68">
        <f>G137/G12</f>
        <v>1.2091817796023644E-3</v>
      </c>
      <c r="I137" s="33">
        <v>1166</v>
      </c>
      <c r="J137" s="68">
        <f>I137/I12</f>
        <v>1.3694109301541702E-3</v>
      </c>
      <c r="K137" s="33">
        <v>1166</v>
      </c>
      <c r="L137" s="68">
        <f>K137/K12</f>
        <v>1.497275180595967E-3</v>
      </c>
      <c r="M137" s="33">
        <v>1166</v>
      </c>
      <c r="N137" s="702">
        <f>M137/M12</f>
        <v>1.0559166431560057E-3</v>
      </c>
      <c r="O137" s="33">
        <v>1166</v>
      </c>
      <c r="P137" s="702">
        <f>O137/O12</f>
        <v>1.6678235599851883E-3</v>
      </c>
      <c r="Q137" s="33">
        <v>1166</v>
      </c>
      <c r="R137" s="68">
        <f>Q137/Q12</f>
        <v>1.3431353187883367E-3</v>
      </c>
      <c r="S137" s="33">
        <v>1166</v>
      </c>
      <c r="T137" s="68">
        <f>S137/S12</f>
        <v>1.3332965558030879E-3</v>
      </c>
      <c r="U137" s="33">
        <v>1166</v>
      </c>
      <c r="V137" s="68">
        <f>U137/U12</f>
        <v>1.6808945799235992E-3</v>
      </c>
      <c r="W137" s="33">
        <v>1166</v>
      </c>
      <c r="X137" s="68">
        <f>W137/W12</f>
        <v>1.6520797819675535E-3</v>
      </c>
      <c r="Y137" s="33">
        <v>1166</v>
      </c>
      <c r="Z137" s="68">
        <f>Y137/Y12</f>
        <v>1.0936120462152817E-3</v>
      </c>
      <c r="AA137" s="144">
        <f t="shared" si="87"/>
        <v>13992</v>
      </c>
      <c r="AB137" s="68">
        <f>AA137/AA12</f>
        <v>1.4083993315454223E-3</v>
      </c>
      <c r="AC137" s="128">
        <f t="shared" si="88"/>
        <v>1166</v>
      </c>
      <c r="AD137" s="68">
        <f>AC137/AC12</f>
        <v>1.408399331545422E-3</v>
      </c>
      <c r="AE137" s="595"/>
      <c r="AF137" s="595"/>
      <c r="AG137" s="555"/>
    </row>
    <row r="138" spans="1:34" s="1" customFormat="1">
      <c r="A138" s="188">
        <v>6503</v>
      </c>
      <c r="B138" s="21" t="s">
        <v>137</v>
      </c>
      <c r="C138" s="33"/>
      <c r="D138" s="68">
        <f>C138/C12</f>
        <v>0</v>
      </c>
      <c r="E138" s="33"/>
      <c r="F138" s="68">
        <f>E138/E12</f>
        <v>0</v>
      </c>
      <c r="G138" s="33"/>
      <c r="H138" s="68">
        <f>G138/G12</f>
        <v>0</v>
      </c>
      <c r="I138" s="33"/>
      <c r="J138" s="68">
        <f>I138/I12</f>
        <v>0</v>
      </c>
      <c r="K138" s="33"/>
      <c r="L138" s="68">
        <f>K138/K12</f>
        <v>0</v>
      </c>
      <c r="M138" s="33"/>
      <c r="N138" s="702">
        <f>M138/M12</f>
        <v>0</v>
      </c>
      <c r="O138" s="33"/>
      <c r="P138" s="702">
        <f>O138/O12</f>
        <v>0</v>
      </c>
      <c r="Q138" s="33">
        <v>0.09</v>
      </c>
      <c r="R138" s="68">
        <f>Q138/Q12</f>
        <v>1.0367253747079786E-7</v>
      </c>
      <c r="S138" s="33"/>
      <c r="T138" s="68">
        <f>S138/S12</f>
        <v>0</v>
      </c>
      <c r="U138" s="33"/>
      <c r="V138" s="68">
        <f>U138/U12</f>
        <v>0</v>
      </c>
      <c r="W138" s="33"/>
      <c r="X138" s="68">
        <f>W138/W12</f>
        <v>0</v>
      </c>
      <c r="Y138" s="33"/>
      <c r="Z138" s="68">
        <f>Y138/Y12</f>
        <v>0</v>
      </c>
      <c r="AA138" s="144">
        <f t="shared" si="87"/>
        <v>0.09</v>
      </c>
      <c r="AB138" s="68">
        <f>AA138/AA12</f>
        <v>9.059172372719268E-9</v>
      </c>
      <c r="AC138" s="128">
        <f t="shared" si="88"/>
        <v>7.4999999999999997E-3</v>
      </c>
      <c r="AD138" s="68">
        <f>AC138/AC12</f>
        <v>9.0591723727192664E-9</v>
      </c>
      <c r="AE138" s="595"/>
      <c r="AF138" s="595"/>
      <c r="AG138" s="555"/>
    </row>
    <row r="139" spans="1:34" s="1" customFormat="1">
      <c r="A139" s="188">
        <v>6504</v>
      </c>
      <c r="B139" s="21" t="s">
        <v>138</v>
      </c>
      <c r="C139" s="33"/>
      <c r="D139" s="68">
        <f>C139/C12</f>
        <v>0</v>
      </c>
      <c r="E139" s="83"/>
      <c r="F139" s="68">
        <f>E139/E12</f>
        <v>0</v>
      </c>
      <c r="G139" s="83"/>
      <c r="H139" s="68">
        <f>G139/G12</f>
        <v>0</v>
      </c>
      <c r="I139" s="33"/>
      <c r="J139" s="68">
        <f>I139/I12</f>
        <v>0</v>
      </c>
      <c r="K139" s="83"/>
      <c r="L139" s="68">
        <f>K139/K12</f>
        <v>0</v>
      </c>
      <c r="M139" s="33"/>
      <c r="N139" s="702">
        <f>M139/M12</f>
        <v>0</v>
      </c>
      <c r="O139" s="33"/>
      <c r="P139" s="702">
        <f>O139/O12</f>
        <v>0</v>
      </c>
      <c r="Q139" s="33"/>
      <c r="R139" s="68">
        <f>Q139/Q12</f>
        <v>0</v>
      </c>
      <c r="S139" s="33"/>
      <c r="T139" s="68">
        <f>S139/S12</f>
        <v>0</v>
      </c>
      <c r="U139" s="83"/>
      <c r="V139" s="68">
        <f>U139/U12</f>
        <v>0</v>
      </c>
      <c r="W139" s="83"/>
      <c r="X139" s="68">
        <f>W139/W12</f>
        <v>0</v>
      </c>
      <c r="Y139" s="83"/>
      <c r="Z139" s="68">
        <f>Y139/Y12</f>
        <v>0</v>
      </c>
      <c r="AA139" s="144">
        <f t="shared" si="87"/>
        <v>0</v>
      </c>
      <c r="AB139" s="68">
        <f>AA139/AA12</f>
        <v>0</v>
      </c>
      <c r="AC139" s="128">
        <f t="shared" si="88"/>
        <v>0</v>
      </c>
      <c r="AD139" s="68">
        <f>AC139/AC12</f>
        <v>0</v>
      </c>
      <c r="AE139" s="595"/>
      <c r="AF139" s="595"/>
      <c r="AG139" s="555"/>
    </row>
    <row r="140" spans="1:34" s="1" customFormat="1">
      <c r="A140" s="188">
        <v>6505</v>
      </c>
      <c r="B140" s="188" t="s">
        <v>139</v>
      </c>
      <c r="C140" s="33"/>
      <c r="D140" s="68">
        <f>C140/C12</f>
        <v>0</v>
      </c>
      <c r="E140" s="83"/>
      <c r="F140" s="68">
        <f>E140/E12</f>
        <v>0</v>
      </c>
      <c r="G140" s="83"/>
      <c r="H140" s="68">
        <f>G140/G12</f>
        <v>0</v>
      </c>
      <c r="I140" s="33"/>
      <c r="J140" s="68">
        <f>I140/I12</f>
        <v>0</v>
      </c>
      <c r="K140" s="83">
        <v>0</v>
      </c>
      <c r="L140" s="68">
        <f>K140/K12</f>
        <v>0</v>
      </c>
      <c r="M140" s="33"/>
      <c r="N140" s="702">
        <f>M140/M12</f>
        <v>0</v>
      </c>
      <c r="O140" s="33"/>
      <c r="P140" s="702">
        <f>O140/O12</f>
        <v>0</v>
      </c>
      <c r="Q140" s="33"/>
      <c r="R140" s="68">
        <f>Q140/Q12</f>
        <v>0</v>
      </c>
      <c r="S140" s="33">
        <v>0</v>
      </c>
      <c r="T140" s="68">
        <f>S140/S12</f>
        <v>0</v>
      </c>
      <c r="U140" s="83"/>
      <c r="V140" s="68">
        <f>U140/U12</f>
        <v>0</v>
      </c>
      <c r="W140" s="83"/>
      <c r="X140" s="68">
        <f>W140/W12</f>
        <v>0</v>
      </c>
      <c r="Y140" s="83"/>
      <c r="Z140" s="68">
        <f>Y140/Y12</f>
        <v>0</v>
      </c>
      <c r="AA140" s="144">
        <f t="shared" si="87"/>
        <v>0</v>
      </c>
      <c r="AB140" s="68">
        <f>AA140/AA12</f>
        <v>0</v>
      </c>
      <c r="AC140" s="128">
        <f t="shared" si="88"/>
        <v>0</v>
      </c>
      <c r="AD140" s="68">
        <f>AC140/AC12</f>
        <v>0</v>
      </c>
      <c r="AE140" s="595"/>
      <c r="AF140" s="595"/>
      <c r="AG140" s="555"/>
    </row>
    <row r="141" spans="1:34" s="1" customFormat="1">
      <c r="A141" s="188">
        <v>6506</v>
      </c>
      <c r="B141" s="188" t="s">
        <v>229</v>
      </c>
      <c r="C141" s="33">
        <v>0</v>
      </c>
      <c r="D141" s="106">
        <f>C141/C12</f>
        <v>0</v>
      </c>
      <c r="E141" s="33">
        <v>0</v>
      </c>
      <c r="F141" s="106">
        <f>E141/E12</f>
        <v>0</v>
      </c>
      <c r="G141" s="33">
        <v>0</v>
      </c>
      <c r="H141" s="106">
        <f>G141/G12</f>
        <v>0</v>
      </c>
      <c r="I141" s="33">
        <v>0</v>
      </c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>
        <v>0</v>
      </c>
      <c r="T141" s="106">
        <f>S141/S12</f>
        <v>0</v>
      </c>
      <c r="U141" s="33">
        <v>0</v>
      </c>
      <c r="V141" s="106">
        <f>U141/U12</f>
        <v>0</v>
      </c>
      <c r="W141" s="33">
        <v>0</v>
      </c>
      <c r="X141" s="106">
        <f>W141/W12</f>
        <v>0</v>
      </c>
      <c r="Y141" s="33">
        <v>0</v>
      </c>
      <c r="Z141" s="106">
        <f>Y141/Y12</f>
        <v>0</v>
      </c>
      <c r="AA141" s="144">
        <f t="shared" si="87"/>
        <v>0</v>
      </c>
      <c r="AB141" s="106">
        <f>AA141/AA12</f>
        <v>0</v>
      </c>
      <c r="AC141" s="144">
        <f t="shared" si="87"/>
        <v>0</v>
      </c>
      <c r="AD141" s="106">
        <f>AC141/AC12</f>
        <v>0</v>
      </c>
      <c r="AE141" s="602"/>
      <c r="AF141" s="602"/>
      <c r="AG141" s="628"/>
    </row>
    <row r="142" spans="1:34" s="1" customFormat="1">
      <c r="A142" s="188">
        <v>6604</v>
      </c>
      <c r="B142" s="188" t="s">
        <v>145</v>
      </c>
      <c r="C142" s="26">
        <v>44143</v>
      </c>
      <c r="D142" s="106">
        <f>C142/C12</f>
        <v>5.9077684300524964E-2</v>
      </c>
      <c r="E142" s="26">
        <v>44143</v>
      </c>
      <c r="F142" s="106">
        <f>E142/E12</f>
        <v>7.5935183992977995E-2</v>
      </c>
      <c r="G142" s="26">
        <v>44143</v>
      </c>
      <c r="H142" s="106">
        <f>G142/G12</f>
        <v>4.577779699570083E-2</v>
      </c>
      <c r="I142" s="26">
        <v>44143</v>
      </c>
      <c r="J142" s="106">
        <f>I142/I12</f>
        <v>5.1843830780270619E-2</v>
      </c>
      <c r="K142" s="26">
        <v>44143</v>
      </c>
      <c r="L142" s="106">
        <f>K142/K12</f>
        <v>5.6684578299354867E-2</v>
      </c>
      <c r="M142" s="26">
        <v>44143</v>
      </c>
      <c r="N142" s="106">
        <f>M142/M12</f>
        <v>3.9975410273443875E-2</v>
      </c>
      <c r="O142" s="26">
        <v>44143</v>
      </c>
      <c r="P142" s="106">
        <f>O142/O12</f>
        <v>6.3141282511514726E-2</v>
      </c>
      <c r="Q142" s="26">
        <v>44143</v>
      </c>
      <c r="R142" s="106">
        <f>Q142/Q12</f>
        <v>5.084907579526033E-2</v>
      </c>
      <c r="S142" s="26">
        <v>44143</v>
      </c>
      <c r="T142" s="106">
        <f>S142/S12</f>
        <v>5.0476595079601803E-2</v>
      </c>
      <c r="U142" s="26">
        <v>44143</v>
      </c>
      <c r="V142" s="106">
        <f>U142/U12</f>
        <v>6.3636131596541537E-2</v>
      </c>
      <c r="W142" s="26">
        <v>44143</v>
      </c>
      <c r="X142" s="106">
        <f>W142/W12</f>
        <v>6.2545246839960308E-2</v>
      </c>
      <c r="Y142" s="26">
        <v>44143</v>
      </c>
      <c r="Z142" s="106">
        <f>Y142/Y12</f>
        <v>4.1402501334546468E-2</v>
      </c>
      <c r="AA142" s="144">
        <f t="shared" si="87"/>
        <v>529716</v>
      </c>
      <c r="AB142" s="106">
        <f>AA142/AA12</f>
        <v>5.3319872806526218E-2</v>
      </c>
      <c r="AC142" s="128">
        <f t="shared" ref="AC142" si="89">AA142/12</f>
        <v>44143</v>
      </c>
      <c r="AD142" s="106">
        <f>AC142/AC12</f>
        <v>5.3319872806526218E-2</v>
      </c>
      <c r="AE142" s="602"/>
      <c r="AF142" s="602"/>
      <c r="AG142" s="628"/>
      <c r="AH142" s="1" t="s">
        <v>223</v>
      </c>
    </row>
    <row r="143" spans="1:34" s="1" customFormat="1">
      <c r="A143" s="2"/>
      <c r="B143" s="2"/>
      <c r="C143" s="292"/>
      <c r="D143" s="68">
        <f>C143/C12</f>
        <v>0</v>
      </c>
      <c r="E143" s="61"/>
      <c r="F143" s="68">
        <f>E143/E12</f>
        <v>0</v>
      </c>
      <c r="G143" s="114"/>
      <c r="H143" s="68">
        <f>G143/G12</f>
        <v>0</v>
      </c>
      <c r="I143" s="26"/>
      <c r="J143" s="68">
        <f>I143/I12</f>
        <v>0</v>
      </c>
      <c r="K143" s="61"/>
      <c r="L143" s="68">
        <f>K143/K12</f>
        <v>0</v>
      </c>
      <c r="M143" s="26"/>
      <c r="N143" s="702">
        <f>M143/M12</f>
        <v>0</v>
      </c>
      <c r="O143" s="26"/>
      <c r="P143" s="702">
        <f>O143/O12</f>
        <v>0</v>
      </c>
      <c r="Q143" s="26"/>
      <c r="R143" s="68">
        <f>Q143/Q12</f>
        <v>0</v>
      </c>
      <c r="S143" s="26"/>
      <c r="T143" s="68">
        <f>S143/S12</f>
        <v>0</v>
      </c>
      <c r="U143" s="61"/>
      <c r="V143" s="68">
        <f>U143/U12</f>
        <v>0</v>
      </c>
      <c r="W143" s="51"/>
      <c r="X143" s="68">
        <f>W143/W12</f>
        <v>0</v>
      </c>
      <c r="Y143" s="61"/>
      <c r="Z143" s="68">
        <f>Y143/Y12</f>
        <v>0</v>
      </c>
      <c r="AA143" s="144">
        <f t="shared" si="87"/>
        <v>0</v>
      </c>
      <c r="AB143" s="68">
        <f>AA143/AA12</f>
        <v>0</v>
      </c>
      <c r="AC143" s="128">
        <f t="shared" si="88"/>
        <v>0</v>
      </c>
      <c r="AD143" s="68">
        <f>AC143/AC12</f>
        <v>0</v>
      </c>
      <c r="AE143" s="595"/>
      <c r="AF143" s="595"/>
      <c r="AG143" s="555"/>
    </row>
    <row r="144" spans="1:34" s="1" customFormat="1" ht="15" customHeight="1">
      <c r="A144" s="63">
        <v>6798</v>
      </c>
      <c r="B144" s="63" t="s">
        <v>205</v>
      </c>
      <c r="C144" s="79">
        <f>SUM(C136:C143)</f>
        <v>45309</v>
      </c>
      <c r="D144" s="87">
        <f>C144/C12</f>
        <v>6.063817135157297E-2</v>
      </c>
      <c r="E144" s="79">
        <f>SUM(E136:E143)</f>
        <v>45309</v>
      </c>
      <c r="F144" s="87">
        <f>E144/E12</f>
        <v>7.7940947636949004E-2</v>
      </c>
      <c r="G144" s="79">
        <f>SUM(G136:G143)</f>
        <v>45309</v>
      </c>
      <c r="H144" s="87">
        <f>G144/G12</f>
        <v>4.6986978775303195E-2</v>
      </c>
      <c r="I144" s="79">
        <f>SUM(I136:I143)</f>
        <v>45309</v>
      </c>
      <c r="J144" s="87">
        <f>I144/I12</f>
        <v>5.321324171042479E-2</v>
      </c>
      <c r="K144" s="79">
        <f>SUM(K136:K143)</f>
        <v>45309</v>
      </c>
      <c r="L144" s="87">
        <f>K144/K12</f>
        <v>5.8181853479950835E-2</v>
      </c>
      <c r="M144" s="797">
        <f>SUM(M136:M143)</f>
        <v>45309</v>
      </c>
      <c r="N144" s="87">
        <f>M144/M12</f>
        <v>4.1031326916599886E-2</v>
      </c>
      <c r="O144" s="79">
        <f>SUM(O136:O143)</f>
        <v>45309</v>
      </c>
      <c r="P144" s="87">
        <f>O144/O12</f>
        <v>6.4809106071499922E-2</v>
      </c>
      <c r="Q144" s="79">
        <f>SUM(Q136:Q143)</f>
        <v>45309.09</v>
      </c>
      <c r="R144" s="87">
        <f>Q144/Q12</f>
        <v>5.2192314786586133E-2</v>
      </c>
      <c r="S144" s="79">
        <f>SUM(S136:S143)</f>
        <v>45309</v>
      </c>
      <c r="T144" s="87">
        <f t="shared" ref="T144" si="90">S144/S$12</f>
        <v>5.1809891635404892E-2</v>
      </c>
      <c r="U144" s="79">
        <f>SUM(U136:U143)</f>
        <v>45309</v>
      </c>
      <c r="V144" s="87">
        <f>U144/U12</f>
        <v>6.5317026176465148E-2</v>
      </c>
      <c r="W144" s="79">
        <f>SUM(W136:W143)</f>
        <v>45309</v>
      </c>
      <c r="X144" s="87">
        <f>W144/W12</f>
        <v>6.4197326621927855E-2</v>
      </c>
      <c r="Y144" s="79">
        <f>SUM(Y136:Y143)</f>
        <v>45309</v>
      </c>
      <c r="Z144" s="87">
        <f t="shared" ref="Z144" si="91">Y144/Y$12</f>
        <v>4.2496113380761744E-2</v>
      </c>
      <c r="AA144" s="152">
        <f>SUM(AA136:AA143)</f>
        <v>543708.09</v>
      </c>
      <c r="AB144" s="153">
        <f t="shared" ref="AB144" si="92">AA144/AA$12</f>
        <v>5.4728281197244009E-2</v>
      </c>
      <c r="AC144" s="137">
        <f>SUM(AC136:AC143)</f>
        <v>45309.0075</v>
      </c>
      <c r="AD144" s="138">
        <f t="shared" ref="AD144" si="93">AC144/AC$12</f>
        <v>5.4728281197244009E-2</v>
      </c>
      <c r="AE144" s="603"/>
      <c r="AF144" s="603"/>
      <c r="AG144" s="629"/>
    </row>
    <row r="145" spans="1:51" s="1" customFormat="1">
      <c r="A145" s="63">
        <v>6799</v>
      </c>
      <c r="B145" s="63" t="s">
        <v>135</v>
      </c>
      <c r="C145" s="47">
        <f>C41+C76+C93+C115+C129+C144+C133</f>
        <v>309440.65237219067</v>
      </c>
      <c r="D145" s="87">
        <f>C145/C12</f>
        <v>0.414132187902788</v>
      </c>
      <c r="E145" s="119">
        <f>E41+E76+E93+E115+E129+E144+E133</f>
        <v>305855.50760625093</v>
      </c>
      <c r="F145" s="87">
        <f>E145/E12</f>
        <v>0.52613538376064939</v>
      </c>
      <c r="G145" s="119">
        <f>G41+G76+G93+G115+G129+G144+G133</f>
        <v>327441.2958337093</v>
      </c>
      <c r="H145" s="87">
        <f>G145/G12</f>
        <v>0.33956779486407279</v>
      </c>
      <c r="I145" s="47">
        <f>I41+I76+I93+I115+I129+I144+I133</f>
        <v>328400.12875608099</v>
      </c>
      <c r="J145" s="87">
        <f>I145/I12</f>
        <v>0.38569015933328832</v>
      </c>
      <c r="K145" s="119">
        <f>K41+K76+K93+K115+K129+K144+K133</f>
        <v>325370.08237488731</v>
      </c>
      <c r="L145" s="87">
        <f>K145/K12</f>
        <v>0.41781179146516645</v>
      </c>
      <c r="M145" s="47">
        <f>M41+M76+M93+M115+M129+M144+M133</f>
        <v>330648.89094209915</v>
      </c>
      <c r="N145" s="87">
        <f>M145/M12</f>
        <v>0.29943196139522948</v>
      </c>
      <c r="O145" s="47">
        <f>O41+O76+O93+O115+O129+O144+O133</f>
        <v>404079.51581688103</v>
      </c>
      <c r="P145" s="87">
        <f>O145/O12</f>
        <v>0.57798742417392945</v>
      </c>
      <c r="Q145" s="47">
        <f>Q41+Q76+Q93+Q115+Q129+Q144+Q133</f>
        <v>428302.88844873826</v>
      </c>
      <c r="R145" s="87">
        <f>Q145/Q12</f>
        <v>0.49336941390614192</v>
      </c>
      <c r="S145" s="47">
        <f>S41+S76+S93+S115+S129+S144+S133</f>
        <v>409521.19187020988</v>
      </c>
      <c r="T145" s="87">
        <f>S145/S12</f>
        <v>0.46827889764058861</v>
      </c>
      <c r="U145" s="119">
        <f>U41+U76+U93+U115+U129+U144+U133</f>
        <v>413382.01367169607</v>
      </c>
      <c r="V145" s="87">
        <f>U145/U12</f>
        <v>0.59592760396111244</v>
      </c>
      <c r="W145" s="119">
        <f>W41+W76+W93+W115+W129+W144+W133</f>
        <v>411355.02886219317</v>
      </c>
      <c r="X145" s="87">
        <f>W145/W12</f>
        <v>0.58283990256767482</v>
      </c>
      <c r="Y145" s="119">
        <f>Y41+Y76+Y93+Y115+Y129+Y144+Y133</f>
        <v>409359.47760616464</v>
      </c>
      <c r="Z145" s="87">
        <f>Y145/Y12</f>
        <v>0.38394550252358189</v>
      </c>
      <c r="AA145" s="119">
        <f>AA41+AA76+AA93+AA115+AA129+AA144+AA133</f>
        <v>4403156.6741611017</v>
      </c>
      <c r="AB145" s="87">
        <f>AA145/AA12</f>
        <v>0.44321061439238563</v>
      </c>
      <c r="AC145" s="119">
        <f>AC41+AC76+AC93+AC115+AC129+AC144+AC133</f>
        <v>366929.72284675844</v>
      </c>
      <c r="AD145" s="87">
        <f>AC145/AC12</f>
        <v>0.44321061439238557</v>
      </c>
      <c r="AE145" s="599"/>
      <c r="AF145" s="599"/>
      <c r="AG145" s="623"/>
      <c r="AY145" s="733" t="e">
        <f>#REF!-#REF!</f>
        <v>#REF!</v>
      </c>
    </row>
    <row r="146" spans="1:51" s="1" customFormat="1" ht="15.75" thickBot="1">
      <c r="A146" s="11">
        <v>6999</v>
      </c>
      <c r="B146" s="11" t="s">
        <v>144</v>
      </c>
      <c r="C146" s="46">
        <f>C135-C144</f>
        <v>46650.273127032677</v>
      </c>
      <c r="D146" s="88">
        <f>C146/C12</f>
        <v>6.2433230825546519E-2</v>
      </c>
      <c r="E146" s="80">
        <f>E135-E144</f>
        <v>-16198.866937075352</v>
      </c>
      <c r="F146" s="361">
        <f>E146/E12</f>
        <v>-2.7865435999922632E-2</v>
      </c>
      <c r="G146" s="80">
        <f>G135-G144</f>
        <v>95342.038466294092</v>
      </c>
      <c r="H146" s="88">
        <f>G146/G12</f>
        <v>9.8872946606852974E-2</v>
      </c>
      <c r="I146" s="30">
        <f>I135-I144</f>
        <v>83031.264743918946</v>
      </c>
      <c r="J146" s="88">
        <f>I146/I12</f>
        <v>9.7516227688548202E-2</v>
      </c>
      <c r="K146" s="59">
        <f>K135-K144</f>
        <v>101445.30165524347</v>
      </c>
      <c r="L146" s="88">
        <f>K146/K12</f>
        <v>0.1302671804086338</v>
      </c>
      <c r="M146" s="30">
        <f>M135-M144</f>
        <v>172088.72975925499</v>
      </c>
      <c r="N146" s="88">
        <f>M146/M12</f>
        <v>0.15584164138282466</v>
      </c>
      <c r="O146" s="30">
        <f>O135-O144</f>
        <v>-49878.353125996626</v>
      </c>
      <c r="P146" s="88">
        <f>O146/O12</f>
        <v>-7.1345019276842239E-2</v>
      </c>
      <c r="Q146" s="64">
        <f>Q135-Q144</f>
        <v>37626.498870815252</v>
      </c>
      <c r="R146" s="88">
        <f>Q146/Q12</f>
        <v>4.334260682310586E-2</v>
      </c>
      <c r="S146" s="30">
        <f>S135-S144</f>
        <v>-23144.07747741495</v>
      </c>
      <c r="T146" s="88">
        <f>S146/S12</f>
        <v>-2.6464767399551604E-2</v>
      </c>
      <c r="U146" s="59">
        <f>U135-U144</f>
        <v>-65266.799699374533</v>
      </c>
      <c r="V146" s="88">
        <f>U146/U12</f>
        <v>-9.4088001598317192E-2</v>
      </c>
      <c r="W146" s="69">
        <f>W135-W144</f>
        <v>-27944.622798069846</v>
      </c>
      <c r="X146" s="88">
        <f>W146/W12</f>
        <v>-3.9594122074957772E-2</v>
      </c>
      <c r="Y146" s="59">
        <f>Y135-Y144</f>
        <v>91393.964973090915</v>
      </c>
      <c r="Z146" s="88">
        <f>Y146/Y12</f>
        <v>8.5720018049699601E-2</v>
      </c>
      <c r="AA146" s="389">
        <f>AA135-AA144</f>
        <v>445145.35155771952</v>
      </c>
      <c r="AB146" s="88">
        <f>AA146/AA12</f>
        <v>4.4807205229734429E-2</v>
      </c>
      <c r="AC146" s="132">
        <f>AC135-AC144</f>
        <v>37095.445963143451</v>
      </c>
      <c r="AD146" s="88">
        <f>AC146/AC12</f>
        <v>4.4807205229734616E-2</v>
      </c>
      <c r="AE146" s="604"/>
      <c r="AF146" s="604"/>
      <c r="AG146" s="630"/>
    </row>
    <row r="147" spans="1:51" s="1" customFormat="1" ht="15.75" thickTop="1">
      <c r="C147" s="48"/>
      <c r="D147" s="104"/>
      <c r="E147" s="83"/>
      <c r="F147" s="104"/>
      <c r="G147" s="121"/>
      <c r="H147" s="104"/>
      <c r="I147" s="33"/>
      <c r="J147" s="104"/>
      <c r="K147" s="83"/>
      <c r="L147" s="104"/>
      <c r="M147" s="33"/>
      <c r="N147" s="104"/>
      <c r="O147" s="33"/>
      <c r="P147" s="104"/>
      <c r="Q147" s="33"/>
      <c r="R147" s="104"/>
      <c r="S147" s="33"/>
      <c r="T147" s="104"/>
      <c r="U147" s="83"/>
      <c r="V147" s="104"/>
      <c r="W147" s="62"/>
      <c r="X147" s="104"/>
      <c r="Y147" s="83"/>
      <c r="Z147" s="104"/>
      <c r="AA147" s="145"/>
      <c r="AB147" s="104"/>
      <c r="AC147" s="129"/>
      <c r="AD147" s="104"/>
      <c r="AE147" s="602"/>
      <c r="AF147" s="602"/>
      <c r="AG147" s="631"/>
    </row>
    <row r="148" spans="1:51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ref="AC148" si="94">AA148/12</f>
        <v>0</v>
      </c>
      <c r="AD148" s="246">
        <f>AC148/AC12</f>
        <v>0</v>
      </c>
      <c r="AE148" s="606"/>
      <c r="AF148" s="606"/>
      <c r="AG148" s="632"/>
    </row>
    <row r="149" spans="1:51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/>
      <c r="AD149" s="106"/>
      <c r="AE149" s="602"/>
      <c r="AF149" s="602"/>
      <c r="AG149" s="628"/>
    </row>
    <row r="150" spans="1:51" s="1" customFormat="1" ht="15.75" customHeight="1" thickBot="1">
      <c r="A150" s="223"/>
      <c r="B150" s="404" t="s">
        <v>232</v>
      </c>
      <c r="C150" s="685">
        <f>C146*10%</f>
        <v>4665.0273127032679</v>
      </c>
      <c r="D150" s="406"/>
      <c r="E150" s="685">
        <f>E146*10%</f>
        <v>-1619.8866937075354</v>
      </c>
      <c r="F150" s="407"/>
      <c r="G150" s="685">
        <f>G146*10%</f>
        <v>9534.2038466294089</v>
      </c>
      <c r="H150" s="407"/>
      <c r="I150" s="685">
        <f>I146*10%</f>
        <v>8303.1264743918946</v>
      </c>
      <c r="J150" s="407"/>
      <c r="K150" s="685">
        <f>K146*10%</f>
        <v>10144.530165524347</v>
      </c>
      <c r="L150" s="407"/>
      <c r="M150" s="685">
        <f>M146*10%</f>
        <v>17208.8729759255</v>
      </c>
      <c r="N150" s="407"/>
      <c r="O150" s="685">
        <f>O146*10%</f>
        <v>-4987.8353125996628</v>
      </c>
      <c r="P150" s="407"/>
      <c r="Q150" s="685">
        <f>Q146*10%</f>
        <v>3762.6498870815253</v>
      </c>
      <c r="R150" s="407"/>
      <c r="S150" s="685">
        <f>S146*10%</f>
        <v>-2314.4077477414953</v>
      </c>
      <c r="T150" s="407"/>
      <c r="U150" s="685">
        <f>U146*10%</f>
        <v>-6526.6799699374533</v>
      </c>
      <c r="V150" s="407"/>
      <c r="W150" s="685">
        <f>W146*10%</f>
        <v>-2794.462279806985</v>
      </c>
      <c r="X150" s="407"/>
      <c r="Y150" s="685">
        <f>Y146*10%</f>
        <v>9139.3964973090915</v>
      </c>
      <c r="Z150" s="407"/>
      <c r="AA150" s="405">
        <f>C150+E150+G150+I150+K150+M150+O150+Q150+S150+U150+W150+Y150</f>
        <v>44514.535155771904</v>
      </c>
      <c r="AB150" s="407"/>
      <c r="AC150" s="405">
        <f t="shared" ref="AC150" si="95">AA150/12</f>
        <v>3709.5445963143252</v>
      </c>
      <c r="AD150" s="407"/>
      <c r="AE150" s="649"/>
      <c r="AF150" s="363" t="s">
        <v>245</v>
      </c>
      <c r="AG150" s="363"/>
    </row>
    <row r="151" spans="1:51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/>
      <c r="AD151" s="106"/>
      <c r="AE151" s="602"/>
      <c r="AF151" s="602"/>
      <c r="AG151" s="628"/>
    </row>
    <row r="152" spans="1:51" s="1" customFormat="1" ht="19.5" customHeight="1" thickBot="1">
      <c r="A152" s="224"/>
      <c r="B152" s="232" t="s">
        <v>206</v>
      </c>
      <c r="C152" s="237">
        <f>C146-C148-C150</f>
        <v>41985.245814329406</v>
      </c>
      <c r="D152" s="246">
        <f>C152/C12</f>
        <v>5.618990774299186E-2</v>
      </c>
      <c r="E152" s="237">
        <f>E146-E148-E150</f>
        <v>-14578.980243367816</v>
      </c>
      <c r="F152" s="246">
        <f>E152/E12</f>
        <v>-2.5078892399930369E-2</v>
      </c>
      <c r="G152" s="237">
        <f>G146-G148-G150</f>
        <v>85807.834619664689</v>
      </c>
      <c r="H152" s="246">
        <f>G152/G12</f>
        <v>8.8985651946167685E-2</v>
      </c>
      <c r="I152" s="237">
        <f>I146-I148-I150</f>
        <v>74728.138269527059</v>
      </c>
      <c r="J152" s="246">
        <f>I152/I12</f>
        <v>8.7764604919693401E-2</v>
      </c>
      <c r="K152" s="237">
        <f>K146-K148-K150</f>
        <v>91300.771489719118</v>
      </c>
      <c r="L152" s="246">
        <f>K152/K12</f>
        <v>0.11724046236777041</v>
      </c>
      <c r="M152" s="237">
        <f>M146-M148-M150</f>
        <v>154879.85678332948</v>
      </c>
      <c r="N152" s="246">
        <f>M152/M12</f>
        <v>0.14025747724454218</v>
      </c>
      <c r="O152" s="237">
        <f>O146-O148-O150</f>
        <v>-44890.51781339696</v>
      </c>
      <c r="P152" s="246">
        <f>O152/O12</f>
        <v>-6.4210517349158003E-2</v>
      </c>
      <c r="Q152" s="237">
        <f>Q146-Q148-Q150</f>
        <v>33863.848983733726</v>
      </c>
      <c r="R152" s="246">
        <f>Q152/Q12</f>
        <v>3.9008346140795278E-2</v>
      </c>
      <c r="S152" s="237">
        <f>S146-S148-S150</f>
        <v>-20829.669729673456</v>
      </c>
      <c r="T152" s="246">
        <f>S152/S12</f>
        <v>-2.3818290659596446E-2</v>
      </c>
      <c r="U152" s="237">
        <f>U146-U148-U150</f>
        <v>-58740.11972943708</v>
      </c>
      <c r="V152" s="246">
        <f>U152/U12</f>
        <v>-8.467920143848548E-2</v>
      </c>
      <c r="W152" s="237">
        <f>W146-W148-W150</f>
        <v>-25150.160518262863</v>
      </c>
      <c r="X152" s="246">
        <f>W152/W12</f>
        <v>-3.5634709867461992E-2</v>
      </c>
      <c r="Y152" s="237">
        <f>Y146-Y148-Y150</f>
        <v>82254.568475781824</v>
      </c>
      <c r="Z152" s="246">
        <f>Y152/Y12</f>
        <v>7.7148016244729639E-2</v>
      </c>
      <c r="AA152" s="270">
        <f>AA146-AA148-AA150</f>
        <v>400630.81640194764</v>
      </c>
      <c r="AB152" s="246">
        <f>AA152/AA12</f>
        <v>4.0326484706760993E-2</v>
      </c>
      <c r="AC152" s="271">
        <f>AC146-AC148-AC150</f>
        <v>33385.901366829123</v>
      </c>
      <c r="AD152" s="246">
        <f>AC152/AC12</f>
        <v>4.0326484706761173E-2</v>
      </c>
      <c r="AE152" s="606"/>
      <c r="AF152" s="606"/>
      <c r="AG152" s="632"/>
    </row>
    <row r="153" spans="1:51" s="214" customFormat="1" ht="15.75" thickTop="1">
      <c r="A153" s="213"/>
      <c r="B153" s="213"/>
      <c r="C153" s="32">
        <f>C151*0.985</f>
        <v>0</v>
      </c>
      <c r="D153" s="218"/>
      <c r="E153" s="269"/>
      <c r="F153" s="218"/>
      <c r="G153" s="269"/>
      <c r="H153" s="218"/>
      <c r="I153" s="32"/>
      <c r="J153" s="218"/>
      <c r="K153" s="269"/>
      <c r="L153" s="218"/>
      <c r="M153" s="32"/>
      <c r="N153" s="218"/>
      <c r="O153" s="32"/>
      <c r="P153" s="218"/>
      <c r="Q153" s="32"/>
      <c r="R153" s="218"/>
      <c r="S153" s="32"/>
      <c r="T153" s="218"/>
      <c r="U153" s="269"/>
      <c r="V153" s="218"/>
      <c r="W153" s="213"/>
      <c r="X153" s="218"/>
      <c r="Y153" s="269"/>
      <c r="Z153" s="218"/>
      <c r="AA153" s="213"/>
      <c r="AB153" s="363"/>
      <c r="AC153" s="213"/>
      <c r="AD153" s="363"/>
      <c r="AE153" s="607"/>
      <c r="AF153" s="607"/>
      <c r="AG153" s="633"/>
    </row>
    <row r="154" spans="1:51" s="1" customFormat="1">
      <c r="B154" s="85" t="s">
        <v>214</v>
      </c>
      <c r="C154" s="686">
        <f>C152</f>
        <v>41985.245814329406</v>
      </c>
      <c r="D154" s="20"/>
      <c r="E154" s="84">
        <f>E152+C154</f>
        <v>27406.26557096159</v>
      </c>
      <c r="F154" s="93"/>
      <c r="G154" s="84">
        <f>G152+E154</f>
        <v>113214.10019062628</v>
      </c>
      <c r="H154" s="93"/>
      <c r="I154" s="84">
        <f>I152+G154</f>
        <v>187942.23846015334</v>
      </c>
      <c r="J154" s="93"/>
      <c r="K154" s="84">
        <f>K152+I154</f>
        <v>279243.00994987244</v>
      </c>
      <c r="L154" s="93"/>
      <c r="M154" s="33">
        <f>M152+K154</f>
        <v>434122.8667332019</v>
      </c>
      <c r="N154" s="93"/>
      <c r="O154" s="686">
        <f>O152+M154</f>
        <v>389232.34891980491</v>
      </c>
      <c r="P154" s="93"/>
      <c r="Q154" s="84">
        <f>Q152+O154</f>
        <v>423096.19790353865</v>
      </c>
      <c r="R154" s="93"/>
      <c r="S154" s="84">
        <f>S152+Q154</f>
        <v>402266.52817386517</v>
      </c>
      <c r="T154" s="93"/>
      <c r="U154" s="84">
        <f>U152+S154</f>
        <v>343526.40844442812</v>
      </c>
      <c r="V154" s="93"/>
      <c r="W154" s="84">
        <f>W152+U154</f>
        <v>318376.24792616523</v>
      </c>
      <c r="X154" s="93"/>
      <c r="Y154" s="84">
        <f>Y152+W154</f>
        <v>400630.81640194706</v>
      </c>
      <c r="Z154" s="93"/>
      <c r="AA154" s="755"/>
      <c r="AB154" s="143"/>
      <c r="AC154" s="126"/>
      <c r="AD154" s="127"/>
      <c r="AE154" s="593"/>
      <c r="AF154" s="593"/>
      <c r="AG154" s="616"/>
    </row>
    <row r="155" spans="1:51">
      <c r="AA155" s="269">
        <f>AA152/0.985</f>
        <v>406731.7933014697</v>
      </c>
    </row>
    <row r="156" spans="1:51">
      <c r="C156" s="269">
        <f>C152</f>
        <v>41985.245814329406</v>
      </c>
      <c r="E156" s="269">
        <f>E152</f>
        <v>-14578.980243367816</v>
      </c>
      <c r="I156" s="269">
        <f>I36*0.985</f>
        <v>433429.16240250005</v>
      </c>
      <c r="K156" s="269">
        <f>K152</f>
        <v>91300.771489719118</v>
      </c>
      <c r="M156" s="32">
        <f>M36*0.985</f>
        <v>592493.46861648501</v>
      </c>
      <c r="O156" s="269">
        <f>O36*0.985</f>
        <v>339739.85327121679</v>
      </c>
      <c r="S156" s="32">
        <f>S152</f>
        <v>-20829.669729673456</v>
      </c>
    </row>
    <row r="157" spans="1:51">
      <c r="C157" s="269">
        <f>C150</f>
        <v>4665.0273127032679</v>
      </c>
      <c r="E157" s="269">
        <f>E42+E150</f>
        <v>39072.844100040784</v>
      </c>
      <c r="I157" s="269">
        <f>SUM(I145-I142+I150)*0.985</f>
        <v>288171.85140201577</v>
      </c>
      <c r="K157" s="269">
        <f>K150+K90</f>
        <v>13704.530165524347</v>
      </c>
      <c r="M157" s="32">
        <f>SUM(M145-M142+M150)*0.985</f>
        <v>299159.04245925427</v>
      </c>
      <c r="O157" s="269">
        <f>SUM(O145-O142+O150)*0.985</f>
        <v>349624.45029671711</v>
      </c>
      <c r="S157" s="296">
        <f>S87+S86+S85</f>
        <v>11527.328767123287</v>
      </c>
    </row>
    <row r="158" spans="1:51">
      <c r="C158" s="269">
        <f>C156+C157</f>
        <v>46650.273127032677</v>
      </c>
      <c r="E158" s="269">
        <f>E156+E157</f>
        <v>24493.863856672968</v>
      </c>
      <c r="I158" s="434">
        <f>SUM(I152+I142)*0.985</f>
        <v>117088.07119548415</v>
      </c>
      <c r="K158" s="269">
        <f>K156+K157</f>
        <v>105005.30165524347</v>
      </c>
      <c r="M158" s="431">
        <f>SUM(M152+M142)*0.985</f>
        <v>196037.51393157954</v>
      </c>
      <c r="O158" s="434">
        <f>SUM(O152+O142)*0.985</f>
        <v>-736.30504619600583</v>
      </c>
      <c r="S158" s="32">
        <f>S156+S157</f>
        <v>-9302.3409625501699</v>
      </c>
    </row>
    <row r="160" spans="1:51" hidden="1">
      <c r="B160" s="213" t="s">
        <v>144</v>
      </c>
      <c r="C160" s="32">
        <f>C152</f>
        <v>41985.245814329406</v>
      </c>
      <c r="D160" s="32"/>
      <c r="E160" s="32">
        <f>E152</f>
        <v>-14578.980243367816</v>
      </c>
      <c r="F160" s="32"/>
      <c r="G160" s="32">
        <f>G152</f>
        <v>85807.834619664689</v>
      </c>
      <c r="H160" s="32"/>
      <c r="I160" s="32">
        <f>I152</f>
        <v>74728.138269527059</v>
      </c>
      <c r="J160" s="32"/>
      <c r="K160" s="32">
        <f>K152</f>
        <v>91300.771489719118</v>
      </c>
      <c r="L160" s="32"/>
      <c r="M160" s="32">
        <f>M152</f>
        <v>154879.85678332948</v>
      </c>
      <c r="N160" s="32"/>
      <c r="O160" s="32">
        <f>O152</f>
        <v>-44890.51781339696</v>
      </c>
      <c r="P160" s="32"/>
      <c r="Q160" s="32">
        <f>Q152</f>
        <v>33863.848983733726</v>
      </c>
      <c r="R160" s="32"/>
      <c r="S160" s="32">
        <f>S152</f>
        <v>-20829.669729673456</v>
      </c>
      <c r="T160" s="32"/>
      <c r="U160" s="32">
        <f>U152</f>
        <v>-58740.11972943708</v>
      </c>
      <c r="V160" s="32"/>
      <c r="W160" s="32">
        <f>W152</f>
        <v>-25150.160518262863</v>
      </c>
      <c r="X160" s="32"/>
      <c r="Y160" s="32">
        <f>Y152</f>
        <v>82254.568475781824</v>
      </c>
      <c r="Z160" s="32"/>
      <c r="AA160" s="32">
        <f>AA152</f>
        <v>400630.81640194764</v>
      </c>
      <c r="AB160" s="32"/>
      <c r="AC160" s="32">
        <f>AC152</f>
        <v>33385.901366829123</v>
      </c>
      <c r="AD160" s="32"/>
      <c r="AE160" s="609"/>
      <c r="AF160" s="609"/>
      <c r="AG160" s="639"/>
    </row>
    <row r="161" spans="2:33" hidden="1">
      <c r="D161" s="226"/>
      <c r="E161" s="32"/>
      <c r="G161" s="32"/>
      <c r="K161" s="32"/>
      <c r="U161" s="32"/>
      <c r="W161" s="32"/>
      <c r="Y161" s="32"/>
      <c r="AB161" s="218"/>
      <c r="AD161" s="218"/>
      <c r="AE161" s="595"/>
      <c r="AF161" s="595"/>
      <c r="AG161" s="618"/>
    </row>
    <row r="162" spans="2:33" hidden="1">
      <c r="B162" s="213" t="s">
        <v>237</v>
      </c>
      <c r="C162" s="32">
        <f>C150</f>
        <v>4665.0273127032679</v>
      </c>
      <c r="D162" s="226"/>
      <c r="E162" s="32">
        <f>E150</f>
        <v>-1619.8866937075354</v>
      </c>
      <c r="G162" s="32">
        <f>G150</f>
        <v>9534.2038466294089</v>
      </c>
      <c r="I162" s="32">
        <f>I150</f>
        <v>8303.1264743918946</v>
      </c>
      <c r="K162" s="32">
        <f>K150</f>
        <v>10144.530165524347</v>
      </c>
      <c r="M162" s="32">
        <f>M150</f>
        <v>17208.8729759255</v>
      </c>
      <c r="O162" s="32">
        <f>O150</f>
        <v>-4987.8353125996628</v>
      </c>
      <c r="Q162" s="32">
        <f>Q150</f>
        <v>3762.6498870815253</v>
      </c>
      <c r="S162" s="32">
        <f>S150</f>
        <v>-2314.4077477414953</v>
      </c>
      <c r="U162" s="32">
        <f>U150</f>
        <v>-6526.6799699374533</v>
      </c>
      <c r="W162" s="32">
        <f>W150</f>
        <v>-2794.462279806985</v>
      </c>
      <c r="Y162" s="32">
        <f>Y150</f>
        <v>9139.3964973090915</v>
      </c>
      <c r="AA162" s="32">
        <f>AA150</f>
        <v>44514.535155771904</v>
      </c>
      <c r="AB162" s="218"/>
      <c r="AC162" s="32">
        <f>AC150</f>
        <v>3709.5445963143252</v>
      </c>
      <c r="AD162" s="218"/>
      <c r="AE162" s="595"/>
      <c r="AF162" s="595"/>
      <c r="AG162" s="618"/>
    </row>
    <row r="163" spans="2:33" hidden="1">
      <c r="D163" s="226"/>
      <c r="E163" s="32"/>
      <c r="G163" s="32"/>
      <c r="K163" s="32"/>
      <c r="U163" s="32"/>
      <c r="W163" s="32"/>
      <c r="Y163" s="32"/>
      <c r="AB163" s="218"/>
      <c r="AD163" s="218"/>
      <c r="AE163" s="595"/>
      <c r="AF163" s="595"/>
      <c r="AG163" s="618"/>
    </row>
    <row r="164" spans="2:33" hidden="1">
      <c r="B164" s="213" t="s">
        <v>241</v>
      </c>
      <c r="C164" s="32">
        <f>C142</f>
        <v>44143</v>
      </c>
      <c r="D164" s="32"/>
      <c r="E164" s="32">
        <f>E142</f>
        <v>44143</v>
      </c>
      <c r="F164" s="32"/>
      <c r="G164" s="32">
        <f>G142</f>
        <v>44143</v>
      </c>
      <c r="H164" s="32"/>
      <c r="I164" s="32">
        <f>I142</f>
        <v>44143</v>
      </c>
      <c r="J164" s="32"/>
      <c r="K164" s="32">
        <f>K142</f>
        <v>44143</v>
      </c>
      <c r="L164" s="32"/>
      <c r="M164" s="32">
        <f>M142</f>
        <v>44143</v>
      </c>
      <c r="N164" s="32"/>
      <c r="O164" s="32">
        <f>O142</f>
        <v>44143</v>
      </c>
      <c r="P164" s="32"/>
      <c r="Q164" s="32">
        <f>Q142</f>
        <v>44143</v>
      </c>
      <c r="R164" s="32"/>
      <c r="S164" s="32">
        <f>S142</f>
        <v>44143</v>
      </c>
      <c r="T164" s="32"/>
      <c r="U164" s="32">
        <f>U142</f>
        <v>44143</v>
      </c>
      <c r="V164" s="32"/>
      <c r="W164" s="32">
        <f>W142</f>
        <v>44143</v>
      </c>
      <c r="X164" s="32"/>
      <c r="Y164" s="32">
        <f>Y142</f>
        <v>44143</v>
      </c>
      <c r="Z164" s="32"/>
      <c r="AA164" s="32">
        <f>AA142</f>
        <v>529716</v>
      </c>
      <c r="AB164" s="32"/>
      <c r="AC164" s="32">
        <f>AC142</f>
        <v>44143</v>
      </c>
      <c r="AD164" s="32"/>
      <c r="AE164" s="609"/>
      <c r="AF164" s="609"/>
      <c r="AG164" s="639"/>
    </row>
    <row r="165" spans="2:33" hidden="1">
      <c r="D165" s="226"/>
      <c r="E165" s="32"/>
      <c r="G165" s="32"/>
      <c r="K165" s="32"/>
      <c r="U165" s="32"/>
      <c r="W165" s="32"/>
      <c r="Y165" s="32"/>
      <c r="AA165" s="32"/>
      <c r="AB165" s="218"/>
      <c r="AC165" s="32"/>
      <c r="AD165" s="218"/>
      <c r="AE165" s="595"/>
      <c r="AF165" s="595"/>
      <c r="AG165" s="618"/>
    </row>
    <row r="166" spans="2:33" hidden="1">
      <c r="B166" s="213" t="s">
        <v>238</v>
      </c>
      <c r="C166" s="32">
        <f>C144-C142</f>
        <v>1166</v>
      </c>
      <c r="D166" s="32"/>
      <c r="E166" s="32">
        <f>E144-E142</f>
        <v>1166</v>
      </c>
      <c r="F166" s="32"/>
      <c r="G166" s="32">
        <f>G144-G142</f>
        <v>1166</v>
      </c>
      <c r="H166" s="32"/>
      <c r="I166" s="32">
        <f>I144-I142</f>
        <v>1166</v>
      </c>
      <c r="J166" s="32"/>
      <c r="K166" s="32">
        <f>K144-K142</f>
        <v>1166</v>
      </c>
      <c r="L166" s="32"/>
      <c r="M166" s="32">
        <f>M144-M142</f>
        <v>1166</v>
      </c>
      <c r="N166" s="32"/>
      <c r="O166" s="32">
        <f>O144-O142</f>
        <v>1166</v>
      </c>
      <c r="P166" s="32"/>
      <c r="Q166" s="32">
        <f>Q144-Q142</f>
        <v>1166.0899999999965</v>
      </c>
      <c r="R166" s="32"/>
      <c r="S166" s="32">
        <f>S144-S142</f>
        <v>1166</v>
      </c>
      <c r="T166" s="32"/>
      <c r="U166" s="32">
        <f>U144-U142</f>
        <v>1166</v>
      </c>
      <c r="V166" s="32"/>
      <c r="W166" s="32">
        <f>W144-W142</f>
        <v>1166</v>
      </c>
      <c r="X166" s="32"/>
      <c r="Y166" s="32">
        <f>Y144-Y142</f>
        <v>1166</v>
      </c>
      <c r="Z166" s="32"/>
      <c r="AA166" s="32">
        <f>AA144-AA142</f>
        <v>13992.089999999967</v>
      </c>
      <c r="AB166" s="32"/>
      <c r="AC166" s="32">
        <f>AC144-AC142</f>
        <v>1166.0074999999997</v>
      </c>
      <c r="AD166" s="32"/>
      <c r="AE166" s="609"/>
      <c r="AF166" s="609"/>
      <c r="AG166" s="639"/>
    </row>
    <row r="167" spans="2:33" hidden="1">
      <c r="D167" s="226"/>
      <c r="E167" s="32"/>
      <c r="G167" s="32"/>
      <c r="K167" s="32"/>
      <c r="U167" s="32"/>
      <c r="W167" s="32"/>
      <c r="Y167" s="32"/>
      <c r="AB167" s="218"/>
      <c r="AC167" s="32"/>
      <c r="AD167" s="218"/>
      <c r="AE167" s="595"/>
      <c r="AF167" s="595"/>
      <c r="AG167" s="618"/>
    </row>
    <row r="168" spans="2:33" hidden="1">
      <c r="D168" s="226"/>
      <c r="E168" s="32"/>
      <c r="G168" s="32"/>
      <c r="K168" s="32"/>
      <c r="U168" s="32"/>
      <c r="W168" s="32"/>
      <c r="Y168" s="32"/>
      <c r="AB168" s="218"/>
      <c r="AD168" s="218"/>
      <c r="AE168" s="595"/>
      <c r="AF168" s="595"/>
      <c r="AG168" s="618"/>
    </row>
    <row r="169" spans="2:33" hidden="1">
      <c r="B169" s="722" t="s">
        <v>239</v>
      </c>
      <c r="C169" s="723">
        <f>C162+C160+C164+C166</f>
        <v>91959.273127032677</v>
      </c>
      <c r="D169" s="724"/>
      <c r="E169" s="723">
        <f>E162+E160+E164+E166</f>
        <v>29110.133062924648</v>
      </c>
      <c r="F169" s="723"/>
      <c r="G169" s="723">
        <f>G162+G160+G164+G166</f>
        <v>140651.03846629409</v>
      </c>
      <c r="H169" s="723"/>
      <c r="I169" s="723">
        <f>I162+I160+I164+I166</f>
        <v>128340.26474391896</v>
      </c>
      <c r="J169" s="723"/>
      <c r="K169" s="723">
        <f>K162+K160+K164+K166</f>
        <v>146754.30165524347</v>
      </c>
      <c r="L169" s="723"/>
      <c r="M169" s="723">
        <f>M162+M160+M164+M166</f>
        <v>217397.72975925499</v>
      </c>
      <c r="N169" s="723"/>
      <c r="O169" s="723">
        <f>O162+O160+O164+O166</f>
        <v>-4569.3531259966257</v>
      </c>
      <c r="P169" s="723"/>
      <c r="Q169" s="723">
        <f>Q162+Q160+Q164+Q166</f>
        <v>82935.588870815249</v>
      </c>
      <c r="R169" s="723"/>
      <c r="S169" s="723">
        <f>S162+S160+S164+S166</f>
        <v>22164.92252258505</v>
      </c>
      <c r="T169" s="723"/>
      <c r="U169" s="723">
        <f>U162+U160+U164+U166</f>
        <v>-19957.799699374533</v>
      </c>
      <c r="V169" s="723"/>
      <c r="W169" s="723">
        <f>W162+W160+W164+W166</f>
        <v>17364.377201930154</v>
      </c>
      <c r="X169" s="723"/>
      <c r="Y169" s="723">
        <f>Y162+Y160+Y164+Y166</f>
        <v>136702.96497309092</v>
      </c>
      <c r="Z169" s="723"/>
      <c r="AA169" s="723">
        <f>AA162+AA160+AA164+AA166</f>
        <v>988853.44155771949</v>
      </c>
      <c r="AB169" s="218"/>
      <c r="AC169" s="32">
        <f>AA169/12</f>
        <v>82404.453463143291</v>
      </c>
      <c r="AD169" s="218"/>
      <c r="AE169" s="595"/>
      <c r="AF169" s="595"/>
      <c r="AG169" s="618"/>
    </row>
    <row r="170" spans="2:33" hidden="1">
      <c r="D170" s="226"/>
      <c r="E170" s="32"/>
      <c r="G170" s="32"/>
      <c r="K170" s="32"/>
      <c r="U170" s="32"/>
      <c r="W170" s="32"/>
      <c r="Y170" s="32"/>
      <c r="AB170" s="218"/>
      <c r="AD170" s="218"/>
      <c r="AE170" s="595"/>
      <c r="AF170" s="595"/>
      <c r="AG170" s="618"/>
    </row>
    <row r="171" spans="2:33" hidden="1">
      <c r="B171" s="722"/>
      <c r="D171" s="226"/>
      <c r="E171" s="32"/>
      <c r="G171" s="32"/>
      <c r="K171" s="32"/>
      <c r="U171" s="32"/>
      <c r="W171" s="32"/>
      <c r="Y171" s="32"/>
      <c r="AB171" s="218"/>
      <c r="AD171" s="218"/>
      <c r="AE171" s="595"/>
      <c r="AF171" s="595"/>
      <c r="AG171" s="618"/>
    </row>
    <row r="172" spans="2:33" hidden="1">
      <c r="B172" s="722" t="s">
        <v>240</v>
      </c>
      <c r="C172" s="32">
        <f>C169</f>
        <v>91959.273127032677</v>
      </c>
      <c r="D172" s="32"/>
      <c r="E172" s="32">
        <f>C172+E169</f>
        <v>121069.40618995733</v>
      </c>
      <c r="F172" s="32"/>
      <c r="G172" s="32">
        <f>E172+G169</f>
        <v>261720.44465625141</v>
      </c>
      <c r="H172" s="32"/>
      <c r="I172" s="32">
        <f>G172+I169</f>
        <v>390060.70940017037</v>
      </c>
      <c r="J172" s="32"/>
      <c r="K172" s="32">
        <f>I172+K169</f>
        <v>536815.01105541387</v>
      </c>
      <c r="L172" s="32"/>
      <c r="M172" s="32">
        <f>K172+M169</f>
        <v>754212.74081466882</v>
      </c>
      <c r="N172" s="32"/>
      <c r="O172" s="32">
        <f>M172+O169</f>
        <v>749643.38768867217</v>
      </c>
      <c r="P172" s="32"/>
      <c r="Q172" s="32">
        <f>O172+Q169</f>
        <v>832578.9765594874</v>
      </c>
      <c r="R172" s="32"/>
      <c r="S172" s="32">
        <f>Q172+S169</f>
        <v>854743.89908207243</v>
      </c>
      <c r="T172" s="32"/>
      <c r="U172" s="32">
        <f>S172+U169</f>
        <v>834786.09938269784</v>
      </c>
      <c r="V172" s="32"/>
      <c r="W172" s="32">
        <f>U172+W169</f>
        <v>852150.47658462799</v>
      </c>
      <c r="X172" s="32"/>
      <c r="Y172" s="32">
        <f>W172+Y169</f>
        <v>988853.44155771891</v>
      </c>
      <c r="Z172" s="32"/>
      <c r="AA172" s="32"/>
      <c r="AB172" s="32"/>
      <c r="AC172" s="32"/>
      <c r="AD172" s="32"/>
      <c r="AE172" s="609"/>
      <c r="AF172" s="609"/>
      <c r="AG172" s="639"/>
    </row>
    <row r="173" spans="2:33">
      <c r="G173" s="32">
        <f>G152</f>
        <v>85807.834619664689</v>
      </c>
      <c r="I173" s="32">
        <f>I152</f>
        <v>74728.138269527059</v>
      </c>
    </row>
    <row r="174" spans="2:33">
      <c r="G174" s="32">
        <f>G43</f>
        <v>8100</v>
      </c>
      <c r="I174" s="32">
        <f>I110+I42</f>
        <v>75722.27</v>
      </c>
    </row>
    <row r="175" spans="2:33">
      <c r="G175" s="32">
        <f>G173+G174</f>
        <v>93907.834619664689</v>
      </c>
      <c r="I175" s="32">
        <f>I173+I174</f>
        <v>150450.40826952708</v>
      </c>
    </row>
  </sheetData>
  <customSheetViews>
    <customSheetView guid="{E19D3675-E478-4A54-8E7A-94A199F67811}" fitToPage="1" hiddenRows="1">
      <pane xSplit="2" ySplit="3" topLeftCell="G118" activePane="bottomRight" state="frozen"/>
      <selection pane="bottomRight" activeCell="M170" sqref="M170"/>
      <pageMargins left="0.7" right="0.7" top="0.75" bottom="0.75" header="0.3" footer="0.3"/>
      <printOptions gridLines="1"/>
      <pageSetup paperSize="8" scale="37" fitToHeight="2" orientation="landscape" r:id="rId1"/>
    </customSheetView>
    <customSheetView guid="{BFB0E08A-7D07-48F2-93C4-BE631A8642F6}" fitToPage="1" hiddenRows="1">
      <pane xSplit="2" ySplit="3" topLeftCell="C4" activePane="bottomRight" state="frozen"/>
      <selection pane="bottomRight" activeCell="J15" activeCellId="2" sqref="D15 G15 J15"/>
      <pageMargins left="0.7" right="0.7" top="0.75" bottom="0.75" header="0.3" footer="0.3"/>
      <printOptions gridLines="1"/>
      <pageSetup paperSize="8" scale="37" fitToHeight="2" orientation="landscape" r:id="rId2"/>
    </customSheetView>
    <customSheetView guid="{D65E0E17-9A53-4B36-ADDE-FDFBD878E6A1}" fitToPage="1" hiddenRows="1">
      <pane xSplit="2" ySplit="3" topLeftCell="C118" activePane="bottomRight" state="frozen"/>
      <selection pane="bottomRight" activeCell="F172" sqref="F172"/>
      <pageMargins left="0.7" right="0.7" top="0.75" bottom="0.75" header="0.3" footer="0.3"/>
      <printOptions gridLines="1"/>
      <pageSetup paperSize="8" scale="37" fitToHeight="2" orientation="landscape" r:id="rId3"/>
    </customSheetView>
    <customSheetView guid="{F3E5B7E7-D3C6-4CDC-BAA7-D62F15A870E4}" fitToPage="1" hiddenRows="1">
      <pane xSplit="2" ySplit="3" topLeftCell="W4" activePane="bottomRight" state="frozen"/>
      <selection pane="bottomRight" activeCell="AP54" sqref="AP54"/>
      <pageMargins left="0.7" right="0.7" top="0.75" bottom="0.75" header="0.3" footer="0.3"/>
      <printOptions gridLines="1"/>
      <pageSetup paperSize="8" scale="37" fitToHeight="2" orientation="landscape" r:id="rId4"/>
    </customSheetView>
    <customSheetView guid="{879F34B1-DA85-44D2-99EE-74A633FB2C72}" fitToPage="1" hiddenRows="1">
      <pane xSplit="2" ySplit="3" topLeftCell="W4" activePane="bottomRight" state="frozen"/>
      <selection pane="bottomRight" activeCell="A16" sqref="A16:XFD19"/>
      <pageMargins left="0.7" right="0.7" top="0.75" bottom="0.75" header="0.3" footer="0.3"/>
      <printOptions gridLines="1"/>
      <pageSetup paperSize="8" scale="37" fitToHeight="2" orientation="landscape" r:id="rId5"/>
    </customSheetView>
    <customSheetView guid="{02AA01BD-C75B-4B6E-A8E6-EEB6E90D29E4}" fitToPage="1" hiddenRows="1">
      <pane xSplit="2" ySplit="3" topLeftCell="T4" activePane="bottomRight" state="frozen"/>
      <selection pane="bottomRight" activeCell="AD14" sqref="AD14"/>
      <pageMargins left="0.7" right="0.7" top="0.75" bottom="0.75" header="0.3" footer="0.3"/>
      <printOptions gridLines="1"/>
      <pageSetup paperSize="8" scale="37" fitToHeight="2" orientation="landscape" r:id="rId6"/>
    </customSheetView>
    <customSheetView guid="{209662B1-09B2-4060-A837-250CED7848ED}" fitToPage="1" hiddenRows="1">
      <pane xSplit="2" ySplit="3" topLeftCell="AE4" activePane="bottomRight" state="frozen"/>
      <selection pane="bottomRight" activeCell="AP54" sqref="AP54"/>
      <pageMargins left="0.7" right="0.7" top="0.75" bottom="0.75" header="0.3" footer="0.3"/>
      <printOptions gridLines="1"/>
      <pageSetup paperSize="8" scale="37" fitToHeight="2" orientation="landscape" r:id="rId7"/>
    </customSheetView>
    <customSheetView guid="{B2BB7590-1CD2-4457-858D-F8835B99F338}" fitToPage="1" hiddenRows="1">
      <pane xSplit="2" ySplit="3" topLeftCell="C75" activePane="bottomRight" state="frozen"/>
      <selection pane="bottomRight" activeCell="L125" sqref="L125"/>
      <pageMargins left="0.7" right="0.7" top="0.75" bottom="0.75" header="0.3" footer="0.3"/>
      <printOptions gridLines="1"/>
      <pageSetup paperSize="8" scale="38" fitToHeight="2" orientation="landscape" r:id="rId8"/>
    </customSheetView>
    <customSheetView guid="{C4C974E7-2FCF-4C3A-A063-03001047949F}" topLeftCell="A103">
      <selection activeCell="A141" sqref="A141:XFD141"/>
      <pageMargins left="0.7" right="0.7" top="0.75" bottom="0.75" header="0.3" footer="0.3"/>
    </customSheetView>
    <customSheetView guid="{A8167CC1-C909-4D11-B8D5-4313083C8125}" fitToPage="1" hiddenRows="1" hiddenColumns="1">
      <pane xSplit="2" ySplit="3" topLeftCell="C115" activePane="bottomRight" state="frozen"/>
      <selection pane="bottomRight" activeCell="I130" sqref="I130"/>
      <pageMargins left="0.7" right="0.3" top="0.48" bottom="0.75" header="0.3" footer="0.3"/>
      <printOptions gridLines="1"/>
      <pageSetup paperSize="8" scale="24" fitToHeight="2" orientation="landscape" r:id="rId9"/>
    </customSheetView>
    <customSheetView guid="{AA4262F8-9AB3-4147-94E2-8DEF81F7E83C}" fitToPage="1" hiddenRows="1">
      <pane xSplit="2" ySplit="3" topLeftCell="C112" activePane="bottomRight" state="frozen"/>
      <selection pane="bottomRight" activeCell="I132" sqref="I132"/>
      <pageMargins left="0.7" right="0.7" top="0.75" bottom="0.75" header="0.3" footer="0.3"/>
      <printOptions gridLines="1"/>
      <pageSetup paperSize="8" scale="37" fitToHeight="2" orientation="landscape" r:id="rId10"/>
    </customSheetView>
  </customSheetViews>
  <mergeCells count="13">
    <mergeCell ref="Y2:Z2"/>
    <mergeCell ref="AA2:AB2"/>
    <mergeCell ref="AC2:AD2"/>
    <mergeCell ref="A1:AD1"/>
    <mergeCell ref="E2:F2"/>
    <mergeCell ref="I2:J2"/>
    <mergeCell ref="K2:L2"/>
    <mergeCell ref="M2:N2"/>
    <mergeCell ref="O2:P2"/>
    <mergeCell ref="Q2:R2"/>
    <mergeCell ref="S2:T2"/>
    <mergeCell ref="U2:V2"/>
    <mergeCell ref="W2:X2"/>
  </mergeCells>
  <conditionalFormatting sqref="W146 Q146">
    <cfRule type="cellIs" dxfId="8" priority="4" operator="lessThan">
      <formula>0</formula>
    </cfRule>
  </conditionalFormatting>
  <printOptions horizontalCentered="1" verticalCentered="1" gridLines="1"/>
  <pageMargins left="0" right="0.7" top="0.75" bottom="0.75" header="0.3" footer="0.3"/>
  <pageSetup paperSize="8" scale="35" fitToHeight="2" orientation="landscape" r:id="rId11"/>
  <legacyDrawing r:id="rId1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AH172"/>
  <sheetViews>
    <sheetView zoomScale="85" zoomScaleNormal="85" workbookViewId="0">
      <pane xSplit="2" ySplit="3" topLeftCell="C117" activePane="bottomRight" state="frozen"/>
      <selection pane="topRight" activeCell="C1" sqref="C1"/>
      <selection pane="bottomLeft" activeCell="A4" sqref="A4"/>
      <selection pane="bottomRight" activeCell="C142" sqref="C142"/>
    </sheetView>
  </sheetViews>
  <sheetFormatPr defaultColWidth="9.140625" defaultRowHeight="15"/>
  <cols>
    <col min="1" max="1" width="6.5703125" style="214" bestFit="1" customWidth="1"/>
    <col min="2" max="2" width="32.42578125" style="214" customWidth="1"/>
    <col min="3" max="3" width="13" style="267" customWidth="1"/>
    <col min="4" max="4" width="7.140625" style="214" bestFit="1" customWidth="1"/>
    <col min="5" max="5" width="13.28515625" style="267" bestFit="1" customWidth="1"/>
    <col min="6" max="6" width="7.7109375" style="214" customWidth="1"/>
    <col min="7" max="7" width="13.7109375" style="267" customWidth="1"/>
    <col min="8" max="8" width="10" style="214" customWidth="1"/>
    <col min="9" max="9" width="14.28515625" style="267" customWidth="1"/>
    <col min="10" max="10" width="7.140625" style="214" bestFit="1" customWidth="1"/>
    <col min="11" max="11" width="13.28515625" style="215" customWidth="1"/>
    <col min="12" max="12" width="7.140625" style="214" customWidth="1"/>
    <col min="13" max="13" width="13.7109375" style="215" customWidth="1"/>
    <col min="14" max="14" width="8.140625" style="214" bestFit="1" customWidth="1"/>
    <col min="15" max="15" width="14" style="215" bestFit="1" customWidth="1"/>
    <col min="16" max="16" width="7.140625" style="373" bestFit="1" customWidth="1"/>
    <col min="17" max="17" width="14" style="215" bestFit="1" customWidth="1"/>
    <col min="18" max="18" width="7.140625" style="373" bestFit="1" customWidth="1"/>
    <col min="19" max="19" width="14.42578125" style="215" customWidth="1"/>
    <col min="20" max="20" width="7.5703125" style="373" customWidth="1"/>
    <col min="21" max="21" width="13.28515625" style="267" customWidth="1"/>
    <col min="22" max="22" width="7.140625" style="373" bestFit="1" customWidth="1"/>
    <col min="23" max="23" width="13.28515625" style="267" customWidth="1"/>
    <col min="24" max="24" width="7.140625" style="373" bestFit="1" customWidth="1"/>
    <col min="25" max="25" width="13.28515625" style="267" bestFit="1" customWidth="1"/>
    <col min="26" max="26" width="7.7109375" style="373" bestFit="1" customWidth="1"/>
    <col min="27" max="27" width="13.28515625" style="213" bestFit="1" customWidth="1"/>
    <col min="28" max="28" width="7.140625" style="363" bestFit="1" customWidth="1"/>
    <col min="29" max="29" width="12" style="213" bestFit="1" customWidth="1"/>
    <col min="30" max="30" width="7.140625" style="363" bestFit="1" customWidth="1"/>
    <col min="31" max="31" width="28" style="607" customWidth="1"/>
    <col min="32" max="32" width="45" style="607" customWidth="1"/>
    <col min="33" max="33" width="7.140625" style="633" customWidth="1"/>
    <col min="34" max="34" width="14.28515625" style="213" customWidth="1"/>
    <col min="35" max="61" width="9.140625" style="214" customWidth="1"/>
    <col min="62" max="16384" width="9.140625" style="214"/>
  </cols>
  <sheetData>
    <row r="1" spans="1:34" s="362" customFormat="1">
      <c r="A1" s="995" t="s">
        <v>366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591"/>
      <c r="AF1" s="591"/>
      <c r="AG1" s="591"/>
      <c r="AH1" s="5"/>
    </row>
    <row r="2" spans="1:34" s="1" customFormat="1">
      <c r="A2" s="43"/>
      <c r="B2" s="988" t="s">
        <v>354</v>
      </c>
      <c r="C2" s="324" t="s">
        <v>64</v>
      </c>
      <c r="D2" s="325"/>
      <c r="E2" s="324" t="s">
        <v>65</v>
      </c>
      <c r="F2" s="325"/>
      <c r="G2" s="324" t="s">
        <v>81</v>
      </c>
      <c r="H2" s="325"/>
      <c r="I2" s="324" t="s">
        <v>82</v>
      </c>
      <c r="J2" s="325"/>
      <c r="K2" s="324" t="s">
        <v>83</v>
      </c>
      <c r="L2" s="325"/>
      <c r="M2" s="798" t="s">
        <v>84</v>
      </c>
      <c r="N2" s="729"/>
      <c r="O2" s="798" t="s">
        <v>85</v>
      </c>
      <c r="P2" s="325"/>
      <c r="Q2" s="324" t="s">
        <v>86</v>
      </c>
      <c r="R2" s="367"/>
      <c r="S2" s="807" t="s">
        <v>87</v>
      </c>
      <c r="T2" s="367"/>
      <c r="U2" s="324" t="s">
        <v>123</v>
      </c>
      <c r="V2" s="325"/>
      <c r="W2" s="324" t="s">
        <v>124</v>
      </c>
      <c r="X2" s="367"/>
      <c r="Y2" s="367" t="s">
        <v>125</v>
      </c>
      <c r="Z2" s="367"/>
      <c r="AA2" s="365" t="s">
        <v>120</v>
      </c>
      <c r="AB2" s="365"/>
      <c r="AC2" s="366" t="s">
        <v>121</v>
      </c>
      <c r="AD2" s="366"/>
      <c r="AE2" s="592"/>
      <c r="AF2" s="592"/>
      <c r="AG2" s="615"/>
      <c r="AH2" s="5"/>
    </row>
    <row r="3" spans="1:34" s="1" customFormat="1" ht="15.75" thickBot="1">
      <c r="A3" s="65"/>
      <c r="B3" s="42" t="s">
        <v>69</v>
      </c>
      <c r="C3" s="73" t="s">
        <v>115</v>
      </c>
      <c r="D3" s="67" t="s">
        <v>80</v>
      </c>
      <c r="E3" s="111" t="s">
        <v>115</v>
      </c>
      <c r="F3" s="67" t="s">
        <v>80</v>
      </c>
      <c r="G3" s="73" t="s">
        <v>115</v>
      </c>
      <c r="H3" s="67" t="s">
        <v>80</v>
      </c>
      <c r="I3" s="73" t="s">
        <v>115</v>
      </c>
      <c r="J3" s="67" t="s">
        <v>80</v>
      </c>
      <c r="K3" s="70" t="s">
        <v>115</v>
      </c>
      <c r="L3" s="67" t="s">
        <v>80</v>
      </c>
      <c r="M3" s="70" t="s">
        <v>115</v>
      </c>
      <c r="N3" s="67" t="s">
        <v>80</v>
      </c>
      <c r="O3" s="70" t="s">
        <v>115</v>
      </c>
      <c r="P3" s="99" t="s">
        <v>80</v>
      </c>
      <c r="Q3" s="70" t="s">
        <v>115</v>
      </c>
      <c r="R3" s="99" t="s">
        <v>80</v>
      </c>
      <c r="S3" s="70" t="s">
        <v>115</v>
      </c>
      <c r="T3" s="99" t="s">
        <v>80</v>
      </c>
      <c r="U3" s="73" t="s">
        <v>115</v>
      </c>
      <c r="V3" s="99" t="s">
        <v>80</v>
      </c>
      <c r="W3" s="73" t="s">
        <v>115</v>
      </c>
      <c r="X3" s="99" t="s">
        <v>80</v>
      </c>
      <c r="Y3" s="73" t="s">
        <v>115</v>
      </c>
      <c r="Z3" s="99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90" t="s">
        <v>183</v>
      </c>
      <c r="AF3" s="590" t="s">
        <v>181</v>
      </c>
      <c r="AG3" s="590" t="s">
        <v>225</v>
      </c>
      <c r="AH3" s="5"/>
    </row>
    <row r="4" spans="1:34" s="1" customFormat="1">
      <c r="B4" s="20"/>
      <c r="C4" s="74"/>
      <c r="D4" s="17"/>
      <c r="E4" s="112"/>
      <c r="F4" s="17"/>
      <c r="G4" s="74"/>
      <c r="H4" s="17"/>
      <c r="I4" s="74"/>
      <c r="J4" s="17"/>
      <c r="K4" s="26"/>
      <c r="L4" s="17"/>
      <c r="M4" s="26"/>
      <c r="N4" s="17"/>
      <c r="O4" s="26"/>
      <c r="P4" s="91"/>
      <c r="Q4" s="26"/>
      <c r="R4" s="91"/>
      <c r="S4" s="26"/>
      <c r="T4" s="91"/>
      <c r="U4" s="74"/>
      <c r="V4" s="91"/>
      <c r="W4" s="74"/>
      <c r="X4" s="91"/>
      <c r="Y4" s="74"/>
      <c r="Z4" s="91"/>
      <c r="AA4" s="142"/>
      <c r="AB4" s="143"/>
      <c r="AC4" s="126"/>
      <c r="AD4" s="127"/>
      <c r="AE4" s="593"/>
      <c r="AF4" s="593"/>
      <c r="AG4" s="616"/>
      <c r="AH4" s="5"/>
    </row>
    <row r="5" spans="1:34" s="1" customFormat="1">
      <c r="A5" s="6">
        <v>5004</v>
      </c>
      <c r="B5" s="759" t="s">
        <v>71</v>
      </c>
      <c r="C5" s="902">
        <f>1130210.43895937+C9</f>
        <v>1457971.4662575857</v>
      </c>
      <c r="D5" s="760"/>
      <c r="E5" s="903">
        <f>879305.375912314+E9</f>
        <v>1028787.2898174074</v>
      </c>
      <c r="F5" s="702"/>
      <c r="G5" s="904">
        <f>1458572+G9</f>
        <v>1910729.337514034</v>
      </c>
      <c r="H5" s="702"/>
      <c r="I5" s="905">
        <f>1287910.76258091+I9</f>
        <v>1635646.6684777567</v>
      </c>
      <c r="J5" s="760"/>
      <c r="K5" s="906">
        <f>1177925.59297696+K9</f>
        <v>1389952.1997128117</v>
      </c>
      <c r="L5" s="760"/>
      <c r="M5" s="907">
        <f>1670282.1822012+M9</f>
        <v>2188069.658683572</v>
      </c>
      <c r="N5" s="760"/>
      <c r="O5" s="908">
        <f>1057473.22274836+O9</f>
        <v>1374715.1895728684</v>
      </c>
      <c r="P5" s="760"/>
      <c r="Q5" s="909">
        <f>1313105.78337276+Q9</f>
        <v>1680775.4027171328</v>
      </c>
      <c r="R5" s="760"/>
      <c r="S5" s="910">
        <f>1322795.55307998+S9</f>
        <v>1627038.5302883761</v>
      </c>
      <c r="T5" s="760"/>
      <c r="U5" s="911">
        <f>1049250.06958696+U9</f>
        <v>1374517.5911589176</v>
      </c>
      <c r="V5" s="760"/>
      <c r="W5" s="912">
        <f>1067550.5954396+W9</f>
        <v>1249034.1966643315</v>
      </c>
      <c r="X5" s="760"/>
      <c r="Y5" s="913">
        <f>1612709.69998623+Y9</f>
        <v>2064268.4159823749</v>
      </c>
      <c r="Z5" s="760">
        <v>0</v>
      </c>
      <c r="AA5" s="182">
        <f t="shared" ref="AA5:AA11" si="0">C5+E5+G5+I5+K5+M5+O5+Q5+S5+U5+W5+Y5</f>
        <v>18981505.946847163</v>
      </c>
      <c r="AB5" s="299">
        <v>0</v>
      </c>
      <c r="AC5" s="50">
        <f>AA5/12</f>
        <v>1581792.1622372635</v>
      </c>
      <c r="AD5" s="299">
        <v>0</v>
      </c>
      <c r="AE5" s="608"/>
      <c r="AF5" s="608"/>
      <c r="AG5" s="638"/>
      <c r="AH5" s="74"/>
    </row>
    <row r="6" spans="1:34" s="1" customFormat="1">
      <c r="A6" s="5">
        <v>5005</v>
      </c>
      <c r="B6" s="17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si="0"/>
        <v>0</v>
      </c>
      <c r="AB6" s="18">
        <f>AA6/AA$5</f>
        <v>0</v>
      </c>
      <c r="AC6" s="50">
        <f t="shared" ref="AC6:AC11" si="1">AA6/12</f>
        <v>0</v>
      </c>
      <c r="AD6" s="18">
        <f>AC6/AC$5</f>
        <v>0</v>
      </c>
      <c r="AE6" s="609"/>
      <c r="AF6" s="609"/>
      <c r="AG6" s="639"/>
      <c r="AH6" s="74"/>
    </row>
    <row r="7" spans="1:34" s="1" customFormat="1">
      <c r="A7" s="6">
        <v>5051</v>
      </c>
      <c r="B7" s="759" t="s">
        <v>74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22">
        <f t="shared" ref="AB7:AB11" si="2">AA7/AA$5</f>
        <v>0</v>
      </c>
      <c r="AC7" s="50">
        <f t="shared" si="1"/>
        <v>0</v>
      </c>
      <c r="AD7" s="22">
        <f t="shared" ref="AD7:AD11" si="3">AC7/AC$5</f>
        <v>0</v>
      </c>
      <c r="AE7" s="595"/>
      <c r="AF7" s="595"/>
      <c r="AG7" s="555"/>
      <c r="AH7" s="74"/>
    </row>
    <row r="8" spans="1:34" s="1" customFormat="1">
      <c r="A8" s="1">
        <v>5052</v>
      </c>
      <c r="B8" s="1" t="s">
        <v>90</v>
      </c>
      <c r="C8" s="31"/>
      <c r="D8" s="702">
        <f t="shared" ref="D8:D11" si="4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5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6">Y8/Y$5</f>
        <v>0</v>
      </c>
      <c r="AA8" s="144">
        <f t="shared" si="0"/>
        <v>0</v>
      </c>
      <c r="AB8" s="68">
        <f t="shared" si="2"/>
        <v>0</v>
      </c>
      <c r="AC8" s="50">
        <f t="shared" si="1"/>
        <v>0</v>
      </c>
      <c r="AD8" s="68">
        <f t="shared" si="3"/>
        <v>0</v>
      </c>
      <c r="AE8" s="595"/>
      <c r="AF8" s="595"/>
      <c r="AG8" s="555"/>
      <c r="AH8" s="74"/>
    </row>
    <row r="9" spans="1:34" s="1" customFormat="1">
      <c r="A9" s="1">
        <v>5101</v>
      </c>
      <c r="B9" s="20" t="s">
        <v>46</v>
      </c>
      <c r="C9" s="1">
        <v>327761.02729821589</v>
      </c>
      <c r="D9" s="702">
        <v>0.32805835262398447</v>
      </c>
      <c r="E9" s="1">
        <v>149481.91390509336</v>
      </c>
      <c r="F9" s="702">
        <v>0.19231006877957713</v>
      </c>
      <c r="G9" s="1">
        <v>452157.33751403395</v>
      </c>
      <c r="H9" s="702">
        <v>0.35068306659805248</v>
      </c>
      <c r="I9" s="371">
        <v>347735.90589684667</v>
      </c>
      <c r="J9" s="702">
        <v>0.30543363864991668</v>
      </c>
      <c r="K9" s="371">
        <v>212026.60673585194</v>
      </c>
      <c r="L9" s="702">
        <v>0.20362242576661113</v>
      </c>
      <c r="M9" s="33">
        <v>517787.47648237203</v>
      </c>
      <c r="N9" s="702">
        <v>0.35068306659805237</v>
      </c>
      <c r="O9" s="371">
        <v>317241.96682450845</v>
      </c>
      <c r="P9" s="702">
        <v>0.33937070961101845</v>
      </c>
      <c r="Q9" s="371">
        <v>367669.61934437283</v>
      </c>
      <c r="R9" s="702">
        <v>0.31674599563695061</v>
      </c>
      <c r="S9" s="371">
        <v>304242.97720839613</v>
      </c>
      <c r="T9" s="22">
        <v>0.26018421070178088</v>
      </c>
      <c r="U9" s="1">
        <v>325267.52157195786</v>
      </c>
      <c r="V9" s="22">
        <v>0.35068306659805243</v>
      </c>
      <c r="W9" s="1">
        <v>181483.60122473151</v>
      </c>
      <c r="X9" s="22">
        <v>0.19231006877957718</v>
      </c>
      <c r="Y9" s="1">
        <v>451558.71599614481</v>
      </c>
      <c r="Z9" s="22">
        <f t="shared" si="6"/>
        <v>0.21875000000000014</v>
      </c>
      <c r="AA9" s="144">
        <f t="shared" si="0"/>
        <v>3954414.6700025252</v>
      </c>
      <c r="AB9" s="677">
        <f t="shared" si="2"/>
        <v>0.20832987019448557</v>
      </c>
      <c r="AC9" s="50">
        <f t="shared" si="1"/>
        <v>329534.55583354377</v>
      </c>
      <c r="AD9" s="22">
        <f t="shared" si="3"/>
        <v>0.20832987019448557</v>
      </c>
      <c r="AE9" s="595"/>
      <c r="AF9" s="595"/>
      <c r="AG9" s="555"/>
      <c r="AH9" s="74"/>
    </row>
    <row r="10" spans="1:34" s="1" customFormat="1">
      <c r="A10" s="1">
        <v>5102</v>
      </c>
      <c r="B10" s="1" t="s">
        <v>220</v>
      </c>
      <c r="C10" s="31"/>
      <c r="D10" s="702">
        <f t="shared" si="4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5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6"/>
        <v>0</v>
      </c>
      <c r="AA10" s="144">
        <f t="shared" si="0"/>
        <v>0</v>
      </c>
      <c r="AB10" s="68">
        <f t="shared" si="2"/>
        <v>0</v>
      </c>
      <c r="AC10" s="50">
        <f t="shared" si="1"/>
        <v>0</v>
      </c>
      <c r="AD10" s="68">
        <f t="shared" si="3"/>
        <v>0</v>
      </c>
      <c r="AE10" s="595"/>
      <c r="AF10" s="595"/>
      <c r="AG10" s="555"/>
      <c r="AH10" s="74"/>
    </row>
    <row r="11" spans="1:34" s="1" customFormat="1">
      <c r="A11" s="1">
        <v>5103</v>
      </c>
      <c r="B11" s="1" t="s">
        <v>63</v>
      </c>
      <c r="C11" s="26"/>
      <c r="D11" s="702">
        <f t="shared" si="4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5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6"/>
        <v>0</v>
      </c>
      <c r="AA11" s="144">
        <f t="shared" si="0"/>
        <v>0</v>
      </c>
      <c r="AB11" s="68">
        <f t="shared" si="2"/>
        <v>0</v>
      </c>
      <c r="AC11" s="50">
        <f t="shared" si="1"/>
        <v>0</v>
      </c>
      <c r="AD11" s="68">
        <f t="shared" si="3"/>
        <v>0</v>
      </c>
      <c r="AE11" s="595"/>
      <c r="AF11" s="595"/>
      <c r="AG11" s="555"/>
      <c r="AH11" s="74"/>
    </row>
    <row r="12" spans="1:34" s="1" customFormat="1" ht="15.75" thickBot="1">
      <c r="A12" s="7">
        <v>5149</v>
      </c>
      <c r="B12" s="242" t="s">
        <v>66</v>
      </c>
      <c r="C12" s="116">
        <f>C5+C6-C7-C8-C9-C10+C11</f>
        <v>1130210.4389593699</v>
      </c>
      <c r="D12" s="23">
        <v>1</v>
      </c>
      <c r="E12" s="116">
        <f>E5+E6-E7-E8-E9-E10+E11</f>
        <v>879305.37591231405</v>
      </c>
      <c r="F12" s="23">
        <v>1</v>
      </c>
      <c r="G12" s="116">
        <f>G5+G6-G7-G8-G9-G10+G11</f>
        <v>1458572</v>
      </c>
      <c r="H12" s="23">
        <v>1</v>
      </c>
      <c r="I12" s="116">
        <f>I5+I6-I7-I8-I9-I10+I11</f>
        <v>1287910.76258091</v>
      </c>
      <c r="J12" s="23">
        <v>1</v>
      </c>
      <c r="K12" s="116">
        <f>K5+K6-K7-K8-K9-K10+K11</f>
        <v>1177925.5929769599</v>
      </c>
      <c r="L12" s="23">
        <v>1</v>
      </c>
      <c r="M12" s="45">
        <f>M5+M6-M7-M8-M9-M10+M11</f>
        <v>1670282.1822011999</v>
      </c>
      <c r="N12" s="23">
        <v>1</v>
      </c>
      <c r="O12" s="45">
        <f>O5+O6-O7-O8-O9-O10+O11</f>
        <v>1057473.2227483599</v>
      </c>
      <c r="P12" s="23">
        <v>1</v>
      </c>
      <c r="Q12" s="116">
        <f>Q5+Q6-Q7-Q8-Q9-Q10+Q11</f>
        <v>1313105.7833727601</v>
      </c>
      <c r="R12" s="23">
        <v>1</v>
      </c>
      <c r="S12" s="116">
        <f>S5+S6-S7-S8-S9-S10+S11</f>
        <v>1322795.55307998</v>
      </c>
      <c r="T12" s="23">
        <v>1</v>
      </c>
      <c r="U12" s="116">
        <f>U5+U6-U7-U8-U9-U10+U11</f>
        <v>1049250.0695869597</v>
      </c>
      <c r="V12" s="23">
        <v>1</v>
      </c>
      <c r="W12" s="116">
        <f>W5+W6-W7-W8-W9-W10+W11</f>
        <v>1067550.5954396001</v>
      </c>
      <c r="X12" s="23">
        <v>1</v>
      </c>
      <c r="Y12" s="116">
        <f>Y5+Y6-Y7-Y8-Y9-Y10+Y11</f>
        <v>1612709.6999862301</v>
      </c>
      <c r="Z12" s="23">
        <v>1</v>
      </c>
      <c r="AA12" s="52">
        <f>AA5+AA6-AA7-AA8-AA9-AA10+AA11</f>
        <v>15027091.276844637</v>
      </c>
      <c r="AB12" s="23">
        <v>1</v>
      </c>
      <c r="AC12" s="52">
        <f>AC5+AC6-AC7-AC8-AC9-AC10+AC11</f>
        <v>1252257.6064037196</v>
      </c>
      <c r="AD12" s="23">
        <v>1</v>
      </c>
      <c r="AE12" s="596"/>
      <c r="AF12" s="596"/>
      <c r="AG12" s="622"/>
      <c r="AH12" s="74"/>
    </row>
    <row r="13" spans="1:34" s="1" customFormat="1" ht="15.75" thickTop="1">
      <c r="A13" s="1">
        <v>5151</v>
      </c>
      <c r="B13" s="20" t="s">
        <v>47</v>
      </c>
      <c r="C13" s="61"/>
      <c r="D13" s="18"/>
      <c r="E13" s="114"/>
      <c r="F13" s="18"/>
      <c r="G13" s="61"/>
      <c r="H13" s="18"/>
      <c r="I13" s="61"/>
      <c r="J13" s="18"/>
      <c r="K13" s="26"/>
      <c r="L13" s="18"/>
      <c r="M13" s="26"/>
      <c r="N13" s="18"/>
      <c r="O13" s="26"/>
      <c r="P13" s="18"/>
      <c r="Q13" s="26"/>
      <c r="R13" s="18"/>
      <c r="S13" s="26"/>
      <c r="T13" s="18"/>
      <c r="U13" s="61"/>
      <c r="V13" s="18"/>
      <c r="W13" s="61"/>
      <c r="X13" s="18"/>
      <c r="Y13" s="61"/>
      <c r="Z13" s="18"/>
      <c r="AA13" s="144">
        <f>C13+E13+G13+I13+K13+M13+O13+Q13+S13+U13+W13+Y13</f>
        <v>0</v>
      </c>
      <c r="AB13" s="18"/>
      <c r="AC13" s="128">
        <f t="shared" ref="AC13:AC14" si="16">AA13/12</f>
        <v>0</v>
      </c>
      <c r="AD13" s="18"/>
      <c r="AE13" s="609"/>
      <c r="AF13" s="609"/>
      <c r="AG13" s="639"/>
      <c r="AH13" s="74"/>
    </row>
    <row r="14" spans="1:34" s="1" customFormat="1">
      <c r="A14" s="1">
        <v>5152</v>
      </c>
      <c r="B14" s="20" t="s">
        <v>48</v>
      </c>
      <c r="C14" s="61"/>
      <c r="D14" s="18"/>
      <c r="E14" s="114"/>
      <c r="F14" s="18"/>
      <c r="G14" s="61"/>
      <c r="H14" s="18"/>
      <c r="I14" s="61"/>
      <c r="J14" s="18"/>
      <c r="K14" s="26"/>
      <c r="L14" s="18"/>
      <c r="M14" s="26"/>
      <c r="N14" s="18"/>
      <c r="O14" s="26"/>
      <c r="P14" s="18"/>
      <c r="Q14" s="26"/>
      <c r="R14" s="18"/>
      <c r="S14" s="26"/>
      <c r="T14" s="18"/>
      <c r="U14" s="61"/>
      <c r="V14" s="18"/>
      <c r="W14" s="61"/>
      <c r="X14" s="18"/>
      <c r="Y14" s="61"/>
      <c r="Z14" s="18"/>
      <c r="AA14" s="144">
        <f>C14+E14+G14+I14+K14+M14+O14+Q14+S14+U14+W14+Y14</f>
        <v>0</v>
      </c>
      <c r="AB14" s="18"/>
      <c r="AC14" s="128">
        <f t="shared" si="16"/>
        <v>0</v>
      </c>
      <c r="AD14" s="18"/>
      <c r="AE14" s="609"/>
      <c r="AF14" s="609"/>
      <c r="AG14" s="639"/>
      <c r="AH14" s="74"/>
    </row>
    <row r="15" spans="1:34" s="1" customFormat="1">
      <c r="A15" s="198">
        <v>5198</v>
      </c>
      <c r="B15" s="247" t="s">
        <v>106</v>
      </c>
      <c r="C15" s="79">
        <f>C13+C14</f>
        <v>0</v>
      </c>
      <c r="D15" s="199"/>
      <c r="E15" s="119">
        <f>E13+E14</f>
        <v>0</v>
      </c>
      <c r="F15" s="199"/>
      <c r="G15" s="79">
        <f>G13+G14</f>
        <v>0</v>
      </c>
      <c r="H15" s="199"/>
      <c r="I15" s="79">
        <f>I13+I14</f>
        <v>0</v>
      </c>
      <c r="J15" s="199"/>
      <c r="K15" s="29">
        <f>K13+K14</f>
        <v>0</v>
      </c>
      <c r="L15" s="199"/>
      <c r="M15" s="29">
        <f>M13+M14</f>
        <v>0</v>
      </c>
      <c r="N15" s="199"/>
      <c r="O15" s="29">
        <f>O13+O14</f>
        <v>0</v>
      </c>
      <c r="P15" s="199"/>
      <c r="Q15" s="29">
        <f>Q13+Q14</f>
        <v>0</v>
      </c>
      <c r="R15" s="199"/>
      <c r="S15" s="29">
        <f>S13+S14</f>
        <v>0</v>
      </c>
      <c r="T15" s="199"/>
      <c r="U15" s="79">
        <f>U13+U14</f>
        <v>0</v>
      </c>
      <c r="V15" s="199"/>
      <c r="W15" s="79">
        <f>W13+W14</f>
        <v>0</v>
      </c>
      <c r="X15" s="199"/>
      <c r="Y15" s="79">
        <f>Y13+Y14</f>
        <v>0</v>
      </c>
      <c r="Z15" s="199"/>
      <c r="AA15" s="58">
        <f>AA13+AA14</f>
        <v>0</v>
      </c>
      <c r="AB15" s="199"/>
      <c r="AC15" s="58">
        <f>AC13+AC14</f>
        <v>0</v>
      </c>
      <c r="AD15" s="199"/>
      <c r="AE15" s="610"/>
      <c r="AF15" s="610"/>
      <c r="AG15" s="640"/>
      <c r="AH15" s="74"/>
    </row>
    <row r="16" spans="1:34" s="1" customFormat="1" ht="15.75" thickBot="1">
      <c r="A16" s="37">
        <v>5199</v>
      </c>
      <c r="B16" s="248" t="s">
        <v>70</v>
      </c>
      <c r="C16" s="80">
        <f>C12+C15</f>
        <v>1130210.4389593699</v>
      </c>
      <c r="D16" s="25">
        <f>C16/C12</f>
        <v>1</v>
      </c>
      <c r="E16" s="120">
        <f>E12+E15</f>
        <v>879305.37591231405</v>
      </c>
      <c r="F16" s="25">
        <f>E16/E12</f>
        <v>1</v>
      </c>
      <c r="G16" s="80">
        <f>G12+G15</f>
        <v>1458572</v>
      </c>
      <c r="H16" s="25">
        <f>G16/G12</f>
        <v>1</v>
      </c>
      <c r="I16" s="80">
        <f>I12+I15</f>
        <v>1287910.76258091</v>
      </c>
      <c r="J16" s="25">
        <f>I16/I12</f>
        <v>1</v>
      </c>
      <c r="K16" s="30">
        <f>K12+K15</f>
        <v>1177925.5929769599</v>
      </c>
      <c r="L16" s="25">
        <f>K16/K12</f>
        <v>1</v>
      </c>
      <c r="M16" s="30">
        <f>M12+M15</f>
        <v>1670282.1822011999</v>
      </c>
      <c r="N16" s="25">
        <f>M16/M12</f>
        <v>1</v>
      </c>
      <c r="O16" s="30">
        <f>O12+O15</f>
        <v>1057473.2227483599</v>
      </c>
      <c r="P16" s="25">
        <f>O16/O12</f>
        <v>1</v>
      </c>
      <c r="Q16" s="30">
        <f>Q12+Q15</f>
        <v>1313105.7833727601</v>
      </c>
      <c r="R16" s="25">
        <f>Q16/Q12</f>
        <v>1</v>
      </c>
      <c r="S16" s="30">
        <f>S12+S15</f>
        <v>1322795.55307998</v>
      </c>
      <c r="T16" s="25">
        <f>S16/S12</f>
        <v>1</v>
      </c>
      <c r="U16" s="80">
        <f>U12+U15</f>
        <v>1049250.0695869597</v>
      </c>
      <c r="V16" s="25">
        <f>U16/U12</f>
        <v>1</v>
      </c>
      <c r="W16" s="80">
        <f>W12+W15</f>
        <v>1067550.5954396001</v>
      </c>
      <c r="X16" s="25">
        <f>W16/W12</f>
        <v>1</v>
      </c>
      <c r="Y16" s="80">
        <f>Y12+Y15</f>
        <v>1612709.6999862301</v>
      </c>
      <c r="Z16" s="25">
        <f>Y16/Y12</f>
        <v>1</v>
      </c>
      <c r="AA16" s="195">
        <f>AA12+AA15</f>
        <v>15027091.276844637</v>
      </c>
      <c r="AB16" s="25">
        <f>AA16/AA12</f>
        <v>1</v>
      </c>
      <c r="AC16" s="59">
        <f>AC12+AC15</f>
        <v>1252257.6064037196</v>
      </c>
      <c r="AD16" s="25">
        <f>AC16/AC12</f>
        <v>1</v>
      </c>
      <c r="AE16" s="600"/>
      <c r="AF16" s="600"/>
      <c r="AG16" s="624"/>
      <c r="AH16" s="74"/>
    </row>
    <row r="17" spans="1:34" s="1" customFormat="1" ht="15.75" thickTop="1">
      <c r="A17" s="13">
        <v>5502</v>
      </c>
      <c r="B17" s="17" t="s">
        <v>49</v>
      </c>
      <c r="C17" s="704">
        <f>C12*49.34%</f>
        <v>557645.83058255317</v>
      </c>
      <c r="D17" s="677">
        <f>C17/C12</f>
        <v>0.49340000000000006</v>
      </c>
      <c r="E17" s="704">
        <f>E12*40.78%</f>
        <v>358580.73229704169</v>
      </c>
      <c r="F17" s="702">
        <f>E17/E12</f>
        <v>0.4078</v>
      </c>
      <c r="G17" s="704">
        <f>G12*48.9%</f>
        <v>713241.70799999998</v>
      </c>
      <c r="H17" s="702">
        <f>G17/G12</f>
        <v>0.48899999999999999</v>
      </c>
      <c r="I17" s="704">
        <f>I12*41.58%</f>
        <v>535513.29508114234</v>
      </c>
      <c r="J17" s="702">
        <f>I17/I12</f>
        <v>0.41579999999999995</v>
      </c>
      <c r="K17" s="704">
        <f>K12*37.59%</f>
        <v>442782.23040003923</v>
      </c>
      <c r="L17" s="702">
        <f>K17/K12</f>
        <v>0.37590000000000001</v>
      </c>
      <c r="M17" s="704">
        <f>M12*49.07%</f>
        <v>819607.46680612885</v>
      </c>
      <c r="N17" s="702">
        <f>M17/M12</f>
        <v>0.49070000000000003</v>
      </c>
      <c r="O17" s="704">
        <f>O12*41.82%</f>
        <v>442235.30175336415</v>
      </c>
      <c r="P17" s="702">
        <f>O17/O12</f>
        <v>0.41820000000000002</v>
      </c>
      <c r="Q17" s="704">
        <f>Q12*39.71%</f>
        <v>521434.306577323</v>
      </c>
      <c r="R17" s="702">
        <f>Q17/Q12</f>
        <v>0.39710000000000001</v>
      </c>
      <c r="S17" s="704">
        <f>S12*43.04%</f>
        <v>569331.2060456234</v>
      </c>
      <c r="T17" s="702">
        <f>S17/S12</f>
        <v>0.4304</v>
      </c>
      <c r="U17" s="704">
        <f>U12*41.36%</f>
        <v>433969.82878116646</v>
      </c>
      <c r="V17" s="702">
        <f>U17/U12</f>
        <v>0.41359999999999997</v>
      </c>
      <c r="W17" s="704">
        <f>W12*39%</f>
        <v>416344.73222144402</v>
      </c>
      <c r="X17" s="702">
        <f>W17/W12</f>
        <v>0.39</v>
      </c>
      <c r="Y17" s="704">
        <f>Y12*46.37%</f>
        <v>747813.48788361496</v>
      </c>
      <c r="Z17" s="702">
        <f>Y17/Y12</f>
        <v>0.46370000000000006</v>
      </c>
      <c r="AA17" s="144">
        <f>C17+E17+G17+I17+K17+M17+O17+Q17+S17+U17+W17+Y17</f>
        <v>6558500.1264294414</v>
      </c>
      <c r="AB17" s="68">
        <f>AA17/AA12</f>
        <v>0.43644508478733246</v>
      </c>
      <c r="AC17" s="128">
        <f t="shared" ref="AC17:AC20" si="17">AA17/12</f>
        <v>546541.67720245349</v>
      </c>
      <c r="AD17" s="68">
        <f>AC17/AC12</f>
        <v>0.43644508478733252</v>
      </c>
      <c r="AE17" s="595"/>
      <c r="AF17" s="595"/>
      <c r="AG17" s="555"/>
      <c r="AH17" s="74"/>
    </row>
    <row r="18" spans="1:34" s="1" customFormat="1">
      <c r="A18" s="3">
        <v>5503</v>
      </c>
      <c r="B18" s="238" t="s">
        <v>50</v>
      </c>
      <c r="C18" s="292"/>
      <c r="D18" s="102"/>
      <c r="E18" s="61"/>
      <c r="F18" s="102"/>
      <c r="G18" s="114"/>
      <c r="H18" s="102"/>
      <c r="I18" s="26"/>
      <c r="J18" s="102"/>
      <c r="K18" s="61"/>
      <c r="L18" s="102"/>
      <c r="M18" s="26"/>
      <c r="N18" s="102"/>
      <c r="O18" s="33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17"/>
        <v>0</v>
      </c>
      <c r="AD18" s="102"/>
      <c r="AE18" s="595"/>
      <c r="AF18" s="595"/>
      <c r="AG18" s="618"/>
      <c r="AH18" s="74"/>
    </row>
    <row r="19" spans="1:34" s="1" customFormat="1">
      <c r="A19" s="187">
        <v>5504</v>
      </c>
      <c r="B19" s="758" t="s">
        <v>51</v>
      </c>
      <c r="C19" s="26"/>
      <c r="D19" s="677">
        <f>C19/C12</f>
        <v>0</v>
      </c>
      <c r="E19" s="26"/>
      <c r="F19" s="677">
        <f>E19/E12</f>
        <v>0</v>
      </c>
      <c r="G19" s="33"/>
      <c r="H19" s="677">
        <f>G19/G12</f>
        <v>0</v>
      </c>
      <c r="I19" s="33"/>
      <c r="J19" s="677">
        <f>I19/I12</f>
        <v>0</v>
      </c>
      <c r="K19" s="26"/>
      <c r="L19" s="677">
        <f>K19/K12</f>
        <v>0</v>
      </c>
      <c r="M19" s="33"/>
      <c r="N19" s="702">
        <f>M19/M12</f>
        <v>0</v>
      </c>
      <c r="O19" s="33"/>
      <c r="P19" s="702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17"/>
        <v>0</v>
      </c>
      <c r="AD19" s="68">
        <f>AC19/AC12</f>
        <v>0</v>
      </c>
      <c r="AE19" s="595"/>
      <c r="AF19" s="595"/>
      <c r="AG19" s="555"/>
      <c r="AH19" s="74"/>
    </row>
    <row r="20" spans="1:34" s="1" customFormat="1">
      <c r="A20" s="3">
        <v>5505</v>
      </c>
      <c r="B20" s="238" t="s">
        <v>52</v>
      </c>
      <c r="C20" s="292"/>
      <c r="D20" s="102"/>
      <c r="E20" s="61"/>
      <c r="F20" s="102"/>
      <c r="G20" s="114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17"/>
        <v>0</v>
      </c>
      <c r="AD20" s="102"/>
      <c r="AE20" s="595"/>
      <c r="AF20" s="595"/>
      <c r="AG20" s="618"/>
      <c r="AH20" s="74"/>
    </row>
    <row r="21" spans="1:34" s="1" customFormat="1" ht="15.75" thickBot="1">
      <c r="A21" s="8">
        <v>5599</v>
      </c>
      <c r="B21" s="245" t="s">
        <v>107</v>
      </c>
      <c r="C21" s="76">
        <f>SUM(C17:C20)</f>
        <v>557645.83058255317</v>
      </c>
      <c r="D21" s="23">
        <f>C21/C12</f>
        <v>0.49340000000000006</v>
      </c>
      <c r="E21" s="116">
        <f>SUM(E17:E20)</f>
        <v>358580.73229704169</v>
      </c>
      <c r="F21" s="23">
        <f>E21/E12</f>
        <v>0.4078</v>
      </c>
      <c r="G21" s="76">
        <f>SUM(G17:G20)</f>
        <v>713241.70799999998</v>
      </c>
      <c r="H21" s="23">
        <f>G21/G12</f>
        <v>0.48899999999999999</v>
      </c>
      <c r="I21" s="76">
        <f>SUM(I17:I20)</f>
        <v>535513.29508114234</v>
      </c>
      <c r="J21" s="23">
        <f>I21/I12</f>
        <v>0.41579999999999995</v>
      </c>
      <c r="K21" s="28">
        <f>SUM(K17:K20)</f>
        <v>442782.23040003923</v>
      </c>
      <c r="L21" s="23">
        <f>K21/K12</f>
        <v>0.37590000000000001</v>
      </c>
      <c r="M21" s="28">
        <f>SUM(M17:M20)</f>
        <v>819607.46680612885</v>
      </c>
      <c r="N21" s="23">
        <f>M21/M12</f>
        <v>0.49070000000000003</v>
      </c>
      <c r="O21" s="28">
        <f>SUM(O17:O20)</f>
        <v>442235.30175336415</v>
      </c>
      <c r="P21" s="23">
        <f>O21/O12</f>
        <v>0.41820000000000002</v>
      </c>
      <c r="Q21" s="301">
        <f>SUM(Q17:Q20)</f>
        <v>521434.306577323</v>
      </c>
      <c r="R21" s="23">
        <f>Q21/Q12</f>
        <v>0.39710000000000001</v>
      </c>
      <c r="S21" s="28">
        <f>SUM(S17:S20)</f>
        <v>569331.2060456234</v>
      </c>
      <c r="T21" s="23">
        <f>S21/S12</f>
        <v>0.4304</v>
      </c>
      <c r="U21" s="76">
        <f>SUM(U17:U20)</f>
        <v>433969.82878116646</v>
      </c>
      <c r="V21" s="23">
        <f>U21/U12</f>
        <v>0.41359999999999997</v>
      </c>
      <c r="W21" s="76">
        <f>SUM(W17:W20)</f>
        <v>416344.73222144402</v>
      </c>
      <c r="X21" s="23">
        <f>W21/W12</f>
        <v>0.39</v>
      </c>
      <c r="Y21" s="76">
        <f>SUM(Y17:Y20)</f>
        <v>747813.48788361496</v>
      </c>
      <c r="Z21" s="23">
        <f>Y21/Y12</f>
        <v>0.46370000000000006</v>
      </c>
      <c r="AA21" s="196">
        <f>SUM(AA17:AA20)</f>
        <v>6558500.1264294414</v>
      </c>
      <c r="AB21" s="23">
        <f>AA21/AA12</f>
        <v>0.43644508478733246</v>
      </c>
      <c r="AC21" s="52">
        <f>SUM(AC17:AC20)</f>
        <v>546541.67720245349</v>
      </c>
      <c r="AD21" s="23">
        <f>AC21/AC12</f>
        <v>0.43644508478733252</v>
      </c>
      <c r="AE21" s="596"/>
      <c r="AF21" s="596"/>
      <c r="AG21" s="622"/>
      <c r="AH21" s="74"/>
    </row>
    <row r="22" spans="1:34" s="1" customFormat="1" ht="15.75" thickTop="1">
      <c r="A22" s="187">
        <v>5601</v>
      </c>
      <c r="B22" s="3" t="s">
        <v>53</v>
      </c>
      <c r="C22" s="26"/>
      <c r="D22" s="68">
        <f>C22/C12</f>
        <v>0</v>
      </c>
      <c r="E22" s="26"/>
      <c r="F22" s="68">
        <f>E22/E12</f>
        <v>0</v>
      </c>
      <c r="G22" s="26"/>
      <c r="H22" s="68">
        <f>G22/G12</f>
        <v>0</v>
      </c>
      <c r="I22" s="26"/>
      <c r="J22" s="68">
        <f>I22/I12</f>
        <v>0</v>
      </c>
      <c r="K22" s="26"/>
      <c r="L22" s="68">
        <f>K22/K12</f>
        <v>0</v>
      </c>
      <c r="M22" s="26"/>
      <c r="N22" s="702">
        <f>M22/M12</f>
        <v>0</v>
      </c>
      <c r="O22" s="26"/>
      <c r="P22" s="702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18">C22+E22+G22+I22+K22+M22+O22+Q22+S22+U22+W22+Y22</f>
        <v>0</v>
      </c>
      <c r="AB22" s="68">
        <f>AA22/AA12</f>
        <v>0</v>
      </c>
      <c r="AC22" s="128">
        <f t="shared" ref="AC22:AC34" si="19">AA22/12</f>
        <v>0</v>
      </c>
      <c r="AD22" s="68">
        <f>AC22/AC12</f>
        <v>0</v>
      </c>
      <c r="AE22" s="595"/>
      <c r="AF22" s="595"/>
      <c r="AG22" s="555"/>
      <c r="AH22" s="74"/>
    </row>
    <row r="23" spans="1:34" s="1" customFormat="1">
      <c r="A23" s="3">
        <v>5602</v>
      </c>
      <c r="B23" s="3" t="s">
        <v>54</v>
      </c>
      <c r="C23" s="26"/>
      <c r="D23" s="68">
        <f>C23/C12</f>
        <v>0</v>
      </c>
      <c r="E23" s="26"/>
      <c r="F23" s="68">
        <f>E23/E12</f>
        <v>0</v>
      </c>
      <c r="G23" s="26"/>
      <c r="H23" s="68">
        <f>G23/G12</f>
        <v>0</v>
      </c>
      <c r="I23" s="26"/>
      <c r="J23" s="68">
        <f>I23/I12</f>
        <v>0</v>
      </c>
      <c r="K23" s="26"/>
      <c r="L23" s="68">
        <f>K23/K12</f>
        <v>0</v>
      </c>
      <c r="M23" s="26"/>
      <c r="N23" s="702">
        <f>M23/M12</f>
        <v>0</v>
      </c>
      <c r="O23" s="26"/>
      <c r="P23" s="702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18"/>
        <v>0</v>
      </c>
      <c r="AB23" s="68">
        <f>AA23/AA12</f>
        <v>0</v>
      </c>
      <c r="AC23" s="128">
        <f t="shared" si="19"/>
        <v>0</v>
      </c>
      <c r="AD23" s="68">
        <f>AC23/AC12</f>
        <v>0</v>
      </c>
      <c r="AE23" s="595"/>
      <c r="AF23" s="595"/>
      <c r="AG23" s="555"/>
      <c r="AH23" s="74"/>
    </row>
    <row r="24" spans="1:34" s="1" customFormat="1">
      <c r="A24" s="3">
        <v>5603</v>
      </c>
      <c r="B24" s="3" t="s">
        <v>55</v>
      </c>
      <c r="C24" s="26"/>
      <c r="D24" s="68">
        <f>C24/C12</f>
        <v>0</v>
      </c>
      <c r="E24" s="26"/>
      <c r="F24" s="68">
        <f>E24/E12</f>
        <v>0</v>
      </c>
      <c r="G24" s="26"/>
      <c r="H24" s="68">
        <f>G24/G12</f>
        <v>0</v>
      </c>
      <c r="I24" s="26"/>
      <c r="J24" s="68">
        <f>I24/I12</f>
        <v>0</v>
      </c>
      <c r="K24" s="26"/>
      <c r="L24" s="68">
        <f>K24/K12</f>
        <v>0</v>
      </c>
      <c r="M24" s="26"/>
      <c r="N24" s="702">
        <f>M24/M12</f>
        <v>0</v>
      </c>
      <c r="O24" s="26"/>
      <c r="P24" s="702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18"/>
        <v>0</v>
      </c>
      <c r="AB24" s="68">
        <f>AA24/AA12</f>
        <v>0</v>
      </c>
      <c r="AC24" s="128">
        <f t="shared" si="19"/>
        <v>0</v>
      </c>
      <c r="AD24" s="68">
        <f>AC24/AC12</f>
        <v>0</v>
      </c>
      <c r="AE24" s="595"/>
      <c r="AF24" s="595"/>
      <c r="AG24" s="555"/>
      <c r="AH24" s="74"/>
    </row>
    <row r="25" spans="1:34" s="1" customFormat="1">
      <c r="A25" s="187">
        <v>5604</v>
      </c>
      <c r="B25" s="187" t="s">
        <v>56</v>
      </c>
      <c r="C25" s="26">
        <v>250</v>
      </c>
      <c r="D25" s="702">
        <f>C25/C12</f>
        <v>2.2119774458125252E-4</v>
      </c>
      <c r="E25" s="26">
        <v>250</v>
      </c>
      <c r="F25" s="702">
        <f>E25/E12</f>
        <v>2.8431533213431695E-4</v>
      </c>
      <c r="G25" s="26">
        <v>250</v>
      </c>
      <c r="H25" s="702">
        <f>G25/G12</f>
        <v>1.7140052050910068E-4</v>
      </c>
      <c r="I25" s="26">
        <v>250</v>
      </c>
      <c r="J25" s="702">
        <f>I25/I12</f>
        <v>1.9411282773894385E-4</v>
      </c>
      <c r="K25" s="26">
        <v>250</v>
      </c>
      <c r="L25" s="702">
        <f>K25/K12</f>
        <v>2.1223751439866201E-4</v>
      </c>
      <c r="M25" s="26">
        <v>250</v>
      </c>
      <c r="N25" s="702">
        <f>M25/M12</f>
        <v>1.4967530795936213E-4</v>
      </c>
      <c r="O25" s="26">
        <v>250</v>
      </c>
      <c r="P25" s="702">
        <f>O25/O12</f>
        <v>2.3641260565468794E-4</v>
      </c>
      <c r="Q25" s="26">
        <v>250</v>
      </c>
      <c r="R25" s="702">
        <f>Q25/Q12</f>
        <v>1.9038831689391079E-4</v>
      </c>
      <c r="S25" s="26">
        <v>250</v>
      </c>
      <c r="T25" s="702">
        <f>S25/S12</f>
        <v>1.8899368040503557E-4</v>
      </c>
      <c r="U25" s="26">
        <v>250</v>
      </c>
      <c r="V25" s="702">
        <f>U25/U12</f>
        <v>2.382654118845217E-4</v>
      </c>
      <c r="W25" s="26">
        <v>250</v>
      </c>
      <c r="X25" s="702">
        <f>W25/W12</f>
        <v>2.3418093818499913E-4</v>
      </c>
      <c r="Y25" s="26">
        <v>250</v>
      </c>
      <c r="Z25" s="702">
        <f>Y25/Y12</f>
        <v>1.5501860006307062E-4</v>
      </c>
      <c r="AA25" s="144">
        <f t="shared" si="18"/>
        <v>3000</v>
      </c>
      <c r="AB25" s="68">
        <f>AA25/AA12</f>
        <v>1.9963943418795384E-4</v>
      </c>
      <c r="AC25" s="128">
        <f t="shared" si="19"/>
        <v>250</v>
      </c>
      <c r="AD25" s="68">
        <f>AC25/AC12</f>
        <v>1.9963943418795384E-4</v>
      </c>
      <c r="AE25" s="595" t="s">
        <v>257</v>
      </c>
      <c r="AF25" s="595"/>
      <c r="AG25" s="555"/>
      <c r="AH25" s="74"/>
    </row>
    <row r="26" spans="1:34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8"/>
        <v>0</v>
      </c>
      <c r="AB26" s="68">
        <f>AA26/AA12</f>
        <v>0</v>
      </c>
      <c r="AC26" s="128">
        <f t="shared" si="19"/>
        <v>0</v>
      </c>
      <c r="AD26" s="68">
        <f>AC26/AC12</f>
        <v>0</v>
      </c>
      <c r="AE26" s="595"/>
      <c r="AF26" s="595"/>
      <c r="AG26" s="555"/>
      <c r="AH26" s="74"/>
    </row>
    <row r="27" spans="1:34" s="1" customFormat="1">
      <c r="A27" s="187">
        <v>5606</v>
      </c>
      <c r="B27" s="187" t="s">
        <v>77</v>
      </c>
      <c r="C27" s="26">
        <f>C16*0.3%</f>
        <v>3390.6313168781098</v>
      </c>
      <c r="D27" s="702">
        <f>C27/C12</f>
        <v>3.0000000000000001E-3</v>
      </c>
      <c r="E27" s="26">
        <f>E16*0.3%</f>
        <v>2637.9161277369421</v>
      </c>
      <c r="F27" s="702">
        <f>E27/E12</f>
        <v>3.0000000000000001E-3</v>
      </c>
      <c r="G27" s="26">
        <f>G16*0.3%</f>
        <v>4375.7160000000003</v>
      </c>
      <c r="H27" s="702">
        <f>G27/G12</f>
        <v>3.0000000000000001E-3</v>
      </c>
      <c r="I27" s="26">
        <f>I16*0.3%</f>
        <v>3863.73228774273</v>
      </c>
      <c r="J27" s="702">
        <f>I27/I12</f>
        <v>3.0000000000000001E-3</v>
      </c>
      <c r="K27" s="26">
        <f>K16*0.3%</f>
        <v>3533.7767789308796</v>
      </c>
      <c r="L27" s="702">
        <f>K27/K12</f>
        <v>3.0000000000000001E-3</v>
      </c>
      <c r="M27" s="26">
        <f>M16*0.3%</f>
        <v>5010.8465466035996</v>
      </c>
      <c r="N27" s="702">
        <f>M27/M12</f>
        <v>3.0000000000000001E-3</v>
      </c>
      <c r="O27" s="26">
        <f>O16*0.3%</f>
        <v>3172.4196682450797</v>
      </c>
      <c r="P27" s="702">
        <f>O27/O12</f>
        <v>3.0000000000000001E-3</v>
      </c>
      <c r="Q27" s="26">
        <f>Q16*0.3%</f>
        <v>3939.31735011828</v>
      </c>
      <c r="R27" s="702">
        <f>Q27/Q12</f>
        <v>3.0000000000000001E-3</v>
      </c>
      <c r="S27" s="26">
        <f>S16*0.3%</f>
        <v>3968.3866592399399</v>
      </c>
      <c r="T27" s="702">
        <f>S27/S12</f>
        <v>3.0000000000000001E-3</v>
      </c>
      <c r="U27" s="26">
        <f>U16*0.3%</f>
        <v>3147.7502087608791</v>
      </c>
      <c r="V27" s="702">
        <f>U27/U12</f>
        <v>3.0000000000000001E-3</v>
      </c>
      <c r="W27" s="26">
        <f>W16*0.3%</f>
        <v>3202.6517863188001</v>
      </c>
      <c r="X27" s="702">
        <f>W27/W12</f>
        <v>3.0000000000000001E-3</v>
      </c>
      <c r="Y27" s="26">
        <f>Y16*0.3%</f>
        <v>4838.1290999586909</v>
      </c>
      <c r="Z27" s="702">
        <f>Y27/Y12</f>
        <v>3.0000000000000005E-3</v>
      </c>
      <c r="AA27" s="144">
        <f t="shared" si="18"/>
        <v>45081.27383053393</v>
      </c>
      <c r="AB27" s="702">
        <f>AA27/AA12</f>
        <v>3.0000000000000014E-3</v>
      </c>
      <c r="AC27" s="128">
        <f t="shared" si="19"/>
        <v>3756.7728192111608</v>
      </c>
      <c r="AD27" s="702">
        <f>AC27/AC12</f>
        <v>3.0000000000000014E-3</v>
      </c>
      <c r="AE27" s="645"/>
      <c r="AF27" s="226"/>
      <c r="AG27" s="226"/>
    </row>
    <row r="28" spans="1:34" s="1" customFormat="1">
      <c r="A28" s="3">
        <v>5607</v>
      </c>
      <c r="B28" s="238" t="s">
        <v>57</v>
      </c>
      <c r="C28" s="26"/>
      <c r="D28" s="24">
        <f>C28/C12</f>
        <v>0</v>
      </c>
      <c r="E28" s="26"/>
      <c r="F28" s="24">
        <f>E28/E12</f>
        <v>0</v>
      </c>
      <c r="G28" s="26"/>
      <c r="H28" s="24">
        <f>G28/G12</f>
        <v>0</v>
      </c>
      <c r="I28" s="26"/>
      <c r="J28" s="24">
        <f>I28/I12</f>
        <v>0</v>
      </c>
      <c r="K28" s="26"/>
      <c r="L28" s="24">
        <f>K28/K12</f>
        <v>0</v>
      </c>
      <c r="M28" s="26"/>
      <c r="N28" s="24">
        <f>M28/M12</f>
        <v>0</v>
      </c>
      <c r="O28" s="26"/>
      <c r="P28" s="24">
        <f>O28/O12</f>
        <v>0</v>
      </c>
      <c r="Q28" s="26"/>
      <c r="R28" s="24">
        <f>Q28/Q12</f>
        <v>0</v>
      </c>
      <c r="S28" s="26"/>
      <c r="T28" s="24">
        <f>S28/S12</f>
        <v>0</v>
      </c>
      <c r="U28" s="26"/>
      <c r="V28" s="24">
        <f>U28/U12</f>
        <v>0</v>
      </c>
      <c r="W28" s="26"/>
      <c r="X28" s="24">
        <f>W28/W12</f>
        <v>0</v>
      </c>
      <c r="Y28" s="26"/>
      <c r="Z28" s="24">
        <f>Y28/Y12</f>
        <v>0</v>
      </c>
      <c r="AA28" s="144">
        <f t="shared" si="18"/>
        <v>0</v>
      </c>
      <c r="AB28" s="24">
        <f>AA28/AA12</f>
        <v>0</v>
      </c>
      <c r="AC28" s="128">
        <f t="shared" si="19"/>
        <v>0</v>
      </c>
      <c r="AD28" s="24">
        <f>AC28/AC12</f>
        <v>0</v>
      </c>
      <c r="AE28" s="595"/>
      <c r="AF28" s="595"/>
      <c r="AG28" s="555"/>
      <c r="AH28" s="74"/>
    </row>
    <row r="29" spans="1:34" s="1" customFormat="1">
      <c r="A29" s="3">
        <v>5608</v>
      </c>
      <c r="B29" s="238" t="s">
        <v>58</v>
      </c>
      <c r="C29" s="26"/>
      <c r="D29" s="24">
        <f>C29/C12</f>
        <v>0</v>
      </c>
      <c r="E29" s="26"/>
      <c r="F29" s="24">
        <f>E29/E12</f>
        <v>0</v>
      </c>
      <c r="G29" s="26"/>
      <c r="H29" s="24">
        <f>G29/G12</f>
        <v>0</v>
      </c>
      <c r="I29" s="26"/>
      <c r="J29" s="24">
        <f>I29/I12</f>
        <v>0</v>
      </c>
      <c r="K29" s="26"/>
      <c r="L29" s="24">
        <f>K29/K12</f>
        <v>0</v>
      </c>
      <c r="M29" s="26"/>
      <c r="N29" s="24">
        <f>M29/M12</f>
        <v>0</v>
      </c>
      <c r="O29" s="26"/>
      <c r="P29" s="24">
        <f>O29/O12</f>
        <v>0</v>
      </c>
      <c r="Q29" s="26"/>
      <c r="R29" s="24">
        <f>Q29/Q12</f>
        <v>0</v>
      </c>
      <c r="S29" s="26"/>
      <c r="T29" s="24">
        <f>S29/S12</f>
        <v>0</v>
      </c>
      <c r="U29" s="26"/>
      <c r="V29" s="24">
        <f>U29/U12</f>
        <v>0</v>
      </c>
      <c r="W29" s="26"/>
      <c r="X29" s="24">
        <f>W29/W12</f>
        <v>0</v>
      </c>
      <c r="Y29" s="26"/>
      <c r="Z29" s="24">
        <f>Y29/Y12</f>
        <v>0</v>
      </c>
      <c r="AA29" s="144">
        <f t="shared" si="18"/>
        <v>0</v>
      </c>
      <c r="AB29" s="24">
        <f>AA29/AA12</f>
        <v>0</v>
      </c>
      <c r="AC29" s="128">
        <f t="shared" si="19"/>
        <v>0</v>
      </c>
      <c r="AD29" s="24">
        <f>AC29/AC12</f>
        <v>0</v>
      </c>
      <c r="AE29" s="595"/>
      <c r="AF29" s="595"/>
      <c r="AG29" s="555"/>
      <c r="AH29" s="74"/>
    </row>
    <row r="30" spans="1:34" s="1" customFormat="1">
      <c r="A30" s="3">
        <v>5609</v>
      </c>
      <c r="B30" s="238" t="s">
        <v>59</v>
      </c>
      <c r="C30" s="26"/>
      <c r="D30" s="24">
        <f>C30/C12</f>
        <v>0</v>
      </c>
      <c r="E30" s="26"/>
      <c r="F30" s="24">
        <f>E30/E12</f>
        <v>0</v>
      </c>
      <c r="G30" s="26"/>
      <c r="H30" s="24">
        <f>G30/G12</f>
        <v>0</v>
      </c>
      <c r="I30" s="26"/>
      <c r="J30" s="24">
        <f>I30/I12</f>
        <v>0</v>
      </c>
      <c r="K30" s="26"/>
      <c r="L30" s="24">
        <f>K30/K12</f>
        <v>0</v>
      </c>
      <c r="M30" s="26"/>
      <c r="N30" s="24">
        <f>M30/M12</f>
        <v>0</v>
      </c>
      <c r="O30" s="26"/>
      <c r="P30" s="24">
        <f>O30/O12</f>
        <v>0</v>
      </c>
      <c r="Q30" s="26"/>
      <c r="R30" s="24">
        <f>Q30/Q12</f>
        <v>0</v>
      </c>
      <c r="S30" s="26"/>
      <c r="T30" s="24">
        <f>S30/S12</f>
        <v>0</v>
      </c>
      <c r="U30" s="26"/>
      <c r="V30" s="24">
        <f>U30/U12</f>
        <v>0</v>
      </c>
      <c r="W30" s="26"/>
      <c r="X30" s="24">
        <f>W30/W12</f>
        <v>0</v>
      </c>
      <c r="Y30" s="26"/>
      <c r="Z30" s="24">
        <f>Y30/Y12</f>
        <v>0</v>
      </c>
      <c r="AA30" s="144">
        <f t="shared" si="18"/>
        <v>0</v>
      </c>
      <c r="AB30" s="24">
        <f>AA30/AA12</f>
        <v>0</v>
      </c>
      <c r="AC30" s="128">
        <f t="shared" si="19"/>
        <v>0</v>
      </c>
      <c r="AD30" s="24">
        <f>AC30/AC12</f>
        <v>0</v>
      </c>
      <c r="AE30" s="595"/>
      <c r="AF30" s="595"/>
      <c r="AG30" s="555"/>
      <c r="AH30" s="74"/>
    </row>
    <row r="31" spans="1:34" s="1" customFormat="1">
      <c r="A31" s="3">
        <v>5610</v>
      </c>
      <c r="B31" s="238" t="s">
        <v>60</v>
      </c>
      <c r="C31" s="26"/>
      <c r="D31" s="24">
        <f>C31/C12</f>
        <v>0</v>
      </c>
      <c r="E31" s="26"/>
      <c r="F31" s="24">
        <f>E31/E12</f>
        <v>0</v>
      </c>
      <c r="G31" s="26"/>
      <c r="H31" s="24">
        <f>G31/G12</f>
        <v>0</v>
      </c>
      <c r="I31" s="26"/>
      <c r="J31" s="24">
        <f>I31/I12</f>
        <v>0</v>
      </c>
      <c r="K31" s="26"/>
      <c r="L31" s="24">
        <f>K31/K12</f>
        <v>0</v>
      </c>
      <c r="M31" s="26"/>
      <c r="N31" s="24">
        <f>M31/M12</f>
        <v>0</v>
      </c>
      <c r="O31" s="26"/>
      <c r="P31" s="24">
        <f>O31/O12</f>
        <v>0</v>
      </c>
      <c r="Q31" s="26"/>
      <c r="R31" s="24">
        <f>Q31/Q12</f>
        <v>0</v>
      </c>
      <c r="S31" s="26"/>
      <c r="T31" s="24">
        <f>S31/S12</f>
        <v>0</v>
      </c>
      <c r="U31" s="26"/>
      <c r="V31" s="24">
        <f>U31/U12</f>
        <v>0</v>
      </c>
      <c r="W31" s="26"/>
      <c r="X31" s="24">
        <f>W31/W12</f>
        <v>0</v>
      </c>
      <c r="Y31" s="26"/>
      <c r="Z31" s="24">
        <f>Y31/Y12</f>
        <v>0</v>
      </c>
      <c r="AA31" s="144">
        <f t="shared" si="18"/>
        <v>0</v>
      </c>
      <c r="AB31" s="24">
        <f>AA31/AA12</f>
        <v>0</v>
      </c>
      <c r="AC31" s="128">
        <f t="shared" si="19"/>
        <v>0</v>
      </c>
      <c r="AD31" s="24">
        <f>AC31/AC12</f>
        <v>0</v>
      </c>
      <c r="AE31" s="595"/>
      <c r="AF31" s="595"/>
      <c r="AG31" s="555"/>
      <c r="AH31" s="74"/>
    </row>
    <row r="32" spans="1:34" s="1" customFormat="1">
      <c r="A32" s="3">
        <v>5611</v>
      </c>
      <c r="B32" s="238" t="s">
        <v>108</v>
      </c>
      <c r="C32" s="26"/>
      <c r="D32" s="24">
        <f>C32/C12</f>
        <v>0</v>
      </c>
      <c r="E32" s="26"/>
      <c r="F32" s="24">
        <f>E32/E12</f>
        <v>0</v>
      </c>
      <c r="G32" s="26"/>
      <c r="H32" s="24">
        <f>G32/G12</f>
        <v>0</v>
      </c>
      <c r="I32" s="26"/>
      <c r="J32" s="24">
        <f>I32/I12</f>
        <v>0</v>
      </c>
      <c r="K32" s="26"/>
      <c r="L32" s="24">
        <f>K32/K12</f>
        <v>0</v>
      </c>
      <c r="M32" s="26"/>
      <c r="N32" s="24">
        <f>M32/M12</f>
        <v>0</v>
      </c>
      <c r="O32" s="26"/>
      <c r="P32" s="24">
        <f>O32/O12</f>
        <v>0</v>
      </c>
      <c r="Q32" s="26"/>
      <c r="R32" s="24">
        <f>Q32/Q12</f>
        <v>0</v>
      </c>
      <c r="S32" s="26"/>
      <c r="T32" s="24">
        <f>S32/S12</f>
        <v>0</v>
      </c>
      <c r="U32" s="26"/>
      <c r="V32" s="24">
        <f>U32/U12</f>
        <v>0</v>
      </c>
      <c r="W32" s="26"/>
      <c r="X32" s="24">
        <f>W32/W12</f>
        <v>0</v>
      </c>
      <c r="Y32" s="26"/>
      <c r="Z32" s="24">
        <f>Y32/Y12</f>
        <v>0</v>
      </c>
      <c r="AA32" s="144">
        <f t="shared" si="18"/>
        <v>0</v>
      </c>
      <c r="AB32" s="24">
        <f>AA32/AA12</f>
        <v>0</v>
      </c>
      <c r="AC32" s="128">
        <f t="shared" si="19"/>
        <v>0</v>
      </c>
      <c r="AD32" s="24">
        <f>AC32/AC12</f>
        <v>0</v>
      </c>
      <c r="AE32" s="595"/>
      <c r="AF32" s="595"/>
      <c r="AG32" s="555"/>
      <c r="AH32" s="74"/>
    </row>
    <row r="33" spans="1:34" s="1" customFormat="1">
      <c r="A33" s="3">
        <v>5612</v>
      </c>
      <c r="B33" s="238" t="s">
        <v>61</v>
      </c>
      <c r="C33" s="26"/>
      <c r="D33" s="24">
        <f>C33/C12</f>
        <v>0</v>
      </c>
      <c r="E33" s="26"/>
      <c r="F33" s="24">
        <f>E33/E12</f>
        <v>0</v>
      </c>
      <c r="G33" s="26"/>
      <c r="H33" s="24">
        <f>G33/G12</f>
        <v>0</v>
      </c>
      <c r="I33" s="26"/>
      <c r="J33" s="24">
        <f>I33/I12</f>
        <v>0</v>
      </c>
      <c r="K33" s="26"/>
      <c r="L33" s="24">
        <f>K33/K12</f>
        <v>0</v>
      </c>
      <c r="M33" s="26"/>
      <c r="N33" s="24">
        <f>M33/M12</f>
        <v>0</v>
      </c>
      <c r="O33" s="26"/>
      <c r="P33" s="24">
        <f>O33/O12</f>
        <v>0</v>
      </c>
      <c r="Q33" s="26"/>
      <c r="R33" s="24">
        <f>Q33/Q12</f>
        <v>0</v>
      </c>
      <c r="S33" s="26"/>
      <c r="T33" s="24">
        <f>S33/S12</f>
        <v>0</v>
      </c>
      <c r="U33" s="26"/>
      <c r="V33" s="24">
        <f>U33/U12</f>
        <v>0</v>
      </c>
      <c r="W33" s="26"/>
      <c r="X33" s="24">
        <f>W33/W12</f>
        <v>0</v>
      </c>
      <c r="Y33" s="26"/>
      <c r="Z33" s="24">
        <f>Y33/Y12</f>
        <v>0</v>
      </c>
      <c r="AA33" s="144">
        <f t="shared" si="18"/>
        <v>0</v>
      </c>
      <c r="AB33" s="24">
        <f>AA33/AA12</f>
        <v>0</v>
      </c>
      <c r="AC33" s="128">
        <f t="shared" si="19"/>
        <v>0</v>
      </c>
      <c r="AD33" s="24">
        <f>AC33/AC12</f>
        <v>0</v>
      </c>
      <c r="AE33" s="595"/>
      <c r="AF33" s="595"/>
      <c r="AG33" s="555"/>
      <c r="AH33" s="74"/>
    </row>
    <row r="34" spans="1:34" s="1" customFormat="1">
      <c r="A34" s="211">
        <v>5613</v>
      </c>
      <c r="B34" s="249" t="s">
        <v>62</v>
      </c>
      <c r="C34" s="26"/>
      <c r="D34" s="212">
        <f>C34/C12</f>
        <v>0</v>
      </c>
      <c r="E34" s="26"/>
      <c r="F34" s="212">
        <f>E34/E12</f>
        <v>0</v>
      </c>
      <c r="G34" s="26"/>
      <c r="H34" s="212">
        <f>G34/G12</f>
        <v>0</v>
      </c>
      <c r="I34" s="26"/>
      <c r="J34" s="212">
        <f>I34/I12</f>
        <v>0</v>
      </c>
      <c r="K34" s="26"/>
      <c r="L34" s="212">
        <f>K34/K12</f>
        <v>0</v>
      </c>
      <c r="M34" s="26"/>
      <c r="N34" s="212">
        <f>M34/M12</f>
        <v>0</v>
      </c>
      <c r="O34" s="26"/>
      <c r="P34" s="212">
        <f>O34/O12</f>
        <v>0</v>
      </c>
      <c r="Q34" s="26"/>
      <c r="R34" s="212">
        <f>Q34/Q12</f>
        <v>0</v>
      </c>
      <c r="S34" s="26"/>
      <c r="T34" s="212">
        <f>S34/S12</f>
        <v>0</v>
      </c>
      <c r="U34" s="26"/>
      <c r="V34" s="212">
        <f>U34/U12</f>
        <v>0</v>
      </c>
      <c r="W34" s="26"/>
      <c r="X34" s="212">
        <f>W34/W12</f>
        <v>0</v>
      </c>
      <c r="Y34" s="26"/>
      <c r="Z34" s="212">
        <f>Y34/Y12</f>
        <v>0</v>
      </c>
      <c r="AA34" s="166">
        <f t="shared" si="18"/>
        <v>0</v>
      </c>
      <c r="AB34" s="212">
        <f>AA34/AA12</f>
        <v>0</v>
      </c>
      <c r="AC34" s="128">
        <f t="shared" si="19"/>
        <v>0</v>
      </c>
      <c r="AD34" s="212">
        <f>AC34/AC12</f>
        <v>0</v>
      </c>
      <c r="AE34" s="595"/>
      <c r="AF34" s="595"/>
      <c r="AG34" s="555"/>
      <c r="AH34" s="74"/>
    </row>
    <row r="35" spans="1:34" s="1" customFormat="1">
      <c r="A35" s="206">
        <v>5699</v>
      </c>
      <c r="B35" s="250" t="s">
        <v>109</v>
      </c>
      <c r="C35" s="303">
        <f>SUM(C22:C34)</f>
        <v>3640.6313168781098</v>
      </c>
      <c r="D35" s="207">
        <f>C35/C12</f>
        <v>3.2211977445812524E-3</v>
      </c>
      <c r="E35" s="280">
        <f>SUM(E22:E34)</f>
        <v>2887.9161277369421</v>
      </c>
      <c r="F35" s="207">
        <f>E35/E12</f>
        <v>3.2843153321343169E-3</v>
      </c>
      <c r="G35" s="208">
        <f>SUM(G22:G34)</f>
        <v>4625.7160000000003</v>
      </c>
      <c r="H35" s="207">
        <f>G35/G12</f>
        <v>3.1714005205091011E-3</v>
      </c>
      <c r="I35" s="208">
        <f>SUM(I22:I34)</f>
        <v>4113.7322877427305</v>
      </c>
      <c r="J35" s="207">
        <f>I35/I12</f>
        <v>3.194112827738944E-3</v>
      </c>
      <c r="K35" s="297">
        <f>SUM(K22:K34)</f>
        <v>3783.7767789308796</v>
      </c>
      <c r="L35" s="207">
        <f>K35/K12</f>
        <v>3.2122375143986619E-3</v>
      </c>
      <c r="M35" s="297">
        <f>SUM(M22:M34)</f>
        <v>5260.8465466035996</v>
      </c>
      <c r="N35" s="207">
        <f>M35/M12</f>
        <v>3.1496753079593618E-3</v>
      </c>
      <c r="O35" s="297">
        <f>SUM(O22:O34)</f>
        <v>3422.4196682450797</v>
      </c>
      <c r="P35" s="207">
        <f>O35/O12</f>
        <v>3.236412605654688E-3</v>
      </c>
      <c r="Q35" s="297">
        <f>SUM(Q22:Q34)</f>
        <v>4189.31735011828</v>
      </c>
      <c r="R35" s="207">
        <f>Q35/Q12</f>
        <v>3.1903883168939106E-3</v>
      </c>
      <c r="S35" s="297">
        <f>SUM(S22:S34)</f>
        <v>4218.3866592399399</v>
      </c>
      <c r="T35" s="207">
        <f>S35/S12</f>
        <v>3.1889936804050355E-3</v>
      </c>
      <c r="U35" s="208">
        <f>SUM(U22:U34)</f>
        <v>3397.7502087608791</v>
      </c>
      <c r="V35" s="207">
        <f>U35/U12</f>
        <v>3.2382654118845219E-3</v>
      </c>
      <c r="W35" s="208">
        <f>SUM(W22:W34)</f>
        <v>3452.6517863188001</v>
      </c>
      <c r="X35" s="207">
        <f>W35/W12</f>
        <v>3.234180938184999E-3</v>
      </c>
      <c r="Y35" s="208">
        <f>SUM(Y22:Y34)</f>
        <v>5088.1290999586909</v>
      </c>
      <c r="Z35" s="207">
        <f>Y35/Y12</f>
        <v>3.1550186000630707E-3</v>
      </c>
      <c r="AA35" s="209">
        <f>SUM(AA22:AA34)</f>
        <v>48081.27383053393</v>
      </c>
      <c r="AB35" s="207">
        <f>AA35/AA12</f>
        <v>3.1996394341879549E-3</v>
      </c>
      <c r="AC35" s="210">
        <f>SUM(AC22:AC34)</f>
        <v>4006.7728192111608</v>
      </c>
      <c r="AD35" s="207">
        <f>AC35/AC12</f>
        <v>3.1996394341879553E-3</v>
      </c>
      <c r="AE35" s="611"/>
      <c r="AF35" s="611"/>
      <c r="AG35" s="641"/>
      <c r="AH35" s="74"/>
    </row>
    <row r="36" spans="1:34" s="1" customFormat="1">
      <c r="A36" s="205">
        <v>5999</v>
      </c>
      <c r="B36" s="251" t="s">
        <v>110</v>
      </c>
      <c r="C36" s="203">
        <f>C21+C35</f>
        <v>561286.46189943131</v>
      </c>
      <c r="D36" s="204">
        <f>C36/C12</f>
        <v>0.49662119774458136</v>
      </c>
      <c r="E36" s="281">
        <f>E21+E35</f>
        <v>361468.6484247786</v>
      </c>
      <c r="F36" s="204">
        <f>E36/E12</f>
        <v>0.4110843153321343</v>
      </c>
      <c r="G36" s="203">
        <f>G21+G35</f>
        <v>717867.424</v>
      </c>
      <c r="H36" s="204">
        <f>G36/G12</f>
        <v>0.49217140052050912</v>
      </c>
      <c r="I36" s="203">
        <f>I21+I35</f>
        <v>539627.02736888512</v>
      </c>
      <c r="J36" s="204">
        <f>I36/I12</f>
        <v>0.41899411282773896</v>
      </c>
      <c r="K36" s="298">
        <f>K21+K35</f>
        <v>446566.00717897009</v>
      </c>
      <c r="L36" s="204">
        <f>K36/K12</f>
        <v>0.37911223751439865</v>
      </c>
      <c r="M36" s="298">
        <f>M21+M35</f>
        <v>824868.31335273245</v>
      </c>
      <c r="N36" s="204">
        <f>M36/M12</f>
        <v>0.49384967530795937</v>
      </c>
      <c r="O36" s="298">
        <f>O21+O35</f>
        <v>445657.72142160923</v>
      </c>
      <c r="P36" s="204">
        <f>O36/O12</f>
        <v>0.42143641260565473</v>
      </c>
      <c r="Q36" s="298">
        <f>Q21+Q35</f>
        <v>525623.62392744131</v>
      </c>
      <c r="R36" s="204">
        <f>Q36/Q12</f>
        <v>0.4002903883168939</v>
      </c>
      <c r="S36" s="298">
        <f>S21+S35</f>
        <v>573549.59270486329</v>
      </c>
      <c r="T36" s="204">
        <f>S36/S12</f>
        <v>0.43358899368040499</v>
      </c>
      <c r="U36" s="203">
        <f>U21+U35</f>
        <v>437367.57898992737</v>
      </c>
      <c r="V36" s="204">
        <f>U36/U12</f>
        <v>0.41683826541188451</v>
      </c>
      <c r="W36" s="203">
        <f>W21+W35</f>
        <v>419797.38400776283</v>
      </c>
      <c r="X36" s="204">
        <f>W36/W12</f>
        <v>0.39323418093818502</v>
      </c>
      <c r="Y36" s="203">
        <f>Y21+Y35</f>
        <v>752901.61698357365</v>
      </c>
      <c r="Z36" s="204">
        <f>Y36/Y12</f>
        <v>0.46685501860006312</v>
      </c>
      <c r="AA36" s="154">
        <f>AA21+AA35</f>
        <v>6606581.4002599753</v>
      </c>
      <c r="AB36" s="204">
        <f>AA36/AA12</f>
        <v>0.4396447242215204</v>
      </c>
      <c r="AC36" s="139">
        <f>AC21+AC35</f>
        <v>550548.45002166461</v>
      </c>
      <c r="AD36" s="204">
        <f>AC36/AC12</f>
        <v>0.43964472422152046</v>
      </c>
      <c r="AE36" s="612"/>
      <c r="AF36" s="612"/>
      <c r="AG36" s="642"/>
      <c r="AH36" s="74"/>
    </row>
    <row r="37" spans="1:34" s="1" customFormat="1" ht="15.75" thickBot="1">
      <c r="A37" s="10"/>
      <c r="B37" s="240" t="s">
        <v>68</v>
      </c>
      <c r="C37" s="80">
        <f>(C16-C36)</f>
        <v>568923.9770599386</v>
      </c>
      <c r="D37" s="88">
        <f>C37/C12</f>
        <v>0.50337880225541864</v>
      </c>
      <c r="E37" s="120">
        <f>(E16-E36)</f>
        <v>517836.72748753545</v>
      </c>
      <c r="F37" s="88">
        <f>E37/E12</f>
        <v>0.5889156846678657</v>
      </c>
      <c r="G37" s="80">
        <f>(G16-G36)</f>
        <v>740704.576</v>
      </c>
      <c r="H37" s="88">
        <f>G37/G12</f>
        <v>0.50782859947949088</v>
      </c>
      <c r="I37" s="80">
        <f>(I16-I36)</f>
        <v>748283.73521202488</v>
      </c>
      <c r="J37" s="88">
        <f>I37/I12</f>
        <v>0.58100588717226109</v>
      </c>
      <c r="K37" s="30">
        <f>(K16-K36)</f>
        <v>731359.58579798974</v>
      </c>
      <c r="L37" s="88">
        <f>K37/K12</f>
        <v>0.62088776248560129</v>
      </c>
      <c r="M37" s="30">
        <f>(M16-M36)</f>
        <v>845413.86884846748</v>
      </c>
      <c r="N37" s="88">
        <f>M37/M12</f>
        <v>0.50615032469204058</v>
      </c>
      <c r="O37" s="30">
        <f>(O16-O36)</f>
        <v>611815.50132675073</v>
      </c>
      <c r="P37" s="88">
        <f>O37/O12</f>
        <v>0.57856358739434532</v>
      </c>
      <c r="Q37" s="30">
        <f>(Q16-Q36)</f>
        <v>787482.15944531874</v>
      </c>
      <c r="R37" s="88">
        <f>Q37/Q12</f>
        <v>0.5997096116831061</v>
      </c>
      <c r="S37" s="30">
        <f>(S16-S36)</f>
        <v>749245.96037511667</v>
      </c>
      <c r="T37" s="88">
        <f>S37/S12</f>
        <v>0.56641100631959496</v>
      </c>
      <c r="U37" s="80">
        <f>(U16-U36)</f>
        <v>611882.49059703224</v>
      </c>
      <c r="V37" s="88">
        <f>U37/U12</f>
        <v>0.58316173458811549</v>
      </c>
      <c r="W37" s="80">
        <f>(W16-W36)</f>
        <v>647753.21143183718</v>
      </c>
      <c r="X37" s="88">
        <f>W37/W12</f>
        <v>0.60676581906181493</v>
      </c>
      <c r="Y37" s="80">
        <f>(Y16-Y36)</f>
        <v>859808.08300265647</v>
      </c>
      <c r="Z37" s="88">
        <f>Y37/Y12</f>
        <v>0.53314498139993693</v>
      </c>
      <c r="AA37" s="195">
        <f>(AA16-AA36)</f>
        <v>8420509.8765846621</v>
      </c>
      <c r="AB37" s="88">
        <f>AA37/AA12</f>
        <v>0.56035527577847966</v>
      </c>
      <c r="AC37" s="59">
        <f>(AC16-AC36)</f>
        <v>701709.15638205502</v>
      </c>
      <c r="AD37" s="88">
        <f>AC37/AC12</f>
        <v>0.56035527577847954</v>
      </c>
      <c r="AE37" s="600"/>
      <c r="AF37" s="600"/>
      <c r="AG37" s="624"/>
      <c r="AH37" s="74"/>
    </row>
    <row r="38" spans="1:34" s="1" customFormat="1" ht="15.75" thickTop="1">
      <c r="A38" s="2">
        <v>6002</v>
      </c>
      <c r="B38" s="228" t="s">
        <v>45</v>
      </c>
      <c r="C38" s="61"/>
      <c r="D38" s="24">
        <f>C38/C12</f>
        <v>0</v>
      </c>
      <c r="E38" s="114"/>
      <c r="F38" s="24">
        <f>E38/E12</f>
        <v>0</v>
      </c>
      <c r="G38" s="61"/>
      <c r="H38" s="24">
        <f>G38/G12</f>
        <v>0</v>
      </c>
      <c r="I38" s="61"/>
      <c r="J38" s="24">
        <f>I38/I12</f>
        <v>0</v>
      </c>
      <c r="K38" s="26"/>
      <c r="L38" s="24">
        <f>K38/K12</f>
        <v>0</v>
      </c>
      <c r="M38" s="26"/>
      <c r="N38" s="24">
        <f>M38/M12</f>
        <v>0</v>
      </c>
      <c r="O38" s="26"/>
      <c r="P38" s="24">
        <f>O38/O12</f>
        <v>0</v>
      </c>
      <c r="Q38" s="26"/>
      <c r="R38" s="24">
        <f>Q38/Q12</f>
        <v>0</v>
      </c>
      <c r="S38" s="26"/>
      <c r="T38" s="24">
        <f>S38/S12</f>
        <v>0</v>
      </c>
      <c r="U38" s="61"/>
      <c r="V38" s="24">
        <f>U38/U12</f>
        <v>0</v>
      </c>
      <c r="W38" s="61"/>
      <c r="X38" s="24">
        <f>W38/W12</f>
        <v>0</v>
      </c>
      <c r="Y38" s="61"/>
      <c r="Z38" s="24">
        <f>Y38/Y12</f>
        <v>0</v>
      </c>
      <c r="AA38" s="144">
        <f>C38+E38+G38+I38+K38+M38+O38+Q38+S38+U38+W38+Y38</f>
        <v>0</v>
      </c>
      <c r="AB38" s="24">
        <f>AA38/AA12</f>
        <v>0</v>
      </c>
      <c r="AC38" s="128">
        <f t="shared" ref="AC38:AC40" si="20">AA38/12</f>
        <v>0</v>
      </c>
      <c r="AD38" s="24">
        <f>AC38/AC12</f>
        <v>0</v>
      </c>
      <c r="AE38" s="595"/>
      <c r="AF38" s="595"/>
      <c r="AG38" s="555"/>
      <c r="AH38" s="74"/>
    </row>
    <row r="39" spans="1:34" s="1" customFormat="1">
      <c r="A39" s="2">
        <v>6003</v>
      </c>
      <c r="B39" s="2" t="s">
        <v>0</v>
      </c>
      <c r="C39" s="61"/>
      <c r="D39" s="68">
        <f>C39/C12</f>
        <v>0</v>
      </c>
      <c r="E39" s="61"/>
      <c r="F39" s="68">
        <f>E39/E12</f>
        <v>0</v>
      </c>
      <c r="G39" s="61">
        <v>0</v>
      </c>
      <c r="H39" s="68">
        <f>G39/G12</f>
        <v>0</v>
      </c>
      <c r="I39" s="61"/>
      <c r="J39" s="68">
        <f>I39/I12</f>
        <v>0</v>
      </c>
      <c r="K39" s="26">
        <v>0</v>
      </c>
      <c r="L39" s="68">
        <f>K39/K12</f>
        <v>0</v>
      </c>
      <c r="M39" s="26">
        <v>0</v>
      </c>
      <c r="N39" s="702">
        <f>M39/M12</f>
        <v>0</v>
      </c>
      <c r="O39" s="26"/>
      <c r="P39" s="702">
        <f>O39/O12</f>
        <v>0</v>
      </c>
      <c r="Q39" s="26"/>
      <c r="R39" s="68">
        <f>Q39/Q12</f>
        <v>0</v>
      </c>
      <c r="S39" s="26">
        <v>0</v>
      </c>
      <c r="T39" s="68">
        <f>S39/S12</f>
        <v>0</v>
      </c>
      <c r="U39" s="26"/>
      <c r="V39" s="68">
        <f>U39/U12</f>
        <v>0</v>
      </c>
      <c r="W39" s="26">
        <v>0</v>
      </c>
      <c r="X39" s="68">
        <f>W39/W12</f>
        <v>0</v>
      </c>
      <c r="Y39" s="26">
        <v>0</v>
      </c>
      <c r="Z39" s="68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si="20"/>
        <v>0</v>
      </c>
      <c r="AD39" s="68">
        <f>AC39/AC12</f>
        <v>0</v>
      </c>
      <c r="AE39" s="595"/>
      <c r="AF39" s="595"/>
      <c r="AG39" s="555"/>
      <c r="AH39" s="74"/>
    </row>
    <row r="40" spans="1:34" s="1" customFormat="1">
      <c r="A40" s="2">
        <v>6004</v>
      </c>
      <c r="B40" s="228" t="s">
        <v>1</v>
      </c>
      <c r="C40" s="61"/>
      <c r="D40" s="24">
        <f>C40/C12</f>
        <v>0</v>
      </c>
      <c r="E40" s="114"/>
      <c r="F40" s="24">
        <f>E40/E12</f>
        <v>0</v>
      </c>
      <c r="G40" s="61"/>
      <c r="H40" s="24">
        <f>G40/G12</f>
        <v>0</v>
      </c>
      <c r="I40" s="61"/>
      <c r="J40" s="24">
        <f>I40/I12</f>
        <v>0</v>
      </c>
      <c r="K40" s="26"/>
      <c r="L40" s="24">
        <f>K40/K12</f>
        <v>0</v>
      </c>
      <c r="M40" s="26"/>
      <c r="N40" s="24">
        <f>M40/M12</f>
        <v>0</v>
      </c>
      <c r="O40" s="26"/>
      <c r="P40" s="24">
        <f>O40/O12</f>
        <v>0</v>
      </c>
      <c r="Q40" s="26"/>
      <c r="R40" s="24">
        <f>Q40/Q12</f>
        <v>0</v>
      </c>
      <c r="S40" s="26"/>
      <c r="T40" s="24">
        <f>S40/S12</f>
        <v>0</v>
      </c>
      <c r="U40" s="61"/>
      <c r="V40" s="24">
        <f>U40/U12</f>
        <v>0</v>
      </c>
      <c r="W40" s="61"/>
      <c r="X40" s="24">
        <f>W40/W12</f>
        <v>0</v>
      </c>
      <c r="Y40" s="61"/>
      <c r="Z40" s="24">
        <f>Y40/Y12</f>
        <v>0</v>
      </c>
      <c r="AA40" s="144">
        <f>C40+E40+G40+I40+K40+M40+O40+Q40+S40+U40+W40+Y40</f>
        <v>0</v>
      </c>
      <c r="AB40" s="24">
        <f>AA40/AA12</f>
        <v>0</v>
      </c>
      <c r="AC40" s="128">
        <f t="shared" si="20"/>
        <v>0</v>
      </c>
      <c r="AD40" s="24">
        <f>AC40/AC12</f>
        <v>0</v>
      </c>
      <c r="AE40" s="595"/>
      <c r="AF40" s="595"/>
      <c r="AG40" s="555"/>
      <c r="AH40" s="74"/>
    </row>
    <row r="41" spans="1:34" s="1" customFormat="1" ht="15.75" thickBot="1">
      <c r="A41" s="4">
        <v>6099</v>
      </c>
      <c r="B41" s="229" t="s">
        <v>111</v>
      </c>
      <c r="C41" s="76">
        <f>SUM(C38:C40)</f>
        <v>0</v>
      </c>
      <c r="D41" s="92">
        <f>C41/C12</f>
        <v>0</v>
      </c>
      <c r="E41" s="116">
        <f>SUM(E38:E40)</f>
        <v>0</v>
      </c>
      <c r="F41" s="92">
        <f>E41/E12</f>
        <v>0</v>
      </c>
      <c r="G41" s="76">
        <f>SUM(G38:G40)</f>
        <v>0</v>
      </c>
      <c r="H41" s="92">
        <f>G41/G12</f>
        <v>0</v>
      </c>
      <c r="I41" s="76">
        <f>SUM(I38:I40)</f>
        <v>0</v>
      </c>
      <c r="J41" s="92">
        <f>I41/I12</f>
        <v>0</v>
      </c>
      <c r="K41" s="28">
        <f>SUM(K38:K40)</f>
        <v>0</v>
      </c>
      <c r="L41" s="92">
        <f>K41/K12</f>
        <v>0</v>
      </c>
      <c r="M41" s="28">
        <f>SUM(M38:M40)</f>
        <v>0</v>
      </c>
      <c r="N41" s="92">
        <f>M41/M12</f>
        <v>0</v>
      </c>
      <c r="O41" s="28">
        <f>SUM(O38:O40)</f>
        <v>0</v>
      </c>
      <c r="P41" s="92">
        <f>O41/O12</f>
        <v>0</v>
      </c>
      <c r="Q41" s="28">
        <f>SUM(Q38:Q40)</f>
        <v>0</v>
      </c>
      <c r="R41" s="92">
        <f>Q41/Q12</f>
        <v>0</v>
      </c>
      <c r="S41" s="28">
        <f>SUM(S38:S40)</f>
        <v>0</v>
      </c>
      <c r="T41" s="92">
        <f>S41/S12</f>
        <v>0</v>
      </c>
      <c r="U41" s="76">
        <f>SUM(U38:U40)</f>
        <v>0</v>
      </c>
      <c r="V41" s="92">
        <f>U41/U12</f>
        <v>0</v>
      </c>
      <c r="W41" s="76">
        <f>SUM(W38:W40)</f>
        <v>0</v>
      </c>
      <c r="X41" s="92">
        <f>W41/W12</f>
        <v>0</v>
      </c>
      <c r="Y41" s="76">
        <f>SUM(Y38:Y40)</f>
        <v>0</v>
      </c>
      <c r="Z41" s="92">
        <f>Y41/Y12</f>
        <v>0</v>
      </c>
      <c r="AA41" s="196">
        <f>SUM(AA38:AA40)</f>
        <v>0</v>
      </c>
      <c r="AB41" s="92">
        <f>AA41/AA12</f>
        <v>0</v>
      </c>
      <c r="AC41" s="52">
        <f>SUM(AC38:AC40)</f>
        <v>0</v>
      </c>
      <c r="AD41" s="92">
        <f>AC41/AC12</f>
        <v>0</v>
      </c>
      <c r="AE41" s="613"/>
      <c r="AF41" s="613"/>
      <c r="AG41" s="643"/>
      <c r="AH41" s="74"/>
    </row>
    <row r="42" spans="1:34" s="1" customFormat="1" ht="15.75" thickTop="1">
      <c r="A42" s="188">
        <v>6101</v>
      </c>
      <c r="B42" s="227" t="s">
        <v>2</v>
      </c>
      <c r="C42" s="61">
        <v>144716</v>
      </c>
      <c r="D42" s="24">
        <f>C42/C12</f>
        <v>0.12804341121928217</v>
      </c>
      <c r="E42" s="61">
        <v>144716</v>
      </c>
      <c r="F42" s="24">
        <f>E42/E12</f>
        <v>0.16457991042059925</v>
      </c>
      <c r="G42" s="61">
        <v>144716</v>
      </c>
      <c r="H42" s="24">
        <f>G42/G12</f>
        <v>9.9217590903980052E-2</v>
      </c>
      <c r="I42" s="61">
        <v>144716</v>
      </c>
      <c r="J42" s="24">
        <f>I42/I12</f>
        <v>0.11236492791627599</v>
      </c>
      <c r="K42" s="61">
        <v>144716</v>
      </c>
      <c r="L42" s="24">
        <f>K42/K12</f>
        <v>0.12285665653486708</v>
      </c>
      <c r="M42" s="33">
        <v>144716</v>
      </c>
      <c r="N42" s="24">
        <f>M42/M12</f>
        <v>8.6641647466588201E-2</v>
      </c>
      <c r="O42" s="33">
        <v>144716</v>
      </c>
      <c r="P42" s="24">
        <f>O42/O12</f>
        <v>0.13685074655969529</v>
      </c>
      <c r="Q42" s="61">
        <v>144716</v>
      </c>
      <c r="R42" s="24">
        <f>Q42/Q12</f>
        <v>0.11020894267047678</v>
      </c>
      <c r="S42" s="61">
        <v>144716</v>
      </c>
      <c r="T42" s="24">
        <f>S42/S12</f>
        <v>0.10940163781398052</v>
      </c>
      <c r="U42" s="61">
        <v>144716</v>
      </c>
      <c r="V42" s="24">
        <f>U42/U12</f>
        <v>0.13792326938512178</v>
      </c>
      <c r="W42" s="61">
        <v>144716</v>
      </c>
      <c r="X42" s="24">
        <f>W42/W12</f>
        <v>0.13555891460152134</v>
      </c>
      <c r="Y42" s="61">
        <v>144716</v>
      </c>
      <c r="Z42" s="24">
        <f>Y42/Y12</f>
        <v>8.9734686906909306E-2</v>
      </c>
      <c r="AA42" s="144">
        <f t="shared" ref="AA42:AA75" si="21">C42+E42+G42+I42+K42+M42+O42+Q42+S42+U42+W42+Y42</f>
        <v>1736592</v>
      </c>
      <c r="AB42" s="68">
        <f>AA42/AA12</f>
        <v>0.1155640814317757</v>
      </c>
      <c r="AC42" s="128">
        <f t="shared" ref="AC42:AC74" si="22">AA42/12</f>
        <v>144716</v>
      </c>
      <c r="AD42" s="68">
        <f>AC42/AC12</f>
        <v>0.11556408143177571</v>
      </c>
      <c r="AE42" s="595" t="s">
        <v>228</v>
      </c>
      <c r="AF42" s="595" t="s">
        <v>301</v>
      </c>
      <c r="AG42" s="555"/>
      <c r="AH42" s="74"/>
    </row>
    <row r="43" spans="1:34" s="1" customFormat="1">
      <c r="A43" s="188">
        <v>6102</v>
      </c>
      <c r="B43" s="227" t="s">
        <v>3</v>
      </c>
      <c r="C43" s="75">
        <v>14000</v>
      </c>
      <c r="D43" s="24">
        <f>C43/C12</f>
        <v>1.2387073696550141E-2</v>
      </c>
      <c r="E43" s="75">
        <v>14000</v>
      </c>
      <c r="F43" s="24">
        <f>E43/E12</f>
        <v>1.592165859952175E-2</v>
      </c>
      <c r="G43" s="75">
        <v>14000</v>
      </c>
      <c r="H43" s="24">
        <f>G43/G12</f>
        <v>9.598429148509639E-3</v>
      </c>
      <c r="I43" s="75">
        <v>14000</v>
      </c>
      <c r="J43" s="24">
        <f>I43/I12</f>
        <v>1.0870318353380856E-2</v>
      </c>
      <c r="K43" s="75">
        <v>14000</v>
      </c>
      <c r="L43" s="24">
        <f>K43/K12</f>
        <v>1.1885300806325072E-2</v>
      </c>
      <c r="M43" s="75">
        <v>14000</v>
      </c>
      <c r="N43" s="24">
        <f>M43/M12</f>
        <v>8.3818172457242792E-3</v>
      </c>
      <c r="O43" s="75">
        <v>14000</v>
      </c>
      <c r="P43" s="24">
        <f>O43/O12</f>
        <v>1.3239105916662525E-2</v>
      </c>
      <c r="Q43" s="75">
        <v>14000</v>
      </c>
      <c r="R43" s="24">
        <f>Q43/Q12</f>
        <v>1.0661745746059003E-2</v>
      </c>
      <c r="S43" s="75">
        <v>14000</v>
      </c>
      <c r="T43" s="24">
        <f>S43/S12</f>
        <v>1.0583646102681992E-2</v>
      </c>
      <c r="U43" s="75">
        <v>14000</v>
      </c>
      <c r="V43" s="24">
        <f>U43/U12</f>
        <v>1.3342863065533216E-2</v>
      </c>
      <c r="W43" s="75">
        <v>14000</v>
      </c>
      <c r="X43" s="24">
        <f>W43/W12</f>
        <v>1.3114132538359951E-2</v>
      </c>
      <c r="Y43" s="75">
        <v>14000</v>
      </c>
      <c r="Z43" s="24">
        <f>Y43/Y12</f>
        <v>8.681041603531954E-3</v>
      </c>
      <c r="AA43" s="144">
        <f t="shared" si="21"/>
        <v>168000</v>
      </c>
      <c r="AB43" s="68">
        <f>AA43/AA12</f>
        <v>1.1179808314525414E-2</v>
      </c>
      <c r="AC43" s="128">
        <f t="shared" si="22"/>
        <v>14000</v>
      </c>
      <c r="AD43" s="68">
        <f>AC43/AC12</f>
        <v>1.1179808314525416E-2</v>
      </c>
      <c r="AE43" s="645" t="s">
        <v>309</v>
      </c>
      <c r="AF43" s="694" t="s">
        <v>332</v>
      </c>
      <c r="AG43" s="555"/>
      <c r="AH43" s="74"/>
    </row>
    <row r="44" spans="1:34" s="1" customFormat="1">
      <c r="A44" s="188">
        <v>6103</v>
      </c>
      <c r="B44" s="227" t="s">
        <v>4</v>
      </c>
      <c r="C44" s="61"/>
      <c r="D44" s="24">
        <f>C44/C12</f>
        <v>0</v>
      </c>
      <c r="E44" s="703"/>
      <c r="F44" s="24">
        <f>E44/E12</f>
        <v>0</v>
      </c>
      <c r="H44" s="24">
        <f>G44/G12</f>
        <v>0</v>
      </c>
      <c r="I44" s="61"/>
      <c r="J44" s="24">
        <f>I44/I12</f>
        <v>0</v>
      </c>
      <c r="K44" s="26">
        <v>0</v>
      </c>
      <c r="L44" s="24">
        <f>K44/K12</f>
        <v>0</v>
      </c>
      <c r="M44" s="26"/>
      <c r="N44" s="24">
        <f>M44/M12</f>
        <v>0</v>
      </c>
      <c r="O44" s="33"/>
      <c r="P44" s="24">
        <f>O44/O12</f>
        <v>0</v>
      </c>
      <c r="Q44" s="26">
        <v>0</v>
      </c>
      <c r="R44" s="24">
        <f>Q44/Q12</f>
        <v>0</v>
      </c>
      <c r="S44" s="26"/>
      <c r="T44" s="24">
        <f>S44/S12</f>
        <v>0</v>
      </c>
      <c r="U44" s="51">
        <v>0</v>
      </c>
      <c r="V44" s="24">
        <f>U44/U12</f>
        <v>0</v>
      </c>
      <c r="W44" s="51"/>
      <c r="X44" s="24">
        <f>W44/W12</f>
        <v>0</v>
      </c>
      <c r="Y44" s="51"/>
      <c r="Z44" s="24">
        <f>Y44/Y12</f>
        <v>0</v>
      </c>
      <c r="AA44" s="144">
        <f t="shared" si="21"/>
        <v>0</v>
      </c>
      <c r="AB44" s="68">
        <f>AA44/AA12</f>
        <v>0</v>
      </c>
      <c r="AC44" s="128">
        <f t="shared" si="22"/>
        <v>0</v>
      </c>
      <c r="AD44" s="68">
        <f>AC44/AC12</f>
        <v>0</v>
      </c>
      <c r="AE44" s="595"/>
      <c r="AF44" s="595"/>
      <c r="AG44" s="555"/>
      <c r="AH44" s="74"/>
    </row>
    <row r="45" spans="1:34" s="1" customFormat="1">
      <c r="A45" s="188">
        <v>6104</v>
      </c>
      <c r="B45" s="227" t="s">
        <v>5</v>
      </c>
      <c r="C45" s="295">
        <v>3100</v>
      </c>
      <c r="D45" s="68">
        <f>C45/C12</f>
        <v>2.7428520328075315E-3</v>
      </c>
      <c r="E45" s="295">
        <v>3100</v>
      </c>
      <c r="F45" s="68">
        <f>E45/E12</f>
        <v>3.5255101184655303E-3</v>
      </c>
      <c r="G45" s="295">
        <v>3100</v>
      </c>
      <c r="H45" s="68">
        <f>G45/G12</f>
        <v>2.1253664543128483E-3</v>
      </c>
      <c r="I45" s="295">
        <v>3100</v>
      </c>
      <c r="J45" s="68">
        <f>I45/I12</f>
        <v>2.4069990639629039E-3</v>
      </c>
      <c r="K45" s="295">
        <v>3100</v>
      </c>
      <c r="L45" s="68">
        <f>K45/K12</f>
        <v>2.6317451785434088E-3</v>
      </c>
      <c r="M45" s="295">
        <v>3100</v>
      </c>
      <c r="N45" s="702">
        <f>M45/M12</f>
        <v>1.8559738186960904E-3</v>
      </c>
      <c r="O45" s="295">
        <v>3100</v>
      </c>
      <c r="P45" s="702">
        <f>O45/O12</f>
        <v>2.9315163101181307E-3</v>
      </c>
      <c r="Q45" s="295">
        <v>3100</v>
      </c>
      <c r="R45" s="68">
        <f>Q45/Q12</f>
        <v>2.3608151294844935E-3</v>
      </c>
      <c r="S45" s="295">
        <v>3100</v>
      </c>
      <c r="T45" s="68">
        <f>S45/S12</f>
        <v>2.3435216370224412E-3</v>
      </c>
      <c r="U45" s="295">
        <v>3100</v>
      </c>
      <c r="V45" s="68">
        <f>U45/U12</f>
        <v>2.9544911073680689E-3</v>
      </c>
      <c r="W45" s="295">
        <v>3100</v>
      </c>
      <c r="X45" s="68">
        <f>W45/W12</f>
        <v>2.9038436334939892E-3</v>
      </c>
      <c r="Y45" s="295">
        <v>3100</v>
      </c>
      <c r="Z45" s="68">
        <f>Y45/Y12</f>
        <v>1.9222306407820757E-3</v>
      </c>
      <c r="AA45" s="144">
        <f t="shared" si="21"/>
        <v>37200</v>
      </c>
      <c r="AB45" s="68">
        <f>AA45/AA12</f>
        <v>2.4755289839306274E-3</v>
      </c>
      <c r="AC45" s="128">
        <f t="shared" si="22"/>
        <v>3100</v>
      </c>
      <c r="AD45" s="68">
        <f>AC45/AC12</f>
        <v>2.4755289839306278E-3</v>
      </c>
      <c r="AE45" s="645"/>
      <c r="AF45" s="694"/>
      <c r="AG45" s="555"/>
      <c r="AH45" s="74"/>
    </row>
    <row r="46" spans="1:34" s="1" customFormat="1">
      <c r="A46" s="188">
        <v>6105</v>
      </c>
      <c r="B46" s="21" t="s">
        <v>39</v>
      </c>
      <c r="C46" s="436">
        <f>C12*0.24%</f>
        <v>2712.5050535024875</v>
      </c>
      <c r="D46" s="702">
        <f>C46/C$12</f>
        <v>2.3999999999999998E-3</v>
      </c>
      <c r="E46" s="436">
        <f>E12*0.24%</f>
        <v>2110.3329021895534</v>
      </c>
      <c r="F46" s="702">
        <f>E46/E$12</f>
        <v>2.3999999999999998E-3</v>
      </c>
      <c r="G46" s="436">
        <f>G12*0.24%</f>
        <v>3500.5727999999999</v>
      </c>
      <c r="H46" s="702">
        <f>G46/$G$12</f>
        <v>2.3999999999999998E-3</v>
      </c>
      <c r="I46" s="436">
        <f>I12*0.24%</f>
        <v>3090.9858301941836</v>
      </c>
      <c r="J46" s="226">
        <v>2.282921148507532E-3</v>
      </c>
      <c r="K46" s="436">
        <f>K12*0.24%</f>
        <v>2827.0214231447035</v>
      </c>
      <c r="L46" s="226">
        <v>1.4480363095715567E-3</v>
      </c>
      <c r="M46" s="436">
        <f>M12*0.24%</f>
        <v>4008.6772372828796</v>
      </c>
      <c r="N46" s="702">
        <v>1.4265472348621291E-3</v>
      </c>
      <c r="O46" s="436">
        <f>O12*0.24%</f>
        <v>2537.9357345960634</v>
      </c>
      <c r="P46" s="702">
        <f>O46/O$12</f>
        <v>2.3999999999999998E-3</v>
      </c>
      <c r="Q46" s="436">
        <f>Q12*0.24%</f>
        <v>3151.4538800946239</v>
      </c>
      <c r="R46" s="702">
        <f>Q46/Q$12</f>
        <v>2.3999999999999998E-3</v>
      </c>
      <c r="S46" s="436">
        <f>S12*0.24%</f>
        <v>3174.7093273919518</v>
      </c>
      <c r="T46" s="702">
        <f>S46/S$12</f>
        <v>2.3999999999999998E-3</v>
      </c>
      <c r="U46" s="436">
        <f>U12*0.24%</f>
        <v>2518.2001670087029</v>
      </c>
      <c r="V46" s="702">
        <f>U46/U12</f>
        <v>2.3999999999999998E-3</v>
      </c>
      <c r="W46" s="436">
        <f>W12*0.24%</f>
        <v>2562.1214290550397</v>
      </c>
      <c r="X46" s="702">
        <f>W46/W12</f>
        <v>2.3999999999999998E-3</v>
      </c>
      <c r="Y46" s="436">
        <f>Y16*0.24%</f>
        <v>3870.5032799669521</v>
      </c>
      <c r="Z46" s="702">
        <f>Y46/Y12</f>
        <v>2.3999999999999998E-3</v>
      </c>
      <c r="AA46" s="144">
        <f t="shared" si="21"/>
        <v>36065.019064427142</v>
      </c>
      <c r="AB46" s="68">
        <f>AA46/AA12</f>
        <v>2.4000000000000007E-3</v>
      </c>
      <c r="AC46" s="128">
        <f t="shared" si="22"/>
        <v>3005.4182553689284</v>
      </c>
      <c r="AD46" s="68">
        <f>AC46/AC12</f>
        <v>2.4000000000000011E-3</v>
      </c>
      <c r="AE46" s="645"/>
      <c r="AF46" s="694"/>
      <c r="AG46" s="555"/>
      <c r="AH46" s="74"/>
    </row>
    <row r="47" spans="1:34" s="1" customFormat="1">
      <c r="A47" s="188">
        <v>6106</v>
      </c>
      <c r="B47" s="188" t="s">
        <v>6</v>
      </c>
      <c r="C47" s="432">
        <v>200</v>
      </c>
      <c r="D47" s="702">
        <f>C47/C12</f>
        <v>1.7695819566500203E-4</v>
      </c>
      <c r="E47" s="432">
        <v>200</v>
      </c>
      <c r="F47" s="702">
        <f>E47/E12</f>
        <v>2.2745226570745357E-4</v>
      </c>
      <c r="G47" s="432">
        <v>200</v>
      </c>
      <c r="H47" s="702">
        <f>G47/G12</f>
        <v>1.3712041640728055E-4</v>
      </c>
      <c r="I47" s="432">
        <v>200</v>
      </c>
      <c r="J47" s="702">
        <f>I47/I12</f>
        <v>1.5529026219115508E-4</v>
      </c>
      <c r="K47" s="432">
        <v>200</v>
      </c>
      <c r="L47" s="702">
        <f>K47/K12</f>
        <v>1.6979001151892959E-4</v>
      </c>
      <c r="M47" s="432">
        <v>200</v>
      </c>
      <c r="N47" s="702">
        <f>M47/M12</f>
        <v>1.197402463674897E-4</v>
      </c>
      <c r="O47" s="432">
        <v>200</v>
      </c>
      <c r="P47" s="702">
        <f>O47/O12</f>
        <v>1.8913008452375036E-4</v>
      </c>
      <c r="Q47" s="432">
        <v>200</v>
      </c>
      <c r="R47" s="702">
        <f>Q47/Q12</f>
        <v>1.5231065351512863E-4</v>
      </c>
      <c r="S47" s="432">
        <v>200</v>
      </c>
      <c r="T47" s="702">
        <f>S47/S12</f>
        <v>1.5119494432402845E-4</v>
      </c>
      <c r="U47" s="432">
        <v>200</v>
      </c>
      <c r="V47" s="702">
        <f>U47/U12</f>
        <v>1.9061232950761737E-4</v>
      </c>
      <c r="W47" s="432">
        <v>200</v>
      </c>
      <c r="X47" s="702">
        <f>W47/W12</f>
        <v>1.8734475054799931E-4</v>
      </c>
      <c r="Y47" s="432">
        <v>200</v>
      </c>
      <c r="Z47" s="702">
        <f>Y47/Y12</f>
        <v>1.2401488005045648E-4</v>
      </c>
      <c r="AA47" s="144">
        <f t="shared" si="21"/>
        <v>2400</v>
      </c>
      <c r="AB47" s="702">
        <f>AA47/AA12</f>
        <v>1.5971154735036305E-4</v>
      </c>
      <c r="AC47" s="128">
        <f t="shared" si="22"/>
        <v>200</v>
      </c>
      <c r="AD47" s="702">
        <f>AC47/AC12</f>
        <v>1.5971154735036308E-4</v>
      </c>
      <c r="AE47" s="645"/>
      <c r="AF47" s="694"/>
      <c r="AG47" s="226"/>
    </row>
    <row r="48" spans="1:34" s="1" customFormat="1">
      <c r="A48" s="188">
        <v>6107</v>
      </c>
      <c r="B48" s="227" t="s">
        <v>7</v>
      </c>
      <c r="C48" s="75"/>
      <c r="D48" s="24">
        <f>C48/C12</f>
        <v>0</v>
      </c>
      <c r="E48" s="113"/>
      <c r="F48" s="24">
        <f>E48/E12</f>
        <v>0</v>
      </c>
      <c r="H48" s="24">
        <f>G48/G12</f>
        <v>0</v>
      </c>
      <c r="I48" s="75">
        <v>0</v>
      </c>
      <c r="J48" s="24">
        <f>I48/I12</f>
        <v>0</v>
      </c>
      <c r="K48" s="31">
        <v>0</v>
      </c>
      <c r="L48" s="24">
        <f>K48/K12</f>
        <v>0</v>
      </c>
      <c r="M48" s="31">
        <v>0</v>
      </c>
      <c r="N48" s="24">
        <f>M48/M12</f>
        <v>0</v>
      </c>
      <c r="O48" s="33"/>
      <c r="P48" s="24">
        <f>O48/O12</f>
        <v>0</v>
      </c>
      <c r="Q48" s="31"/>
      <c r="R48" s="24">
        <f>Q48/Q12</f>
        <v>0</v>
      </c>
      <c r="S48" s="31"/>
      <c r="T48" s="24">
        <f>S48/S12</f>
        <v>0</v>
      </c>
      <c r="U48" s="31"/>
      <c r="V48" s="24">
        <f>U48/U12</f>
        <v>0</v>
      </c>
      <c r="W48" s="31"/>
      <c r="X48" s="24">
        <f>W48/W12</f>
        <v>0</v>
      </c>
      <c r="Y48" s="31"/>
      <c r="Z48" s="24">
        <f>Y48/Y12</f>
        <v>0</v>
      </c>
      <c r="AA48" s="144">
        <f t="shared" si="21"/>
        <v>0</v>
      </c>
      <c r="AB48" s="68">
        <f>AA48/AA12</f>
        <v>0</v>
      </c>
      <c r="AC48" s="128">
        <f t="shared" si="22"/>
        <v>0</v>
      </c>
      <c r="AD48" s="68">
        <f>AC48/AC12</f>
        <v>0</v>
      </c>
      <c r="AE48" s="595"/>
      <c r="AF48" s="595"/>
      <c r="AG48" s="555"/>
      <c r="AH48" s="74"/>
    </row>
    <row r="49" spans="1:34" s="1" customFormat="1">
      <c r="A49" s="188">
        <v>6108</v>
      </c>
      <c r="B49" s="227" t="s">
        <v>8</v>
      </c>
      <c r="C49" s="75"/>
      <c r="D49" s="24">
        <f>C49/C12</f>
        <v>0</v>
      </c>
      <c r="E49" s="113"/>
      <c r="F49" s="24">
        <f>E49/E12</f>
        <v>0</v>
      </c>
      <c r="H49" s="24">
        <f>G49/G12</f>
        <v>0</v>
      </c>
      <c r="I49" s="75"/>
      <c r="J49" s="24">
        <f>I49/I12</f>
        <v>0</v>
      </c>
      <c r="K49" s="31">
        <v>0</v>
      </c>
      <c r="L49" s="24">
        <f>K49/K12</f>
        <v>0</v>
      </c>
      <c r="M49" s="31"/>
      <c r="N49" s="24">
        <f>M49/M12</f>
        <v>0</v>
      </c>
      <c r="O49" s="33"/>
      <c r="P49" s="24">
        <f>O49/O12</f>
        <v>0</v>
      </c>
      <c r="Q49" s="31">
        <v>0</v>
      </c>
      <c r="R49" s="24">
        <f>Q49/Q12</f>
        <v>0</v>
      </c>
      <c r="S49" s="31"/>
      <c r="T49" s="24">
        <f>S49/S12</f>
        <v>0</v>
      </c>
      <c r="U49" s="31"/>
      <c r="V49" s="24">
        <f>U49/U12</f>
        <v>0</v>
      </c>
      <c r="W49" s="31"/>
      <c r="X49" s="24">
        <f>W49/W12</f>
        <v>0</v>
      </c>
      <c r="Y49" s="31"/>
      <c r="Z49" s="24">
        <f>Y49/Y12</f>
        <v>0</v>
      </c>
      <c r="AA49" s="144">
        <f t="shared" si="21"/>
        <v>0</v>
      </c>
      <c r="AB49" s="68">
        <f>AA49/AA12</f>
        <v>0</v>
      </c>
      <c r="AC49" s="128">
        <f t="shared" si="22"/>
        <v>0</v>
      </c>
      <c r="AD49" s="68">
        <f>AC49/AC12</f>
        <v>0</v>
      </c>
      <c r="AE49" s="595"/>
      <c r="AF49" s="595"/>
      <c r="AG49" s="555"/>
      <c r="AH49" s="74"/>
    </row>
    <row r="50" spans="1:34" s="1" customFormat="1">
      <c r="A50" s="188">
        <v>6109</v>
      </c>
      <c r="B50" s="227" t="s">
        <v>79</v>
      </c>
      <c r="C50" s="113"/>
      <c r="D50" s="24">
        <f>C50/C12</f>
        <v>0</v>
      </c>
      <c r="E50" s="113"/>
      <c r="F50" s="24">
        <f>E50/E12</f>
        <v>0</v>
      </c>
      <c r="H50" s="24">
        <f>G50/G12</f>
        <v>0</v>
      </c>
      <c r="I50" s="113"/>
      <c r="J50" s="24">
        <f>I50/I12</f>
        <v>0</v>
      </c>
      <c r="K50" s="113"/>
      <c r="L50" s="24">
        <f>K50/K12</f>
        <v>0</v>
      </c>
      <c r="M50" s="295"/>
      <c r="N50" s="24">
        <f>M50/M12</f>
        <v>0</v>
      </c>
      <c r="O50" s="33"/>
      <c r="P50" s="24">
        <f>O50/O12</f>
        <v>0</v>
      </c>
      <c r="Q50" s="113"/>
      <c r="R50" s="24">
        <f>Q50/Q12</f>
        <v>0</v>
      </c>
      <c r="S50" s="113">
        <v>0</v>
      </c>
      <c r="T50" s="24">
        <f>S50/S12</f>
        <v>0</v>
      </c>
      <c r="U50" s="113"/>
      <c r="V50" s="24">
        <f>U50/U12</f>
        <v>0</v>
      </c>
      <c r="W50" s="113"/>
      <c r="X50" s="24">
        <f>W50/W12</f>
        <v>0</v>
      </c>
      <c r="Y50" s="113"/>
      <c r="Z50" s="24">
        <f>Y50/Y12</f>
        <v>0</v>
      </c>
      <c r="AA50" s="144">
        <f t="shared" si="21"/>
        <v>0</v>
      </c>
      <c r="AB50" s="68">
        <f>AA50/AA12</f>
        <v>0</v>
      </c>
      <c r="AC50" s="128">
        <f t="shared" si="22"/>
        <v>0</v>
      </c>
      <c r="AD50" s="68">
        <f>AC50/AC12</f>
        <v>0</v>
      </c>
      <c r="AE50" s="595"/>
      <c r="AF50" s="595"/>
      <c r="AG50" s="555"/>
      <c r="AH50" s="74"/>
    </row>
    <row r="51" spans="1:34" s="1" customFormat="1">
      <c r="A51" s="188">
        <v>6110</v>
      </c>
      <c r="B51" s="188" t="s">
        <v>9</v>
      </c>
      <c r="C51" s="432">
        <v>300</v>
      </c>
      <c r="D51" s="702">
        <f>C51/C12</f>
        <v>2.6543729349750303E-4</v>
      </c>
      <c r="E51" s="432">
        <v>300</v>
      </c>
      <c r="F51" s="702">
        <f>E51/E12</f>
        <v>3.4117839856118035E-4</v>
      </c>
      <c r="G51" s="432">
        <v>300</v>
      </c>
      <c r="H51" s="702">
        <f>G51/G12</f>
        <v>2.0568062461092082E-4</v>
      </c>
      <c r="I51" s="432">
        <v>300</v>
      </c>
      <c r="J51" s="702">
        <f>I51/I12</f>
        <v>2.3293539328673261E-4</v>
      </c>
      <c r="K51" s="432">
        <v>300</v>
      </c>
      <c r="L51" s="702">
        <f>K51/K12</f>
        <v>2.5468501727839442E-4</v>
      </c>
      <c r="M51" s="432">
        <v>300</v>
      </c>
      <c r="N51" s="702">
        <f>M51/M12</f>
        <v>1.7961036955123455E-4</v>
      </c>
      <c r="O51" s="432">
        <v>300</v>
      </c>
      <c r="P51" s="702">
        <f>O51/O12</f>
        <v>2.8369512678562555E-4</v>
      </c>
      <c r="Q51" s="432">
        <v>300</v>
      </c>
      <c r="R51" s="702">
        <f>Q51/Q12</f>
        <v>2.2846598027269292E-4</v>
      </c>
      <c r="S51" s="432">
        <v>300</v>
      </c>
      <c r="T51" s="702">
        <f>S51/S12</f>
        <v>2.267924164860427E-4</v>
      </c>
      <c r="U51" s="432">
        <v>300</v>
      </c>
      <c r="V51" s="702">
        <f>U51/U12</f>
        <v>2.8591849426142603E-4</v>
      </c>
      <c r="W51" s="432">
        <v>300</v>
      </c>
      <c r="X51" s="702">
        <f>W51/W12</f>
        <v>2.8101712582199897E-4</v>
      </c>
      <c r="Y51" s="432">
        <v>300</v>
      </c>
      <c r="Z51" s="702">
        <f>Y51/Y12</f>
        <v>1.8602232007568472E-4</v>
      </c>
      <c r="AA51" s="144">
        <f t="shared" si="21"/>
        <v>3600</v>
      </c>
      <c r="AB51" s="702">
        <f>AA51/AA12</f>
        <v>2.395673210255446E-4</v>
      </c>
      <c r="AC51" s="128">
        <f t="shared" si="22"/>
        <v>300</v>
      </c>
      <c r="AD51" s="702">
        <f>AC51/AC12</f>
        <v>2.3956732102554463E-4</v>
      </c>
      <c r="AE51" s="645"/>
      <c r="AF51" s="694"/>
      <c r="AG51" s="226"/>
    </row>
    <row r="52" spans="1:34" s="1" customFormat="1">
      <c r="A52" s="188">
        <v>6111</v>
      </c>
      <c r="B52" s="227" t="s">
        <v>10</v>
      </c>
      <c r="C52" s="61">
        <v>50232</v>
      </c>
      <c r="D52" s="24">
        <f>C52/C12</f>
        <v>4.4444820423221905E-2</v>
      </c>
      <c r="E52" s="61">
        <v>50232</v>
      </c>
      <c r="F52" s="24">
        <f>E52/E12</f>
        <v>5.7126911055084037E-2</v>
      </c>
      <c r="G52" s="61">
        <v>50232</v>
      </c>
      <c r="H52" s="24">
        <f>G52/G12</f>
        <v>3.4439163784852581E-2</v>
      </c>
      <c r="I52" s="61">
        <v>50232</v>
      </c>
      <c r="J52" s="24">
        <f>I52/I12</f>
        <v>3.9002702251930511E-2</v>
      </c>
      <c r="K52" s="61">
        <v>50232</v>
      </c>
      <c r="L52" s="24">
        <f>K52/K12</f>
        <v>4.2644459293094357E-2</v>
      </c>
      <c r="M52" s="61">
        <v>50232</v>
      </c>
      <c r="N52" s="24">
        <f>M52/M12</f>
        <v>3.0073960277658712E-2</v>
      </c>
      <c r="O52" s="61">
        <v>50232</v>
      </c>
      <c r="P52" s="24">
        <f>O52/O12</f>
        <v>4.7501912028985141E-2</v>
      </c>
      <c r="Q52" s="61">
        <v>50232</v>
      </c>
      <c r="R52" s="24">
        <f>Q52/Q12</f>
        <v>3.8254343736859708E-2</v>
      </c>
      <c r="S52" s="61">
        <v>50232</v>
      </c>
      <c r="T52" s="24">
        <f>S52/S12</f>
        <v>3.797412221642299E-2</v>
      </c>
      <c r="U52" s="61">
        <v>50232</v>
      </c>
      <c r="V52" s="24">
        <f>U52/U12</f>
        <v>4.7874192679133176E-2</v>
      </c>
      <c r="W52" s="61">
        <v>50232</v>
      </c>
      <c r="X52" s="24">
        <f>W52/W12</f>
        <v>4.7053507547635508E-2</v>
      </c>
      <c r="Y52" s="61">
        <v>50232</v>
      </c>
      <c r="Z52" s="24">
        <f>Y52/Y12</f>
        <v>3.1147577273472653E-2</v>
      </c>
      <c r="AA52" s="144">
        <f t="shared" si="21"/>
        <v>602784</v>
      </c>
      <c r="AB52" s="68">
        <f>AA52/AA12</f>
        <v>4.0113152232517185E-2</v>
      </c>
      <c r="AC52" s="128">
        <f t="shared" si="22"/>
        <v>50232</v>
      </c>
      <c r="AD52" s="68">
        <f>AC52/AC12</f>
        <v>4.0113152232517192E-2</v>
      </c>
      <c r="AE52" s="595"/>
      <c r="AF52" s="595"/>
      <c r="AG52" s="555"/>
      <c r="AH52" s="74"/>
    </row>
    <row r="53" spans="1:34" s="1" customFormat="1">
      <c r="A53" s="188">
        <v>6112</v>
      </c>
      <c r="B53" s="227" t="s">
        <v>11</v>
      </c>
      <c r="C53" s="433">
        <v>3000</v>
      </c>
      <c r="D53" s="24">
        <f>C53/C12</f>
        <v>2.6543729349750305E-3</v>
      </c>
      <c r="E53" s="433">
        <v>3000</v>
      </c>
      <c r="F53" s="24">
        <f>E53/E12</f>
        <v>3.4117839856118034E-3</v>
      </c>
      <c r="G53" s="433">
        <v>3000</v>
      </c>
      <c r="H53" s="24">
        <f>G53/G12</f>
        <v>2.0568062461092081E-3</v>
      </c>
      <c r="I53" s="433">
        <v>3000</v>
      </c>
      <c r="J53" s="24">
        <f>I53/I12</f>
        <v>2.3293539328673261E-3</v>
      </c>
      <c r="K53" s="433">
        <v>3000</v>
      </c>
      <c r="L53" s="24">
        <f>K53/K12</f>
        <v>2.5468501727839441E-3</v>
      </c>
      <c r="M53" s="433">
        <v>3000</v>
      </c>
      <c r="N53" s="24">
        <f>M53/M12</f>
        <v>1.7961036955123455E-3</v>
      </c>
      <c r="O53" s="433">
        <v>3000</v>
      </c>
      <c r="P53" s="24">
        <f>O53/O12</f>
        <v>2.8369512678562553E-3</v>
      </c>
      <c r="Q53" s="433">
        <v>3000</v>
      </c>
      <c r="R53" s="24">
        <f>Q53/Q12</f>
        <v>2.2846598027269293E-3</v>
      </c>
      <c r="S53" s="433">
        <v>3000</v>
      </c>
      <c r="T53" s="24">
        <f>S53/S12</f>
        <v>2.2679241648604267E-3</v>
      </c>
      <c r="U53" s="433">
        <v>3000</v>
      </c>
      <c r="V53" s="24">
        <f>U53/U12</f>
        <v>2.8591849426142604E-3</v>
      </c>
      <c r="W53" s="433">
        <v>3000</v>
      </c>
      <c r="X53" s="24">
        <f>W53/W12</f>
        <v>2.8101712582199894E-3</v>
      </c>
      <c r="Y53" s="433">
        <v>3000</v>
      </c>
      <c r="Z53" s="24">
        <f>Y53/Y12</f>
        <v>1.8602232007568474E-3</v>
      </c>
      <c r="AA53" s="144">
        <f t="shared" si="21"/>
        <v>36000</v>
      </c>
      <c r="AB53" s="68">
        <f>AA53/AA12</f>
        <v>2.3956732102554459E-3</v>
      </c>
      <c r="AC53" s="128">
        <f t="shared" si="22"/>
        <v>3000</v>
      </c>
      <c r="AD53" s="68">
        <f>AC53/AC12</f>
        <v>2.3956732102554464E-3</v>
      </c>
      <c r="AE53" s="595" t="s">
        <v>340</v>
      </c>
      <c r="AF53" s="595"/>
      <c r="AG53" s="555"/>
      <c r="AH53" s="74"/>
    </row>
    <row r="54" spans="1:34" s="1" customFormat="1">
      <c r="A54" s="188">
        <v>6113</v>
      </c>
      <c r="B54" s="227" t="s">
        <v>12</v>
      </c>
      <c r="C54" s="61"/>
      <c r="D54" s="24">
        <f>C54/C12</f>
        <v>0</v>
      </c>
      <c r="E54" s="703"/>
      <c r="F54" s="24">
        <f>E54/E12</f>
        <v>0</v>
      </c>
      <c r="H54" s="24">
        <f>G54/G12</f>
        <v>0</v>
      </c>
      <c r="I54" s="61"/>
      <c r="J54" s="24">
        <f>I54/I12</f>
        <v>0</v>
      </c>
      <c r="K54" s="26">
        <v>0</v>
      </c>
      <c r="L54" s="24">
        <f>K54/K12</f>
        <v>0</v>
      </c>
      <c r="M54" s="26"/>
      <c r="N54" s="24">
        <f>M54/M12</f>
        <v>0</v>
      </c>
      <c r="O54" s="33"/>
      <c r="P54" s="24">
        <f>O54/O12</f>
        <v>0</v>
      </c>
      <c r="Q54" s="26"/>
      <c r="R54" s="24">
        <f>Q54/Q12</f>
        <v>0</v>
      </c>
      <c r="S54" s="26"/>
      <c r="T54" s="24">
        <f>S54/S12</f>
        <v>0</v>
      </c>
      <c r="U54" s="61"/>
      <c r="V54" s="24">
        <f>U54/U12</f>
        <v>0</v>
      </c>
      <c r="W54" s="61"/>
      <c r="X54" s="24">
        <f>W54/W12</f>
        <v>0</v>
      </c>
      <c r="Y54" s="61"/>
      <c r="Z54" s="24">
        <f>Y54/Y12</f>
        <v>0</v>
      </c>
      <c r="AA54" s="144">
        <f t="shared" si="21"/>
        <v>0</v>
      </c>
      <c r="AB54" s="68">
        <f>AA54/AA12</f>
        <v>0</v>
      </c>
      <c r="AC54" s="128">
        <f t="shared" si="22"/>
        <v>0</v>
      </c>
      <c r="AD54" s="68">
        <f>AC54/AC12</f>
        <v>0</v>
      </c>
      <c r="AE54" s="595"/>
      <c r="AF54" s="595"/>
      <c r="AG54" s="555"/>
      <c r="AH54" s="74"/>
    </row>
    <row r="55" spans="1:34" s="1" customFormat="1">
      <c r="A55" s="188">
        <v>6114</v>
      </c>
      <c r="B55" s="227" t="s">
        <v>88</v>
      </c>
      <c r="C55" s="31">
        <v>5000</v>
      </c>
      <c r="D55" s="702">
        <f>C55/C12</f>
        <v>4.4239548916250506E-3</v>
      </c>
      <c r="E55" s="31">
        <v>5000</v>
      </c>
      <c r="F55" s="702">
        <f>E55/E12</f>
        <v>5.6863066426863394E-3</v>
      </c>
      <c r="G55" s="31">
        <v>5000</v>
      </c>
      <c r="H55" s="702">
        <f>G55/G12</f>
        <v>3.4280104101820138E-3</v>
      </c>
      <c r="I55" s="31">
        <v>5000</v>
      </c>
      <c r="J55" s="702">
        <f>I55/I12</f>
        <v>3.8822565547788771E-3</v>
      </c>
      <c r="K55" s="31">
        <v>5000</v>
      </c>
      <c r="L55" s="702">
        <f>K55/K12</f>
        <v>4.2447502879732401E-3</v>
      </c>
      <c r="M55" s="31">
        <v>5000</v>
      </c>
      <c r="N55" s="702">
        <f>M55/M12</f>
        <v>2.9935061591872423E-3</v>
      </c>
      <c r="O55" s="31">
        <v>5000</v>
      </c>
      <c r="P55" s="702">
        <f>O55/O12</f>
        <v>4.7282521130937588E-3</v>
      </c>
      <c r="Q55" s="31">
        <v>5000</v>
      </c>
      <c r="R55" s="702">
        <f>Q55/Q12</f>
        <v>3.8077663378782156E-3</v>
      </c>
      <c r="S55" s="31">
        <v>5000</v>
      </c>
      <c r="T55" s="702">
        <f>S55/S12</f>
        <v>3.7798736081007113E-3</v>
      </c>
      <c r="U55" s="31">
        <v>5000</v>
      </c>
      <c r="V55" s="702">
        <f>U55/U12</f>
        <v>4.7653082376904344E-3</v>
      </c>
      <c r="W55" s="31">
        <v>5000</v>
      </c>
      <c r="X55" s="702">
        <f>W55/W12</f>
        <v>4.6836187636999831E-3</v>
      </c>
      <c r="Y55" s="31">
        <v>5000</v>
      </c>
      <c r="Z55" s="702">
        <f>Y55/Y12</f>
        <v>3.1003720012614121E-3</v>
      </c>
      <c r="AA55" s="144">
        <f t="shared" si="21"/>
        <v>60000</v>
      </c>
      <c r="AB55" s="68">
        <f>AA55/AA12</f>
        <v>3.9927886837590769E-3</v>
      </c>
      <c r="AC55" s="128">
        <f t="shared" si="22"/>
        <v>5000</v>
      </c>
      <c r="AD55" s="68">
        <f>AC55/AC12</f>
        <v>3.9927886837590769E-3</v>
      </c>
      <c r="AE55" s="595"/>
      <c r="AF55" s="74"/>
    </row>
    <row r="56" spans="1:34" s="1" customFormat="1">
      <c r="A56" s="188">
        <v>6115</v>
      </c>
      <c r="B56" s="227" t="s">
        <v>13</v>
      </c>
      <c r="C56" s="437">
        <v>250</v>
      </c>
      <c r="D56" s="702">
        <f>C56/C12</f>
        <v>2.2119774458125252E-4</v>
      </c>
      <c r="E56" s="437">
        <v>250</v>
      </c>
      <c r="F56" s="702">
        <f>E56/E12</f>
        <v>2.8431533213431695E-4</v>
      </c>
      <c r="G56" s="437">
        <v>250</v>
      </c>
      <c r="H56" s="702">
        <f>G56/G12</f>
        <v>1.7140052050910068E-4</v>
      </c>
      <c r="I56" s="437">
        <v>250</v>
      </c>
      <c r="J56" s="702">
        <f>I56/I12</f>
        <v>1.9411282773894385E-4</v>
      </c>
      <c r="K56" s="437">
        <v>250</v>
      </c>
      <c r="L56" s="702">
        <f>K56/K12</f>
        <v>2.1223751439866201E-4</v>
      </c>
      <c r="M56" s="437">
        <v>250</v>
      </c>
      <c r="N56" s="702">
        <f>M56/M12</f>
        <v>1.4967530795936213E-4</v>
      </c>
      <c r="O56" s="437">
        <v>250</v>
      </c>
      <c r="P56" s="702">
        <f>O56/O12</f>
        <v>2.3641260565468794E-4</v>
      </c>
      <c r="Q56" s="437">
        <v>250</v>
      </c>
      <c r="R56" s="702">
        <f>Q56/Q12</f>
        <v>1.9038831689391079E-4</v>
      </c>
      <c r="S56" s="437">
        <v>250</v>
      </c>
      <c r="T56" s="702">
        <f>S56/S12</f>
        <v>1.8899368040503557E-4</v>
      </c>
      <c r="U56" s="437">
        <v>250</v>
      </c>
      <c r="V56" s="702">
        <f>U56/U12</f>
        <v>2.382654118845217E-4</v>
      </c>
      <c r="W56" s="437">
        <v>250</v>
      </c>
      <c r="X56" s="702">
        <f>W56/W12</f>
        <v>2.3418093818499913E-4</v>
      </c>
      <c r="Y56" s="437">
        <v>250</v>
      </c>
      <c r="Z56" s="702">
        <f>Y56/Y12</f>
        <v>1.5501860006307062E-4</v>
      </c>
      <c r="AA56" s="144">
        <f t="shared" si="21"/>
        <v>3000</v>
      </c>
      <c r="AB56" s="702">
        <f>AA56/AA12</f>
        <v>1.9963943418795384E-4</v>
      </c>
      <c r="AC56" s="128">
        <f t="shared" si="22"/>
        <v>250</v>
      </c>
      <c r="AD56" s="702">
        <f>AC56/AC12</f>
        <v>1.9963943418795384E-4</v>
      </c>
      <c r="AE56" s="595"/>
      <c r="AF56" s="595"/>
      <c r="AG56" s="555"/>
    </row>
    <row r="57" spans="1:34" s="1" customFormat="1">
      <c r="A57" s="188">
        <v>6116</v>
      </c>
      <c r="B57" s="227" t="s">
        <v>14</v>
      </c>
      <c r="C57" s="432">
        <v>819.9</v>
      </c>
      <c r="D57" s="68">
        <f>C57/C12</f>
        <v>7.2544012312867571E-4</v>
      </c>
      <c r="E57" s="432">
        <v>819.9</v>
      </c>
      <c r="F57" s="68">
        <f>E57/E12</f>
        <v>9.324405632677059E-4</v>
      </c>
      <c r="G57" s="33">
        <v>819.9</v>
      </c>
      <c r="H57" s="68">
        <f>G57/G12</f>
        <v>5.6212514706164662E-4</v>
      </c>
      <c r="I57" s="432">
        <v>819.9</v>
      </c>
      <c r="J57" s="68">
        <f>I57/I12</f>
        <v>6.3661242985264029E-4</v>
      </c>
      <c r="K57" s="432">
        <v>819.9</v>
      </c>
      <c r="L57" s="68">
        <f>K57/K12</f>
        <v>6.9605415222185186E-4</v>
      </c>
      <c r="M57" s="31">
        <v>666.48</v>
      </c>
      <c r="N57" s="702">
        <f>M57/M12</f>
        <v>3.990223969950227E-4</v>
      </c>
      <c r="O57" s="33">
        <v>666.48</v>
      </c>
      <c r="P57" s="702">
        <f>O57/O12</f>
        <v>6.3025709366694568E-4</v>
      </c>
      <c r="Q57" s="31">
        <v>666.48</v>
      </c>
      <c r="R57" s="68">
        <f>Q57/Q12</f>
        <v>5.0756002177381463E-4</v>
      </c>
      <c r="S57" s="31">
        <v>666.48</v>
      </c>
      <c r="T57" s="68">
        <f>S57/S12</f>
        <v>5.0384203246539247E-4</v>
      </c>
      <c r="U57" s="31">
        <f>250+819.9</f>
        <v>1069.9000000000001</v>
      </c>
      <c r="V57" s="68">
        <f>U57/U12</f>
        <v>1.0196806567009992E-3</v>
      </c>
      <c r="W57" s="31">
        <f>250+819.9</f>
        <v>1069.9000000000001</v>
      </c>
      <c r="X57" s="68">
        <f>W57/W12</f>
        <v>1.0022007430565223E-3</v>
      </c>
      <c r="Y57" s="31">
        <f>250+819.9</f>
        <v>1069.9000000000001</v>
      </c>
      <c r="Z57" s="68">
        <f>Y57/Y12</f>
        <v>6.6341760082991709E-4</v>
      </c>
      <c r="AA57" s="144">
        <f t="shared" si="21"/>
        <v>9975.1199999999972</v>
      </c>
      <c r="AB57" s="68">
        <f>AA57/AA12</f>
        <v>6.6380910425231383E-4</v>
      </c>
      <c r="AC57" s="128">
        <f t="shared" si="22"/>
        <v>831.25999999999976</v>
      </c>
      <c r="AD57" s="68">
        <f>AC57/AC12</f>
        <v>6.6380910425231383E-4</v>
      </c>
      <c r="AE57" s="658"/>
      <c r="AF57" s="595"/>
      <c r="AG57" s="555"/>
    </row>
    <row r="58" spans="1:34" s="1" customFormat="1">
      <c r="A58" s="188">
        <v>6117</v>
      </c>
      <c r="B58" s="227" t="s">
        <v>15</v>
      </c>
      <c r="C58" s="61"/>
      <c r="D58" s="24">
        <f>C58/C12</f>
        <v>0</v>
      </c>
      <c r="E58" s="703"/>
      <c r="F58" s="24">
        <f>E58/E12</f>
        <v>0</v>
      </c>
      <c r="H58" s="24">
        <f>G58/G12</f>
        <v>0</v>
      </c>
      <c r="I58" s="61"/>
      <c r="J58" s="24">
        <f>I58/I12</f>
        <v>0</v>
      </c>
      <c r="K58" s="26">
        <v>0</v>
      </c>
      <c r="L58" s="24">
        <f>K58/K12</f>
        <v>0</v>
      </c>
      <c r="M58" s="26"/>
      <c r="N58" s="24">
        <f>M58/M12</f>
        <v>0</v>
      </c>
      <c r="O58" s="33"/>
      <c r="P58" s="24">
        <f>O58/O12</f>
        <v>0</v>
      </c>
      <c r="Q58" s="26"/>
      <c r="R58" s="24">
        <f>Q58/Q12</f>
        <v>0</v>
      </c>
      <c r="S58" s="26"/>
      <c r="T58" s="24">
        <f>S58/S12</f>
        <v>0</v>
      </c>
      <c r="U58" s="61"/>
      <c r="V58" s="24">
        <f>U58/U12</f>
        <v>0</v>
      </c>
      <c r="W58" s="61"/>
      <c r="X58" s="24">
        <f>W58/W12</f>
        <v>0</v>
      </c>
      <c r="Y58" s="61"/>
      <c r="Z58" s="24">
        <f>Y58/Y12</f>
        <v>0</v>
      </c>
      <c r="AA58" s="144">
        <f t="shared" si="21"/>
        <v>0</v>
      </c>
      <c r="AB58" s="68">
        <f>AA58/AA12</f>
        <v>0</v>
      </c>
      <c r="AC58" s="128">
        <f t="shared" si="22"/>
        <v>0</v>
      </c>
      <c r="AD58" s="68">
        <f>AC58/AC12</f>
        <v>0</v>
      </c>
      <c r="AE58" s="595"/>
      <c r="AF58" s="595"/>
      <c r="AG58" s="555"/>
      <c r="AH58" s="74"/>
    </row>
    <row r="59" spans="1:34" s="1" customFormat="1">
      <c r="A59" s="188">
        <v>6118</v>
      </c>
      <c r="B59" s="227" t="s">
        <v>16</v>
      </c>
      <c r="C59" s="437">
        <v>9751</v>
      </c>
      <c r="D59" s="24">
        <f>C59/C12</f>
        <v>8.6275968296471734E-3</v>
      </c>
      <c r="E59" s="75">
        <v>9122</v>
      </c>
      <c r="F59" s="24">
        <f>E59/E12</f>
        <v>1.0374097838916957E-2</v>
      </c>
      <c r="G59" s="371">
        <v>9751</v>
      </c>
      <c r="H59" s="24">
        <f>G59/G12</f>
        <v>6.6853059019369634E-3</v>
      </c>
      <c r="I59" s="75">
        <v>9437</v>
      </c>
      <c r="J59" s="24">
        <f>I59/I12</f>
        <v>7.327371021489653E-3</v>
      </c>
      <c r="K59" s="75">
        <v>9751</v>
      </c>
      <c r="L59" s="24">
        <f>K59/K12</f>
        <v>8.2781120116054135E-3</v>
      </c>
      <c r="M59" s="33">
        <v>9437</v>
      </c>
      <c r="N59" s="24">
        <f>M59/M12</f>
        <v>5.6499435248500013E-3</v>
      </c>
      <c r="O59" s="33">
        <v>9751</v>
      </c>
      <c r="P59" s="24">
        <f>O59/O12</f>
        <v>9.2210372709554487E-3</v>
      </c>
      <c r="Q59" s="75">
        <v>9751</v>
      </c>
      <c r="R59" s="24">
        <f>Q59/Q12</f>
        <v>7.4259059121300963E-3</v>
      </c>
      <c r="S59" s="75">
        <v>9437</v>
      </c>
      <c r="T59" s="24">
        <f>S59/S12</f>
        <v>7.134133447929283E-3</v>
      </c>
      <c r="U59" s="75">
        <f>9751*1.05</f>
        <v>10238.550000000001</v>
      </c>
      <c r="V59" s="24">
        <f>U59/U12</f>
        <v>9.7579693314010802E-3</v>
      </c>
      <c r="W59" s="75">
        <f>9437*1.05</f>
        <v>9908.85</v>
      </c>
      <c r="X59" s="24">
        <f>W59/W12</f>
        <v>9.2818551573377144E-3</v>
      </c>
      <c r="Y59" s="75">
        <f>9751*1.05</f>
        <v>10238.550000000001</v>
      </c>
      <c r="Z59" s="24">
        <f>Y59/Y12</f>
        <v>6.3486627507030073E-3</v>
      </c>
      <c r="AA59" s="144">
        <f t="shared" si="21"/>
        <v>116573.95000000001</v>
      </c>
      <c r="AB59" s="68">
        <f>AA59/AA12</f>
        <v>7.757585806351607E-3</v>
      </c>
      <c r="AC59" s="128">
        <f t="shared" si="22"/>
        <v>9714.4958333333343</v>
      </c>
      <c r="AD59" s="68">
        <f>AC59/AC12</f>
        <v>7.7575858063516079E-3</v>
      </c>
      <c r="AE59" s="595" t="s">
        <v>332</v>
      </c>
      <c r="AF59" s="595"/>
      <c r="AG59" s="555"/>
      <c r="AH59" s="74"/>
    </row>
    <row r="60" spans="1:34" s="1" customFormat="1">
      <c r="A60" s="188">
        <v>6119</v>
      </c>
      <c r="B60" s="227" t="s">
        <v>17</v>
      </c>
      <c r="C60" s="61"/>
      <c r="D60" s="24">
        <f>C60/C12</f>
        <v>0</v>
      </c>
      <c r="E60" s="703"/>
      <c r="F60" s="24">
        <f>E60/E12</f>
        <v>0</v>
      </c>
      <c r="H60" s="24">
        <f>G60/G12</f>
        <v>0</v>
      </c>
      <c r="I60" s="61"/>
      <c r="J60" s="24">
        <f>I60/I12</f>
        <v>0</v>
      </c>
      <c r="K60" s="26">
        <v>0</v>
      </c>
      <c r="L60" s="24">
        <f>K60/K12</f>
        <v>0</v>
      </c>
      <c r="M60" s="26"/>
      <c r="N60" s="24">
        <f>M60/M12</f>
        <v>0</v>
      </c>
      <c r="O60" s="33"/>
      <c r="P60" s="24">
        <f>O60/O12</f>
        <v>0</v>
      </c>
      <c r="Q60" s="26"/>
      <c r="R60" s="24">
        <f>Q60/Q12</f>
        <v>0</v>
      </c>
      <c r="S60" s="26"/>
      <c r="T60" s="24">
        <f>S60/S12</f>
        <v>0</v>
      </c>
      <c r="U60" s="61"/>
      <c r="V60" s="24">
        <f>U60/U12</f>
        <v>0</v>
      </c>
      <c r="W60" s="61"/>
      <c r="X60" s="24">
        <f>W60/W12</f>
        <v>0</v>
      </c>
      <c r="Y60" s="61"/>
      <c r="Z60" s="24">
        <f>Y60/Y12</f>
        <v>0</v>
      </c>
      <c r="AA60" s="144">
        <f t="shared" si="21"/>
        <v>0</v>
      </c>
      <c r="AB60" s="68">
        <f>AA60/AA12</f>
        <v>0</v>
      </c>
      <c r="AC60" s="128">
        <f t="shared" si="22"/>
        <v>0</v>
      </c>
      <c r="AD60" s="68">
        <f>AC60/AC12</f>
        <v>0</v>
      </c>
      <c r="AE60" s="595"/>
      <c r="AF60" s="595"/>
      <c r="AG60" s="555"/>
      <c r="AH60" s="74"/>
    </row>
    <row r="61" spans="1:34" s="1" customFormat="1">
      <c r="A61" s="188">
        <v>6120</v>
      </c>
      <c r="B61" s="227" t="s">
        <v>18</v>
      </c>
      <c r="C61" s="61"/>
      <c r="D61" s="24">
        <f>C61/C12</f>
        <v>0</v>
      </c>
      <c r="E61" s="703"/>
      <c r="F61" s="24">
        <f>E61/E12</f>
        <v>0</v>
      </c>
      <c r="H61" s="24">
        <f>G61/G12</f>
        <v>0</v>
      </c>
      <c r="I61" s="61"/>
      <c r="J61" s="24">
        <f>I61/I12</f>
        <v>0</v>
      </c>
      <c r="K61" s="26">
        <v>0</v>
      </c>
      <c r="L61" s="24">
        <f>K61/K12</f>
        <v>0</v>
      </c>
      <c r="M61" s="26"/>
      <c r="N61" s="24">
        <f>M61/M12</f>
        <v>0</v>
      </c>
      <c r="O61" s="33"/>
      <c r="P61" s="24">
        <f>O61/O12</f>
        <v>0</v>
      </c>
      <c r="Q61" s="26"/>
      <c r="R61" s="24">
        <f>Q61/Q12</f>
        <v>0</v>
      </c>
      <c r="S61" s="26"/>
      <c r="T61" s="24">
        <f>S61/S12</f>
        <v>0</v>
      </c>
      <c r="U61" s="61"/>
      <c r="V61" s="24">
        <f>U61/U12</f>
        <v>0</v>
      </c>
      <c r="W61" s="61"/>
      <c r="X61" s="24">
        <f>W61/W12</f>
        <v>0</v>
      </c>
      <c r="Y61" s="61"/>
      <c r="Z61" s="24">
        <f>Y61/Y12</f>
        <v>0</v>
      </c>
      <c r="AA61" s="144">
        <f t="shared" si="21"/>
        <v>0</v>
      </c>
      <c r="AB61" s="68">
        <f>AA61/AA12</f>
        <v>0</v>
      </c>
      <c r="AC61" s="128">
        <f t="shared" si="22"/>
        <v>0</v>
      </c>
      <c r="AD61" s="68">
        <f>AC61/AC12</f>
        <v>0</v>
      </c>
      <c r="AE61" s="595"/>
      <c r="AF61" s="595"/>
      <c r="AG61" s="555"/>
      <c r="AH61" s="74"/>
    </row>
    <row r="62" spans="1:34" s="1" customFormat="1">
      <c r="A62" s="188">
        <v>6121</v>
      </c>
      <c r="B62" s="188" t="s">
        <v>19</v>
      </c>
      <c r="C62" s="705">
        <v>250</v>
      </c>
      <c r="D62" s="702">
        <f>C62/C12</f>
        <v>2.2119774458125252E-4</v>
      </c>
      <c r="E62" s="705">
        <v>250</v>
      </c>
      <c r="F62" s="702">
        <f>E62/E12</f>
        <v>2.8431533213431695E-4</v>
      </c>
      <c r="G62" s="705">
        <v>250</v>
      </c>
      <c r="H62" s="702">
        <f>G62/G12</f>
        <v>1.7140052050910068E-4</v>
      </c>
      <c r="I62" s="705">
        <v>250</v>
      </c>
      <c r="J62" s="702">
        <f>I62/I12</f>
        <v>1.9411282773894385E-4</v>
      </c>
      <c r="K62" s="705">
        <v>250</v>
      </c>
      <c r="L62" s="702">
        <f>K62/K12</f>
        <v>2.1223751439866201E-4</v>
      </c>
      <c r="M62" s="705">
        <v>500</v>
      </c>
      <c r="N62" s="702">
        <f>M62/M12</f>
        <v>2.9935061591872427E-4</v>
      </c>
      <c r="O62" s="705">
        <v>250</v>
      </c>
      <c r="P62" s="702">
        <f>O62/O12</f>
        <v>2.3641260565468794E-4</v>
      </c>
      <c r="Q62" s="705">
        <v>250</v>
      </c>
      <c r="R62" s="702">
        <f>Q62/Q12</f>
        <v>1.9038831689391079E-4</v>
      </c>
      <c r="S62" s="705">
        <v>500</v>
      </c>
      <c r="T62" s="702">
        <f>S62/S12</f>
        <v>3.7798736081007115E-4</v>
      </c>
      <c r="U62" s="705">
        <v>250</v>
      </c>
      <c r="V62" s="702">
        <f>U62/U12</f>
        <v>2.382654118845217E-4</v>
      </c>
      <c r="W62" s="705">
        <v>250</v>
      </c>
      <c r="X62" s="702">
        <f>W62/W12</f>
        <v>2.3418093818499913E-4</v>
      </c>
      <c r="Y62" s="705">
        <f>250+250</f>
        <v>500</v>
      </c>
      <c r="Z62" s="702">
        <f>Y62/Y12</f>
        <v>3.1003720012614123E-4</v>
      </c>
      <c r="AA62" s="144">
        <f t="shared" si="21"/>
        <v>3750</v>
      </c>
      <c r="AB62" s="702">
        <f>AA62/AA12</f>
        <v>2.495492927349423E-4</v>
      </c>
      <c r="AC62" s="128">
        <f t="shared" si="22"/>
        <v>312.5</v>
      </c>
      <c r="AD62" s="702">
        <f>AC62/AC12</f>
        <v>2.495492927349423E-4</v>
      </c>
      <c r="AE62" s="645"/>
      <c r="AF62" s="226"/>
      <c r="AG62" s="226"/>
    </row>
    <row r="63" spans="1:34" s="1" customFormat="1">
      <c r="A63" s="188">
        <v>6122</v>
      </c>
      <c r="B63" s="227" t="s">
        <v>199</v>
      </c>
      <c r="C63" s="61"/>
      <c r="D63" s="24">
        <f>C63/C12</f>
        <v>0</v>
      </c>
      <c r="E63" s="61"/>
      <c r="F63" s="24">
        <f>E63/E12</f>
        <v>0</v>
      </c>
      <c r="H63" s="24">
        <f>G63/G12</f>
        <v>0</v>
      </c>
      <c r="I63" s="61"/>
      <c r="J63" s="24">
        <f>I63/I12</f>
        <v>0</v>
      </c>
      <c r="K63" s="61">
        <v>0</v>
      </c>
      <c r="L63" s="24">
        <f>K63/K12</f>
        <v>0</v>
      </c>
      <c r="M63" s="26"/>
      <c r="N63" s="24">
        <f>M63/M12</f>
        <v>0</v>
      </c>
      <c r="O63" s="33"/>
      <c r="P63" s="24">
        <f>O63/O12</f>
        <v>0</v>
      </c>
      <c r="Q63" s="61"/>
      <c r="R63" s="24">
        <f>Q63/Q12</f>
        <v>0</v>
      </c>
      <c r="S63" s="61"/>
      <c r="T63" s="24">
        <f>S63/S12</f>
        <v>0</v>
      </c>
      <c r="U63" s="61"/>
      <c r="V63" s="24">
        <f>U63/U12</f>
        <v>0</v>
      </c>
      <c r="W63" s="61"/>
      <c r="X63" s="24">
        <f>W63/W12</f>
        <v>0</v>
      </c>
      <c r="Y63" s="61"/>
      <c r="Z63" s="24">
        <f>Y63/Y12</f>
        <v>0</v>
      </c>
      <c r="AA63" s="144">
        <f t="shared" si="21"/>
        <v>0</v>
      </c>
      <c r="AB63" s="68">
        <f>AA63/AA12</f>
        <v>0</v>
      </c>
      <c r="AC63" s="128">
        <f t="shared" si="22"/>
        <v>0</v>
      </c>
      <c r="AD63" s="68">
        <f>AC63/AC12</f>
        <v>0</v>
      </c>
      <c r="AE63" s="595"/>
      <c r="AF63" s="595"/>
      <c r="AG63" s="555"/>
      <c r="AH63" s="74"/>
    </row>
    <row r="64" spans="1:34" s="1" customFormat="1">
      <c r="A64" s="188">
        <v>6123</v>
      </c>
      <c r="B64" s="227" t="s">
        <v>21</v>
      </c>
      <c r="C64" s="61"/>
      <c r="D64" s="24">
        <f>C64/C12</f>
        <v>0</v>
      </c>
      <c r="E64" s="703"/>
      <c r="F64" s="24">
        <f>E64/E12</f>
        <v>0</v>
      </c>
      <c r="H64" s="24">
        <f>G64/G12</f>
        <v>0</v>
      </c>
      <c r="I64" s="61"/>
      <c r="J64" s="24">
        <f>I64/I12</f>
        <v>0</v>
      </c>
      <c r="K64" s="26">
        <v>0</v>
      </c>
      <c r="L64" s="24">
        <f>K64/K12</f>
        <v>0</v>
      </c>
      <c r="M64" s="26"/>
      <c r="N64" s="24">
        <f>M64/M12</f>
        <v>0</v>
      </c>
      <c r="O64" s="33"/>
      <c r="P64" s="24">
        <f>O64/O12</f>
        <v>0</v>
      </c>
      <c r="Q64" s="26"/>
      <c r="R64" s="24">
        <f>Q64/Q12</f>
        <v>0</v>
      </c>
      <c r="S64" s="26"/>
      <c r="T64" s="24">
        <f>S64/S12</f>
        <v>0</v>
      </c>
      <c r="U64" s="61"/>
      <c r="V64" s="24">
        <f>U64/U12</f>
        <v>0</v>
      </c>
      <c r="W64" s="61"/>
      <c r="X64" s="24">
        <f>W64/W12</f>
        <v>0</v>
      </c>
      <c r="Y64" s="61"/>
      <c r="Z64" s="24">
        <f>Y64/Y12</f>
        <v>0</v>
      </c>
      <c r="AA64" s="144">
        <f t="shared" si="21"/>
        <v>0</v>
      </c>
      <c r="AB64" s="68">
        <f>AA64/AA12</f>
        <v>0</v>
      </c>
      <c r="AC64" s="128">
        <f t="shared" si="22"/>
        <v>0</v>
      </c>
      <c r="AD64" s="68">
        <f>AC64/AC12</f>
        <v>0</v>
      </c>
      <c r="AE64" s="595"/>
      <c r="AF64" s="595"/>
      <c r="AG64" s="555"/>
      <c r="AH64" s="74"/>
    </row>
    <row r="65" spans="1:34" s="1" customFormat="1">
      <c r="A65" s="188">
        <v>6124</v>
      </c>
      <c r="B65" s="227" t="s">
        <v>22</v>
      </c>
      <c r="C65" s="433">
        <v>13100</v>
      </c>
      <c r="D65" s="24">
        <f>C65/C12</f>
        <v>1.1590761816057633E-2</v>
      </c>
      <c r="E65" s="433">
        <v>13100</v>
      </c>
      <c r="F65" s="24">
        <f>E65/E12</f>
        <v>1.4898123403838209E-2</v>
      </c>
      <c r="G65" s="433">
        <v>13100</v>
      </c>
      <c r="H65" s="24">
        <f>G65/G12</f>
        <v>8.9813872746768754E-3</v>
      </c>
      <c r="I65" s="433">
        <v>13100</v>
      </c>
      <c r="J65" s="24">
        <f>I65/I12</f>
        <v>1.0171512173520659E-2</v>
      </c>
      <c r="K65" s="433">
        <v>13100</v>
      </c>
      <c r="L65" s="24">
        <f>K65/K12</f>
        <v>1.1121245754489889E-2</v>
      </c>
      <c r="M65" s="433">
        <v>13100</v>
      </c>
      <c r="N65" s="24">
        <f>M65/M12</f>
        <v>7.8429861370705751E-3</v>
      </c>
      <c r="O65" s="433">
        <v>13100</v>
      </c>
      <c r="P65" s="24">
        <f>O65/O12</f>
        <v>1.2388020536305649E-2</v>
      </c>
      <c r="Q65" s="433">
        <v>13100</v>
      </c>
      <c r="R65" s="24">
        <f>Q65/Q12</f>
        <v>9.9763478052409243E-3</v>
      </c>
      <c r="S65" s="433">
        <v>13100</v>
      </c>
      <c r="T65" s="24">
        <f>S65/S12</f>
        <v>9.9032688532238646E-3</v>
      </c>
      <c r="U65" s="433">
        <v>13100</v>
      </c>
      <c r="V65" s="24">
        <f>U65/U12</f>
        <v>1.2485107582748936E-2</v>
      </c>
      <c r="W65" s="433">
        <v>13100</v>
      </c>
      <c r="X65" s="24">
        <f>W65/W12</f>
        <v>1.2271081160893954E-2</v>
      </c>
      <c r="Y65" s="433">
        <v>13100</v>
      </c>
      <c r="Z65" s="24">
        <f>Y65/Y12</f>
        <v>8.1229746433049005E-3</v>
      </c>
      <c r="AA65" s="144">
        <f t="shared" si="21"/>
        <v>157200</v>
      </c>
      <c r="AB65" s="68">
        <f>AA65/AA12</f>
        <v>1.0461106351448781E-2</v>
      </c>
      <c r="AC65" s="128">
        <f t="shared" si="22"/>
        <v>13100</v>
      </c>
      <c r="AD65" s="68">
        <f>AC65/AC12</f>
        <v>1.0461106351448781E-2</v>
      </c>
      <c r="AE65" s="645"/>
      <c r="AF65" s="595"/>
      <c r="AG65" s="555"/>
      <c r="AH65" s="74"/>
    </row>
    <row r="66" spans="1:34" s="1" customFormat="1">
      <c r="A66" s="188">
        <v>6125</v>
      </c>
      <c r="B66" s="227" t="s">
        <v>78</v>
      </c>
      <c r="C66" s="705">
        <v>423.01184433164127</v>
      </c>
      <c r="D66" s="677">
        <f>C66/C12</f>
        <v>3.7427706358925973E-4</v>
      </c>
      <c r="E66" s="705">
        <v>423.01184433164127</v>
      </c>
      <c r="F66" s="677">
        <f>E66/E12</f>
        <v>4.8107501207160231E-4</v>
      </c>
      <c r="G66" s="705">
        <v>423.01184433164127</v>
      </c>
      <c r="H66" s="677">
        <f>G66/G12</f>
        <v>2.9001780119983195E-4</v>
      </c>
      <c r="I66" s="705">
        <v>423.01184433164127</v>
      </c>
      <c r="J66" s="677">
        <f>I66/I12</f>
        <v>3.2844810108112325E-4</v>
      </c>
      <c r="K66" s="705">
        <v>423.01184433164127</v>
      </c>
      <c r="L66" s="677">
        <f>K66/K12</f>
        <v>3.5911592960856511E-4</v>
      </c>
      <c r="M66" s="705">
        <v>423.01184433164127</v>
      </c>
      <c r="N66" s="702">
        <f>M66/M12</f>
        <v>2.5325771228318464E-4</v>
      </c>
      <c r="O66" s="705">
        <v>423.01184433164127</v>
      </c>
      <c r="P66" s="702">
        <f>O66/O12</f>
        <v>4.0002132936495423E-4</v>
      </c>
      <c r="Q66" s="705">
        <v>423.01184433164127</v>
      </c>
      <c r="R66" s="677">
        <f>Q66/Q12</f>
        <v>3.221460522739607E-4</v>
      </c>
      <c r="S66" s="705">
        <v>423.01184433164127</v>
      </c>
      <c r="T66" s="677">
        <f>S66/S12</f>
        <v>3.1978626126063549E-4</v>
      </c>
      <c r="U66" s="705">
        <v>423.01184433164127</v>
      </c>
      <c r="V66" s="677">
        <f>U66/U12</f>
        <v>4.0315636528683876E-4</v>
      </c>
      <c r="W66" s="705">
        <v>423.01184433164127</v>
      </c>
      <c r="X66" s="677">
        <f>W66/W12</f>
        <v>3.9624524227580227E-4</v>
      </c>
      <c r="Y66" s="705">
        <v>423.01184433164127</v>
      </c>
      <c r="Z66" s="677">
        <f>Y66/Y12</f>
        <v>2.6229881567355431E-4</v>
      </c>
      <c r="AA66" s="144">
        <f t="shared" si="21"/>
        <v>5076.1421319796964</v>
      </c>
      <c r="AB66" s="677">
        <f>AA66/AA$12</f>
        <v>3.3779938102868675E-4</v>
      </c>
      <c r="AC66" s="128">
        <f t="shared" si="22"/>
        <v>423.01184433164138</v>
      </c>
      <c r="AD66" s="677">
        <f>AC66/AC$12</f>
        <v>3.377993810286868E-4</v>
      </c>
      <c r="AE66" s="658" t="s">
        <v>295</v>
      </c>
      <c r="AF66" s="393" t="s">
        <v>296</v>
      </c>
      <c r="AG66" s="555"/>
      <c r="AH66" s="74"/>
    </row>
    <row r="67" spans="1:34" s="1" customFormat="1">
      <c r="A67" s="188">
        <v>6126</v>
      </c>
      <c r="B67" s="227" t="s">
        <v>116</v>
      </c>
      <c r="C67" s="61"/>
      <c r="D67" s="677">
        <f t="shared" ref="D67:AD75" si="23">C67/C$12</f>
        <v>0</v>
      </c>
      <c r="E67" s="61"/>
      <c r="F67" s="677">
        <f t="shared" si="23"/>
        <v>0</v>
      </c>
      <c r="G67" s="61"/>
      <c r="H67" s="677">
        <f t="shared" ref="H67" si="24">G67/G$12</f>
        <v>0</v>
      </c>
      <c r="I67" s="61"/>
      <c r="J67" s="677">
        <f t="shared" ref="J67" si="25">I67/I$12</f>
        <v>0</v>
      </c>
      <c r="K67" s="61"/>
      <c r="L67" s="677">
        <f t="shared" ref="L67" si="26">K67/K$12</f>
        <v>0</v>
      </c>
      <c r="M67" s="61"/>
      <c r="N67" s="702">
        <f t="shared" ref="N67:N74" si="27">M67/M$12</f>
        <v>0</v>
      </c>
      <c r="O67" s="61"/>
      <c r="P67" s="702">
        <f t="shared" ref="P67:P74" si="28">O67/O$12</f>
        <v>0</v>
      </c>
      <c r="Q67" s="61"/>
      <c r="R67" s="677">
        <f t="shared" ref="R67" si="29">Q67/Q$12</f>
        <v>0</v>
      </c>
      <c r="S67" s="61"/>
      <c r="T67" s="677">
        <f t="shared" ref="T67" si="30">S67/S$12</f>
        <v>0</v>
      </c>
      <c r="U67" s="61"/>
      <c r="V67" s="677">
        <f t="shared" ref="V67" si="31">U67/U$12</f>
        <v>0</v>
      </c>
      <c r="W67" s="61"/>
      <c r="X67" s="677">
        <f t="shared" ref="X67" si="32">W67/W$12</f>
        <v>0</v>
      </c>
      <c r="Y67" s="61"/>
      <c r="Z67" s="677">
        <f t="shared" ref="Z67" si="33">Y67/Y$12</f>
        <v>0</v>
      </c>
      <c r="AA67" s="144">
        <f t="shared" si="21"/>
        <v>0</v>
      </c>
      <c r="AB67" s="677">
        <f t="shared" ref="AB67" si="34">AA67/AA$12</f>
        <v>0</v>
      </c>
      <c r="AC67" s="128">
        <f t="shared" si="22"/>
        <v>0</v>
      </c>
      <c r="AD67" s="677">
        <f t="shared" ref="AD67" si="35">AC67/AC$12</f>
        <v>0</v>
      </c>
      <c r="AE67" s="595"/>
      <c r="AF67" s="595"/>
      <c r="AG67" s="555"/>
      <c r="AH67" s="74"/>
    </row>
    <row r="68" spans="1:34" s="1" customFormat="1">
      <c r="A68" s="188">
        <v>6127</v>
      </c>
      <c r="B68" s="188" t="s">
        <v>76</v>
      </c>
      <c r="C68" s="705">
        <v>382</v>
      </c>
      <c r="D68" s="702">
        <f>C68/C$12</f>
        <v>3.3799015372015388E-4</v>
      </c>
      <c r="E68" s="705">
        <v>382</v>
      </c>
      <c r="F68" s="702">
        <f>E68/E$12</f>
        <v>4.3443382750123634E-4</v>
      </c>
      <c r="G68" s="705">
        <v>382</v>
      </c>
      <c r="H68" s="702">
        <f>G68/G$12</f>
        <v>2.6189999533790585E-4</v>
      </c>
      <c r="I68" s="705">
        <v>382</v>
      </c>
      <c r="J68" s="702">
        <f>I68/I$12</f>
        <v>2.9660440078510623E-4</v>
      </c>
      <c r="K68" s="705">
        <v>382</v>
      </c>
      <c r="L68" s="702">
        <f>K68/K$12</f>
        <v>3.2429892200115554E-4</v>
      </c>
      <c r="M68" s="705">
        <v>382</v>
      </c>
      <c r="N68" s="702">
        <f>M68/M$12</f>
        <v>2.2870387056190533E-4</v>
      </c>
      <c r="O68" s="705">
        <v>382</v>
      </c>
      <c r="P68" s="702">
        <f>O68/O$12</f>
        <v>3.6123846144036319E-4</v>
      </c>
      <c r="Q68" s="705">
        <v>382</v>
      </c>
      <c r="R68" s="702">
        <f>Q68/Q$12</f>
        <v>2.9091334821389566E-4</v>
      </c>
      <c r="S68" s="705">
        <v>382</v>
      </c>
      <c r="T68" s="702">
        <f>S68/S$12</f>
        <v>2.8878234365889438E-4</v>
      </c>
      <c r="U68" s="705">
        <v>382</v>
      </c>
      <c r="V68" s="702">
        <f>U68/U$12</f>
        <v>3.6406954935954913E-4</v>
      </c>
      <c r="W68" s="705">
        <v>382</v>
      </c>
      <c r="X68" s="702">
        <f>W68/W$12</f>
        <v>3.5782847354667868E-4</v>
      </c>
      <c r="Y68" s="705">
        <v>382</v>
      </c>
      <c r="Z68" s="702">
        <f>Y68/Y$12</f>
        <v>2.368684208963719E-4</v>
      </c>
      <c r="AA68" s="144">
        <f t="shared" si="21"/>
        <v>4584</v>
      </c>
      <c r="AB68" s="702">
        <f>AA68/AA12</f>
        <v>3.0504905543919344E-4</v>
      </c>
      <c r="AC68" s="128">
        <f t="shared" si="22"/>
        <v>382</v>
      </c>
      <c r="AD68" s="702">
        <f>AC68/AC12</f>
        <v>3.0504905543919349E-4</v>
      </c>
      <c r="AE68" s="645"/>
      <c r="AF68" s="226"/>
      <c r="AG68" s="226"/>
    </row>
    <row r="69" spans="1:34" s="1" customFormat="1">
      <c r="A69" s="188">
        <v>6128</v>
      </c>
      <c r="B69" s="188" t="s">
        <v>270</v>
      </c>
      <c r="C69" s="674">
        <v>0</v>
      </c>
      <c r="D69" s="677">
        <f t="shared" si="23"/>
        <v>0</v>
      </c>
      <c r="E69" s="674">
        <v>0</v>
      </c>
      <c r="F69" s="677">
        <f t="shared" si="23"/>
        <v>0</v>
      </c>
      <c r="G69" s="674">
        <v>0</v>
      </c>
      <c r="H69" s="684">
        <f t="shared" ref="H69:H74" si="36">G69/G$12</f>
        <v>0</v>
      </c>
      <c r="I69" s="674">
        <v>0</v>
      </c>
      <c r="J69" s="684">
        <f t="shared" ref="J69:J74" si="37">I69/I$12</f>
        <v>0</v>
      </c>
      <c r="K69" s="674">
        <v>0</v>
      </c>
      <c r="L69" s="684">
        <f t="shared" ref="L69:L74" si="38">K69/K$12</f>
        <v>0</v>
      </c>
      <c r="M69" s="674">
        <v>0</v>
      </c>
      <c r="N69" s="684">
        <f t="shared" si="27"/>
        <v>0</v>
      </c>
      <c r="O69" s="674">
        <v>0</v>
      </c>
      <c r="P69" s="684">
        <f t="shared" si="28"/>
        <v>0</v>
      </c>
      <c r="Q69" s="674">
        <v>0</v>
      </c>
      <c r="R69" s="684">
        <f t="shared" ref="R69:R74" si="39">Q69/Q$12</f>
        <v>0</v>
      </c>
      <c r="S69" s="674">
        <v>0</v>
      </c>
      <c r="T69" s="684">
        <f t="shared" ref="T69:T74" si="40">S69/S$12</f>
        <v>0</v>
      </c>
      <c r="U69" s="674">
        <v>0</v>
      </c>
      <c r="V69" s="684">
        <f t="shared" ref="V69:V74" si="41">U69/U$12</f>
        <v>0</v>
      </c>
      <c r="W69" s="674">
        <v>0</v>
      </c>
      <c r="X69" s="684">
        <f t="shared" ref="X69:X74" si="42">W69/W$12</f>
        <v>0</v>
      </c>
      <c r="Y69" s="674">
        <v>0</v>
      </c>
      <c r="Z69" s="684">
        <f t="shared" ref="Z69:Z74" si="43">Y69/Y$12</f>
        <v>0</v>
      </c>
      <c r="AA69" s="144">
        <f t="shared" si="21"/>
        <v>0</v>
      </c>
      <c r="AB69" s="677">
        <f t="shared" ref="AB69:AB74" si="44">AA69/AA$12</f>
        <v>0</v>
      </c>
      <c r="AC69" s="128">
        <f t="shared" si="22"/>
        <v>0</v>
      </c>
      <c r="AD69" s="677">
        <f t="shared" ref="AD69:AD74" si="45">AC69/AC$12</f>
        <v>0</v>
      </c>
      <c r="AE69" s="595"/>
      <c r="AF69" s="595"/>
      <c r="AG69" s="555"/>
      <c r="AH69" s="74"/>
    </row>
    <row r="70" spans="1:34" s="1" customFormat="1">
      <c r="A70" s="188">
        <v>6131</v>
      </c>
      <c r="B70" s="188" t="s">
        <v>314</v>
      </c>
      <c r="C70" s="766">
        <v>676.8189509306261</v>
      </c>
      <c r="D70" s="702">
        <f t="shared" si="23"/>
        <v>5.9884330174281568E-4</v>
      </c>
      <c r="E70" s="766">
        <v>676.8189509306261</v>
      </c>
      <c r="F70" s="702">
        <f t="shared" si="23"/>
        <v>7.6972001931456372E-4</v>
      </c>
      <c r="G70" s="766">
        <v>676.8189509306261</v>
      </c>
      <c r="H70" s="702">
        <f t="shared" si="36"/>
        <v>4.6402848191973113E-4</v>
      </c>
      <c r="I70" s="766">
        <v>676.8189509306261</v>
      </c>
      <c r="J70" s="702">
        <f t="shared" si="37"/>
        <v>5.2551696172979732E-4</v>
      </c>
      <c r="K70" s="766">
        <v>676.8189509306261</v>
      </c>
      <c r="L70" s="702">
        <f t="shared" si="38"/>
        <v>5.7458548737370429E-4</v>
      </c>
      <c r="M70" s="766">
        <v>676.8189509306261</v>
      </c>
      <c r="N70" s="702">
        <f t="shared" si="27"/>
        <v>4.0521233965309548E-4</v>
      </c>
      <c r="O70" s="766">
        <v>676.8189509306261</v>
      </c>
      <c r="P70" s="702">
        <f t="shared" si="28"/>
        <v>6.4003412698392678E-4</v>
      </c>
      <c r="Q70" s="766">
        <v>676.8189509306261</v>
      </c>
      <c r="R70" s="702">
        <f t="shared" si="39"/>
        <v>5.1543368363833717E-4</v>
      </c>
      <c r="S70" s="766">
        <v>676.8189509306261</v>
      </c>
      <c r="T70" s="702">
        <f t="shared" si="40"/>
        <v>5.1165801801701682E-4</v>
      </c>
      <c r="U70" s="766">
        <v>676.8189509306261</v>
      </c>
      <c r="V70" s="702">
        <f t="shared" si="41"/>
        <v>6.4505018445894203E-4</v>
      </c>
      <c r="W70" s="766">
        <v>676.8189509306261</v>
      </c>
      <c r="X70" s="702">
        <f t="shared" si="42"/>
        <v>6.3399238764128365E-4</v>
      </c>
      <c r="Y70" s="766">
        <v>676.8189509306261</v>
      </c>
      <c r="Z70" s="702">
        <f t="shared" si="43"/>
        <v>4.1967810507768694E-4</v>
      </c>
      <c r="AA70" s="144">
        <f t="shared" si="21"/>
        <v>8121.8274111675119</v>
      </c>
      <c r="AB70" s="702">
        <f t="shared" si="44"/>
        <v>5.4047900964589862E-4</v>
      </c>
      <c r="AC70" s="128">
        <f t="shared" si="22"/>
        <v>676.81895093062599</v>
      </c>
      <c r="AD70" s="702">
        <f t="shared" si="45"/>
        <v>5.4047900964589873E-4</v>
      </c>
      <c r="AE70" s="645"/>
      <c r="AF70" s="226"/>
      <c r="AG70" s="226"/>
    </row>
    <row r="71" spans="1:34" s="1" customFormat="1">
      <c r="A71" s="2">
        <v>6132</v>
      </c>
      <c r="B71" s="188" t="s">
        <v>315</v>
      </c>
      <c r="C71" s="676">
        <v>46.531302876480538</v>
      </c>
      <c r="D71" s="702">
        <f t="shared" si="23"/>
        <v>4.1170476994818569E-5</v>
      </c>
      <c r="E71" s="676">
        <v>46.531302876480538</v>
      </c>
      <c r="F71" s="702">
        <f t="shared" si="23"/>
        <v>5.2918251327876253E-5</v>
      </c>
      <c r="G71" s="676">
        <v>46.531302876480538</v>
      </c>
      <c r="H71" s="702">
        <f t="shared" si="36"/>
        <v>3.1901958131981515E-5</v>
      </c>
      <c r="I71" s="676">
        <v>46.531302876480538</v>
      </c>
      <c r="J71" s="702">
        <f t="shared" si="37"/>
        <v>3.6129291118923556E-5</v>
      </c>
      <c r="K71" s="676">
        <v>46.531302876480538</v>
      </c>
      <c r="L71" s="702">
        <f t="shared" si="38"/>
        <v>3.9502752256942165E-5</v>
      </c>
      <c r="M71" s="676">
        <v>46.531302876480538</v>
      </c>
      <c r="N71" s="702">
        <f t="shared" si="27"/>
        <v>2.7858348351150311E-5</v>
      </c>
      <c r="O71" s="676">
        <v>46.531302876480538</v>
      </c>
      <c r="P71" s="702">
        <f t="shared" si="28"/>
        <v>4.400234623014496E-5</v>
      </c>
      <c r="Q71" s="676">
        <v>46.531302876480538</v>
      </c>
      <c r="R71" s="702">
        <f t="shared" si="39"/>
        <v>3.5436065750135673E-5</v>
      </c>
      <c r="S71" s="676">
        <v>46.531302876480538</v>
      </c>
      <c r="T71" s="702">
        <f t="shared" si="40"/>
        <v>3.51764887386699E-5</v>
      </c>
      <c r="U71" s="676">
        <v>46.531302876480538</v>
      </c>
      <c r="V71" s="702">
        <f t="shared" si="41"/>
        <v>4.4347200181552257E-5</v>
      </c>
      <c r="W71" s="676">
        <v>46.531302876480538</v>
      </c>
      <c r="X71" s="702">
        <f t="shared" si="42"/>
        <v>4.3586976650338245E-5</v>
      </c>
      <c r="Y71" s="676">
        <v>46.531302876480538</v>
      </c>
      <c r="Z71" s="702">
        <f t="shared" si="43"/>
        <v>2.8852869724090975E-5</v>
      </c>
      <c r="AA71" s="144">
        <f t="shared" si="21"/>
        <v>558.37563451776646</v>
      </c>
      <c r="AB71" s="702">
        <f t="shared" si="44"/>
        <v>3.7157931913155534E-5</v>
      </c>
      <c r="AC71" s="128">
        <f t="shared" si="22"/>
        <v>46.531302876480538</v>
      </c>
      <c r="AD71" s="702">
        <f t="shared" si="45"/>
        <v>3.7157931913155534E-5</v>
      </c>
      <c r="AE71" s="645"/>
      <c r="AF71" s="226"/>
      <c r="AG71" s="226"/>
    </row>
    <row r="72" spans="1:34" s="1" customFormat="1">
      <c r="A72" s="2">
        <v>6133</v>
      </c>
      <c r="B72" s="188" t="s">
        <v>316</v>
      </c>
      <c r="C72" s="676">
        <v>100</v>
      </c>
      <c r="D72" s="702">
        <f t="shared" si="23"/>
        <v>8.8479097832501016E-5</v>
      </c>
      <c r="E72" s="676">
        <v>100</v>
      </c>
      <c r="F72" s="702">
        <f t="shared" si="23"/>
        <v>1.1372613285372679E-4</v>
      </c>
      <c r="G72" s="676">
        <v>100</v>
      </c>
      <c r="H72" s="702">
        <f t="shared" si="36"/>
        <v>6.8560208203640276E-5</v>
      </c>
      <c r="I72" s="676">
        <v>100</v>
      </c>
      <c r="J72" s="702">
        <f t="shared" si="37"/>
        <v>7.7645131095577542E-5</v>
      </c>
      <c r="K72" s="676">
        <v>100</v>
      </c>
      <c r="L72" s="702">
        <f t="shared" si="38"/>
        <v>8.4895005759464797E-5</v>
      </c>
      <c r="M72" s="676">
        <v>100</v>
      </c>
      <c r="N72" s="702">
        <f t="shared" si="27"/>
        <v>5.9870123183744849E-5</v>
      </c>
      <c r="O72" s="676">
        <v>100</v>
      </c>
      <c r="P72" s="702">
        <f t="shared" si="28"/>
        <v>9.4565042261875179E-5</v>
      </c>
      <c r="Q72" s="676">
        <v>100</v>
      </c>
      <c r="R72" s="702">
        <f t="shared" si="39"/>
        <v>7.6155326757564317E-5</v>
      </c>
      <c r="S72" s="676">
        <v>100</v>
      </c>
      <c r="T72" s="702">
        <f t="shared" si="40"/>
        <v>7.5597472162014227E-5</v>
      </c>
      <c r="U72" s="676">
        <v>100</v>
      </c>
      <c r="V72" s="702">
        <f t="shared" si="41"/>
        <v>9.5306164753808685E-5</v>
      </c>
      <c r="W72" s="676">
        <v>100</v>
      </c>
      <c r="X72" s="702">
        <f t="shared" si="42"/>
        <v>9.3672375273999654E-5</v>
      </c>
      <c r="Y72" s="676">
        <v>100</v>
      </c>
      <c r="Z72" s="702">
        <f t="shared" si="43"/>
        <v>6.2007440025228241E-5</v>
      </c>
      <c r="AA72" s="144">
        <f t="shared" si="21"/>
        <v>1200</v>
      </c>
      <c r="AB72" s="702">
        <f t="shared" si="44"/>
        <v>7.9855773675181524E-5</v>
      </c>
      <c r="AC72" s="128">
        <f t="shared" si="22"/>
        <v>100</v>
      </c>
      <c r="AD72" s="702">
        <f t="shared" si="45"/>
        <v>7.9855773675181538E-5</v>
      </c>
      <c r="AE72" s="645"/>
      <c r="AF72" s="226"/>
      <c r="AG72" s="226"/>
    </row>
    <row r="73" spans="1:34" s="1" customFormat="1">
      <c r="A73" s="2">
        <v>6134</v>
      </c>
      <c r="B73" s="188" t="s">
        <v>317</v>
      </c>
      <c r="C73" s="676">
        <v>118.44331641285957</v>
      </c>
      <c r="D73" s="702">
        <f t="shared" si="23"/>
        <v>1.0479757780499274E-4</v>
      </c>
      <c r="E73" s="676">
        <v>118.44331641285957</v>
      </c>
      <c r="F73" s="702">
        <f t="shared" si="23"/>
        <v>1.3470100338004867E-4</v>
      </c>
      <c r="G73" s="676">
        <v>118.44331641285957</v>
      </c>
      <c r="H73" s="702">
        <f t="shared" si="36"/>
        <v>8.1204984335952961E-5</v>
      </c>
      <c r="I73" s="676">
        <v>118.44331641285957</v>
      </c>
      <c r="J73" s="702">
        <f t="shared" si="37"/>
        <v>9.1965468302714523E-5</v>
      </c>
      <c r="K73" s="676">
        <v>118.44331641285957</v>
      </c>
      <c r="L73" s="702">
        <f t="shared" si="38"/>
        <v>1.0055246029039825E-4</v>
      </c>
      <c r="M73" s="676">
        <v>118.44331641285957</v>
      </c>
      <c r="N73" s="702">
        <f t="shared" si="27"/>
        <v>7.0912159439291713E-5</v>
      </c>
      <c r="O73" s="676">
        <v>118.44331641285957</v>
      </c>
      <c r="P73" s="702">
        <f t="shared" si="28"/>
        <v>1.1200597222218719E-4</v>
      </c>
      <c r="Q73" s="676">
        <v>118.44331641285957</v>
      </c>
      <c r="R73" s="702">
        <f t="shared" si="39"/>
        <v>9.0200894636709004E-5</v>
      </c>
      <c r="S73" s="676">
        <v>118.44331641285957</v>
      </c>
      <c r="T73" s="702">
        <f t="shared" si="40"/>
        <v>8.9540153152977943E-5</v>
      </c>
      <c r="U73" s="676">
        <v>118.44331641285957</v>
      </c>
      <c r="V73" s="702">
        <f t="shared" si="41"/>
        <v>1.1288378228031486E-4</v>
      </c>
      <c r="W73" s="676">
        <v>118.44331641285957</v>
      </c>
      <c r="X73" s="702">
        <f t="shared" si="42"/>
        <v>1.1094866783722464E-4</v>
      </c>
      <c r="Y73" s="676">
        <v>118.44331641285957</v>
      </c>
      <c r="Z73" s="702">
        <f t="shared" si="43"/>
        <v>7.3443668388595225E-5</v>
      </c>
      <c r="AA73" s="144">
        <f t="shared" si="21"/>
        <v>1421.3197969543146</v>
      </c>
      <c r="AB73" s="702">
        <f t="shared" si="44"/>
        <v>9.4583826688032264E-5</v>
      </c>
      <c r="AC73" s="128">
        <f t="shared" si="22"/>
        <v>118.44331641285955</v>
      </c>
      <c r="AD73" s="702">
        <f t="shared" si="45"/>
        <v>9.4583826688032264E-5</v>
      </c>
      <c r="AE73" s="645"/>
      <c r="AF73" s="226"/>
      <c r="AG73" s="226"/>
    </row>
    <row r="74" spans="1:34" s="1" customFormat="1">
      <c r="A74" s="2">
        <v>6135</v>
      </c>
      <c r="B74" s="188" t="s">
        <v>318</v>
      </c>
      <c r="C74" s="676">
        <v>0</v>
      </c>
      <c r="D74" s="702">
        <f t="shared" si="23"/>
        <v>0</v>
      </c>
      <c r="E74" s="676">
        <v>0</v>
      </c>
      <c r="F74" s="702">
        <f t="shared" si="23"/>
        <v>0</v>
      </c>
      <c r="G74" s="676">
        <v>0</v>
      </c>
      <c r="H74" s="702">
        <f t="shared" si="36"/>
        <v>0</v>
      </c>
      <c r="I74" s="676">
        <v>0</v>
      </c>
      <c r="J74" s="702">
        <f t="shared" si="37"/>
        <v>0</v>
      </c>
      <c r="K74" s="676">
        <v>0</v>
      </c>
      <c r="L74" s="702">
        <f t="shared" si="38"/>
        <v>0</v>
      </c>
      <c r="M74" s="676">
        <v>0</v>
      </c>
      <c r="N74" s="702">
        <f t="shared" si="27"/>
        <v>0</v>
      </c>
      <c r="O74" s="676">
        <v>0</v>
      </c>
      <c r="P74" s="702">
        <f t="shared" si="28"/>
        <v>0</v>
      </c>
      <c r="Q74" s="676">
        <v>0</v>
      </c>
      <c r="R74" s="702">
        <f t="shared" si="39"/>
        <v>0</v>
      </c>
      <c r="S74" s="676">
        <v>0</v>
      </c>
      <c r="T74" s="702">
        <f t="shared" si="40"/>
        <v>0</v>
      </c>
      <c r="U74" s="676">
        <v>0</v>
      </c>
      <c r="V74" s="702">
        <f t="shared" si="41"/>
        <v>0</v>
      </c>
      <c r="W74" s="676">
        <v>0</v>
      </c>
      <c r="X74" s="702">
        <f t="shared" si="42"/>
        <v>0</v>
      </c>
      <c r="Y74" s="676">
        <v>0</v>
      </c>
      <c r="Z74" s="702">
        <f t="shared" si="43"/>
        <v>0</v>
      </c>
      <c r="AA74" s="144">
        <f t="shared" si="21"/>
        <v>0</v>
      </c>
      <c r="AB74" s="702">
        <f t="shared" si="44"/>
        <v>0</v>
      </c>
      <c r="AC74" s="128">
        <f t="shared" si="22"/>
        <v>0</v>
      </c>
      <c r="AD74" s="702">
        <f t="shared" si="45"/>
        <v>0</v>
      </c>
      <c r="AE74" s="645"/>
      <c r="AF74" s="226"/>
      <c r="AG74" s="226"/>
    </row>
    <row r="75" spans="1:34" s="1" customFormat="1">
      <c r="A75" s="2">
        <v>6136</v>
      </c>
      <c r="B75" s="188" t="s">
        <v>330</v>
      </c>
      <c r="C75" s="676">
        <v>155</v>
      </c>
      <c r="D75" s="702">
        <f t="shared" si="23"/>
        <v>1.3714260164037655E-4</v>
      </c>
      <c r="E75" s="676">
        <v>155</v>
      </c>
      <c r="F75" s="702">
        <f t="shared" si="23"/>
        <v>1.7627550592327651E-4</v>
      </c>
      <c r="G75" s="676">
        <v>155</v>
      </c>
      <c r="H75" s="702">
        <f t="shared" si="23"/>
        <v>1.0626832271564242E-4</v>
      </c>
      <c r="I75" s="676">
        <v>155</v>
      </c>
      <c r="J75" s="702">
        <f t="shared" si="23"/>
        <v>1.2034995319814519E-4</v>
      </c>
      <c r="K75" s="676">
        <v>155</v>
      </c>
      <c r="L75" s="702">
        <f t="shared" si="23"/>
        <v>1.3158725892717043E-4</v>
      </c>
      <c r="M75" s="676">
        <v>155</v>
      </c>
      <c r="N75" s="702">
        <f t="shared" si="23"/>
        <v>9.2798690934804516E-5</v>
      </c>
      <c r="O75" s="676">
        <v>155</v>
      </c>
      <c r="P75" s="702">
        <f t="shared" si="23"/>
        <v>1.4657581550590654E-4</v>
      </c>
      <c r="Q75" s="676">
        <v>155</v>
      </c>
      <c r="R75" s="702">
        <f t="shared" si="23"/>
        <v>1.1804075647422468E-4</v>
      </c>
      <c r="S75" s="676">
        <v>155</v>
      </c>
      <c r="T75" s="702">
        <f t="shared" si="23"/>
        <v>1.1717608185112205E-4</v>
      </c>
      <c r="U75" s="676">
        <v>155</v>
      </c>
      <c r="V75" s="702">
        <f t="shared" si="23"/>
        <v>1.4772455536840346E-4</v>
      </c>
      <c r="W75" s="676">
        <v>155</v>
      </c>
      <c r="X75" s="702">
        <f t="shared" si="23"/>
        <v>1.4519218167469947E-4</v>
      </c>
      <c r="Y75" s="676">
        <v>155</v>
      </c>
      <c r="Z75" s="702">
        <f t="shared" si="23"/>
        <v>9.6111532039103775E-5</v>
      </c>
      <c r="AA75" s="144">
        <f t="shared" si="21"/>
        <v>1860</v>
      </c>
      <c r="AB75" s="702">
        <f t="shared" si="23"/>
        <v>1.2377644919653137E-4</v>
      </c>
      <c r="AC75" s="128"/>
      <c r="AD75" s="702">
        <f t="shared" si="23"/>
        <v>0</v>
      </c>
      <c r="AE75" s="645"/>
      <c r="AF75" s="226"/>
      <c r="AG75" s="226"/>
    </row>
    <row r="76" spans="1:34" s="1" customFormat="1" ht="15.75" thickBot="1">
      <c r="A76" s="4">
        <v>6199</v>
      </c>
      <c r="B76" s="229" t="s">
        <v>23</v>
      </c>
      <c r="C76" s="116">
        <f>SUM(C42:C75)</f>
        <v>249333.21046805408</v>
      </c>
      <c r="D76" s="89">
        <f>C76/C12</f>
        <v>0.22060777521894523</v>
      </c>
      <c r="E76" s="116">
        <f>SUM(E42:E75)</f>
        <v>248102.03831674115</v>
      </c>
      <c r="F76" s="89">
        <f>E76/E12</f>
        <v>0.2821568537089012</v>
      </c>
      <c r="G76" s="116">
        <f>SUM(G42:G75)</f>
        <v>250121.2782145516</v>
      </c>
      <c r="H76" s="89">
        <f>G76/G12</f>
        <v>0.17148366910550292</v>
      </c>
      <c r="I76" s="116">
        <f>SUM(I42:I75)</f>
        <v>249397.69124474577</v>
      </c>
      <c r="J76" s="401">
        <f>I76/I12</f>
        <v>0.19364516431632656</v>
      </c>
      <c r="K76" s="116">
        <f>SUM(K42:K75)</f>
        <v>249447.7268376963</v>
      </c>
      <c r="L76" s="401">
        <f>K76/K12</f>
        <v>0.21176866206571629</v>
      </c>
      <c r="M76" s="45">
        <f>SUM(M42:M75)</f>
        <v>250411.9626518345</v>
      </c>
      <c r="N76" s="401">
        <f>M76/M12</f>
        <v>0.14992195050648646</v>
      </c>
      <c r="O76" s="45">
        <f>SUM(O42:O75)</f>
        <v>249005.22114914769</v>
      </c>
      <c r="P76" s="401">
        <f>O76/O12</f>
        <v>0.23547189261396728</v>
      </c>
      <c r="Q76" s="116">
        <f>SUM(Q42:Q75)</f>
        <v>249618.73929464625</v>
      </c>
      <c r="R76" s="401">
        <f>Q76/Q12</f>
        <v>0.19009796655795044</v>
      </c>
      <c r="S76" s="116">
        <f>SUM(S42:S75)</f>
        <v>249577.99474194358</v>
      </c>
      <c r="T76" s="401">
        <f>S76/S12</f>
        <v>0.18867465509755413</v>
      </c>
      <c r="U76" s="116">
        <f>SUM(U42:U75)</f>
        <v>249876.45558156029</v>
      </c>
      <c r="V76" s="401">
        <f>U76/U12</f>
        <v>0.23814766643753943</v>
      </c>
      <c r="W76" s="116">
        <f>SUM(W42:W75)</f>
        <v>249590.67684360663</v>
      </c>
      <c r="X76" s="401">
        <f>W76/W12</f>
        <v>0.23379751546185895</v>
      </c>
      <c r="Y76" s="116">
        <f>SUM(Y42:Y75)</f>
        <v>251478.75869451853</v>
      </c>
      <c r="Z76" s="401">
        <f>Y76/Y12</f>
        <v>0.15593554047369204</v>
      </c>
      <c r="AA76" s="116">
        <f>SUM(AA42:AA75)</f>
        <v>2995961.7540390468</v>
      </c>
      <c r="AB76" s="89">
        <f>AA76/AA12</f>
        <v>0.19937070314170166</v>
      </c>
      <c r="AC76" s="132">
        <f>SUM(AC42:AC75)</f>
        <v>249508.47950325385</v>
      </c>
      <c r="AD76" s="89">
        <f>AC76/AC12</f>
        <v>0.19924692669250513</v>
      </c>
      <c r="AE76" s="596"/>
      <c r="AF76" s="596"/>
      <c r="AG76" s="622"/>
      <c r="AH76" s="74"/>
    </row>
    <row r="77" spans="1:34" s="1" customFormat="1" ht="15.75" thickTop="1">
      <c r="A77" s="2">
        <v>6201</v>
      </c>
      <c r="B77" s="228" t="s">
        <v>24</v>
      </c>
      <c r="C77" s="704">
        <v>56400</v>
      </c>
      <c r="D77" s="24">
        <f>C77/C12</f>
        <v>4.9902211177530569E-2</v>
      </c>
      <c r="E77" s="704">
        <v>56400</v>
      </c>
      <c r="F77" s="24">
        <f>E77/E12</f>
        <v>6.4141538929501904E-2</v>
      </c>
      <c r="G77" s="704">
        <v>56400</v>
      </c>
      <c r="H77" s="24">
        <f>G77/G12</f>
        <v>3.8667957426853111E-2</v>
      </c>
      <c r="I77" s="704">
        <v>56400</v>
      </c>
      <c r="J77" s="24">
        <f>I77/I12</f>
        <v>4.3791853937905731E-2</v>
      </c>
      <c r="K77" s="704">
        <v>56400</v>
      </c>
      <c r="L77" s="24">
        <f>K77/K12</f>
        <v>4.7880783248338145E-2</v>
      </c>
      <c r="M77" s="704">
        <v>56400</v>
      </c>
      <c r="N77" s="24">
        <f>M77/M12</f>
        <v>3.3766749475632095E-2</v>
      </c>
      <c r="O77" s="704">
        <v>56400</v>
      </c>
      <c r="P77" s="24">
        <f>O77/O12</f>
        <v>5.3334683835697602E-2</v>
      </c>
      <c r="Q77" s="704">
        <v>56400</v>
      </c>
      <c r="R77" s="24">
        <f>Q77/Q12</f>
        <v>4.2951604291266272E-2</v>
      </c>
      <c r="S77" s="704">
        <v>56400</v>
      </c>
      <c r="T77" s="24">
        <f>S77/S12</f>
        <v>4.2636974299376025E-2</v>
      </c>
      <c r="U77" s="704">
        <v>56400</v>
      </c>
      <c r="V77" s="24">
        <f>U77/U12</f>
        <v>5.3752676921148095E-2</v>
      </c>
      <c r="W77" s="704">
        <v>56400</v>
      </c>
      <c r="X77" s="24">
        <f>W77/W12</f>
        <v>5.2831219654535806E-2</v>
      </c>
      <c r="Y77" s="704">
        <v>56400</v>
      </c>
      <c r="Z77" s="24">
        <f>Y77/Y12</f>
        <v>3.4972196174228733E-2</v>
      </c>
      <c r="AA77" s="144">
        <f t="shared" ref="AA77:AA92" si="46">C77+E77+G77+I77+K77+M77+O77+Q77+S77+U77+W77+Y77</f>
        <v>676800</v>
      </c>
      <c r="AB77" s="24">
        <f>AA77/AA12</f>
        <v>4.5038656352802381E-2</v>
      </c>
      <c r="AC77" s="128">
        <f t="shared" ref="AC77:AC92" si="47">AA77/12</f>
        <v>56400</v>
      </c>
      <c r="AD77" s="24">
        <f>AC77/AC12</f>
        <v>4.5038656352802388E-2</v>
      </c>
      <c r="AE77" s="595"/>
      <c r="AF77" s="595"/>
      <c r="AG77" s="555"/>
      <c r="AH77" s="74"/>
    </row>
    <row r="78" spans="1:34" s="1" customFormat="1">
      <c r="A78" s="2">
        <v>6202</v>
      </c>
      <c r="B78" s="228" t="s">
        <v>25</v>
      </c>
      <c r="C78" s="704">
        <v>28200</v>
      </c>
      <c r="D78" s="24">
        <f>C78/C12</f>
        <v>2.4951105588765284E-2</v>
      </c>
      <c r="E78" s="704">
        <v>28200</v>
      </c>
      <c r="F78" s="24">
        <f>E78/E12</f>
        <v>3.2070769464750952E-2</v>
      </c>
      <c r="G78" s="704">
        <v>28200</v>
      </c>
      <c r="H78" s="24">
        <f>G78/G12</f>
        <v>1.9333978713426556E-2</v>
      </c>
      <c r="I78" s="704">
        <v>28200</v>
      </c>
      <c r="J78" s="24">
        <f>I78/I12</f>
        <v>2.1895926968952865E-2</v>
      </c>
      <c r="K78" s="704">
        <v>28200</v>
      </c>
      <c r="L78" s="24">
        <f>K78/K12</f>
        <v>2.3940391624169072E-2</v>
      </c>
      <c r="M78" s="704">
        <v>28200</v>
      </c>
      <c r="N78" s="24">
        <f>M78/M12</f>
        <v>1.6883374737816047E-2</v>
      </c>
      <c r="O78" s="704">
        <v>28200</v>
      </c>
      <c r="P78" s="24">
        <f>O78/O12</f>
        <v>2.6667341917848801E-2</v>
      </c>
      <c r="Q78" s="704">
        <v>28200</v>
      </c>
      <c r="R78" s="24">
        <f>Q78/Q12</f>
        <v>2.1475802145633136E-2</v>
      </c>
      <c r="S78" s="704">
        <v>28200</v>
      </c>
      <c r="T78" s="24">
        <f>S78/S12</f>
        <v>2.1318487149688013E-2</v>
      </c>
      <c r="U78" s="704">
        <v>28200</v>
      </c>
      <c r="V78" s="24">
        <f>U78/U12</f>
        <v>2.6876338460574047E-2</v>
      </c>
      <c r="W78" s="704">
        <v>28200</v>
      </c>
      <c r="X78" s="24">
        <f>W78/W12</f>
        <v>2.6415609827267903E-2</v>
      </c>
      <c r="Y78" s="704">
        <v>28200</v>
      </c>
      <c r="Z78" s="24">
        <f>Y78/Y12</f>
        <v>1.7486098087114366E-2</v>
      </c>
      <c r="AA78" s="144">
        <f t="shared" si="46"/>
        <v>338400</v>
      </c>
      <c r="AB78" s="24">
        <f>AA78/AA12</f>
        <v>2.251932817640119E-2</v>
      </c>
      <c r="AC78" s="128">
        <f t="shared" si="47"/>
        <v>28200</v>
      </c>
      <c r="AD78" s="24">
        <f>AC78/AC12</f>
        <v>2.2519328176401194E-2</v>
      </c>
      <c r="AE78" s="595"/>
      <c r="AF78" s="595"/>
      <c r="AG78" s="555"/>
      <c r="AH78" s="74"/>
    </row>
    <row r="79" spans="1:34" s="1" customFormat="1">
      <c r="A79" s="2">
        <v>6203</v>
      </c>
      <c r="B79" s="228" t="s">
        <v>26</v>
      </c>
      <c r="C79" s="704">
        <v>9400</v>
      </c>
      <c r="D79" s="24">
        <f>C79/C12</f>
        <v>8.3170351962550942E-3</v>
      </c>
      <c r="E79" s="704">
        <v>9400</v>
      </c>
      <c r="F79" s="24">
        <f>E79/E12</f>
        <v>1.0690256488250317E-2</v>
      </c>
      <c r="G79" s="704">
        <v>9400</v>
      </c>
      <c r="H79" s="24">
        <f>G79/G12</f>
        <v>6.4446595711421858E-3</v>
      </c>
      <c r="I79" s="704">
        <v>9400</v>
      </c>
      <c r="J79" s="24">
        <f>I79/I12</f>
        <v>7.2986423229842888E-3</v>
      </c>
      <c r="K79" s="704">
        <v>9400</v>
      </c>
      <c r="L79" s="24">
        <f>K79/K12</f>
        <v>7.980130541389692E-3</v>
      </c>
      <c r="M79" s="704">
        <v>9400</v>
      </c>
      <c r="N79" s="24">
        <f>M79/M12</f>
        <v>5.6277915792720158E-3</v>
      </c>
      <c r="O79" s="704">
        <v>9400</v>
      </c>
      <c r="P79" s="24">
        <f>O79/O12</f>
        <v>8.8891139726162676E-3</v>
      </c>
      <c r="Q79" s="704">
        <v>9400</v>
      </c>
      <c r="R79" s="24">
        <f>Q79/Q12</f>
        <v>7.1586007152110451E-3</v>
      </c>
      <c r="S79" s="704">
        <v>9400</v>
      </c>
      <c r="T79" s="24">
        <f>S79/S12</f>
        <v>7.1061623832293372E-3</v>
      </c>
      <c r="U79" s="704">
        <v>9400</v>
      </c>
      <c r="V79" s="24">
        <f>U79/U12</f>
        <v>8.9587794868580158E-3</v>
      </c>
      <c r="W79" s="704">
        <v>9400</v>
      </c>
      <c r="X79" s="24">
        <f>W79/W12</f>
        <v>8.8052032757559677E-3</v>
      </c>
      <c r="Y79" s="704">
        <v>9400</v>
      </c>
      <c r="Z79" s="24">
        <f>Y79/Y12</f>
        <v>5.8286993623714554E-3</v>
      </c>
      <c r="AA79" s="144">
        <f t="shared" si="46"/>
        <v>112800</v>
      </c>
      <c r="AB79" s="24">
        <f>AA79/AA12</f>
        <v>7.5064427254670635E-3</v>
      </c>
      <c r="AC79" s="128">
        <f t="shared" si="47"/>
        <v>9400</v>
      </c>
      <c r="AD79" s="24">
        <f>AC79/AC12</f>
        <v>7.5064427254670643E-3</v>
      </c>
      <c r="AE79" s="595"/>
      <c r="AF79" s="595"/>
      <c r="AG79" s="555"/>
      <c r="AH79" s="74"/>
    </row>
    <row r="80" spans="1:34" s="1" customFormat="1">
      <c r="A80" s="2">
        <v>6204</v>
      </c>
      <c r="B80" s="228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24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46"/>
        <v>0</v>
      </c>
      <c r="AB80" s="24">
        <f>AA80/AA12</f>
        <v>0</v>
      </c>
      <c r="AC80" s="128">
        <f t="shared" si="47"/>
        <v>0</v>
      </c>
      <c r="AD80" s="24">
        <f>AC80/AC12</f>
        <v>0</v>
      </c>
      <c r="AE80" s="595"/>
      <c r="AF80" s="595"/>
      <c r="AG80" s="555"/>
      <c r="AH80" s="74"/>
    </row>
    <row r="81" spans="1:34" s="1" customFormat="1">
      <c r="A81" s="2">
        <v>6205</v>
      </c>
      <c r="B81" s="228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24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46"/>
        <v>0</v>
      </c>
      <c r="AB81" s="24">
        <f>AA81/AA12</f>
        <v>0</v>
      </c>
      <c r="AC81" s="128">
        <f t="shared" si="47"/>
        <v>0</v>
      </c>
      <c r="AD81" s="24">
        <f>AC81/AC12</f>
        <v>0</v>
      </c>
      <c r="AE81" s="595"/>
      <c r="AF81" s="595"/>
      <c r="AG81" s="555"/>
      <c r="AH81" s="74"/>
    </row>
    <row r="82" spans="1:34" s="1" customFormat="1">
      <c r="A82" s="2">
        <v>6206</v>
      </c>
      <c r="B82" s="2" t="s">
        <v>217</v>
      </c>
      <c r="C82" s="61">
        <v>1626.4666666666667</v>
      </c>
      <c r="D82" s="24">
        <f>C82/C12</f>
        <v>1.4390830332130181E-3</v>
      </c>
      <c r="E82" s="61">
        <v>1626.4666666666667</v>
      </c>
      <c r="F82" s="24">
        <f>E82/E12</f>
        <v>1.849717642154915E-3</v>
      </c>
      <c r="G82" s="61">
        <v>1626.4666666666667</v>
      </c>
      <c r="H82" s="24">
        <f>G82/G12</f>
        <v>1.1151089330294745E-3</v>
      </c>
      <c r="I82" s="61">
        <v>1626.4666666666667</v>
      </c>
      <c r="J82" s="24">
        <f>I82/I12</f>
        <v>1.2628721755592036E-3</v>
      </c>
      <c r="K82" s="61">
        <v>1626.4666666666667</v>
      </c>
      <c r="L82" s="24">
        <f>K82/K12</f>
        <v>1.3807889703424418E-3</v>
      </c>
      <c r="M82" s="61">
        <v>1626.4666666666667</v>
      </c>
      <c r="N82" s="24">
        <f>M82/M12</f>
        <v>9.7376759687588211E-4</v>
      </c>
      <c r="O82" s="61">
        <v>1626.4666666666667</v>
      </c>
      <c r="P82" s="24">
        <f>O82/O12</f>
        <v>1.5380688907086458E-3</v>
      </c>
      <c r="Q82" s="61">
        <v>1626.4666666666667</v>
      </c>
      <c r="R82" s="24">
        <f>Q82/Q12</f>
        <v>1.2386410046028643E-3</v>
      </c>
      <c r="S82" s="61">
        <v>1626.4666666666667</v>
      </c>
      <c r="T82" s="24">
        <f>S82/S12</f>
        <v>1.2295676855577742E-3</v>
      </c>
      <c r="U82" s="61">
        <v>1626.4666666666667</v>
      </c>
      <c r="V82" s="24">
        <f>U82/U12</f>
        <v>1.5501230009991136E-3</v>
      </c>
      <c r="W82" s="61">
        <v>1626.4666666666667</v>
      </c>
      <c r="X82" s="24">
        <f>W82/W12</f>
        <v>1.523549959706513E-3</v>
      </c>
      <c r="Y82" s="61">
        <v>1626.4666666666667</v>
      </c>
      <c r="Z82" s="24">
        <f>Y82/Y12</f>
        <v>1.0085303428636623E-3</v>
      </c>
      <c r="AA82" s="144">
        <f t="shared" si="46"/>
        <v>19517.600000000002</v>
      </c>
      <c r="AB82" s="24">
        <f>AA82/AA12</f>
        <v>1.2988275402356026E-3</v>
      </c>
      <c r="AC82" s="128">
        <f t="shared" si="47"/>
        <v>1626.4666666666669</v>
      </c>
      <c r="AD82" s="24">
        <f>AC82/AC12</f>
        <v>1.2988275402356028E-3</v>
      </c>
      <c r="AE82" s="595" t="s">
        <v>303</v>
      </c>
      <c r="AF82" s="595"/>
      <c r="AG82" s="555"/>
      <c r="AH82" s="74"/>
    </row>
    <row r="83" spans="1:34" s="1" customFormat="1">
      <c r="A83" s="2">
        <v>6207</v>
      </c>
      <c r="B83" s="2" t="s">
        <v>218</v>
      </c>
      <c r="C83" s="113">
        <v>5316.666666666667</v>
      </c>
      <c r="D83" s="24">
        <f>C83/C12</f>
        <v>4.7041387014279705E-3</v>
      </c>
      <c r="E83" s="113">
        <v>5316.666666666667</v>
      </c>
      <c r="F83" s="24">
        <f>E83/E12</f>
        <v>6.0464393967231411E-3</v>
      </c>
      <c r="G83" s="113">
        <v>5316.666666666667</v>
      </c>
      <c r="H83" s="24">
        <f>G83/G12</f>
        <v>3.6451177361602081E-3</v>
      </c>
      <c r="I83" s="113">
        <v>5316.666666666667</v>
      </c>
      <c r="J83" s="24">
        <f>I83/I$12</f>
        <v>4.1281328032482063E-3</v>
      </c>
      <c r="K83" s="113">
        <v>5316.666666666667</v>
      </c>
      <c r="L83" s="24">
        <f>K83/K$12</f>
        <v>4.5135844728782125E-3</v>
      </c>
      <c r="M83" s="113">
        <v>5316.666666666667</v>
      </c>
      <c r="N83" s="24">
        <f>M83/M$12</f>
        <v>3.1830948826024347E-3</v>
      </c>
      <c r="O83" s="113">
        <v>5316.666666666667</v>
      </c>
      <c r="P83" s="24">
        <f>O83/O$12</f>
        <v>5.0277080802563637E-3</v>
      </c>
      <c r="Q83" s="113">
        <v>5316.666666666667</v>
      </c>
      <c r="R83" s="24">
        <f>Q83/Q$12</f>
        <v>4.0489248726105027E-3</v>
      </c>
      <c r="S83" s="113">
        <v>5316.666666666667</v>
      </c>
      <c r="T83" s="24">
        <f>S83/S$12</f>
        <v>4.0192656032804232E-3</v>
      </c>
      <c r="U83" s="113">
        <v>5316.666666666667</v>
      </c>
      <c r="V83" s="24">
        <f>U83/U$12</f>
        <v>5.0671110927441622E-3</v>
      </c>
      <c r="W83" s="113">
        <v>5316.666666666667</v>
      </c>
      <c r="X83" s="24">
        <f>W83/W$12</f>
        <v>4.9802479520676488E-3</v>
      </c>
      <c r="Y83" s="113">
        <v>5316.666666666667</v>
      </c>
      <c r="Z83" s="24">
        <f>Y83/Y$12</f>
        <v>3.2967288946746352E-3</v>
      </c>
      <c r="AA83" s="144">
        <f t="shared" si="46"/>
        <v>63799.999999999993</v>
      </c>
      <c r="AB83" s="68">
        <f>AA83/AA$12</f>
        <v>4.2456653003971508E-3</v>
      </c>
      <c r="AC83" s="128">
        <f t="shared" si="47"/>
        <v>5316.6666666666661</v>
      </c>
      <c r="AD83" s="68">
        <f>AC83/AC$12</f>
        <v>4.2456653003971516E-3</v>
      </c>
      <c r="AE83" s="595"/>
      <c r="AF83" s="595"/>
      <c r="AG83" s="555"/>
      <c r="AH83" s="74"/>
    </row>
    <row r="84" spans="1:34" s="1" customFormat="1">
      <c r="A84" s="2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24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46"/>
        <v>0</v>
      </c>
      <c r="AB84" s="24">
        <f>AA84/AA12</f>
        <v>0</v>
      </c>
      <c r="AC84" s="128">
        <f t="shared" si="47"/>
        <v>0</v>
      </c>
      <c r="AD84" s="24">
        <f>AC84/AC12</f>
        <v>0</v>
      </c>
      <c r="AE84" s="595"/>
      <c r="AF84" s="595"/>
      <c r="AG84" s="555"/>
      <c r="AH84" s="74"/>
    </row>
    <row r="85" spans="1:34" s="1" customFormat="1">
      <c r="A85" s="2">
        <v>6209</v>
      </c>
      <c r="B85" s="228" t="s">
        <v>29</v>
      </c>
      <c r="C85" s="704">
        <v>7050</v>
      </c>
      <c r="D85" s="68">
        <f>C85/C12</f>
        <v>6.2377763971913211E-3</v>
      </c>
      <c r="E85" s="704">
        <v>7050</v>
      </c>
      <c r="F85" s="68">
        <f>E85/E12</f>
        <v>8.017692366187738E-3</v>
      </c>
      <c r="G85" s="704">
        <v>7050</v>
      </c>
      <c r="H85" s="68">
        <f>G85/G12</f>
        <v>4.8334946783566389E-3</v>
      </c>
      <c r="I85" s="704">
        <v>7050</v>
      </c>
      <c r="J85" s="68">
        <f>I85/I12</f>
        <v>5.4739817422382164E-3</v>
      </c>
      <c r="K85" s="704">
        <v>7050</v>
      </c>
      <c r="L85" s="68">
        <f>K85/K12</f>
        <v>5.9850979060422681E-3</v>
      </c>
      <c r="M85" s="704">
        <v>7050</v>
      </c>
      <c r="N85" s="702">
        <f>M85/M12</f>
        <v>4.2208436844540119E-3</v>
      </c>
      <c r="O85" s="704">
        <v>7050</v>
      </c>
      <c r="P85" s="702">
        <f>O85/O12</f>
        <v>6.6668354794622003E-3</v>
      </c>
      <c r="Q85" s="704">
        <v>7050</v>
      </c>
      <c r="R85" s="68">
        <f>Q85/Q12</f>
        <v>5.368950536408284E-3</v>
      </c>
      <c r="S85" s="704">
        <v>7050</v>
      </c>
      <c r="T85" s="68">
        <f>S85/S12</f>
        <v>5.3296217874220031E-3</v>
      </c>
      <c r="U85" s="704">
        <v>7050</v>
      </c>
      <c r="V85" s="68">
        <f>U85/U12</f>
        <v>6.7190846151435118E-3</v>
      </c>
      <c r="W85" s="704">
        <v>7050</v>
      </c>
      <c r="X85" s="68">
        <f>W85/W12</f>
        <v>6.6039024568169758E-3</v>
      </c>
      <c r="Y85" s="704">
        <v>7050</v>
      </c>
      <c r="Z85" s="68">
        <f>Y85/Y12</f>
        <v>4.3715245217785916E-3</v>
      </c>
      <c r="AA85" s="144">
        <f t="shared" si="46"/>
        <v>84600</v>
      </c>
      <c r="AB85" s="68">
        <f>AA85/AA12</f>
        <v>5.6298320441002976E-3</v>
      </c>
      <c r="AC85" s="128">
        <f t="shared" si="47"/>
        <v>7050</v>
      </c>
      <c r="AD85" s="68">
        <f>AC85/AC12</f>
        <v>5.6298320441002985E-3</v>
      </c>
      <c r="AE85" s="595"/>
      <c r="AF85" s="595"/>
      <c r="AG85" s="555"/>
      <c r="AH85" s="74"/>
    </row>
    <row r="86" spans="1:34" s="1" customFormat="1">
      <c r="A86" s="2">
        <v>6210</v>
      </c>
      <c r="B86" s="228" t="s">
        <v>30</v>
      </c>
      <c r="C86" s="704">
        <v>3244.9315068493152</v>
      </c>
      <c r="D86" s="24">
        <f>C86/C12</f>
        <v>2.8710861225428549E-3</v>
      </c>
      <c r="E86" s="704">
        <v>3244.9315068493152</v>
      </c>
      <c r="F86" s="24">
        <f>E86/E12</f>
        <v>3.6903351164918907E-3</v>
      </c>
      <c r="G86" s="704">
        <v>3244.9315068493152</v>
      </c>
      <c r="H86" s="24">
        <f>G86/G12</f>
        <v>2.2247317971614122E-3</v>
      </c>
      <c r="I86" s="704">
        <v>3244.9315068493152</v>
      </c>
      <c r="J86" s="24">
        <f>I86/I12</f>
        <v>2.5195313224548503E-3</v>
      </c>
      <c r="K86" s="704">
        <v>3244.9315068493152</v>
      </c>
      <c r="L86" s="24">
        <f>K86/K12</f>
        <v>2.7547847896304141E-3</v>
      </c>
      <c r="M86" s="704">
        <v>3244.9315068493152</v>
      </c>
      <c r="N86" s="24">
        <f>M86/M12</f>
        <v>1.942744490378833E-3</v>
      </c>
      <c r="O86" s="704">
        <v>3244.9315068493152</v>
      </c>
      <c r="P86" s="24">
        <f>O86/O12</f>
        <v>3.068570850820958E-3</v>
      </c>
      <c r="Q86" s="704">
        <v>3244.9315068493152</v>
      </c>
      <c r="R86" s="24">
        <f>Q86/Q12</f>
        <v>2.4711881921002511E-3</v>
      </c>
      <c r="S86" s="704">
        <v>3244.9315068493152</v>
      </c>
      <c r="T86" s="24">
        <f>S86/S12</f>
        <v>2.4530861925668398E-3</v>
      </c>
      <c r="U86" s="704">
        <v>3244.9315068493152</v>
      </c>
      <c r="V86" s="24">
        <f>U86/U12</f>
        <v>3.0926197680660548E-3</v>
      </c>
      <c r="W86" s="704">
        <v>3244.9315068493152</v>
      </c>
      <c r="X86" s="24">
        <f>W86/W12</f>
        <v>3.0396044184801425E-3</v>
      </c>
      <c r="Y86" s="704">
        <v>3244.9315068493152</v>
      </c>
      <c r="Z86" s="24">
        <f>Y86/Y12</f>
        <v>2.0120989579693245E-3</v>
      </c>
      <c r="AA86" s="144">
        <f t="shared" si="46"/>
        <v>38939.178082191786</v>
      </c>
      <c r="AB86" s="24">
        <f>AA86/AA12</f>
        <v>2.591265160024247E-3</v>
      </c>
      <c r="AC86" s="128">
        <f t="shared" si="47"/>
        <v>3244.9315068493156</v>
      </c>
      <c r="AD86" s="24">
        <f>AC86/AC12</f>
        <v>2.5912651600242475E-3</v>
      </c>
      <c r="AE86" s="595"/>
      <c r="AF86" s="595"/>
      <c r="AG86" s="555"/>
      <c r="AH86" s="74"/>
    </row>
    <row r="87" spans="1:34" s="1" customFormat="1">
      <c r="A87" s="2">
        <v>6211</v>
      </c>
      <c r="B87" s="228" t="s">
        <v>31</v>
      </c>
      <c r="C87" s="704">
        <v>3625</v>
      </c>
      <c r="D87" s="24">
        <f>C87/C12</f>
        <v>3.2073672964281616E-3</v>
      </c>
      <c r="E87" s="704">
        <v>3625</v>
      </c>
      <c r="F87" s="24">
        <f>E87/E12</f>
        <v>4.1225723159475959E-3</v>
      </c>
      <c r="G87" s="704">
        <v>3625</v>
      </c>
      <c r="H87" s="24">
        <f>G87/G12</f>
        <v>2.48530754738196E-3</v>
      </c>
      <c r="I87" s="704">
        <v>3625</v>
      </c>
      <c r="J87" s="24">
        <f>I87/I12</f>
        <v>2.814636002214686E-3</v>
      </c>
      <c r="K87" s="704">
        <v>3625</v>
      </c>
      <c r="L87" s="24">
        <f>K87/K12</f>
        <v>3.0774439587805992E-3</v>
      </c>
      <c r="M87" s="704">
        <v>3625</v>
      </c>
      <c r="N87" s="24">
        <f>M87/M12</f>
        <v>2.1702919654107509E-3</v>
      </c>
      <c r="O87" s="704">
        <v>3625</v>
      </c>
      <c r="P87" s="24">
        <f>O87/O12</f>
        <v>3.4279827819929751E-3</v>
      </c>
      <c r="Q87" s="704">
        <v>3625</v>
      </c>
      <c r="R87" s="24">
        <f>Q87/Q12</f>
        <v>2.7606305949617062E-3</v>
      </c>
      <c r="S87" s="704">
        <v>3625</v>
      </c>
      <c r="T87" s="24">
        <f>S87/S12</f>
        <v>2.7404083658730156E-3</v>
      </c>
      <c r="U87" s="704">
        <v>3625</v>
      </c>
      <c r="V87" s="24">
        <f>U87/U12</f>
        <v>3.4548484723255645E-3</v>
      </c>
      <c r="W87" s="704">
        <v>3625</v>
      </c>
      <c r="X87" s="24">
        <f>W87/W12</f>
        <v>3.3956236036824876E-3</v>
      </c>
      <c r="Y87" s="704">
        <v>3625</v>
      </c>
      <c r="Z87" s="24">
        <f>Y87/Y12</f>
        <v>2.2477697009145241E-3</v>
      </c>
      <c r="AA87" s="144">
        <f t="shared" si="46"/>
        <v>43500</v>
      </c>
      <c r="AB87" s="24">
        <f>AA87/AA12</f>
        <v>2.8947717957253307E-3</v>
      </c>
      <c r="AC87" s="128">
        <f t="shared" si="47"/>
        <v>3625</v>
      </c>
      <c r="AD87" s="24">
        <f>AC87/AC12</f>
        <v>2.8947717957253307E-3</v>
      </c>
      <c r="AE87" s="595"/>
      <c r="AF87" s="595"/>
      <c r="AG87" s="555"/>
      <c r="AH87" s="74"/>
    </row>
    <row r="88" spans="1:34" s="1" customFormat="1">
      <c r="A88" s="2">
        <v>6212</v>
      </c>
      <c r="B88" s="228" t="s">
        <v>32</v>
      </c>
      <c r="C88" s="75">
        <v>100</v>
      </c>
      <c r="D88" s="702">
        <f>C88/C12</f>
        <v>8.8479097832501016E-5</v>
      </c>
      <c r="E88" s="75">
        <v>100</v>
      </c>
      <c r="F88" s="702">
        <f>E88/E12</f>
        <v>1.1372613285372679E-4</v>
      </c>
      <c r="G88" s="75">
        <v>100</v>
      </c>
      <c r="H88" s="702">
        <f>G88/G12</f>
        <v>6.8560208203640276E-5</v>
      </c>
      <c r="I88" s="75">
        <v>100</v>
      </c>
      <c r="J88" s="702">
        <f>I88/I12</f>
        <v>7.7645131095577542E-5</v>
      </c>
      <c r="K88" s="75">
        <v>100</v>
      </c>
      <c r="L88" s="702">
        <f>K88/K12</f>
        <v>8.4895005759464797E-5</v>
      </c>
      <c r="M88" s="75">
        <v>100</v>
      </c>
      <c r="N88" s="702">
        <f>M88/M12</f>
        <v>5.9870123183744849E-5</v>
      </c>
      <c r="O88" s="75">
        <v>100</v>
      </c>
      <c r="P88" s="702">
        <f>O88/O12</f>
        <v>9.4565042261875179E-5</v>
      </c>
      <c r="Q88" s="75">
        <v>100</v>
      </c>
      <c r="R88" s="702">
        <f>Q88/Q12</f>
        <v>7.6155326757564317E-5</v>
      </c>
      <c r="S88" s="75">
        <v>100</v>
      </c>
      <c r="T88" s="702">
        <f>S88/S12</f>
        <v>7.5597472162014227E-5</v>
      </c>
      <c r="U88" s="75">
        <v>100</v>
      </c>
      <c r="V88" s="702">
        <f>U88/U12</f>
        <v>9.5306164753808685E-5</v>
      </c>
      <c r="W88" s="75">
        <v>100</v>
      </c>
      <c r="X88" s="702">
        <f>W88/W12</f>
        <v>9.3672375273999654E-5</v>
      </c>
      <c r="Y88" s="75">
        <v>100</v>
      </c>
      <c r="Z88" s="702">
        <f>Y88/Y12</f>
        <v>6.2007440025228241E-5</v>
      </c>
      <c r="AA88" s="144">
        <f t="shared" si="46"/>
        <v>1200</v>
      </c>
      <c r="AB88" s="68">
        <f>AA88/AA12</f>
        <v>7.9855773675181524E-5</v>
      </c>
      <c r="AC88" s="128">
        <f t="shared" si="47"/>
        <v>100</v>
      </c>
      <c r="AD88" s="68">
        <f>AC88/AC12</f>
        <v>7.9855773675181538E-5</v>
      </c>
      <c r="AE88" s="595"/>
      <c r="AF88" s="595"/>
      <c r="AG88" s="555"/>
      <c r="AH88" s="74"/>
    </row>
    <row r="89" spans="1:34" s="1" customFormat="1">
      <c r="A89" s="2">
        <v>6213</v>
      </c>
      <c r="B89" s="228" t="s">
        <v>33</v>
      </c>
      <c r="C89" s="113"/>
      <c r="D89" s="68">
        <f>C89/C12</f>
        <v>0</v>
      </c>
      <c r="E89" s="113"/>
      <c r="F89" s="68">
        <f>E89/E12</f>
        <v>0</v>
      </c>
      <c r="G89" s="113"/>
      <c r="H89" s="68">
        <f>G89/G12</f>
        <v>0</v>
      </c>
      <c r="I89" s="113"/>
      <c r="J89" s="68">
        <f>I89/I12</f>
        <v>0</v>
      </c>
      <c r="K89" s="113"/>
      <c r="L89" s="68">
        <f>K89/K12</f>
        <v>0</v>
      </c>
      <c r="M89" s="113"/>
      <c r="N89" s="702">
        <f>M89/M12</f>
        <v>0</v>
      </c>
      <c r="O89" s="113"/>
      <c r="P89" s="702">
        <f>O89/O12</f>
        <v>0</v>
      </c>
      <c r="Q89" s="113"/>
      <c r="R89" s="68">
        <f>Q89/Q12</f>
        <v>0</v>
      </c>
      <c r="S89" s="113"/>
      <c r="T89" s="68">
        <f>S89/S12</f>
        <v>0</v>
      </c>
      <c r="U89" s="113"/>
      <c r="V89" s="68">
        <f>U89/U12</f>
        <v>0</v>
      </c>
      <c r="W89" s="113"/>
      <c r="X89" s="68">
        <f>W89/W12</f>
        <v>0</v>
      </c>
      <c r="Y89" s="113"/>
      <c r="Z89" s="68">
        <f>Y89/Y12</f>
        <v>0</v>
      </c>
      <c r="AA89" s="144">
        <f t="shared" si="46"/>
        <v>0</v>
      </c>
      <c r="AB89" s="68">
        <f>AA89/AA12</f>
        <v>0</v>
      </c>
      <c r="AC89" s="128">
        <f t="shared" si="47"/>
        <v>0</v>
      </c>
      <c r="AD89" s="68">
        <f>AC89/AC12</f>
        <v>0</v>
      </c>
      <c r="AE89" s="595"/>
      <c r="AF89" s="595"/>
      <c r="AG89" s="555"/>
      <c r="AH89" s="74"/>
    </row>
    <row r="90" spans="1:34" s="1" customFormat="1">
      <c r="A90" s="2">
        <v>6214</v>
      </c>
      <c r="B90" s="228" t="s">
        <v>34</v>
      </c>
      <c r="C90" s="75">
        <v>2820</v>
      </c>
      <c r="D90" s="68">
        <f>C90/C12</f>
        <v>2.4951105588765284E-3</v>
      </c>
      <c r="E90" s="75">
        <v>2820</v>
      </c>
      <c r="F90" s="68">
        <f>E90/E12</f>
        <v>3.2070769464750955E-3</v>
      </c>
      <c r="G90" s="75">
        <v>2820</v>
      </c>
      <c r="H90" s="68">
        <f>G90/G12</f>
        <v>1.9333978713426557E-3</v>
      </c>
      <c r="I90" s="75">
        <v>2820</v>
      </c>
      <c r="J90" s="68">
        <f>I90/I12</f>
        <v>2.1895926968952869E-3</v>
      </c>
      <c r="K90" s="75">
        <v>2820</v>
      </c>
      <c r="L90" s="68">
        <f>K90/K12</f>
        <v>2.3940391624169073E-3</v>
      </c>
      <c r="M90" s="75">
        <v>2820</v>
      </c>
      <c r="N90" s="702">
        <f>M90/M12</f>
        <v>1.6883374737816047E-3</v>
      </c>
      <c r="O90" s="75">
        <v>2820</v>
      </c>
      <c r="P90" s="702">
        <f>O90/O12</f>
        <v>2.6667341917848801E-3</v>
      </c>
      <c r="Q90" s="75">
        <v>2820</v>
      </c>
      <c r="R90" s="68">
        <f>Q90/Q12</f>
        <v>2.1475802145633138E-3</v>
      </c>
      <c r="S90" s="75">
        <v>2820</v>
      </c>
      <c r="T90" s="68">
        <f>S90/S12</f>
        <v>2.1318487149688012E-3</v>
      </c>
      <c r="U90" s="75">
        <v>2820</v>
      </c>
      <c r="V90" s="68">
        <f>U90/U12</f>
        <v>2.6876338460574047E-3</v>
      </c>
      <c r="W90" s="75">
        <v>2820</v>
      </c>
      <c r="X90" s="68">
        <f>W90/W12</f>
        <v>2.6415609827267904E-3</v>
      </c>
      <c r="Y90" s="75">
        <v>2820</v>
      </c>
      <c r="Z90" s="68">
        <f>Y90/Y12</f>
        <v>1.7486098087114365E-3</v>
      </c>
      <c r="AA90" s="144">
        <f t="shared" si="46"/>
        <v>33840</v>
      </c>
      <c r="AB90" s="68">
        <f>AA90/AA12</f>
        <v>2.2519328176401191E-3</v>
      </c>
      <c r="AC90" s="128">
        <f t="shared" si="47"/>
        <v>2820</v>
      </c>
      <c r="AD90" s="68">
        <f>AC90/AC12</f>
        <v>2.2519328176401196E-3</v>
      </c>
      <c r="AE90" s="595"/>
      <c r="AF90" s="595"/>
      <c r="AG90" s="555"/>
      <c r="AH90" s="74"/>
    </row>
    <row r="91" spans="1:34" s="1" customFormat="1">
      <c r="A91" s="2">
        <v>6215</v>
      </c>
      <c r="B91" s="228" t="s">
        <v>35</v>
      </c>
      <c r="C91" s="61"/>
      <c r="D91" s="24">
        <f>C91/C12</f>
        <v>0</v>
      </c>
      <c r="E91" s="61"/>
      <c r="F91" s="24">
        <f>E91/E12</f>
        <v>0</v>
      </c>
      <c r="G91" s="61"/>
      <c r="H91" s="24">
        <f>G91/G12</f>
        <v>0</v>
      </c>
      <c r="I91" s="61"/>
      <c r="J91" s="24">
        <f>I91/I12</f>
        <v>0</v>
      </c>
      <c r="K91" s="61"/>
      <c r="L91" s="24">
        <f>K91/K12</f>
        <v>0</v>
      </c>
      <c r="M91" s="26"/>
      <c r="N91" s="24">
        <f>M91/M12</f>
        <v>0</v>
      </c>
      <c r="O91" s="26"/>
      <c r="P91" s="24">
        <f>O91/O12</f>
        <v>0</v>
      </c>
      <c r="Q91" s="61"/>
      <c r="R91" s="24">
        <f>Q91/Q12</f>
        <v>0</v>
      </c>
      <c r="S91" s="61"/>
      <c r="T91" s="24">
        <f>S91/S12</f>
        <v>0</v>
      </c>
      <c r="U91" s="61"/>
      <c r="V91" s="24">
        <f>U91/U12</f>
        <v>0</v>
      </c>
      <c r="W91" s="61"/>
      <c r="X91" s="24">
        <f>W91/W12</f>
        <v>0</v>
      </c>
      <c r="Y91" s="61"/>
      <c r="Z91" s="24">
        <f>Y91/Y12</f>
        <v>0</v>
      </c>
      <c r="AA91" s="144">
        <f t="shared" si="46"/>
        <v>0</v>
      </c>
      <c r="AB91" s="24">
        <f>AA91/AA12</f>
        <v>0</v>
      </c>
      <c r="AC91" s="128">
        <f t="shared" si="47"/>
        <v>0</v>
      </c>
      <c r="AD91" s="24">
        <f>AC91/AC12</f>
        <v>0</v>
      </c>
      <c r="AE91" s="595"/>
      <c r="AF91" s="595"/>
      <c r="AG91" s="555"/>
      <c r="AH91" s="74"/>
    </row>
    <row r="92" spans="1:34" s="1" customFormat="1">
      <c r="A92" s="2">
        <v>6216</v>
      </c>
      <c r="B92" s="228" t="s">
        <v>91</v>
      </c>
      <c r="C92" s="61"/>
      <c r="D92" s="24">
        <f>C92/C12</f>
        <v>0</v>
      </c>
      <c r="E92" s="61"/>
      <c r="F92" s="24">
        <f>E92/E12</f>
        <v>0</v>
      </c>
      <c r="G92" s="61"/>
      <c r="H92" s="24">
        <f>G92/G12</f>
        <v>0</v>
      </c>
      <c r="I92" s="61"/>
      <c r="J92" s="24">
        <f>I92/I12</f>
        <v>0</v>
      </c>
      <c r="K92" s="61"/>
      <c r="L92" s="24">
        <f>K92/K12</f>
        <v>0</v>
      </c>
      <c r="M92" s="26"/>
      <c r="N92" s="24">
        <f>M92/M12</f>
        <v>0</v>
      </c>
      <c r="O92" s="26"/>
      <c r="P92" s="24">
        <f>O92/O12</f>
        <v>0</v>
      </c>
      <c r="Q92" s="61"/>
      <c r="R92" s="24">
        <f>Q92/Q12</f>
        <v>0</v>
      </c>
      <c r="S92" s="61"/>
      <c r="T92" s="24">
        <f>S92/S12</f>
        <v>0</v>
      </c>
      <c r="U92" s="61"/>
      <c r="V92" s="24">
        <f>U92/U12</f>
        <v>0</v>
      </c>
      <c r="W92" s="61"/>
      <c r="X92" s="24">
        <f>W92/W12</f>
        <v>0</v>
      </c>
      <c r="Y92" s="61"/>
      <c r="Z92" s="24">
        <f>Y92/Y12</f>
        <v>0</v>
      </c>
      <c r="AA92" s="144">
        <f t="shared" si="46"/>
        <v>0</v>
      </c>
      <c r="AB92" s="24">
        <f>AA92/AA12</f>
        <v>0</v>
      </c>
      <c r="AC92" s="128">
        <f t="shared" si="47"/>
        <v>0</v>
      </c>
      <c r="AD92" s="24">
        <f>AC92/AC12</f>
        <v>0</v>
      </c>
      <c r="AE92" s="595"/>
      <c r="AF92" s="595"/>
      <c r="AG92" s="555"/>
      <c r="AH92" s="74"/>
    </row>
    <row r="93" spans="1:34" s="1" customFormat="1" ht="15.75" thickBot="1">
      <c r="A93" s="4">
        <v>6299</v>
      </c>
      <c r="B93" s="229" t="s">
        <v>112</v>
      </c>
      <c r="C93" s="79">
        <f>SUM(C77:C91)</f>
        <v>117783.06484018265</v>
      </c>
      <c r="D93" s="396">
        <f>C93/C12</f>
        <v>0.1042133931700633</v>
      </c>
      <c r="E93" s="119">
        <f>SUM(E77:E92)</f>
        <v>117783.06484018265</v>
      </c>
      <c r="F93" s="396">
        <f>E93/E12</f>
        <v>0.13395012479933727</v>
      </c>
      <c r="G93" s="79">
        <f>SUM(G77:G92)</f>
        <v>117783.06484018265</v>
      </c>
      <c r="H93" s="396">
        <f>G93/G12</f>
        <v>8.0752314483057849E-2</v>
      </c>
      <c r="I93" s="79">
        <f>SUM(I77:I92)</f>
        <v>117783.06484018265</v>
      </c>
      <c r="J93" s="396">
        <f>I93/I12</f>
        <v>9.1452815103548912E-2</v>
      </c>
      <c r="K93" s="29">
        <f>SUM(K77:K91)</f>
        <v>117783.06484018265</v>
      </c>
      <c r="L93" s="396">
        <f>K93/K12</f>
        <v>9.9991939679747219E-2</v>
      </c>
      <c r="M93" s="29">
        <f>SUM(M77:M91)</f>
        <v>117783.06484018265</v>
      </c>
      <c r="N93" s="396">
        <f>M93/M12</f>
        <v>7.0516866009407417E-2</v>
      </c>
      <c r="O93" s="29">
        <f>SUM(O77:O91)</f>
        <v>117783.06484018265</v>
      </c>
      <c r="P93" s="396">
        <f>O93/O12</f>
        <v>0.11138160504345057</v>
      </c>
      <c r="Q93" s="29">
        <f>SUM(Q77:Q91)</f>
        <v>117783.06484018265</v>
      </c>
      <c r="R93" s="396">
        <f>Q93/Q12</f>
        <v>8.9698077894114936E-2</v>
      </c>
      <c r="S93" s="29">
        <f>SUM(S77:S91)</f>
        <v>117783.06484018265</v>
      </c>
      <c r="T93" s="396">
        <f>S93/S12</f>
        <v>8.904101965412424E-2</v>
      </c>
      <c r="U93" s="79">
        <f>SUM(U77:U91)</f>
        <v>117783.06484018265</v>
      </c>
      <c r="V93" s="396">
        <f>U93/U12</f>
        <v>0.11225452182866978</v>
      </c>
      <c r="W93" s="79">
        <f>SUM(W77:W91)</f>
        <v>117783.06484018265</v>
      </c>
      <c r="X93" s="396">
        <f>W93/W12</f>
        <v>0.11033019450631423</v>
      </c>
      <c r="Y93" s="79">
        <f>SUM(Y77:Y91)</f>
        <v>117783.06484018265</v>
      </c>
      <c r="Z93" s="396">
        <f>Y93/Y12</f>
        <v>7.3034263290651949E-2</v>
      </c>
      <c r="AA93" s="196">
        <f>SUM(AA77:AA92)</f>
        <v>1413396.7780821919</v>
      </c>
      <c r="AB93" s="89">
        <f>AA93/AA12</f>
        <v>9.4056577686468579E-2</v>
      </c>
      <c r="AC93" s="52">
        <f>SUM(AC77:AC92)</f>
        <v>117783.06484018265</v>
      </c>
      <c r="AD93" s="89">
        <f>AC93/AC12</f>
        <v>9.4056577686468579E-2</v>
      </c>
      <c r="AE93" s="596"/>
      <c r="AF93" s="596"/>
      <c r="AG93" s="622"/>
      <c r="AH93" s="74"/>
    </row>
    <row r="94" spans="1:34" s="1" customFormat="1" ht="15.75" thickTop="1">
      <c r="A94" s="2">
        <v>6301</v>
      </c>
      <c r="B94" s="231" t="s">
        <v>36</v>
      </c>
      <c r="C94" s="678"/>
      <c r="D94" s="702">
        <f t="shared" ref="D94:D101" si="48">C94/C$12</f>
        <v>0</v>
      </c>
      <c r="E94" s="678"/>
      <c r="F94" s="702">
        <f t="shared" ref="F94:F101" si="49">E94/E$12</f>
        <v>0</v>
      </c>
      <c r="G94" s="678"/>
      <c r="H94" s="702">
        <f t="shared" ref="H94:H101" si="50">G94/G$12</f>
        <v>0</v>
      </c>
      <c r="I94" s="678"/>
      <c r="J94" s="702">
        <f t="shared" ref="J94:J101" si="51">I94/I$12</f>
        <v>0</v>
      </c>
      <c r="K94" s="678"/>
      <c r="L94" s="702">
        <f t="shared" ref="L94:L101" si="52">K94/K$12</f>
        <v>0</v>
      </c>
      <c r="M94" s="678"/>
      <c r="N94" s="702">
        <f t="shared" ref="N94:N101" si="53">M94/M$12</f>
        <v>0</v>
      </c>
      <c r="O94" s="678"/>
      <c r="P94" s="702">
        <f t="shared" ref="P94:P101" si="54">O94/O$12</f>
        <v>0</v>
      </c>
      <c r="Q94" s="678"/>
      <c r="R94" s="702">
        <f t="shared" ref="R94:R101" si="55">Q94/Q$12</f>
        <v>0</v>
      </c>
      <c r="S94" s="678"/>
      <c r="T94" s="702">
        <f t="shared" ref="T94:T101" si="56">S94/S$12</f>
        <v>0</v>
      </c>
      <c r="U94" s="678"/>
      <c r="V94" s="702">
        <f t="shared" ref="V94:V101" si="57">U94/U$12</f>
        <v>0</v>
      </c>
      <c r="W94" s="678"/>
      <c r="X94" s="702">
        <f t="shared" ref="X94:X101" si="58">W94/W$12</f>
        <v>0</v>
      </c>
      <c r="Y94" s="678"/>
      <c r="Z94" s="702">
        <f t="shared" ref="Z94:Z101" si="59">Y94/Y$12</f>
        <v>0</v>
      </c>
      <c r="AA94" s="144">
        <f t="shared" ref="AA94:AA114" si="60">C94+E94+G94+I94+K94+M94+O94+Q94+S94+U94+W94+Y94</f>
        <v>0</v>
      </c>
      <c r="AB94" s="702">
        <f>AA94/AA$12</f>
        <v>0</v>
      </c>
      <c r="AC94" s="128">
        <f t="shared" ref="AC94:AC115" si="61">AA94/12</f>
        <v>0</v>
      </c>
      <c r="AD94" s="702">
        <f>AC94/AC$12</f>
        <v>0</v>
      </c>
      <c r="AE94" s="595"/>
      <c r="AF94" s="595"/>
      <c r="AG94" s="555"/>
      <c r="AH94" s="74"/>
    </row>
    <row r="95" spans="1:34" s="1" customFormat="1">
      <c r="A95" s="188">
        <v>6302</v>
      </c>
      <c r="B95" s="21" t="s">
        <v>37</v>
      </c>
      <c r="C95" s="678">
        <v>13865</v>
      </c>
      <c r="D95" s="702">
        <f t="shared" si="48"/>
        <v>1.2267626914476266E-2</v>
      </c>
      <c r="E95" s="678">
        <v>13865</v>
      </c>
      <c r="F95" s="702">
        <f t="shared" si="49"/>
        <v>1.576812832016922E-2</v>
      </c>
      <c r="G95" s="678">
        <v>14280.916666666666</v>
      </c>
      <c r="H95" s="702">
        <f t="shared" si="50"/>
        <v>9.7910262000550311E-3</v>
      </c>
      <c r="I95" s="678">
        <v>14280.916666666666</v>
      </c>
      <c r="J95" s="702">
        <f t="shared" si="51"/>
        <v>1.1088436467483516E-2</v>
      </c>
      <c r="K95" s="678">
        <v>14280.916666666666</v>
      </c>
      <c r="L95" s="702">
        <f t="shared" si="52"/>
        <v>1.2123785026671035E-2</v>
      </c>
      <c r="M95" s="678">
        <v>14280.916666666666</v>
      </c>
      <c r="N95" s="702">
        <f t="shared" si="53"/>
        <v>8.5500024001012812E-3</v>
      </c>
      <c r="O95" s="678">
        <v>14280.916666666666</v>
      </c>
      <c r="P95" s="702">
        <f t="shared" si="54"/>
        <v>1.3504754881216509E-2</v>
      </c>
      <c r="Q95" s="678">
        <v>14280.916666666666</v>
      </c>
      <c r="R95" s="702">
        <f t="shared" si="55"/>
        <v>1.0875678751475461E-2</v>
      </c>
      <c r="S95" s="678">
        <v>14280.916666666666</v>
      </c>
      <c r="T95" s="702">
        <f t="shared" si="56"/>
        <v>1.0796012001563783E-2</v>
      </c>
      <c r="U95" s="678">
        <v>14280.916666666666</v>
      </c>
      <c r="V95" s="702">
        <f t="shared" si="57"/>
        <v>1.3610593966687455E-2</v>
      </c>
      <c r="W95" s="678">
        <v>14280.916666666666</v>
      </c>
      <c r="X95" s="702">
        <f t="shared" si="58"/>
        <v>1.3377273852567161E-2</v>
      </c>
      <c r="Y95" s="678">
        <v>14280.916666666666</v>
      </c>
      <c r="Z95" s="702">
        <f t="shared" si="59"/>
        <v>8.8552308371361577E-3</v>
      </c>
      <c r="AA95" s="144">
        <f t="shared" si="60"/>
        <v>170539.16666666666</v>
      </c>
      <c r="AB95" s="702">
        <f t="shared" ref="AB95:AB99" si="62">AA95/AA$12</f>
        <v>1.1348780913406162E-2</v>
      </c>
      <c r="AC95" s="128">
        <f t="shared" si="61"/>
        <v>14211.597222222221</v>
      </c>
      <c r="AD95" s="702">
        <f t="shared" ref="AD95:AD99" si="63">AC95/AC$12</f>
        <v>1.1348780913406162E-2</v>
      </c>
      <c r="AE95" s="595" t="s">
        <v>228</v>
      </c>
      <c r="AF95" s="595" t="s">
        <v>301</v>
      </c>
      <c r="AG95" s="555"/>
      <c r="AH95" s="74"/>
    </row>
    <row r="96" spans="1:34" s="1" customFormat="1">
      <c r="A96" s="2">
        <v>6303</v>
      </c>
      <c r="B96" s="2" t="s">
        <v>132</v>
      </c>
      <c r="C96" s="678"/>
      <c r="D96" s="702">
        <f t="shared" si="48"/>
        <v>0</v>
      </c>
      <c r="E96" s="678"/>
      <c r="F96" s="702">
        <f t="shared" si="49"/>
        <v>0</v>
      </c>
      <c r="G96" s="678"/>
      <c r="H96" s="702">
        <f t="shared" si="50"/>
        <v>0</v>
      </c>
      <c r="I96" s="678"/>
      <c r="J96" s="702">
        <f t="shared" si="51"/>
        <v>0</v>
      </c>
      <c r="K96" s="678"/>
      <c r="L96" s="702">
        <f t="shared" si="52"/>
        <v>0</v>
      </c>
      <c r="M96" s="678"/>
      <c r="N96" s="702">
        <f t="shared" si="53"/>
        <v>0</v>
      </c>
      <c r="O96" s="678"/>
      <c r="P96" s="702">
        <f t="shared" si="54"/>
        <v>0</v>
      </c>
      <c r="Q96" s="678"/>
      <c r="R96" s="702">
        <f t="shared" si="55"/>
        <v>0</v>
      </c>
      <c r="S96" s="678"/>
      <c r="T96" s="702">
        <f t="shared" si="56"/>
        <v>0</v>
      </c>
      <c r="U96" s="678"/>
      <c r="V96" s="702">
        <f t="shared" si="57"/>
        <v>0</v>
      </c>
      <c r="W96" s="678"/>
      <c r="X96" s="702">
        <f t="shared" si="58"/>
        <v>0</v>
      </c>
      <c r="Y96" s="678"/>
      <c r="Z96" s="702">
        <f t="shared" si="59"/>
        <v>0</v>
      </c>
      <c r="AA96" s="144">
        <f t="shared" si="60"/>
        <v>0</v>
      </c>
      <c r="AB96" s="702">
        <f t="shared" si="62"/>
        <v>0</v>
      </c>
      <c r="AC96" s="128">
        <f t="shared" si="61"/>
        <v>0</v>
      </c>
      <c r="AD96" s="702">
        <f t="shared" si="63"/>
        <v>0</v>
      </c>
      <c r="AE96" s="595"/>
      <c r="AF96" s="595"/>
      <c r="AG96" s="555"/>
      <c r="AH96" s="74"/>
    </row>
    <row r="97" spans="1:34" s="1" customFormat="1">
      <c r="A97" s="2">
        <v>6304</v>
      </c>
      <c r="B97" s="2" t="s">
        <v>38</v>
      </c>
      <c r="C97" s="753"/>
      <c r="D97" s="702">
        <f t="shared" si="48"/>
        <v>0</v>
      </c>
      <c r="E97" s="753"/>
      <c r="F97" s="702">
        <f t="shared" si="49"/>
        <v>0</v>
      </c>
      <c r="G97" s="753"/>
      <c r="H97" s="702">
        <f t="shared" si="50"/>
        <v>0</v>
      </c>
      <c r="I97" s="753"/>
      <c r="J97" s="702">
        <f t="shared" si="51"/>
        <v>0</v>
      </c>
      <c r="K97" s="753"/>
      <c r="L97" s="702">
        <f t="shared" si="52"/>
        <v>0</v>
      </c>
      <c r="M97" s="753"/>
      <c r="N97" s="702">
        <f t="shared" si="53"/>
        <v>0</v>
      </c>
      <c r="O97" s="753"/>
      <c r="P97" s="702">
        <f t="shared" si="54"/>
        <v>0</v>
      </c>
      <c r="Q97" s="753"/>
      <c r="R97" s="702">
        <f t="shared" si="55"/>
        <v>0</v>
      </c>
      <c r="S97" s="753"/>
      <c r="T97" s="702">
        <f t="shared" si="56"/>
        <v>0</v>
      </c>
      <c r="U97" s="753"/>
      <c r="V97" s="702">
        <f t="shared" si="57"/>
        <v>0</v>
      </c>
      <c r="W97" s="753"/>
      <c r="X97" s="702">
        <f t="shared" si="58"/>
        <v>0</v>
      </c>
      <c r="Y97" s="753"/>
      <c r="Z97" s="702">
        <f t="shared" si="59"/>
        <v>0</v>
      </c>
      <c r="AA97" s="144">
        <f t="shared" si="60"/>
        <v>0</v>
      </c>
      <c r="AB97" s="702">
        <f t="shared" si="62"/>
        <v>0</v>
      </c>
      <c r="AC97" s="128">
        <f t="shared" si="61"/>
        <v>0</v>
      </c>
      <c r="AD97" s="702">
        <f t="shared" si="63"/>
        <v>0</v>
      </c>
      <c r="AE97" s="595"/>
      <c r="AF97" s="595"/>
      <c r="AG97" s="555"/>
      <c r="AH97" s="74"/>
    </row>
    <row r="98" spans="1:34" s="1" customFormat="1">
      <c r="A98" s="188">
        <v>6305</v>
      </c>
      <c r="B98" s="2" t="s">
        <v>39</v>
      </c>
      <c r="C98" s="678"/>
      <c r="D98" s="702">
        <f t="shared" si="48"/>
        <v>0</v>
      </c>
      <c r="E98" s="678"/>
      <c r="F98" s="702">
        <f t="shared" si="49"/>
        <v>0</v>
      </c>
      <c r="G98" s="678"/>
      <c r="H98" s="702">
        <f t="shared" si="50"/>
        <v>0</v>
      </c>
      <c r="I98" s="678"/>
      <c r="J98" s="702">
        <f t="shared" si="51"/>
        <v>0</v>
      </c>
      <c r="K98" s="678"/>
      <c r="L98" s="702">
        <f t="shared" si="52"/>
        <v>0</v>
      </c>
      <c r="M98" s="678"/>
      <c r="N98" s="702">
        <f t="shared" si="53"/>
        <v>0</v>
      </c>
      <c r="O98" s="678"/>
      <c r="P98" s="702">
        <f t="shared" si="54"/>
        <v>0</v>
      </c>
      <c r="Q98" s="678"/>
      <c r="R98" s="702">
        <f t="shared" si="55"/>
        <v>0</v>
      </c>
      <c r="S98" s="678"/>
      <c r="T98" s="702">
        <f t="shared" si="56"/>
        <v>0</v>
      </c>
      <c r="U98" s="678"/>
      <c r="V98" s="702">
        <f t="shared" si="57"/>
        <v>0</v>
      </c>
      <c r="W98" s="678"/>
      <c r="X98" s="702">
        <f t="shared" si="58"/>
        <v>0</v>
      </c>
      <c r="Y98" s="678"/>
      <c r="Z98" s="702">
        <f t="shared" si="59"/>
        <v>0</v>
      </c>
      <c r="AA98" s="144">
        <f t="shared" si="60"/>
        <v>0</v>
      </c>
      <c r="AB98" s="702">
        <f t="shared" si="62"/>
        <v>0</v>
      </c>
      <c r="AC98" s="128">
        <f t="shared" si="61"/>
        <v>0</v>
      </c>
      <c r="AD98" s="702">
        <f t="shared" si="63"/>
        <v>0</v>
      </c>
      <c r="AE98" s="595"/>
      <c r="AF98" s="595"/>
      <c r="AG98" s="555"/>
      <c r="AH98" s="74"/>
    </row>
    <row r="99" spans="1:34" s="1" customFormat="1">
      <c r="A99" s="2">
        <v>6306</v>
      </c>
      <c r="B99" s="2" t="s">
        <v>40</v>
      </c>
      <c r="C99" s="678"/>
      <c r="D99" s="702">
        <f t="shared" si="48"/>
        <v>0</v>
      </c>
      <c r="E99" s="678"/>
      <c r="F99" s="702">
        <f t="shared" si="49"/>
        <v>0</v>
      </c>
      <c r="G99" s="678"/>
      <c r="H99" s="702">
        <f t="shared" si="50"/>
        <v>0</v>
      </c>
      <c r="I99" s="678"/>
      <c r="J99" s="702">
        <f t="shared" si="51"/>
        <v>0</v>
      </c>
      <c r="K99" s="678"/>
      <c r="L99" s="702">
        <f t="shared" si="52"/>
        <v>0</v>
      </c>
      <c r="M99" s="678"/>
      <c r="N99" s="702">
        <f t="shared" si="53"/>
        <v>0</v>
      </c>
      <c r="O99" s="678"/>
      <c r="P99" s="702">
        <f t="shared" si="54"/>
        <v>0</v>
      </c>
      <c r="Q99" s="678"/>
      <c r="R99" s="702">
        <f t="shared" si="55"/>
        <v>0</v>
      </c>
      <c r="S99" s="678"/>
      <c r="T99" s="702">
        <f t="shared" si="56"/>
        <v>0</v>
      </c>
      <c r="U99" s="678"/>
      <c r="V99" s="702">
        <f t="shared" si="57"/>
        <v>0</v>
      </c>
      <c r="W99" s="678"/>
      <c r="X99" s="702">
        <f t="shared" si="58"/>
        <v>0</v>
      </c>
      <c r="Y99" s="678"/>
      <c r="Z99" s="702">
        <f t="shared" si="59"/>
        <v>0</v>
      </c>
      <c r="AA99" s="144">
        <f t="shared" si="60"/>
        <v>0</v>
      </c>
      <c r="AB99" s="702">
        <f t="shared" si="62"/>
        <v>0</v>
      </c>
      <c r="AC99" s="128">
        <f t="shared" si="61"/>
        <v>0</v>
      </c>
      <c r="AD99" s="702">
        <f t="shared" si="63"/>
        <v>0</v>
      </c>
      <c r="AE99" s="595"/>
      <c r="AF99" s="595"/>
      <c r="AG99" s="555"/>
      <c r="AH99" s="74"/>
    </row>
    <row r="100" spans="1:34" s="1" customFormat="1">
      <c r="A100" s="2">
        <v>6307</v>
      </c>
      <c r="B100" s="2" t="s">
        <v>322</v>
      </c>
      <c r="C100" s="678"/>
      <c r="D100" s="702">
        <f t="shared" si="48"/>
        <v>0</v>
      </c>
      <c r="E100" s="678">
        <v>425</v>
      </c>
      <c r="F100" s="702">
        <f t="shared" si="49"/>
        <v>4.8333606462833882E-4</v>
      </c>
      <c r="G100" s="678">
        <v>425</v>
      </c>
      <c r="H100" s="702">
        <f t="shared" si="50"/>
        <v>2.9138088486547114E-4</v>
      </c>
      <c r="I100" s="678">
        <v>1135</v>
      </c>
      <c r="J100" s="702">
        <f t="shared" si="51"/>
        <v>8.8127223793480511E-4</v>
      </c>
      <c r="K100" s="678">
        <v>425</v>
      </c>
      <c r="L100" s="702">
        <f t="shared" si="52"/>
        <v>3.6080377447772542E-4</v>
      </c>
      <c r="M100" s="678"/>
      <c r="N100" s="702">
        <f t="shared" si="53"/>
        <v>0</v>
      </c>
      <c r="O100" s="678">
        <v>425</v>
      </c>
      <c r="P100" s="702">
        <f t="shared" si="54"/>
        <v>4.0190142961296952E-4</v>
      </c>
      <c r="Q100" s="678">
        <v>425</v>
      </c>
      <c r="R100" s="702">
        <f t="shared" si="55"/>
        <v>3.2366013871964832E-4</v>
      </c>
      <c r="S100" s="678">
        <v>425</v>
      </c>
      <c r="T100" s="702">
        <f t="shared" si="56"/>
        <v>3.2128925668856048E-4</v>
      </c>
      <c r="U100" s="678">
        <v>425</v>
      </c>
      <c r="V100" s="702">
        <f t="shared" si="57"/>
        <v>4.0505120020368688E-4</v>
      </c>
      <c r="W100" s="678">
        <v>425</v>
      </c>
      <c r="X100" s="702">
        <f t="shared" si="58"/>
        <v>3.9810759491449855E-4</v>
      </c>
      <c r="Y100" s="678">
        <v>425</v>
      </c>
      <c r="Z100" s="702">
        <f t="shared" si="59"/>
        <v>2.6353162010722003E-4</v>
      </c>
      <c r="AA100" s="144">
        <f t="shared" si="60"/>
        <v>4960</v>
      </c>
      <c r="AB100" s="226">
        <f>AA100/AA$12</f>
        <v>3.3007053119075031E-4</v>
      </c>
      <c r="AC100" s="128">
        <f t="shared" si="61"/>
        <v>413.33333333333331</v>
      </c>
      <c r="AD100" s="226">
        <f>AC100/AC$12</f>
        <v>3.3007053119075036E-4</v>
      </c>
      <c r="AE100" s="595"/>
      <c r="AF100" s="595"/>
      <c r="AG100" s="555"/>
      <c r="AH100" s="74"/>
    </row>
    <row r="101" spans="1:34" s="1" customFormat="1">
      <c r="A101" s="2">
        <v>6308</v>
      </c>
      <c r="B101" s="2" t="s">
        <v>151</v>
      </c>
      <c r="C101" s="678"/>
      <c r="D101" s="702">
        <f t="shared" si="48"/>
        <v>0</v>
      </c>
      <c r="E101" s="678"/>
      <c r="F101" s="702">
        <f t="shared" si="49"/>
        <v>0</v>
      </c>
      <c r="G101" s="678"/>
      <c r="H101" s="702">
        <f t="shared" si="50"/>
        <v>0</v>
      </c>
      <c r="I101" s="678"/>
      <c r="J101" s="702">
        <f t="shared" si="51"/>
        <v>0</v>
      </c>
      <c r="K101" s="678"/>
      <c r="L101" s="702">
        <f t="shared" si="52"/>
        <v>0</v>
      </c>
      <c r="M101" s="678"/>
      <c r="N101" s="702">
        <f t="shared" si="53"/>
        <v>0</v>
      </c>
      <c r="O101" s="678"/>
      <c r="P101" s="702">
        <f t="shared" si="54"/>
        <v>0</v>
      </c>
      <c r="Q101" s="678"/>
      <c r="R101" s="702">
        <f t="shared" si="55"/>
        <v>0</v>
      </c>
      <c r="S101" s="678"/>
      <c r="T101" s="702">
        <f t="shared" si="56"/>
        <v>0</v>
      </c>
      <c r="U101" s="678"/>
      <c r="V101" s="702">
        <f t="shared" si="57"/>
        <v>0</v>
      </c>
      <c r="W101" s="678"/>
      <c r="X101" s="702">
        <f t="shared" si="58"/>
        <v>0</v>
      </c>
      <c r="Y101" s="678"/>
      <c r="Z101" s="702">
        <f t="shared" si="59"/>
        <v>0</v>
      </c>
      <c r="AA101" s="144">
        <f t="shared" si="60"/>
        <v>0</v>
      </c>
      <c r="AB101" s="226">
        <f>AA101/AA$12</f>
        <v>0</v>
      </c>
      <c r="AC101" s="128">
        <f t="shared" si="61"/>
        <v>0</v>
      </c>
      <c r="AD101" s="226">
        <f>AC101/AC$12</f>
        <v>0</v>
      </c>
      <c r="AE101" s="595"/>
      <c r="AF101" s="595"/>
      <c r="AG101" s="555"/>
      <c r="AH101" s="74"/>
    </row>
    <row r="102" spans="1:34" s="1" customFormat="1">
      <c r="A102" s="2">
        <v>6309</v>
      </c>
      <c r="B102" s="2" t="s">
        <v>152</v>
      </c>
      <c r="C102" s="753">
        <f>(15945.92736496/5)*2</f>
        <v>6378.3709459840002</v>
      </c>
      <c r="D102" s="702">
        <f>C102/C$12</f>
        <v>5.6435250694170033E-3</v>
      </c>
      <c r="E102" s="678">
        <f>(16105.3866386096/5)*2</f>
        <v>6442.1546554438401</v>
      </c>
      <c r="F102" s="702">
        <f>E102/E$12</f>
        <v>7.3264133620926063E-3</v>
      </c>
      <c r="G102" s="678">
        <f>16266.4405049957/5</f>
        <v>3253.2881009991402</v>
      </c>
      <c r="H102" s="702">
        <f>G102/G$12</f>
        <v>2.2304610955092654E-3</v>
      </c>
      <c r="I102" s="678">
        <f>16429.1049100457/5</f>
        <v>3285.8209820091397</v>
      </c>
      <c r="J102" s="702">
        <f>I102/I$12</f>
        <v>2.5512800090469897E-3</v>
      </c>
      <c r="K102" s="753">
        <f>(16593.3959591461/5)*2</f>
        <v>6637.3583836584394</v>
      </c>
      <c r="L102" s="702">
        <f>K102/K$12</f>
        <v>5.6347857820831515E-3</v>
      </c>
      <c r="M102" s="678">
        <f>16759.3299187376/5</f>
        <v>3351.8659837475197</v>
      </c>
      <c r="N102" s="702">
        <f>M102/M$12</f>
        <v>2.0067662934236813E-3</v>
      </c>
      <c r="O102" s="993">
        <f>16926.9232179249/5</f>
        <v>3385.38464358498</v>
      </c>
      <c r="P102" s="702">
        <f>O102/O$12</f>
        <v>3.2013904189331687E-3</v>
      </c>
      <c r="Q102" s="678">
        <f>17096.1924501042/5</f>
        <v>3419.2384900208403</v>
      </c>
      <c r="R102" s="702">
        <f>Q102/Q$12</f>
        <v>2.603932244695779E-3</v>
      </c>
      <c r="S102" s="753">
        <f>(17267.1543746052/5)*2</f>
        <v>6906.8617498420808</v>
      </c>
      <c r="T102" s="702">
        <f>S102/S$12</f>
        <v>5.2214128886056759E-3</v>
      </c>
      <c r="U102" s="678">
        <f>(17439.8259183513/5)*2</f>
        <v>6975.9303673405202</v>
      </c>
      <c r="V102" s="702">
        <f>U102/U$12</f>
        <v>6.6484916890085276E-3</v>
      </c>
      <c r="W102" s="753">
        <f>17614.2241775348/5</f>
        <v>3522.8448355069604</v>
      </c>
      <c r="X102" s="702">
        <f>W102/W$12</f>
        <v>3.299932434636796E-3</v>
      </c>
      <c r="Y102" s="678">
        <f>17790.3664193102/5</f>
        <v>3558.0732838620402</v>
      </c>
      <c r="Z102" s="702">
        <f>Y102/Y$12</f>
        <v>2.2062701575444239E-3</v>
      </c>
      <c r="AA102" s="144">
        <f t="shared" si="60"/>
        <v>57117.192421999505</v>
      </c>
      <c r="AB102" s="226">
        <f>AA102/AA$12</f>
        <v>3.8009479925108216E-3</v>
      </c>
      <c r="AC102" s="128">
        <f t="shared" si="61"/>
        <v>4759.7660351666254</v>
      </c>
      <c r="AD102" s="226">
        <f>AC102/AC$12</f>
        <v>3.8009479925108221E-3</v>
      </c>
      <c r="AE102" s="595"/>
      <c r="AF102" s="595"/>
      <c r="AG102" s="555"/>
      <c r="AH102" s="74"/>
    </row>
    <row r="103" spans="1:34" s="1" customFormat="1">
      <c r="A103" s="2">
        <v>6310</v>
      </c>
      <c r="B103" s="2" t="s">
        <v>153</v>
      </c>
      <c r="C103" s="678"/>
      <c r="D103" s="702">
        <f t="shared" ref="D103:D114" si="64">C103/C$12</f>
        <v>0</v>
      </c>
      <c r="E103" s="678">
        <v>14000</v>
      </c>
      <c r="F103" s="702">
        <f t="shared" ref="F103:F114" si="65">E103/E$12</f>
        <v>1.592165859952175E-2</v>
      </c>
      <c r="G103" s="678">
        <v>12800</v>
      </c>
      <c r="H103" s="702">
        <f t="shared" ref="H103:H114" si="66">G103/G$12</f>
        <v>8.7757066500659554E-3</v>
      </c>
      <c r="I103" s="678">
        <v>6000</v>
      </c>
      <c r="J103" s="702">
        <f t="shared" ref="J103:J114" si="67">I103/I$12</f>
        <v>4.6587078657346521E-3</v>
      </c>
      <c r="K103" s="678">
        <v>7400</v>
      </c>
      <c r="L103" s="702">
        <f t="shared" ref="L103:L114" si="68">K103/K$12</f>
        <v>6.282230426200395E-3</v>
      </c>
      <c r="M103" s="48">
        <v>0</v>
      </c>
      <c r="N103" s="702">
        <f t="shared" ref="N103:P114" si="69">M103/M$12</f>
        <v>0</v>
      </c>
      <c r="O103" s="678">
        <v>1500</v>
      </c>
      <c r="P103" s="702">
        <f t="shared" ref="P103:P114" si="70">O103/O$12</f>
        <v>1.4184756339281276E-3</v>
      </c>
      <c r="Q103" s="678">
        <v>12000</v>
      </c>
      <c r="R103" s="702">
        <f t="shared" ref="R103:R114" si="71">Q103/Q$12</f>
        <v>9.1386392109077171E-3</v>
      </c>
      <c r="S103" s="678">
        <v>12300</v>
      </c>
      <c r="T103" s="702">
        <f t="shared" ref="T103:T114" si="72">S103/S$12</f>
        <v>9.2984890759277503E-3</v>
      </c>
      <c r="U103" s="678">
        <v>7000</v>
      </c>
      <c r="V103" s="702">
        <f t="shared" ref="V103:V114" si="73">U103/U$12</f>
        <v>6.671431532766608E-3</v>
      </c>
      <c r="W103" s="678"/>
      <c r="X103" s="702">
        <f t="shared" ref="X103:X114" si="74">W103/W$12</f>
        <v>0</v>
      </c>
      <c r="Y103" s="678">
        <v>13000</v>
      </c>
      <c r="Z103" s="702">
        <f t="shared" ref="Z103:Z114" si="75">Y103/Y$12</f>
        <v>8.0609672032796714E-3</v>
      </c>
      <c r="AA103" s="144">
        <f t="shared" si="60"/>
        <v>86000</v>
      </c>
      <c r="AB103" s="226">
        <f t="shared" ref="AB103:AB114" si="76">AA103/AA$12</f>
        <v>5.7229971133880096E-3</v>
      </c>
      <c r="AC103" s="128">
        <f t="shared" si="61"/>
        <v>7166.666666666667</v>
      </c>
      <c r="AD103" s="226">
        <f t="shared" ref="AD103:AD114" si="77">AC103/AC$12</f>
        <v>5.7229971133880104E-3</v>
      </c>
      <c r="AE103" s="595"/>
      <c r="AF103" s="595"/>
      <c r="AG103" s="555"/>
      <c r="AH103" s="74"/>
    </row>
    <row r="104" spans="1:34" s="1" customFormat="1">
      <c r="A104" s="2">
        <v>6311</v>
      </c>
      <c r="B104" s="2" t="s">
        <v>154</v>
      </c>
      <c r="C104" s="678">
        <v>9018.2093305873077</v>
      </c>
      <c r="D104" s="702">
        <f t="shared" si="64"/>
        <v>7.9792302563500787E-3</v>
      </c>
      <c r="E104" s="678"/>
      <c r="F104" s="702">
        <f t="shared" si="65"/>
        <v>0</v>
      </c>
      <c r="G104" s="678"/>
      <c r="H104" s="702">
        <f t="shared" si="66"/>
        <v>0</v>
      </c>
      <c r="I104" s="678"/>
      <c r="J104" s="702">
        <f t="shared" si="67"/>
        <v>0</v>
      </c>
      <c r="K104" s="678"/>
      <c r="L104" s="702">
        <f t="shared" si="68"/>
        <v>0</v>
      </c>
      <c r="M104" s="678"/>
      <c r="N104" s="702">
        <f t="shared" si="69"/>
        <v>0</v>
      </c>
      <c r="O104" s="678"/>
      <c r="P104" s="702">
        <f t="shared" si="70"/>
        <v>0</v>
      </c>
      <c r="Q104" s="678"/>
      <c r="R104" s="702">
        <f t="shared" si="71"/>
        <v>0</v>
      </c>
      <c r="S104" s="678"/>
      <c r="T104" s="702">
        <f t="shared" si="72"/>
        <v>0</v>
      </c>
      <c r="U104" s="678"/>
      <c r="V104" s="702">
        <f t="shared" si="73"/>
        <v>0</v>
      </c>
      <c r="W104" s="678"/>
      <c r="X104" s="702">
        <f t="shared" si="74"/>
        <v>0</v>
      </c>
      <c r="Y104" s="678"/>
      <c r="Z104" s="702">
        <f t="shared" si="75"/>
        <v>0</v>
      </c>
      <c r="AA104" s="144">
        <f t="shared" si="60"/>
        <v>9018.2093305873077</v>
      </c>
      <c r="AB104" s="226">
        <f t="shared" si="76"/>
        <v>6.0013006938232534E-4</v>
      </c>
      <c r="AC104" s="128">
        <f t="shared" si="61"/>
        <v>751.51744421560898</v>
      </c>
      <c r="AD104" s="226">
        <f t="shared" si="77"/>
        <v>6.0013006938232534E-4</v>
      </c>
      <c r="AE104" s="595"/>
      <c r="AF104" s="595"/>
      <c r="AG104" s="555"/>
      <c r="AH104" s="74"/>
    </row>
    <row r="105" spans="1:34" s="1" customFormat="1">
      <c r="A105" s="2">
        <v>6312</v>
      </c>
      <c r="B105" s="2" t="s">
        <v>155</v>
      </c>
      <c r="C105" s="678"/>
      <c r="D105" s="702">
        <f t="shared" si="64"/>
        <v>0</v>
      </c>
      <c r="E105" s="678"/>
      <c r="F105" s="702">
        <f t="shared" si="65"/>
        <v>0</v>
      </c>
      <c r="G105" s="678"/>
      <c r="H105" s="702">
        <f t="shared" si="66"/>
        <v>0</v>
      </c>
      <c r="I105" s="678"/>
      <c r="J105" s="702">
        <f t="shared" si="67"/>
        <v>0</v>
      </c>
      <c r="K105" s="678"/>
      <c r="L105" s="702">
        <f t="shared" si="68"/>
        <v>0</v>
      </c>
      <c r="M105" s="678"/>
      <c r="N105" s="702">
        <f t="shared" si="69"/>
        <v>0</v>
      </c>
      <c r="O105" s="678"/>
      <c r="P105" s="702">
        <f t="shared" si="70"/>
        <v>0</v>
      </c>
      <c r="Q105" s="678"/>
      <c r="R105" s="702">
        <f t="shared" si="71"/>
        <v>0</v>
      </c>
      <c r="S105" s="678"/>
      <c r="T105" s="702">
        <f t="shared" si="72"/>
        <v>0</v>
      </c>
      <c r="U105" s="678"/>
      <c r="V105" s="702">
        <f t="shared" si="73"/>
        <v>0</v>
      </c>
      <c r="W105" s="678"/>
      <c r="X105" s="702">
        <f t="shared" si="74"/>
        <v>0</v>
      </c>
      <c r="Y105" s="678"/>
      <c r="Z105" s="702">
        <f t="shared" si="75"/>
        <v>0</v>
      </c>
      <c r="AA105" s="144">
        <f t="shared" si="60"/>
        <v>0</v>
      </c>
      <c r="AB105" s="226">
        <f t="shared" si="76"/>
        <v>0</v>
      </c>
      <c r="AC105" s="128">
        <f t="shared" si="61"/>
        <v>0</v>
      </c>
      <c r="AD105" s="226">
        <f t="shared" si="77"/>
        <v>0</v>
      </c>
      <c r="AE105" s="595"/>
      <c r="AF105" s="595"/>
      <c r="AG105" s="555"/>
      <c r="AH105" s="74"/>
    </row>
    <row r="106" spans="1:34" s="1" customFormat="1">
      <c r="A106" s="2">
        <v>6313</v>
      </c>
      <c r="B106" s="2" t="s">
        <v>156</v>
      </c>
      <c r="C106" s="753"/>
      <c r="D106" s="702">
        <f t="shared" si="64"/>
        <v>0</v>
      </c>
      <c r="E106" s="753"/>
      <c r="F106" s="702">
        <f t="shared" si="65"/>
        <v>0</v>
      </c>
      <c r="G106" s="753">
        <f>(27272.7272727273/0.985)/12</f>
        <v>2307.3373327180457</v>
      </c>
      <c r="H106" s="702">
        <f t="shared" si="66"/>
        <v>1.5819152792718122E-3</v>
      </c>
      <c r="I106" s="753"/>
      <c r="J106" s="702">
        <f t="shared" si="67"/>
        <v>0</v>
      </c>
      <c r="K106" s="753">
        <f>(27272.7272727273/0.985)/12</f>
        <v>2307.3373327180457</v>
      </c>
      <c r="L106" s="702">
        <f t="shared" si="68"/>
        <v>1.9588141615012665E-3</v>
      </c>
      <c r="M106" s="753"/>
      <c r="N106" s="702">
        <f t="shared" si="69"/>
        <v>0</v>
      </c>
      <c r="O106" s="753"/>
      <c r="P106" s="702">
        <f t="shared" si="69"/>
        <v>0</v>
      </c>
      <c r="Q106" s="753">
        <f>(27272.7272727273/0.985)/12</f>
        <v>2307.3373327180457</v>
      </c>
      <c r="R106" s="702">
        <f t="shared" si="71"/>
        <v>1.7571602851306966E-3</v>
      </c>
      <c r="S106" s="753"/>
      <c r="T106" s="702">
        <f t="shared" si="72"/>
        <v>0</v>
      </c>
      <c r="U106" s="753"/>
      <c r="V106" s="702">
        <f t="shared" si="73"/>
        <v>0</v>
      </c>
      <c r="W106" s="753"/>
      <c r="X106" s="702">
        <f t="shared" si="74"/>
        <v>0</v>
      </c>
      <c r="Y106" s="753">
        <f>(27272.7272727273/0.985)/12</f>
        <v>2307.3373327180457</v>
      </c>
      <c r="Z106" s="702">
        <f t="shared" si="75"/>
        <v>1.4307208127648432E-3</v>
      </c>
      <c r="AA106" s="144">
        <f t="shared" si="60"/>
        <v>9229.3493308721827</v>
      </c>
      <c r="AB106" s="226">
        <f t="shared" si="76"/>
        <v>6.1418069277943091E-4</v>
      </c>
      <c r="AC106" s="128">
        <f t="shared" si="61"/>
        <v>769.11244423934852</v>
      </c>
      <c r="AD106" s="226">
        <f t="shared" si="77"/>
        <v>6.1418069277943102E-4</v>
      </c>
      <c r="AE106" s="595"/>
      <c r="AF106" s="595"/>
      <c r="AG106" s="555"/>
      <c r="AH106" s="74"/>
    </row>
    <row r="107" spans="1:34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64"/>
        <v>1.1059887229062626E-2</v>
      </c>
      <c r="E107" s="678">
        <f>(206850/12)/0.985</f>
        <v>17500</v>
      </c>
      <c r="F107" s="702">
        <f t="shared" si="65"/>
        <v>1.9902073249402189E-2</v>
      </c>
      <c r="G107" s="678">
        <f>(159570/12)/0.985</f>
        <v>13500</v>
      </c>
      <c r="H107" s="702">
        <f t="shared" si="66"/>
        <v>9.255628107491436E-3</v>
      </c>
      <c r="I107" s="678">
        <f>(159570/12)/0.985</f>
        <v>13500</v>
      </c>
      <c r="J107" s="702">
        <f t="shared" si="67"/>
        <v>1.0482092697902968E-2</v>
      </c>
      <c r="K107" s="678">
        <f>(206850/12)/0.985</f>
        <v>17500</v>
      </c>
      <c r="L107" s="702">
        <f t="shared" si="68"/>
        <v>1.485662600790634E-2</v>
      </c>
      <c r="M107" s="678">
        <f>(159570/12)/0.985</f>
        <v>13500</v>
      </c>
      <c r="N107" s="702">
        <f t="shared" si="69"/>
        <v>8.0824666298055549E-3</v>
      </c>
      <c r="O107" s="678">
        <f>(159570/12)/0.985</f>
        <v>13500</v>
      </c>
      <c r="P107" s="702">
        <f t="shared" si="69"/>
        <v>1.2766280705353149E-2</v>
      </c>
      <c r="Q107" s="678">
        <f>(206850/12)/0.985</f>
        <v>17500</v>
      </c>
      <c r="R107" s="702">
        <f t="shared" si="71"/>
        <v>1.3327182182573755E-2</v>
      </c>
      <c r="S107" s="678">
        <f>(159570/12)/0.985</f>
        <v>13500</v>
      </c>
      <c r="T107" s="702">
        <f t="shared" si="72"/>
        <v>1.0205658741871921E-2</v>
      </c>
      <c r="U107" s="678">
        <f>(159570/12)/0.985</f>
        <v>13500</v>
      </c>
      <c r="V107" s="702">
        <f t="shared" si="73"/>
        <v>1.2866332241764172E-2</v>
      </c>
      <c r="W107" s="678">
        <f>(206850/12)/0.985</f>
        <v>17500</v>
      </c>
      <c r="X107" s="702">
        <f t="shared" si="74"/>
        <v>1.639266567294994E-2</v>
      </c>
      <c r="Y107" s="678">
        <f>(159570/12)/0.985</f>
        <v>13500</v>
      </c>
      <c r="Z107" s="702">
        <f t="shared" si="75"/>
        <v>8.3710044034058136E-3</v>
      </c>
      <c r="AA107" s="144">
        <f t="shared" si="60"/>
        <v>177000</v>
      </c>
      <c r="AB107" s="226">
        <f t="shared" si="76"/>
        <v>1.1778726617089275E-2</v>
      </c>
      <c r="AC107" s="128">
        <f t="shared" si="61"/>
        <v>14750</v>
      </c>
      <c r="AD107" s="226">
        <f t="shared" si="77"/>
        <v>1.1778726617089277E-2</v>
      </c>
      <c r="AE107" s="595"/>
      <c r="AF107" s="595"/>
      <c r="AG107" s="555"/>
      <c r="AH107" s="74"/>
    </row>
    <row r="108" spans="1:34" s="1" customFormat="1">
      <c r="A108" s="2">
        <v>6315</v>
      </c>
      <c r="B108" s="2" t="s">
        <v>323</v>
      </c>
      <c r="C108" s="678"/>
      <c r="D108" s="702">
        <f t="shared" si="64"/>
        <v>0</v>
      </c>
      <c r="E108" s="678">
        <v>1748</v>
      </c>
      <c r="F108" s="702">
        <f t="shared" si="65"/>
        <v>1.9879328022831444E-3</v>
      </c>
      <c r="G108" s="678">
        <v>2998</v>
      </c>
      <c r="H108" s="702">
        <f t="shared" si="66"/>
        <v>2.0554350419451353E-3</v>
      </c>
      <c r="I108" s="678">
        <v>1748</v>
      </c>
      <c r="J108" s="702">
        <f t="shared" si="67"/>
        <v>1.3572368915506954E-3</v>
      </c>
      <c r="K108" s="678">
        <v>1250</v>
      </c>
      <c r="L108" s="702">
        <f t="shared" si="68"/>
        <v>1.06118757199331E-3</v>
      </c>
      <c r="M108" s="678"/>
      <c r="N108" s="702">
        <f t="shared" si="69"/>
        <v>0</v>
      </c>
      <c r="O108" s="678">
        <v>875</v>
      </c>
      <c r="P108" s="702">
        <f t="shared" si="70"/>
        <v>8.2744411979140779E-4</v>
      </c>
      <c r="Q108" s="678">
        <v>1250</v>
      </c>
      <c r="R108" s="702">
        <f t="shared" si="71"/>
        <v>9.519415844695539E-4</v>
      </c>
      <c r="S108" s="678"/>
      <c r="T108" s="702">
        <f t="shared" si="72"/>
        <v>0</v>
      </c>
      <c r="U108" s="678">
        <v>875</v>
      </c>
      <c r="V108" s="702">
        <f t="shared" si="73"/>
        <v>8.33928941595826E-4</v>
      </c>
      <c r="W108" s="678"/>
      <c r="X108" s="702">
        <f t="shared" si="74"/>
        <v>0</v>
      </c>
      <c r="Y108" s="678">
        <v>1250</v>
      </c>
      <c r="Z108" s="702">
        <f t="shared" si="75"/>
        <v>7.7509300031535302E-4</v>
      </c>
      <c r="AA108" s="144">
        <f t="shared" si="60"/>
        <v>11994</v>
      </c>
      <c r="AB108" s="226">
        <f t="shared" si="76"/>
        <v>7.9815845788343937E-4</v>
      </c>
      <c r="AC108" s="128">
        <f t="shared" si="61"/>
        <v>999.5</v>
      </c>
      <c r="AD108" s="226">
        <f t="shared" si="77"/>
        <v>7.9815845788343948E-4</v>
      </c>
      <c r="AE108" s="595"/>
      <c r="AF108" s="595"/>
      <c r="AG108" s="555"/>
      <c r="AH108" s="74"/>
    </row>
    <row r="109" spans="1:34" s="1" customFormat="1">
      <c r="A109" s="2">
        <v>6316</v>
      </c>
      <c r="B109" s="2" t="s">
        <v>324</v>
      </c>
      <c r="C109" s="678"/>
      <c r="D109" s="702">
        <f t="shared" si="64"/>
        <v>0</v>
      </c>
      <c r="E109" s="678">
        <v>5300</v>
      </c>
      <c r="F109" s="702">
        <f t="shared" si="65"/>
        <v>6.0274850412475192E-3</v>
      </c>
      <c r="G109" s="678"/>
      <c r="H109" s="702">
        <f t="shared" si="66"/>
        <v>0</v>
      </c>
      <c r="I109" s="678"/>
      <c r="J109" s="702">
        <f t="shared" si="67"/>
        <v>0</v>
      </c>
      <c r="K109" s="678">
        <v>2500</v>
      </c>
      <c r="L109" s="702">
        <f t="shared" si="68"/>
        <v>2.1223751439866201E-3</v>
      </c>
      <c r="M109" s="678"/>
      <c r="N109" s="702">
        <f t="shared" si="69"/>
        <v>0</v>
      </c>
      <c r="O109" s="678"/>
      <c r="P109" s="702">
        <f t="shared" si="70"/>
        <v>0</v>
      </c>
      <c r="Q109" s="678">
        <v>5300</v>
      </c>
      <c r="R109" s="702">
        <f t="shared" si="71"/>
        <v>4.0362323181509082E-3</v>
      </c>
      <c r="S109" s="678"/>
      <c r="T109" s="702">
        <f t="shared" si="72"/>
        <v>0</v>
      </c>
      <c r="U109" s="678"/>
      <c r="V109" s="702">
        <f t="shared" si="73"/>
        <v>0</v>
      </c>
      <c r="W109" s="678"/>
      <c r="X109" s="702">
        <f t="shared" si="74"/>
        <v>0</v>
      </c>
      <c r="Y109" s="678"/>
      <c r="Z109" s="702">
        <f t="shared" si="75"/>
        <v>0</v>
      </c>
      <c r="AA109" s="144">
        <f t="shared" si="60"/>
        <v>13100</v>
      </c>
      <c r="AB109" s="226">
        <f t="shared" si="76"/>
        <v>8.7175886262073172E-4</v>
      </c>
      <c r="AC109" s="128">
        <f t="shared" si="61"/>
        <v>1091.6666666666667</v>
      </c>
      <c r="AD109" s="226">
        <f t="shared" si="77"/>
        <v>8.7175886262073183E-4</v>
      </c>
      <c r="AE109" s="595"/>
      <c r="AF109" s="595"/>
      <c r="AG109" s="555"/>
      <c r="AH109" s="74"/>
    </row>
    <row r="110" spans="1:34" s="1" customFormat="1">
      <c r="A110" s="2">
        <v>6317</v>
      </c>
      <c r="B110" s="2" t="s">
        <v>325</v>
      </c>
      <c r="C110" s="678"/>
      <c r="D110" s="702">
        <f t="shared" si="64"/>
        <v>0</v>
      </c>
      <c r="E110" s="678">
        <v>2250</v>
      </c>
      <c r="F110" s="702">
        <f t="shared" si="65"/>
        <v>2.5588379892088529E-3</v>
      </c>
      <c r="G110" s="678"/>
      <c r="H110" s="702">
        <f t="shared" si="66"/>
        <v>0</v>
      </c>
      <c r="I110" s="678">
        <v>14330.5</v>
      </c>
      <c r="J110" s="702">
        <f t="shared" si="67"/>
        <v>1.1126935511651739E-2</v>
      </c>
      <c r="K110" s="678">
        <v>2587.5</v>
      </c>
      <c r="L110" s="702">
        <f t="shared" si="68"/>
        <v>2.1966582740261518E-3</v>
      </c>
      <c r="M110" s="678"/>
      <c r="N110" s="702">
        <f t="shared" si="69"/>
        <v>0</v>
      </c>
      <c r="O110" s="678"/>
      <c r="P110" s="702">
        <f t="shared" si="69"/>
        <v>0</v>
      </c>
      <c r="Q110" s="678">
        <v>9176.5</v>
      </c>
      <c r="R110" s="702">
        <f t="shared" si="71"/>
        <v>6.988393559907889E-3</v>
      </c>
      <c r="S110" s="678"/>
      <c r="T110" s="702">
        <f t="shared" si="72"/>
        <v>0</v>
      </c>
      <c r="U110" s="678">
        <v>2250</v>
      </c>
      <c r="V110" s="702">
        <f t="shared" si="73"/>
        <v>2.1443887069606954E-3</v>
      </c>
      <c r="W110" s="678"/>
      <c r="X110" s="702">
        <f t="shared" si="74"/>
        <v>0</v>
      </c>
      <c r="Y110" s="678"/>
      <c r="Z110" s="702">
        <f t="shared" si="75"/>
        <v>0</v>
      </c>
      <c r="AA110" s="144">
        <f t="shared" si="60"/>
        <v>30594.5</v>
      </c>
      <c r="AB110" s="226">
        <f t="shared" si="76"/>
        <v>2.0359562230877846E-3</v>
      </c>
      <c r="AC110" s="128">
        <f t="shared" si="61"/>
        <v>2549.5416666666665</v>
      </c>
      <c r="AD110" s="226">
        <f t="shared" si="77"/>
        <v>2.0359562230877846E-3</v>
      </c>
      <c r="AE110" s="595"/>
      <c r="AF110" s="595"/>
      <c r="AG110" s="555"/>
      <c r="AH110" s="74"/>
    </row>
    <row r="111" spans="1:34" s="1" customFormat="1">
      <c r="A111" s="2">
        <v>6318</v>
      </c>
      <c r="B111" s="2" t="s">
        <v>326</v>
      </c>
      <c r="C111" s="678">
        <f>(6660/12)</f>
        <v>555</v>
      </c>
      <c r="D111" s="702">
        <f t="shared" si="64"/>
        <v>4.9105899297038056E-4</v>
      </c>
      <c r="E111" s="678">
        <f>(6660/12)</f>
        <v>555</v>
      </c>
      <c r="F111" s="702">
        <f t="shared" si="65"/>
        <v>6.3118003733818361E-4</v>
      </c>
      <c r="G111" s="678">
        <f>(6660/12)</f>
        <v>555</v>
      </c>
      <c r="H111" s="702">
        <f t="shared" si="66"/>
        <v>3.8050915553020353E-4</v>
      </c>
      <c r="I111" s="678">
        <f>(6660/12)</f>
        <v>555</v>
      </c>
      <c r="J111" s="702">
        <f t="shared" si="67"/>
        <v>4.3093047758045538E-4</v>
      </c>
      <c r="K111" s="678">
        <f>(6660/12)</f>
        <v>555</v>
      </c>
      <c r="L111" s="702">
        <f t="shared" si="68"/>
        <v>4.7116728196502965E-4</v>
      </c>
      <c r="M111" s="678">
        <f>(6660/12)</f>
        <v>555</v>
      </c>
      <c r="N111" s="702">
        <f t="shared" si="69"/>
        <v>3.3227918366978391E-4</v>
      </c>
      <c r="O111" s="678">
        <f>(6660/12)</f>
        <v>555</v>
      </c>
      <c r="P111" s="702">
        <f t="shared" si="69"/>
        <v>5.248359845534072E-4</v>
      </c>
      <c r="Q111" s="678">
        <f>(6660/12)</f>
        <v>555</v>
      </c>
      <c r="R111" s="702">
        <f t="shared" si="71"/>
        <v>4.2266206350448192E-4</v>
      </c>
      <c r="S111" s="678">
        <f>(6660/12)</f>
        <v>555</v>
      </c>
      <c r="T111" s="702">
        <f t="shared" si="72"/>
        <v>4.1956597049917896E-4</v>
      </c>
      <c r="U111" s="678">
        <f>(6660/12)</f>
        <v>555</v>
      </c>
      <c r="V111" s="702">
        <f t="shared" si="73"/>
        <v>5.2894921438363814E-4</v>
      </c>
      <c r="W111" s="678">
        <f>(6660/12)</f>
        <v>555</v>
      </c>
      <c r="X111" s="702">
        <f t="shared" si="74"/>
        <v>5.1988168277069808E-4</v>
      </c>
      <c r="Y111" s="678">
        <f>(6660/12)</f>
        <v>555</v>
      </c>
      <c r="Z111" s="702">
        <f t="shared" si="75"/>
        <v>3.4414129214001678E-4</v>
      </c>
      <c r="AA111" s="144">
        <f t="shared" si="60"/>
        <v>6660</v>
      </c>
      <c r="AB111" s="226">
        <f t="shared" si="76"/>
        <v>4.431995438972575E-4</v>
      </c>
      <c r="AC111" s="128">
        <f t="shared" si="61"/>
        <v>555</v>
      </c>
      <c r="AD111" s="226">
        <f t="shared" si="77"/>
        <v>4.4319954389725755E-4</v>
      </c>
      <c r="AE111" s="595"/>
      <c r="AF111" s="595"/>
      <c r="AG111" s="555"/>
      <c r="AH111" s="74"/>
    </row>
    <row r="112" spans="1:34" s="1" customFormat="1">
      <c r="A112" s="2">
        <v>6319</v>
      </c>
      <c r="B112" s="2" t="s">
        <v>327</v>
      </c>
      <c r="C112" s="678"/>
      <c r="D112" s="702">
        <f t="shared" si="64"/>
        <v>0</v>
      </c>
      <c r="E112" s="678">
        <f>(43504.1666666667/12)/0.985</f>
        <v>3680.5555555555584</v>
      </c>
      <c r="F112" s="702">
        <f t="shared" si="65"/>
        <v>4.1857535008663366E-3</v>
      </c>
      <c r="G112" s="678">
        <f>(43504.1666666667/12)/0.985</f>
        <v>3680.5555555555584</v>
      </c>
      <c r="H112" s="702">
        <f t="shared" si="66"/>
        <v>2.5233965519395399E-3</v>
      </c>
      <c r="I112" s="678">
        <f>(43504.1666666667/12)/0.985</f>
        <v>3680.5555555555584</v>
      </c>
      <c r="J112" s="702">
        <f t="shared" si="67"/>
        <v>2.8577721861566758E-3</v>
      </c>
      <c r="K112" s="678">
        <f>(43504.1666666667/12)/0.985</f>
        <v>3680.5555555555584</v>
      </c>
      <c r="L112" s="702">
        <f t="shared" si="68"/>
        <v>3.124607850869193E-3</v>
      </c>
      <c r="M112" s="678"/>
      <c r="N112" s="702">
        <f t="shared" si="69"/>
        <v>0</v>
      </c>
      <c r="O112" s="678">
        <f>(43504.1666666667/12)/0.985</f>
        <v>3680.5555555555584</v>
      </c>
      <c r="P112" s="702">
        <f t="shared" si="69"/>
        <v>3.4805189165829087E-3</v>
      </c>
      <c r="Q112" s="678">
        <f>(43504.1666666667/12)/0.985</f>
        <v>3680.5555555555584</v>
      </c>
      <c r="R112" s="702">
        <f t="shared" si="71"/>
        <v>2.802939109827022E-3</v>
      </c>
      <c r="S112" s="678">
        <f>(43504.1666666667/12)/0.985</f>
        <v>3680.5555555555584</v>
      </c>
      <c r="T112" s="702">
        <f t="shared" si="72"/>
        <v>2.7824069615185812E-3</v>
      </c>
      <c r="U112" s="678">
        <f>(43504.1666666667/12)/0.985</f>
        <v>3680.5555555555584</v>
      </c>
      <c r="V112" s="702">
        <f t="shared" si="73"/>
        <v>3.5077963416332387E-3</v>
      </c>
      <c r="W112" s="678">
        <f>(43504.1666666667/12)/0.985</f>
        <v>3680.5555555555584</v>
      </c>
      <c r="X112" s="702">
        <f t="shared" si="74"/>
        <v>3.4476638121680456E-3</v>
      </c>
      <c r="Y112" s="678">
        <f>(43504.1666666667/12)/0.985</f>
        <v>3680.5555555555584</v>
      </c>
      <c r="Z112" s="702">
        <f t="shared" si="75"/>
        <v>2.2822182787063192E-3</v>
      </c>
      <c r="AA112" s="144">
        <f t="shared" si="60"/>
        <v>36805.555555555591</v>
      </c>
      <c r="AB112" s="226">
        <f t="shared" si="76"/>
        <v>2.4492800953614729E-3</v>
      </c>
      <c r="AC112" s="128">
        <f t="shared" si="61"/>
        <v>3067.1296296296327</v>
      </c>
      <c r="AD112" s="226">
        <f t="shared" si="77"/>
        <v>2.4492800953614734E-3</v>
      </c>
      <c r="AE112" s="595"/>
      <c r="AF112" s="595"/>
      <c r="AG112" s="555"/>
      <c r="AH112" s="74"/>
    </row>
    <row r="113" spans="1:34" s="1" customFormat="1">
      <c r="A113" s="2">
        <v>6320</v>
      </c>
      <c r="B113" s="2" t="s">
        <v>328</v>
      </c>
      <c r="C113" s="678"/>
      <c r="D113" s="702">
        <f t="shared" si="64"/>
        <v>0</v>
      </c>
      <c r="E113" s="678"/>
      <c r="F113" s="702">
        <f t="shared" si="65"/>
        <v>0</v>
      </c>
      <c r="G113" s="678"/>
      <c r="H113" s="702">
        <f t="shared" si="66"/>
        <v>0</v>
      </c>
      <c r="I113" s="678"/>
      <c r="J113" s="702">
        <f t="shared" si="67"/>
        <v>0</v>
      </c>
      <c r="K113" s="678"/>
      <c r="L113" s="702">
        <f t="shared" si="68"/>
        <v>0</v>
      </c>
      <c r="M113" s="678"/>
      <c r="N113" s="702">
        <f t="shared" si="69"/>
        <v>0</v>
      </c>
      <c r="O113" s="678"/>
      <c r="P113" s="702">
        <f t="shared" si="70"/>
        <v>0</v>
      </c>
      <c r="Q113" s="678"/>
      <c r="R113" s="702">
        <f t="shared" si="71"/>
        <v>0</v>
      </c>
      <c r="S113" s="678"/>
      <c r="T113" s="702">
        <f t="shared" si="72"/>
        <v>0</v>
      </c>
      <c r="U113" s="678"/>
      <c r="V113" s="702">
        <f t="shared" si="73"/>
        <v>0</v>
      </c>
      <c r="W113" s="678"/>
      <c r="X113" s="702">
        <f t="shared" si="74"/>
        <v>0</v>
      </c>
      <c r="Y113" s="678"/>
      <c r="Z113" s="702">
        <f t="shared" si="75"/>
        <v>0</v>
      </c>
      <c r="AA113" s="144">
        <f t="shared" si="60"/>
        <v>0</v>
      </c>
      <c r="AB113" s="226">
        <f t="shared" si="76"/>
        <v>0</v>
      </c>
      <c r="AC113" s="128">
        <f t="shared" si="61"/>
        <v>0</v>
      </c>
      <c r="AD113" s="226">
        <f t="shared" si="77"/>
        <v>0</v>
      </c>
      <c r="AE113" s="595"/>
      <c r="AF113" s="595"/>
      <c r="AG113" s="555"/>
      <c r="AH113" s="74"/>
    </row>
    <row r="114" spans="1:34" s="1" customFormat="1">
      <c r="A114" s="2">
        <v>6321</v>
      </c>
      <c r="B114" s="2" t="s">
        <v>329</v>
      </c>
      <c r="C114" s="754"/>
      <c r="D114" s="684">
        <f t="shared" si="64"/>
        <v>0</v>
      </c>
      <c r="E114" s="754"/>
      <c r="F114" s="684">
        <f t="shared" si="65"/>
        <v>0</v>
      </c>
      <c r="G114" s="754"/>
      <c r="H114" s="684">
        <f t="shared" si="66"/>
        <v>0</v>
      </c>
      <c r="I114" s="754"/>
      <c r="J114" s="684">
        <f t="shared" si="67"/>
        <v>0</v>
      </c>
      <c r="K114" s="754"/>
      <c r="L114" s="684">
        <f t="shared" si="68"/>
        <v>0</v>
      </c>
      <c r="M114" s="754"/>
      <c r="N114" s="684">
        <f t="shared" si="69"/>
        <v>0</v>
      </c>
      <c r="O114" s="754"/>
      <c r="P114" s="684">
        <f t="shared" si="70"/>
        <v>0</v>
      </c>
      <c r="Q114" s="754"/>
      <c r="R114" s="684">
        <f t="shared" si="71"/>
        <v>0</v>
      </c>
      <c r="S114" s="754"/>
      <c r="T114" s="684">
        <f t="shared" si="72"/>
        <v>0</v>
      </c>
      <c r="U114" s="754"/>
      <c r="V114" s="684">
        <f t="shared" si="73"/>
        <v>0</v>
      </c>
      <c r="W114" s="754">
        <f>100000/12</f>
        <v>8333.3333333333339</v>
      </c>
      <c r="X114" s="684">
        <f t="shared" si="74"/>
        <v>7.8060312728333052E-3</v>
      </c>
      <c r="Y114" s="754"/>
      <c r="Z114" s="702">
        <f t="shared" si="75"/>
        <v>0</v>
      </c>
      <c r="AA114" s="144">
        <f t="shared" si="60"/>
        <v>8333.3333333333339</v>
      </c>
      <c r="AB114" s="226">
        <f t="shared" si="76"/>
        <v>5.545539838554273E-4</v>
      </c>
      <c r="AC114" s="128">
        <f t="shared" si="61"/>
        <v>694.44444444444446</v>
      </c>
      <c r="AD114" s="226">
        <f t="shared" si="77"/>
        <v>5.5455398385542741E-4</v>
      </c>
      <c r="AE114" s="595"/>
      <c r="AF114" s="595"/>
      <c r="AG114" s="555"/>
      <c r="AH114" s="74"/>
    </row>
    <row r="115" spans="1:34" s="1" customFormat="1" ht="15.75" thickBot="1">
      <c r="A115" s="4">
        <v>6399</v>
      </c>
      <c r="B115" s="229" t="s">
        <v>113</v>
      </c>
      <c r="C115" s="298">
        <f>SUM(C94:C114)</f>
        <v>42316.580276571309</v>
      </c>
      <c r="D115" s="987">
        <f>C115/C12</f>
        <v>3.7441328462276352E-2</v>
      </c>
      <c r="E115" s="298">
        <f>SUM(E94:E114)</f>
        <v>65765.710210999401</v>
      </c>
      <c r="F115" s="987">
        <f>E115/E12</f>
        <v>7.4792798966758139E-2</v>
      </c>
      <c r="G115" s="298">
        <f>SUM(G94:G114)</f>
        <v>53800.097655939418</v>
      </c>
      <c r="H115" s="987">
        <f>G115/G12</f>
        <v>3.6885458966673855E-2</v>
      </c>
      <c r="I115" s="298">
        <f>SUM(I94:I114)</f>
        <v>58515.793204231362</v>
      </c>
      <c r="J115" s="987">
        <f>I115/I12</f>
        <v>4.5434664345042494E-2</v>
      </c>
      <c r="K115" s="298">
        <f>SUM(K94:K114)</f>
        <v>59123.667938598708</v>
      </c>
      <c r="L115" s="987">
        <f>K115/K12</f>
        <v>5.0193041301680216E-2</v>
      </c>
      <c r="M115" s="298">
        <f>SUM(M94:M114)</f>
        <v>31687.782650414185</v>
      </c>
      <c r="N115" s="987">
        <f>M115/M12</f>
        <v>1.8971514507000301E-2</v>
      </c>
      <c r="O115" s="298">
        <f>SUM(O94:O114)</f>
        <v>38201.856865807204</v>
      </c>
      <c r="P115" s="987">
        <f>O115/O12</f>
        <v>3.6125602089971648E-2</v>
      </c>
      <c r="Q115" s="298">
        <f>SUM(Q94:Q114)</f>
        <v>69894.54804496112</v>
      </c>
      <c r="R115" s="97">
        <f>Q115/Q12</f>
        <v>5.322842144936292E-2</v>
      </c>
      <c r="S115" s="298">
        <f>SUM(S94:S114)</f>
        <v>51648.333972064313</v>
      </c>
      <c r="T115" s="987">
        <f>S115/S12</f>
        <v>3.9044834896675457E-2</v>
      </c>
      <c r="U115" s="298">
        <f>SUM(U94:U114)</f>
        <v>49542.402589562742</v>
      </c>
      <c r="V115" s="987">
        <f>U115/U12</f>
        <v>4.7216963835003845E-2</v>
      </c>
      <c r="W115" s="298">
        <f>SUM(W94:W114)</f>
        <v>48297.650391062525</v>
      </c>
      <c r="X115" s="987">
        <f>W115/W12</f>
        <v>4.5241556322840451E-2</v>
      </c>
      <c r="Y115" s="298">
        <f>SUM(Y94:Y114)</f>
        <v>52556.88283880231</v>
      </c>
      <c r="Z115" s="987">
        <f>Y115/Y12</f>
        <v>3.2589177605399818E-2</v>
      </c>
      <c r="AA115" s="298">
        <f>SUM(AA94:AA114)</f>
        <v>621351.30663901463</v>
      </c>
      <c r="AB115" s="97">
        <f>AA115/AA12</f>
        <v>4.1348741096452896E-2</v>
      </c>
      <c r="AC115" s="137">
        <f t="shared" si="61"/>
        <v>51779.275553251216</v>
      </c>
      <c r="AD115" s="97">
        <f>AC115/AC12</f>
        <v>4.1348741096452896E-2</v>
      </c>
      <c r="AE115" s="596"/>
      <c r="AF115" s="596"/>
      <c r="AG115" s="622"/>
      <c r="AH115" s="74"/>
    </row>
    <row r="116" spans="1:34" s="1" customFormat="1" ht="15.75" thickTop="1">
      <c r="A116" s="21">
        <v>6401</v>
      </c>
      <c r="B116" s="21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464">
        <f t="shared" ref="AA116:AA128" si="78">C116+E116+G116+I116+K116+M116+O116+Q116+S116+U116+W116+Y116</f>
        <v>0</v>
      </c>
      <c r="AB116" s="487">
        <f>AA116/AA12</f>
        <v>0</v>
      </c>
      <c r="AC116" s="472">
        <f t="shared" ref="AC116:AC128" si="79">AA116/12</f>
        <v>0</v>
      </c>
      <c r="AD116" s="487">
        <f>AC116/AC12</f>
        <v>0</v>
      </c>
      <c r="AE116" s="595"/>
      <c r="AF116" s="595"/>
      <c r="AG116" s="555"/>
      <c r="AH116" s="74"/>
    </row>
    <row r="117" spans="1:34" s="1" customFormat="1">
      <c r="A117" s="188">
        <v>6402</v>
      </c>
      <c r="B117" s="2" t="s">
        <v>75</v>
      </c>
      <c r="C117" s="452">
        <v>500</v>
      </c>
      <c r="D117" s="467">
        <f>C117/C12</f>
        <v>4.4239548916250504E-4</v>
      </c>
      <c r="E117" s="452">
        <v>500</v>
      </c>
      <c r="F117" s="467">
        <f>E117/E12</f>
        <v>5.686306642686339E-4</v>
      </c>
      <c r="G117" s="452">
        <v>500</v>
      </c>
      <c r="H117" s="467">
        <f>G117/G12</f>
        <v>3.4280104101820137E-4</v>
      </c>
      <c r="I117" s="452">
        <v>500</v>
      </c>
      <c r="J117" s="467">
        <f>I117/I12</f>
        <v>3.882256554778877E-4</v>
      </c>
      <c r="K117" s="452">
        <v>500</v>
      </c>
      <c r="L117" s="467">
        <f>K117/K12</f>
        <v>4.2447502879732401E-4</v>
      </c>
      <c r="M117" s="452">
        <v>500</v>
      </c>
      <c r="N117" s="467">
        <f>M117/M12</f>
        <v>2.9935061591872427E-4</v>
      </c>
      <c r="O117" s="452">
        <v>500</v>
      </c>
      <c r="P117" s="467">
        <f>O117/O12</f>
        <v>4.7282521130937588E-4</v>
      </c>
      <c r="Q117" s="452">
        <v>500</v>
      </c>
      <c r="R117" s="467">
        <f>Q117/Q12</f>
        <v>3.8077663378782158E-4</v>
      </c>
      <c r="S117" s="452">
        <v>500</v>
      </c>
      <c r="T117" s="467">
        <f>S117/S12</f>
        <v>3.7798736081007115E-4</v>
      </c>
      <c r="U117" s="452">
        <v>500</v>
      </c>
      <c r="V117" s="467">
        <f>U117/U12</f>
        <v>4.765308237690434E-4</v>
      </c>
      <c r="W117" s="452">
        <v>500</v>
      </c>
      <c r="X117" s="467">
        <f>W117/W12</f>
        <v>4.6836187636999826E-4</v>
      </c>
      <c r="Y117" s="452">
        <v>500</v>
      </c>
      <c r="Z117" s="467">
        <f>Y117/Y12</f>
        <v>3.1003720012614123E-4</v>
      </c>
      <c r="AA117" s="464">
        <f t="shared" si="78"/>
        <v>6000</v>
      </c>
      <c r="AB117" s="467">
        <f>AA117/AA12</f>
        <v>3.9927886837590767E-4</v>
      </c>
      <c r="AC117" s="472">
        <f t="shared" si="79"/>
        <v>500</v>
      </c>
      <c r="AD117" s="467">
        <f>AC117/AC12</f>
        <v>3.9927886837590767E-4</v>
      </c>
      <c r="AE117" s="595"/>
      <c r="AF117" s="595"/>
      <c r="AG117" s="555"/>
      <c r="AH117" s="74"/>
    </row>
    <row r="118" spans="1:34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464">
        <f t="shared" si="78"/>
        <v>0</v>
      </c>
      <c r="AB118" s="467">
        <f>AA118/AA12</f>
        <v>0</v>
      </c>
      <c r="AC118" s="472">
        <f t="shared" si="79"/>
        <v>0</v>
      </c>
      <c r="AD118" s="467">
        <f>AC118/AC12</f>
        <v>0</v>
      </c>
      <c r="AE118" s="595"/>
      <c r="AF118" s="595"/>
      <c r="AG118" s="555"/>
      <c r="AH118" s="74"/>
    </row>
    <row r="119" spans="1:34" s="1" customFormat="1">
      <c r="A119" s="188">
        <v>6404</v>
      </c>
      <c r="B119" s="188" t="s">
        <v>92</v>
      </c>
      <c r="C119" s="707">
        <v>2000</v>
      </c>
      <c r="D119" s="467">
        <f>C119/C12</f>
        <v>1.7695819566500202E-3</v>
      </c>
      <c r="E119" s="707">
        <v>2000</v>
      </c>
      <c r="F119" s="467">
        <f>E119/E12</f>
        <v>2.2745226570745356E-3</v>
      </c>
      <c r="G119" s="707">
        <v>2000</v>
      </c>
      <c r="H119" s="467">
        <f>G119/G12</f>
        <v>1.3712041640728055E-3</v>
      </c>
      <c r="I119" s="707">
        <v>2000</v>
      </c>
      <c r="J119" s="467">
        <f>I119/I12</f>
        <v>1.5529026219115508E-3</v>
      </c>
      <c r="K119" s="707">
        <v>2000</v>
      </c>
      <c r="L119" s="467">
        <f>K119/K12</f>
        <v>1.6979001151892961E-3</v>
      </c>
      <c r="M119" s="707">
        <v>2000</v>
      </c>
      <c r="N119" s="467">
        <f>M119/M12</f>
        <v>1.1974024636748971E-3</v>
      </c>
      <c r="O119" s="707">
        <v>2000</v>
      </c>
      <c r="P119" s="467">
        <f>O119/O12</f>
        <v>1.8913008452375035E-3</v>
      </c>
      <c r="Q119" s="707">
        <v>2000</v>
      </c>
      <c r="R119" s="467">
        <f>Q119/Q12</f>
        <v>1.5231065351512863E-3</v>
      </c>
      <c r="S119" s="707">
        <v>2000</v>
      </c>
      <c r="T119" s="467">
        <f>S119/S12</f>
        <v>1.5119494432402846E-3</v>
      </c>
      <c r="U119" s="707">
        <v>2000</v>
      </c>
      <c r="V119" s="467">
        <f>U119/U12</f>
        <v>1.9061232950761736E-3</v>
      </c>
      <c r="W119" s="707">
        <v>2000</v>
      </c>
      <c r="X119" s="467">
        <f>W119/W12</f>
        <v>1.873447505479993E-3</v>
      </c>
      <c r="Y119" s="707">
        <v>2000</v>
      </c>
      <c r="Z119" s="467">
        <f>Y119/Y12</f>
        <v>1.2401488005045649E-3</v>
      </c>
      <c r="AA119" s="464">
        <f t="shared" si="78"/>
        <v>24000</v>
      </c>
      <c r="AB119" s="467">
        <f>AA119/AA12</f>
        <v>1.5971154735036307E-3</v>
      </c>
      <c r="AC119" s="472">
        <f t="shared" si="79"/>
        <v>2000</v>
      </c>
      <c r="AD119" s="467">
        <v>0</v>
      </c>
      <c r="AE119" s="645"/>
      <c r="AF119" s="226"/>
      <c r="AG119" s="226"/>
    </row>
    <row r="120" spans="1:34" s="1" customFormat="1">
      <c r="A120" s="188">
        <v>6406</v>
      </c>
      <c r="B120" s="188" t="s">
        <v>72</v>
      </c>
      <c r="C120" s="452">
        <v>750</v>
      </c>
      <c r="D120" s="467">
        <f>C120/C12</f>
        <v>6.6359323374375761E-4</v>
      </c>
      <c r="E120" s="452">
        <v>750</v>
      </c>
      <c r="F120" s="467">
        <f>E120/E12</f>
        <v>8.5294599640295084E-4</v>
      </c>
      <c r="G120" s="452">
        <v>750</v>
      </c>
      <c r="H120" s="467">
        <f>G120/G12</f>
        <v>5.1420156152730202E-4</v>
      </c>
      <c r="I120" s="452">
        <v>750</v>
      </c>
      <c r="J120" s="467">
        <f>I120/I12</f>
        <v>5.8233848321683152E-4</v>
      </c>
      <c r="K120" s="452">
        <v>750</v>
      </c>
      <c r="L120" s="467">
        <f>K120/K12</f>
        <v>6.3671254319598602E-4</v>
      </c>
      <c r="M120" s="452">
        <v>750</v>
      </c>
      <c r="N120" s="467">
        <f>M120/M12</f>
        <v>4.4902592387808637E-4</v>
      </c>
      <c r="O120" s="452">
        <v>750</v>
      </c>
      <c r="P120" s="467">
        <f>O120/O12</f>
        <v>7.0923781696406382E-4</v>
      </c>
      <c r="Q120" s="452">
        <v>750</v>
      </c>
      <c r="R120" s="467">
        <f>Q120/Q12</f>
        <v>5.7116495068173232E-4</v>
      </c>
      <c r="S120" s="452">
        <v>750</v>
      </c>
      <c r="T120" s="467">
        <f>S120/S12</f>
        <v>5.6698104121510667E-4</v>
      </c>
      <c r="U120" s="452">
        <v>750</v>
      </c>
      <c r="V120" s="467">
        <f>U120/U12</f>
        <v>7.1479623565356509E-4</v>
      </c>
      <c r="W120" s="452">
        <v>750</v>
      </c>
      <c r="X120" s="467">
        <f>W120/W12</f>
        <v>7.0254281455499736E-4</v>
      </c>
      <c r="Y120" s="452">
        <v>750</v>
      </c>
      <c r="Z120" s="467">
        <f>Y120/Y12</f>
        <v>4.6505580018921185E-4</v>
      </c>
      <c r="AA120" s="464">
        <f t="shared" si="78"/>
        <v>9000</v>
      </c>
      <c r="AB120" s="467">
        <f>AA120/AA12</f>
        <v>5.9891830256386148E-4</v>
      </c>
      <c r="AC120" s="472">
        <f t="shared" si="79"/>
        <v>750</v>
      </c>
      <c r="AD120" s="467">
        <f>AC120/AC12</f>
        <v>5.9891830256386159E-4</v>
      </c>
      <c r="AE120" s="595" t="s">
        <v>231</v>
      </c>
      <c r="AF120" s="595"/>
      <c r="AG120" s="555"/>
      <c r="AH120" s="374"/>
    </row>
    <row r="121" spans="1:34" s="1" customFormat="1">
      <c r="A121" s="188">
        <v>6407</v>
      </c>
      <c r="B121" s="21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464">
        <f t="shared" si="78"/>
        <v>0</v>
      </c>
      <c r="AB121" s="467">
        <f>AA121/AA12</f>
        <v>0</v>
      </c>
      <c r="AC121" s="472">
        <f t="shared" si="79"/>
        <v>0</v>
      </c>
      <c r="AD121" s="467">
        <f>AC121/AC12</f>
        <v>0</v>
      </c>
      <c r="AE121" s="595"/>
      <c r="AF121" s="595"/>
      <c r="AG121" s="555"/>
      <c r="AH121" s="74"/>
    </row>
    <row r="122" spans="1:34" s="1" customFormat="1">
      <c r="A122" s="188">
        <v>6408</v>
      </c>
      <c r="B122" s="21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464">
        <f t="shared" si="78"/>
        <v>0</v>
      </c>
      <c r="AB122" s="467">
        <f>AA122/AA12</f>
        <v>0</v>
      </c>
      <c r="AC122" s="472">
        <f t="shared" si="79"/>
        <v>0</v>
      </c>
      <c r="AD122" s="467">
        <f>AC122/AC12</f>
        <v>0</v>
      </c>
      <c r="AE122" s="595"/>
      <c r="AF122" s="595"/>
      <c r="AG122" s="555"/>
      <c r="AH122" s="74"/>
    </row>
    <row r="123" spans="1:34" s="1" customFormat="1">
      <c r="A123" s="188">
        <v>6410</v>
      </c>
      <c r="B123" s="21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464">
        <f t="shared" si="78"/>
        <v>0</v>
      </c>
      <c r="AB123" s="487"/>
      <c r="AC123" s="472">
        <f t="shared" si="79"/>
        <v>0</v>
      </c>
      <c r="AD123" s="487"/>
      <c r="AE123" s="595"/>
      <c r="AF123" s="595"/>
      <c r="AG123" s="555"/>
      <c r="AH123" s="74"/>
    </row>
    <row r="124" spans="1:34" s="1" customFormat="1">
      <c r="A124" s="188">
        <v>6411</v>
      </c>
      <c r="B124" s="21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464">
        <f t="shared" si="78"/>
        <v>0</v>
      </c>
      <c r="AB124" s="487"/>
      <c r="AC124" s="472">
        <f t="shared" si="79"/>
        <v>0</v>
      </c>
      <c r="AD124" s="487"/>
      <c r="AE124" s="595"/>
      <c r="AF124" s="595"/>
      <c r="AG124" s="555"/>
      <c r="AH124" s="74"/>
    </row>
    <row r="125" spans="1:34" s="1" customFormat="1">
      <c r="A125" s="188">
        <v>6412</v>
      </c>
      <c r="B125" s="21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464">
        <f t="shared" si="78"/>
        <v>0</v>
      </c>
      <c r="AB125" s="487">
        <f>AA125/AA12</f>
        <v>0</v>
      </c>
      <c r="AC125" s="472">
        <f t="shared" si="79"/>
        <v>0</v>
      </c>
      <c r="AD125" s="487">
        <f>AC125/AC12</f>
        <v>0</v>
      </c>
      <c r="AE125" s="595"/>
      <c r="AF125" s="595"/>
      <c r="AG125" s="555"/>
      <c r="AH125" s="74"/>
    </row>
    <row r="126" spans="1:34" s="1" customFormat="1">
      <c r="A126" s="188">
        <v>6413</v>
      </c>
      <c r="B126" s="188" t="s">
        <v>41</v>
      </c>
      <c r="C126" s="452">
        <f>C12*1%</f>
        <v>11302.1043895937</v>
      </c>
      <c r="D126" s="467">
        <f>C126/C12</f>
        <v>0.01</v>
      </c>
      <c r="E126" s="452">
        <f>E12*1%</f>
        <v>8793.0537591231405</v>
      </c>
      <c r="F126" s="467">
        <f>E126/E12</f>
        <v>0.01</v>
      </c>
      <c r="G126" s="452">
        <f>G12*1%</f>
        <v>14585.720000000001</v>
      </c>
      <c r="H126" s="467">
        <f>G126/G12</f>
        <v>0.01</v>
      </c>
      <c r="I126" s="452">
        <f>I12*1%</f>
        <v>12879.1076258091</v>
      </c>
      <c r="J126" s="467">
        <f>I126/I12</f>
        <v>0.01</v>
      </c>
      <c r="K126" s="452">
        <f>K12*1%</f>
        <v>11779.255929769599</v>
      </c>
      <c r="L126" s="467">
        <f>K126/K12</f>
        <v>0.01</v>
      </c>
      <c r="M126" s="452">
        <f>M12*1%</f>
        <v>16702.821822012</v>
      </c>
      <c r="N126" s="467">
        <f>M126/M12</f>
        <v>0.01</v>
      </c>
      <c r="O126" s="452">
        <f>O12*1%</f>
        <v>10574.732227483599</v>
      </c>
      <c r="P126" s="467">
        <f>O126/O12</f>
        <v>0.01</v>
      </c>
      <c r="Q126" s="452">
        <f>Q12*1%</f>
        <v>13131.0578337276</v>
      </c>
      <c r="R126" s="467">
        <f>Q126/Q12</f>
        <v>0.01</v>
      </c>
      <c r="S126" s="452">
        <f>S12*1%</f>
        <v>13227.9555307998</v>
      </c>
      <c r="T126" s="467">
        <f>S126/S12</f>
        <v>0.01</v>
      </c>
      <c r="U126" s="452">
        <f>U12*1%</f>
        <v>10492.500695869598</v>
      </c>
      <c r="V126" s="467">
        <f>U126/U12</f>
        <v>0.01</v>
      </c>
      <c r="W126" s="452">
        <f>W12*1%</f>
        <v>10675.505954396001</v>
      </c>
      <c r="X126" s="467">
        <f>W126/W12</f>
        <v>0.01</v>
      </c>
      <c r="Y126" s="452">
        <f>Y12*1%</f>
        <v>16127.096999862302</v>
      </c>
      <c r="Z126" s="467">
        <f>Y126/Y12</f>
        <v>0.01</v>
      </c>
      <c r="AA126" s="464">
        <f t="shared" si="78"/>
        <v>150270.91276844643</v>
      </c>
      <c r="AB126" s="467">
        <f>AA126/AA12</f>
        <v>1.0000000000000004E-2</v>
      </c>
      <c r="AC126" s="472">
        <f t="shared" si="79"/>
        <v>12522.576064037203</v>
      </c>
      <c r="AD126" s="467">
        <f>AC126/AC12</f>
        <v>1.0000000000000005E-2</v>
      </c>
      <c r="AE126" s="595" t="s">
        <v>290</v>
      </c>
      <c r="AF126" s="595"/>
      <c r="AG126" s="555"/>
      <c r="AH126" s="74"/>
    </row>
    <row r="127" spans="1:34" s="1" customFormat="1">
      <c r="A127" s="188">
        <v>6414</v>
      </c>
      <c r="B127" s="188" t="s">
        <v>43</v>
      </c>
      <c r="C127" s="486">
        <v>250</v>
      </c>
      <c r="D127" s="467">
        <f>C127/C12</f>
        <v>2.2119774458125252E-4</v>
      </c>
      <c r="E127" s="486">
        <v>250</v>
      </c>
      <c r="F127" s="467">
        <f>E127/E12</f>
        <v>2.8431533213431695E-4</v>
      </c>
      <c r="G127" s="486">
        <v>250</v>
      </c>
      <c r="H127" s="467">
        <f>G127/G12</f>
        <v>1.7140052050910068E-4</v>
      </c>
      <c r="I127" s="486">
        <v>250</v>
      </c>
      <c r="J127" s="467">
        <f>I127/I12</f>
        <v>1.9411282773894385E-4</v>
      </c>
      <c r="K127" s="486">
        <v>250</v>
      </c>
      <c r="L127" s="467">
        <f>K127/K12</f>
        <v>2.1223751439866201E-4</v>
      </c>
      <c r="M127" s="486">
        <v>250</v>
      </c>
      <c r="N127" s="467">
        <f>M127/M12</f>
        <v>1.4967530795936213E-4</v>
      </c>
      <c r="O127" s="486">
        <v>250</v>
      </c>
      <c r="P127" s="467">
        <f>O127/O12</f>
        <v>2.3641260565468794E-4</v>
      </c>
      <c r="Q127" s="486">
        <v>250</v>
      </c>
      <c r="R127" s="467">
        <f>Q127/Q12</f>
        <v>1.9038831689391079E-4</v>
      </c>
      <c r="S127" s="486">
        <v>250</v>
      </c>
      <c r="T127" s="467">
        <f>S127/S12</f>
        <v>1.8899368040503557E-4</v>
      </c>
      <c r="U127" s="486">
        <v>250</v>
      </c>
      <c r="V127" s="467">
        <f>U127/U12</f>
        <v>2.382654118845217E-4</v>
      </c>
      <c r="W127" s="486">
        <v>250</v>
      </c>
      <c r="X127" s="467">
        <f>W127/W12</f>
        <v>2.3418093818499913E-4</v>
      </c>
      <c r="Y127" s="486">
        <v>250</v>
      </c>
      <c r="Z127" s="467">
        <f>Y127/Y12</f>
        <v>1.5501860006307062E-4</v>
      </c>
      <c r="AA127" s="464">
        <f t="shared" si="78"/>
        <v>3000</v>
      </c>
      <c r="AB127" s="467">
        <f>AA127/AA12</f>
        <v>1.9963943418795384E-4</v>
      </c>
      <c r="AC127" s="472">
        <f t="shared" si="79"/>
        <v>250</v>
      </c>
      <c r="AD127" s="467">
        <f>AC127/AC12</f>
        <v>1.9963943418795384E-4</v>
      </c>
      <c r="AE127" s="645" t="s">
        <v>284</v>
      </c>
      <c r="AF127" s="595"/>
      <c r="AG127" s="555"/>
      <c r="AH127" s="74"/>
    </row>
    <row r="128" spans="1:34" s="1" customFormat="1">
      <c r="A128" s="2">
        <v>6415</v>
      </c>
      <c r="B128" s="231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464">
        <f t="shared" si="78"/>
        <v>0</v>
      </c>
      <c r="AB128" s="467">
        <f>AA128/AA12</f>
        <v>0</v>
      </c>
      <c r="AC128" s="472">
        <f t="shared" si="79"/>
        <v>0</v>
      </c>
      <c r="AD128" s="467">
        <f>AC128/AC12</f>
        <v>0</v>
      </c>
      <c r="AE128" s="595"/>
      <c r="AF128" s="595"/>
      <c r="AG128" s="555"/>
      <c r="AH128" s="74"/>
    </row>
    <row r="129" spans="1:34" s="1" customFormat="1" ht="15.75" thickBot="1">
      <c r="A129" s="4">
        <v>6499</v>
      </c>
      <c r="B129" s="229" t="s">
        <v>114</v>
      </c>
      <c r="C129" s="76">
        <f>SUM(C116:C128)</f>
        <v>14802.1043895937</v>
      </c>
      <c r="D129" s="23">
        <f>C129/C12</f>
        <v>1.3096768424137536E-2</v>
      </c>
      <c r="E129" s="116">
        <f>SUM(E116:E128)</f>
        <v>12293.05375912314</v>
      </c>
      <c r="F129" s="23">
        <f>E129/E12</f>
        <v>1.3980414649880438E-2</v>
      </c>
      <c r="G129" s="76">
        <f>SUM(G116:G128)</f>
        <v>18085.72</v>
      </c>
      <c r="H129" s="23">
        <f>G129/G12</f>
        <v>1.239960728712741E-2</v>
      </c>
      <c r="I129" s="76">
        <f>SUM(I116:I128)</f>
        <v>16379.1076258091</v>
      </c>
      <c r="J129" s="23">
        <f>I129/I12</f>
        <v>1.2717579588345214E-2</v>
      </c>
      <c r="K129" s="28">
        <f>SUM(K116:K128)</f>
        <v>15279.255929769599</v>
      </c>
      <c r="L129" s="23">
        <f>K129/K12</f>
        <v>1.2971325201581268E-2</v>
      </c>
      <c r="M129" s="376">
        <f>SUM(M116:M128)</f>
        <v>20202.821822012</v>
      </c>
      <c r="N129" s="23">
        <f>M129/M12</f>
        <v>1.209545431143107E-2</v>
      </c>
      <c r="O129" s="28">
        <f>SUM(O116:O128)</f>
        <v>14074.732227483599</v>
      </c>
      <c r="P129" s="23">
        <f>O129/O12</f>
        <v>1.3309776479165631E-2</v>
      </c>
      <c r="Q129" s="28">
        <f>SUM(Q116:Q128)</f>
        <v>16631.057833727602</v>
      </c>
      <c r="R129" s="23">
        <f>Q129/Q12</f>
        <v>1.2665436436514752E-2</v>
      </c>
      <c r="S129" s="28">
        <f>SUM(S116:S128)</f>
        <v>16727.955530799802</v>
      </c>
      <c r="T129" s="23">
        <f>S129/S12</f>
        <v>1.2645911525670499E-2</v>
      </c>
      <c r="U129" s="76">
        <f>SUM(U116:U128)</f>
        <v>13992.500695869598</v>
      </c>
      <c r="V129" s="23">
        <f>U129/U12</f>
        <v>1.3335715766383305E-2</v>
      </c>
      <c r="W129" s="76">
        <f>SUM(W116:W128)</f>
        <v>14175.505954396001</v>
      </c>
      <c r="X129" s="23">
        <f>W129/W12</f>
        <v>1.3278533134589989E-2</v>
      </c>
      <c r="Y129" s="76">
        <f>SUM(Y116:Y128)</f>
        <v>19627.096999862304</v>
      </c>
      <c r="Z129" s="23">
        <f>Y129/Y12</f>
        <v>1.217026040088299E-2</v>
      </c>
      <c r="AA129" s="196">
        <f>SUM(AA116:AA128)</f>
        <v>192270.91276844643</v>
      </c>
      <c r="AB129" s="23">
        <f>AA129/AA12</f>
        <v>1.2794952078631357E-2</v>
      </c>
      <c r="AC129" s="52">
        <f>SUM(AC116:AC128)</f>
        <v>16022.576064037203</v>
      </c>
      <c r="AD129" s="23">
        <f>AC129/AC12</f>
        <v>1.2794952078631358E-2</v>
      </c>
      <c r="AE129" s="596"/>
      <c r="AF129" s="596"/>
      <c r="AG129" s="622"/>
      <c r="AH129" s="74"/>
    </row>
    <row r="130" spans="1:34" s="1" customFormat="1" ht="15.75" thickTop="1">
      <c r="A130" s="222"/>
      <c r="B130" s="230"/>
      <c r="C130" s="82"/>
      <c r="D130" s="233"/>
      <c r="E130" s="114"/>
      <c r="F130" s="233"/>
      <c r="G130" s="82"/>
      <c r="H130" s="233"/>
      <c r="I130" s="82"/>
      <c r="J130" s="233"/>
      <c r="K130" s="32"/>
      <c r="L130" s="233"/>
      <c r="M130" s="32"/>
      <c r="N130" s="233"/>
      <c r="O130" s="32"/>
      <c r="P130" s="233"/>
      <c r="Q130" s="32"/>
      <c r="R130" s="233"/>
      <c r="S130" s="32"/>
      <c r="T130" s="233"/>
      <c r="U130" s="82"/>
      <c r="V130" s="233"/>
      <c r="W130" s="82"/>
      <c r="X130" s="233"/>
      <c r="Y130" s="82"/>
      <c r="Z130" s="233"/>
      <c r="AA130" s="201"/>
      <c r="AB130" s="233"/>
      <c r="AC130" s="201"/>
      <c r="AD130" s="233"/>
      <c r="AE130" s="595"/>
      <c r="AF130" s="595"/>
      <c r="AG130" s="618"/>
      <c r="AH130" s="74"/>
    </row>
    <row r="131" spans="1:34" s="1" customFormat="1" ht="15.75" thickBot="1">
      <c r="A131" s="4"/>
      <c r="B131" s="229" t="s">
        <v>133</v>
      </c>
      <c r="C131" s="278">
        <f>C37-C41-C76-C93-C115-C129</f>
        <v>144689.01708553688</v>
      </c>
      <c r="D131" s="259">
        <f>C131/C12</f>
        <v>0.12801953697999627</v>
      </c>
      <c r="E131" s="278">
        <f>E37-E41-E76-E93-E115-E129</f>
        <v>73892.860360489125</v>
      </c>
      <c r="F131" s="259">
        <f>E131/E12</f>
        <v>8.4035492542988685E-2</v>
      </c>
      <c r="G131" s="278">
        <f>G37-G41-G76-G93-G115-G129</f>
        <v>300914.41528932634</v>
      </c>
      <c r="H131" s="259">
        <f>G131/G12</f>
        <v>0.20630754963712888</v>
      </c>
      <c r="I131" s="278">
        <f>I37-I41-I76-I93-I115-I129</f>
        <v>306208.07829705602</v>
      </c>
      <c r="J131" s="259">
        <f>I131/I12</f>
        <v>0.23775566381899788</v>
      </c>
      <c r="K131" s="287">
        <f>K37-K41-K76-K93-K115-K129</f>
        <v>289725.87025174248</v>
      </c>
      <c r="L131" s="259">
        <f>K131/K12</f>
        <v>0.24596279423687631</v>
      </c>
      <c r="M131" s="287">
        <f>M37-M41-M76-M93-M115-M129</f>
        <v>425328.23688402417</v>
      </c>
      <c r="N131" s="259">
        <f>M131/M12</f>
        <v>0.25464453935771536</v>
      </c>
      <c r="O131" s="287">
        <f>O37-O41-O76-O93-O115-O129</f>
        <v>192750.62624412955</v>
      </c>
      <c r="P131" s="259">
        <f>O131/O12</f>
        <v>0.18227471116779018</v>
      </c>
      <c r="Q131" s="287">
        <f>Q37-Q41-Q76-Q93-Q115-Q129</f>
        <v>333554.74943180114</v>
      </c>
      <c r="R131" s="259">
        <f>Q131/Q12</f>
        <v>0.25401970934516305</v>
      </c>
      <c r="S131" s="287">
        <f>S37-S41-S76-S93-S115-S129</f>
        <v>313508.61129012634</v>
      </c>
      <c r="T131" s="259">
        <f>S131/S12</f>
        <v>0.23700458514557066</v>
      </c>
      <c r="U131" s="252">
        <f>U37-U41-U76-U93-U115-U129</f>
        <v>180688.06688985697</v>
      </c>
      <c r="V131" s="259">
        <f>U131/U12</f>
        <v>0.1722068667205191</v>
      </c>
      <c r="W131" s="252">
        <f>W37-W41-W76-W93-W115-W129</f>
        <v>217906.31340258935</v>
      </c>
      <c r="X131" s="259">
        <f>W131/W12</f>
        <v>0.20411801963621129</v>
      </c>
      <c r="Y131" s="252">
        <f>Y37-Y41-Y76-Y93-Y115-Y129</f>
        <v>418362.27962929063</v>
      </c>
      <c r="Z131" s="259">
        <f>Y131/Y12</f>
        <v>0.25941573962931008</v>
      </c>
      <c r="AA131" s="256">
        <f>AA37-AA41-AA76-AA93-AA115-AA129</f>
        <v>3197529.1250559618</v>
      </c>
      <c r="AB131" s="259">
        <f>AA131/AA12</f>
        <v>0.21278430177522509</v>
      </c>
      <c r="AC131" s="254">
        <f>AC37-AC41-AC76-AC93-AC115-AC129</f>
        <v>266615.76042133011</v>
      </c>
      <c r="AD131" s="259">
        <f>AC131/AC12</f>
        <v>0.21290807822442162</v>
      </c>
      <c r="AE131" s="601"/>
      <c r="AF131" s="601"/>
      <c r="AG131" s="626"/>
      <c r="AH131" s="74"/>
    </row>
    <row r="132" spans="1:34" s="1" customFormat="1" ht="15.75" thickTop="1">
      <c r="A132" s="222"/>
      <c r="B132" s="230"/>
      <c r="C132" s="82"/>
      <c r="D132" s="233"/>
      <c r="E132" s="114"/>
      <c r="F132" s="233"/>
      <c r="G132" s="82"/>
      <c r="H132" s="233"/>
      <c r="I132" s="82"/>
      <c r="J132" s="233"/>
      <c r="K132" s="32"/>
      <c r="L132" s="233"/>
      <c r="M132" s="32"/>
      <c r="N132" s="233"/>
      <c r="O132" s="32"/>
      <c r="P132" s="233"/>
      <c r="Q132" s="32"/>
      <c r="R132" s="233"/>
      <c r="S132" s="32"/>
      <c r="T132" s="233"/>
      <c r="U132" s="82"/>
      <c r="V132" s="233"/>
      <c r="W132" s="82"/>
      <c r="X132" s="233"/>
      <c r="Y132" s="82"/>
      <c r="Z132" s="233"/>
      <c r="AA132" s="201"/>
      <c r="AB132" s="233"/>
      <c r="AC132" s="201"/>
      <c r="AD132" s="233"/>
      <c r="AE132" s="595"/>
      <c r="AF132" s="595"/>
      <c r="AG132" s="618"/>
      <c r="AH132" s="74"/>
    </row>
    <row r="133" spans="1:34" s="1" customFormat="1" ht="15.75" thickBot="1">
      <c r="A133" s="72"/>
      <c r="B133" s="4" t="s">
        <v>149</v>
      </c>
      <c r="C133" s="76"/>
      <c r="D133" s="107"/>
      <c r="E133" s="274"/>
      <c r="F133" s="107"/>
      <c r="G133" s="274"/>
      <c r="H133" s="107"/>
      <c r="I133" s="274"/>
      <c r="J133" s="107"/>
      <c r="K133" s="28"/>
      <c r="L133" s="107"/>
      <c r="M133" s="28"/>
      <c r="N133" s="107"/>
      <c r="O133" s="28"/>
      <c r="P133" s="107"/>
      <c r="Q133" s="28"/>
      <c r="R133" s="107"/>
      <c r="S133" s="28"/>
      <c r="T133" s="107"/>
      <c r="U133" s="28"/>
      <c r="V133" s="107"/>
      <c r="W133" s="28"/>
      <c r="X133" s="107"/>
      <c r="Y133" s="28"/>
      <c r="Z133" s="107"/>
      <c r="AA133" s="197">
        <f>C133+E133+G133+I133+K133+M133+O133+Q133+S133+U133+W133+Y133</f>
        <v>0</v>
      </c>
      <c r="AB133" s="107"/>
      <c r="AC133" s="264">
        <f>AA133/12</f>
        <v>0</v>
      </c>
      <c r="AD133" s="107"/>
      <c r="AE133" s="614"/>
      <c r="AF133" s="614"/>
      <c r="AG133" s="644"/>
      <c r="AH133" s="74"/>
    </row>
    <row r="134" spans="1:34" s="1" customFormat="1" ht="15.75" thickTop="1">
      <c r="A134" s="222"/>
      <c r="B134" s="222"/>
      <c r="C134" s="82"/>
      <c r="D134" s="233"/>
      <c r="E134" s="114"/>
      <c r="F134" s="233"/>
      <c r="G134" s="82"/>
      <c r="H134" s="233"/>
      <c r="I134" s="82"/>
      <c r="J134" s="233"/>
      <c r="K134" s="32"/>
      <c r="L134" s="233"/>
      <c r="M134" s="32"/>
      <c r="N134" s="233"/>
      <c r="O134" s="32"/>
      <c r="P134" s="233"/>
      <c r="Q134" s="32"/>
      <c r="R134" s="233"/>
      <c r="S134" s="32"/>
      <c r="T134" s="233"/>
      <c r="U134" s="82"/>
      <c r="V134" s="233"/>
      <c r="W134" s="82"/>
      <c r="X134" s="233"/>
      <c r="Y134" s="82"/>
      <c r="Z134" s="233"/>
      <c r="AA134" s="201"/>
      <c r="AB134" s="233"/>
      <c r="AC134" s="201"/>
      <c r="AD134" s="233"/>
      <c r="AE134" s="595"/>
      <c r="AF134" s="595"/>
      <c r="AG134" s="618"/>
      <c r="AH134" s="74"/>
    </row>
    <row r="135" spans="1:34" s="1" customFormat="1" ht="15.75" thickBot="1">
      <c r="A135" s="4"/>
      <c r="B135" s="4" t="s">
        <v>140</v>
      </c>
      <c r="C135" s="76">
        <f>C131-C133</f>
        <v>144689.01708553688</v>
      </c>
      <c r="D135" s="89">
        <f>C135/C12</f>
        <v>0.12801953697999627</v>
      </c>
      <c r="E135" s="76">
        <f>E131-E133</f>
        <v>73892.860360489125</v>
      </c>
      <c r="F135" s="89">
        <f>E135/E12</f>
        <v>8.4035492542988685E-2</v>
      </c>
      <c r="G135" s="76">
        <f>G131-G133</f>
        <v>300914.41528932634</v>
      </c>
      <c r="H135" s="89">
        <f>G135/G12</f>
        <v>0.20630754963712888</v>
      </c>
      <c r="I135" s="76">
        <f>I131-I133</f>
        <v>306208.07829705602</v>
      </c>
      <c r="J135" s="89">
        <f>I135/I12</f>
        <v>0.23775566381899788</v>
      </c>
      <c r="K135" s="28">
        <f>K131-K133</f>
        <v>289725.87025174248</v>
      </c>
      <c r="L135" s="89">
        <f>K135/K12</f>
        <v>0.24596279423687631</v>
      </c>
      <c r="M135" s="28">
        <f>M131-M133</f>
        <v>425328.23688402417</v>
      </c>
      <c r="N135" s="89">
        <f>M135/M12</f>
        <v>0.25464453935771536</v>
      </c>
      <c r="O135" s="28">
        <f>O131-O133</f>
        <v>192750.62624412955</v>
      </c>
      <c r="P135" s="89">
        <f>O135/O12</f>
        <v>0.18227471116779018</v>
      </c>
      <c r="Q135" s="28">
        <f>Q131-Q133</f>
        <v>333554.74943180114</v>
      </c>
      <c r="R135" s="89">
        <f>Q135/Q12</f>
        <v>0.25401970934516305</v>
      </c>
      <c r="S135" s="28">
        <f>S131-S133</f>
        <v>313508.61129012634</v>
      </c>
      <c r="T135" s="89">
        <f>S135/S12</f>
        <v>0.23700458514557066</v>
      </c>
      <c r="U135" s="52">
        <f>U131-U133</f>
        <v>180688.06688985697</v>
      </c>
      <c r="V135" s="89">
        <f>U135/U12</f>
        <v>0.1722068667205191</v>
      </c>
      <c r="W135" s="52">
        <f>W131-W133</f>
        <v>217906.31340258935</v>
      </c>
      <c r="X135" s="89">
        <f>W135/W12</f>
        <v>0.20411801963621129</v>
      </c>
      <c r="Y135" s="52">
        <f>Y131-Y133</f>
        <v>418362.27962929063</v>
      </c>
      <c r="Z135" s="89">
        <f>Y135/Y12</f>
        <v>0.25941573962931008</v>
      </c>
      <c r="AA135" s="52">
        <f>AA131-AA133</f>
        <v>3197529.1250559618</v>
      </c>
      <c r="AB135" s="89">
        <f>AA135/AA12</f>
        <v>0.21278430177522509</v>
      </c>
      <c r="AC135" s="52">
        <f>AC131-AC133</f>
        <v>266615.76042133011</v>
      </c>
      <c r="AD135" s="89">
        <f>AC135/AC12</f>
        <v>0.21290807822442162</v>
      </c>
      <c r="AE135" s="596"/>
      <c r="AF135" s="596"/>
      <c r="AG135" s="622"/>
      <c r="AH135" s="74"/>
    </row>
    <row r="136" spans="1:34" s="1" customFormat="1" ht="15.75" thickTop="1">
      <c r="A136" s="21">
        <v>6501</v>
      </c>
      <c r="B136" s="21" t="s">
        <v>148</v>
      </c>
      <c r="C136" s="82">
        <v>0</v>
      </c>
      <c r="D136" s="24">
        <f>C136/C12</f>
        <v>0</v>
      </c>
      <c r="E136" s="114">
        <v>0</v>
      </c>
      <c r="F136" s="24">
        <f>E136/E12</f>
        <v>0</v>
      </c>
      <c r="G136" s="82">
        <v>0</v>
      </c>
      <c r="H136" s="24">
        <f>G136/G12</f>
        <v>0</v>
      </c>
      <c r="I136" s="82"/>
      <c r="J136" s="24">
        <f>I136/I12</f>
        <v>0</v>
      </c>
      <c r="K136" s="32"/>
      <c r="L136" s="24">
        <f>K136/K12</f>
        <v>0</v>
      </c>
      <c r="M136" s="32"/>
      <c r="N136" s="24">
        <f>M136/M12</f>
        <v>0</v>
      </c>
      <c r="O136" s="32"/>
      <c r="P136" s="24">
        <f>O136/O12</f>
        <v>0</v>
      </c>
      <c r="Q136" s="32"/>
      <c r="R136" s="24">
        <f>Q136/Q12</f>
        <v>0</v>
      </c>
      <c r="S136" s="32"/>
      <c r="T136" s="24">
        <f>S136/S12</f>
        <v>0</v>
      </c>
      <c r="U136" s="82"/>
      <c r="V136" s="24">
        <f>U136/U12</f>
        <v>0</v>
      </c>
      <c r="W136" s="82"/>
      <c r="X136" s="24">
        <f>W136/W12</f>
        <v>0</v>
      </c>
      <c r="Y136" s="82"/>
      <c r="Z136" s="24">
        <f>Y136/Y12</f>
        <v>0</v>
      </c>
      <c r="AA136" s="144">
        <f t="shared" ref="AA136:AA143" si="80">C136+E136+G136+I136+K136+M136+O136+Q136+S136+U136+W136+Y136</f>
        <v>0</v>
      </c>
      <c r="AB136" s="24">
        <f>AA136/AA12</f>
        <v>0</v>
      </c>
      <c r="AC136" s="128">
        <f t="shared" ref="AC136:AC143" si="81">AA136/12</f>
        <v>0</v>
      </c>
      <c r="AD136" s="24">
        <f>AC136/AC12</f>
        <v>0</v>
      </c>
      <c r="AE136" s="595"/>
      <c r="AF136" s="595"/>
      <c r="AG136" s="555"/>
      <c r="AH136" s="74"/>
    </row>
    <row r="137" spans="1:34" s="1" customFormat="1">
      <c r="A137" s="188">
        <v>6502</v>
      </c>
      <c r="B137" s="21" t="s">
        <v>136</v>
      </c>
      <c r="C137" s="61">
        <v>68298.38</v>
      </c>
      <c r="D137" s="24">
        <f>C137/C12</f>
        <v>6.0429790458213305E-2</v>
      </c>
      <c r="E137" s="61">
        <v>68298.38</v>
      </c>
      <c r="F137" s="24">
        <f>E137/E12</f>
        <v>7.7673106375743164E-2</v>
      </c>
      <c r="G137" s="61">
        <v>68298.38</v>
      </c>
      <c r="H137" s="24">
        <f>G137/G12</f>
        <v>4.6825511527713408E-2</v>
      </c>
      <c r="I137" s="61">
        <v>330.97</v>
      </c>
      <c r="J137" s="24">
        <f>I137/I12</f>
        <v>2.5698209038703304E-4</v>
      </c>
      <c r="K137" s="61">
        <v>330.97</v>
      </c>
      <c r="L137" s="24">
        <f>K137/K12</f>
        <v>2.8097700056210068E-4</v>
      </c>
      <c r="M137" s="61">
        <v>330.97</v>
      </c>
      <c r="N137" s="24">
        <f>M137/M12</f>
        <v>1.9815214670124034E-4</v>
      </c>
      <c r="O137" s="61">
        <v>330.97</v>
      </c>
      <c r="P137" s="24">
        <f>O137/O12</f>
        <v>3.129819203741283E-4</v>
      </c>
      <c r="Q137" s="61">
        <v>330.97</v>
      </c>
      <c r="R137" s="24">
        <f>Q137/Q12</f>
        <v>2.520512849695106E-4</v>
      </c>
      <c r="S137" s="61">
        <v>330.97</v>
      </c>
      <c r="T137" s="24">
        <f>S137/S12</f>
        <v>2.502049536146185E-4</v>
      </c>
      <c r="U137" s="61">
        <v>330.97</v>
      </c>
      <c r="V137" s="24">
        <f>U137/U12</f>
        <v>3.1543481348568063E-4</v>
      </c>
      <c r="W137" s="61">
        <v>330.97</v>
      </c>
      <c r="X137" s="24">
        <f>W137/W12</f>
        <v>3.1002746044435668E-4</v>
      </c>
      <c r="Y137" s="61">
        <v>330.97</v>
      </c>
      <c r="Z137" s="24">
        <f>Y137/Y12</f>
        <v>2.0522602425149795E-4</v>
      </c>
      <c r="AA137" s="144">
        <f>C137+E137+G137+I137+K137+M137+O137+Q137+S137+U137+W137+Y137</f>
        <v>207873.87000000002</v>
      </c>
      <c r="AB137" s="24">
        <f>AA137/AA12</f>
        <v>1.3833273929753425E-2</v>
      </c>
      <c r="AC137" s="128">
        <f t="shared" si="81"/>
        <v>17322.822500000002</v>
      </c>
      <c r="AD137" s="24">
        <f>AC137/AC12</f>
        <v>1.3833273929753427E-2</v>
      </c>
      <c r="AE137" s="595"/>
      <c r="AF137" s="595"/>
      <c r="AG137" s="555"/>
      <c r="AH137" s="74"/>
    </row>
    <row r="138" spans="1:34" s="1" customFormat="1">
      <c r="A138" s="188">
        <v>6503</v>
      </c>
      <c r="B138" s="21" t="s">
        <v>137</v>
      </c>
      <c r="C138" s="61"/>
      <c r="D138" s="24">
        <f>C138/C12</f>
        <v>0</v>
      </c>
      <c r="E138" s="61"/>
      <c r="F138" s="24">
        <f>E138/E12</f>
        <v>0</v>
      </c>
      <c r="G138" s="61"/>
      <c r="H138" s="24">
        <f>G138/G12</f>
        <v>0</v>
      </c>
      <c r="I138" s="61"/>
      <c r="J138" s="24">
        <f>I138/I12</f>
        <v>0</v>
      </c>
      <c r="K138" s="61"/>
      <c r="L138" s="24">
        <f>K138/K12</f>
        <v>0</v>
      </c>
      <c r="M138" s="26"/>
      <c r="N138" s="702">
        <f>M138/M12</f>
        <v>0</v>
      </c>
      <c r="O138" s="26"/>
      <c r="P138" s="24">
        <f>O138/O12</f>
        <v>0</v>
      </c>
      <c r="Q138" s="61"/>
      <c r="R138" s="24">
        <f>Q138/Q12</f>
        <v>0</v>
      </c>
      <c r="S138" s="61"/>
      <c r="T138" s="24">
        <f>S138/S12</f>
        <v>0</v>
      </c>
      <c r="U138" s="61"/>
      <c r="V138" s="24">
        <f>U138/U12</f>
        <v>0</v>
      </c>
      <c r="W138" s="61"/>
      <c r="X138" s="24">
        <f>W138/W12</f>
        <v>0</v>
      </c>
      <c r="Y138" s="61"/>
      <c r="Z138" s="24">
        <f>Y138/Y12</f>
        <v>0</v>
      </c>
      <c r="AA138" s="144">
        <f t="shared" si="80"/>
        <v>0</v>
      </c>
      <c r="AB138" s="326">
        <f>AA138/AA12</f>
        <v>0</v>
      </c>
      <c r="AC138" s="128">
        <f t="shared" si="81"/>
        <v>0</v>
      </c>
      <c r="AD138" s="326">
        <f>AC138/AC12</f>
        <v>0</v>
      </c>
      <c r="AE138" s="595"/>
      <c r="AF138" s="595"/>
      <c r="AG138" s="555"/>
      <c r="AH138" s="74"/>
    </row>
    <row r="139" spans="1:34" s="1" customFormat="1">
      <c r="A139" s="188">
        <v>6504</v>
      </c>
      <c r="B139" s="21" t="s">
        <v>138</v>
      </c>
      <c r="C139" s="83"/>
      <c r="D139" s="24">
        <f>C139/C12</f>
        <v>0</v>
      </c>
      <c r="E139" s="121"/>
      <c r="F139" s="24">
        <f>E139/E12</f>
        <v>0</v>
      </c>
      <c r="G139" s="83"/>
      <c r="H139" s="24">
        <f>G139/G12</f>
        <v>0</v>
      </c>
      <c r="I139" s="83"/>
      <c r="J139" s="24">
        <f>I139/I12</f>
        <v>0</v>
      </c>
      <c r="K139" s="33"/>
      <c r="L139" s="24">
        <f>K139/K12</f>
        <v>0</v>
      </c>
      <c r="M139" s="26"/>
      <c r="N139" s="24">
        <f>M139/M12</f>
        <v>0</v>
      </c>
      <c r="O139" s="33"/>
      <c r="P139" s="24">
        <f>O139/O12</f>
        <v>0</v>
      </c>
      <c r="Q139" s="33"/>
      <c r="R139" s="24">
        <f>Q139/Q12</f>
        <v>0</v>
      </c>
      <c r="S139" s="33"/>
      <c r="T139" s="24">
        <f>S139/S12</f>
        <v>0</v>
      </c>
      <c r="U139" s="83"/>
      <c r="V139" s="24">
        <f>U139/U12</f>
        <v>0</v>
      </c>
      <c r="W139" s="83"/>
      <c r="X139" s="24">
        <f>W139/W12</f>
        <v>0</v>
      </c>
      <c r="Y139" s="83"/>
      <c r="Z139" s="24">
        <f>Y139/Y12</f>
        <v>0</v>
      </c>
      <c r="AA139" s="144">
        <f t="shared" si="80"/>
        <v>0</v>
      </c>
      <c r="AB139" s="24">
        <f>AA139/AA12</f>
        <v>0</v>
      </c>
      <c r="AC139" s="128">
        <f t="shared" si="81"/>
        <v>0</v>
      </c>
      <c r="AD139" s="24">
        <f>AC139/AC12</f>
        <v>0</v>
      </c>
      <c r="AE139" s="595"/>
      <c r="AF139" s="595"/>
      <c r="AG139" s="555"/>
      <c r="AH139" s="74"/>
    </row>
    <row r="140" spans="1:34" s="1" customFormat="1">
      <c r="A140" s="188">
        <v>6505</v>
      </c>
      <c r="B140" s="188" t="s">
        <v>139</v>
      </c>
      <c r="C140" s="83"/>
      <c r="D140" s="24">
        <f>C140/C12</f>
        <v>0</v>
      </c>
      <c r="E140" s="121"/>
      <c r="F140" s="24">
        <f>E140/E12</f>
        <v>0</v>
      </c>
      <c r="G140" s="83"/>
      <c r="H140" s="24">
        <f>G140/G12</f>
        <v>0</v>
      </c>
      <c r="I140" s="83"/>
      <c r="J140" s="24">
        <f>I140/I12</f>
        <v>0</v>
      </c>
      <c r="K140" s="33"/>
      <c r="L140" s="24">
        <f>K140/K12</f>
        <v>0</v>
      </c>
      <c r="M140" s="26"/>
      <c r="N140" s="24">
        <f>M140/M12</f>
        <v>0</v>
      </c>
      <c r="O140" s="33"/>
      <c r="P140" s="24">
        <f>O140/O12</f>
        <v>0</v>
      </c>
      <c r="Q140" s="33"/>
      <c r="R140" s="24">
        <f>Q140/Q12</f>
        <v>0</v>
      </c>
      <c r="S140" s="33"/>
      <c r="T140" s="24">
        <f>S140/S12</f>
        <v>0</v>
      </c>
      <c r="U140" s="83"/>
      <c r="V140" s="24">
        <f>U140/U12</f>
        <v>0</v>
      </c>
      <c r="W140" s="83"/>
      <c r="X140" s="24">
        <f>W140/W12</f>
        <v>0</v>
      </c>
      <c r="Y140" s="83"/>
      <c r="Z140" s="24">
        <f>Y140/Y12</f>
        <v>0</v>
      </c>
      <c r="AA140" s="144">
        <f t="shared" si="80"/>
        <v>0</v>
      </c>
      <c r="AB140" s="24">
        <f>AA140/AA12</f>
        <v>0</v>
      </c>
      <c r="AC140" s="128">
        <f t="shared" si="81"/>
        <v>0</v>
      </c>
      <c r="AD140" s="24">
        <f>AC140/AC12</f>
        <v>0</v>
      </c>
      <c r="AE140" s="595"/>
      <c r="AF140" s="595"/>
      <c r="AG140" s="555"/>
      <c r="AH140" s="74"/>
    </row>
    <row r="141" spans="1:34" s="1" customFormat="1">
      <c r="A141" s="188">
        <v>6506</v>
      </c>
      <c r="B141" s="188" t="s">
        <v>229</v>
      </c>
      <c r="C141" s="83"/>
      <c r="D141" s="24">
        <f>C141/C12</f>
        <v>0</v>
      </c>
      <c r="E141" s="83"/>
      <c r="F141" s="24">
        <f>E141/E12</f>
        <v>0</v>
      </c>
      <c r="G141" s="83"/>
      <c r="H141" s="24">
        <f>G141/G12</f>
        <v>0</v>
      </c>
      <c r="I141" s="83"/>
      <c r="J141" s="24">
        <f>I141/I12</f>
        <v>0</v>
      </c>
      <c r="K141" s="83"/>
      <c r="L141" s="24">
        <f>K141/K12</f>
        <v>0</v>
      </c>
      <c r="M141" s="33"/>
      <c r="N141" s="24">
        <f>M141/M12</f>
        <v>0</v>
      </c>
      <c r="O141" s="33"/>
      <c r="P141" s="24">
        <f>O141/O12</f>
        <v>0</v>
      </c>
      <c r="Q141" s="83"/>
      <c r="R141" s="24">
        <f>Q141/Q12</f>
        <v>0</v>
      </c>
      <c r="S141" s="83"/>
      <c r="T141" s="24">
        <f>S141/S12</f>
        <v>0</v>
      </c>
      <c r="U141" s="83"/>
      <c r="V141" s="24">
        <f>U141/U12</f>
        <v>0</v>
      </c>
      <c r="W141" s="83"/>
      <c r="X141" s="24">
        <f>W141/W12</f>
        <v>0</v>
      </c>
      <c r="Y141" s="83"/>
      <c r="Z141" s="24">
        <f>Y141/Y12</f>
        <v>0</v>
      </c>
      <c r="AA141" s="144">
        <f t="shared" si="80"/>
        <v>0</v>
      </c>
      <c r="AB141" s="24">
        <f>AA141/AA12</f>
        <v>0</v>
      </c>
      <c r="AC141" s="128">
        <f t="shared" si="81"/>
        <v>0</v>
      </c>
      <c r="AD141" s="24">
        <f>AC141/AC12</f>
        <v>0</v>
      </c>
      <c r="AE141" s="595"/>
      <c r="AF141" s="595"/>
      <c r="AG141" s="555"/>
      <c r="AH141" s="74"/>
    </row>
    <row r="142" spans="1:34" s="1" customFormat="1">
      <c r="A142" s="188">
        <v>6604</v>
      </c>
      <c r="B142" s="188" t="s">
        <v>145</v>
      </c>
      <c r="C142" s="26">
        <v>66771</v>
      </c>
      <c r="D142" s="106">
        <f>C142/C12</f>
        <v>5.9078378413739252E-2</v>
      </c>
      <c r="E142" s="26">
        <v>66771</v>
      </c>
      <c r="F142" s="106">
        <f>E142/E12</f>
        <v>7.5936076167761907E-2</v>
      </c>
      <c r="G142" s="26">
        <v>66771</v>
      </c>
      <c r="H142" s="106">
        <f>G142/G12</f>
        <v>4.5778336619652645E-2</v>
      </c>
      <c r="I142" s="26">
        <v>66771</v>
      </c>
      <c r="J142" s="106">
        <f>I142/I12</f>
        <v>5.1844430483828079E-2</v>
      </c>
      <c r="K142" s="26">
        <v>66771</v>
      </c>
      <c r="L142" s="106">
        <f>K142/K12</f>
        <v>5.6685244295652241E-2</v>
      </c>
      <c r="M142" s="26">
        <v>66771</v>
      </c>
      <c r="N142" s="106">
        <f>M142/M12</f>
        <v>3.9975879951018277E-2</v>
      </c>
      <c r="O142" s="26">
        <v>66771</v>
      </c>
      <c r="P142" s="106">
        <f>O142/O12</f>
        <v>6.3142024368676677E-2</v>
      </c>
      <c r="Q142" s="26">
        <v>66771</v>
      </c>
      <c r="R142" s="106">
        <f>Q142/Q12</f>
        <v>5.084967322929327E-2</v>
      </c>
      <c r="S142" s="26">
        <v>66771</v>
      </c>
      <c r="T142" s="106">
        <f>S142/S12</f>
        <v>5.0477188137298519E-2</v>
      </c>
      <c r="U142" s="26">
        <v>66771</v>
      </c>
      <c r="V142" s="106">
        <f>U142/U12</f>
        <v>6.3636879267765595E-2</v>
      </c>
      <c r="W142" s="26">
        <v>66771</v>
      </c>
      <c r="X142" s="106">
        <f>W142/W12</f>
        <v>6.2545981694202307E-2</v>
      </c>
      <c r="Y142" s="26">
        <v>66771</v>
      </c>
      <c r="Z142" s="106">
        <f>Y142/Y12</f>
        <v>4.140298777924515E-2</v>
      </c>
      <c r="AA142" s="144">
        <f t="shared" si="80"/>
        <v>801252</v>
      </c>
      <c r="AB142" s="106">
        <f>AA142/AA12</f>
        <v>5.332049864065546E-2</v>
      </c>
      <c r="AC142" s="128">
        <f t="shared" si="81"/>
        <v>66771</v>
      </c>
      <c r="AD142" s="106">
        <f>AC142/AC12</f>
        <v>5.3320498640655467E-2</v>
      </c>
      <c r="AE142" s="602"/>
      <c r="AF142" s="602"/>
      <c r="AG142" s="628"/>
      <c r="AH142" s="374"/>
    </row>
    <row r="143" spans="1:34" s="1" customFormat="1">
      <c r="A143" s="2"/>
      <c r="B143" s="2"/>
      <c r="C143" s="61"/>
      <c r="D143" s="24">
        <f>C143/C12</f>
        <v>0</v>
      </c>
      <c r="E143" s="114"/>
      <c r="F143" s="24">
        <f>E143/E12</f>
        <v>0</v>
      </c>
      <c r="G143" s="61"/>
      <c r="H143" s="24">
        <f>G143/G12</f>
        <v>0</v>
      </c>
      <c r="I143" s="61"/>
      <c r="J143" s="24">
        <f>I143/I12</f>
        <v>0</v>
      </c>
      <c r="K143" s="26"/>
      <c r="L143" s="24">
        <f>K143/K12</f>
        <v>0</v>
      </c>
      <c r="M143" s="26"/>
      <c r="N143" s="24">
        <f>M143/M12</f>
        <v>0</v>
      </c>
      <c r="O143" s="26"/>
      <c r="P143" s="24">
        <f>O143/O12</f>
        <v>0</v>
      </c>
      <c r="Q143" s="26"/>
      <c r="R143" s="24">
        <f>Q143/Q12</f>
        <v>0</v>
      </c>
      <c r="S143" s="26"/>
      <c r="T143" s="24">
        <f>S143/S12</f>
        <v>0</v>
      </c>
      <c r="U143" s="61"/>
      <c r="V143" s="24">
        <f>U143/U12</f>
        <v>0</v>
      </c>
      <c r="W143" s="61"/>
      <c r="X143" s="24">
        <f>W143/W12</f>
        <v>0</v>
      </c>
      <c r="Y143" s="61"/>
      <c r="Z143" s="24">
        <f>Y143/Y12</f>
        <v>0</v>
      </c>
      <c r="AA143" s="144">
        <f t="shared" si="80"/>
        <v>0</v>
      </c>
      <c r="AB143" s="24">
        <f>AA143/AA12</f>
        <v>0</v>
      </c>
      <c r="AC143" s="128">
        <f t="shared" si="81"/>
        <v>0</v>
      </c>
      <c r="AD143" s="24">
        <f>AC143/AC12</f>
        <v>0</v>
      </c>
      <c r="AE143" s="595"/>
      <c r="AF143" s="595"/>
      <c r="AG143" s="555"/>
      <c r="AH143" s="74"/>
    </row>
    <row r="144" spans="1:34" s="1" customFormat="1" ht="15" customHeight="1">
      <c r="A144" s="63">
        <v>6798</v>
      </c>
      <c r="B144" s="63" t="s">
        <v>205</v>
      </c>
      <c r="C144" s="79">
        <f>SUM(C136:C143)</f>
        <v>135069.38</v>
      </c>
      <c r="D144" s="87">
        <f>C144/C12</f>
        <v>0.11950816887195255</v>
      </c>
      <c r="E144" s="79">
        <f>SUM(E136:E143)</f>
        <v>135069.38</v>
      </c>
      <c r="F144" s="87">
        <f>E144/E12</f>
        <v>0.15360918254350509</v>
      </c>
      <c r="G144" s="79">
        <f>SUM(G136:G143)</f>
        <v>135069.38</v>
      </c>
      <c r="H144" s="87">
        <f>G144/G12</f>
        <v>9.2603848147366052E-2</v>
      </c>
      <c r="I144" s="79">
        <f>SUM(I136:I143)</f>
        <v>67101.97</v>
      </c>
      <c r="J144" s="87">
        <f>I144/I12</f>
        <v>5.2101412574215113E-2</v>
      </c>
      <c r="K144" s="79">
        <f>SUM(K136:K143)</f>
        <v>67101.97</v>
      </c>
      <c r="L144" s="87">
        <f>K144/K12</f>
        <v>5.6966221296214342E-2</v>
      </c>
      <c r="M144" s="378">
        <f>SUM(M136:M143)</f>
        <v>67101.97</v>
      </c>
      <c r="N144" s="87">
        <f>M144/M12</f>
        <v>4.0174032097719518E-2</v>
      </c>
      <c r="O144" s="29">
        <f>SUM(O136:O143)</f>
        <v>67101.97</v>
      </c>
      <c r="P144" s="87">
        <f>O144/O12</f>
        <v>6.3455006289050805E-2</v>
      </c>
      <c r="Q144" s="79">
        <f>SUM(Q136:Q143)</f>
        <v>67101.97</v>
      </c>
      <c r="R144" s="87">
        <f>Q144/Q12</f>
        <v>5.1101724514262779E-2</v>
      </c>
      <c r="S144" s="79">
        <f>SUM(S136:S143)</f>
        <v>67101.97</v>
      </c>
      <c r="T144" s="87">
        <f t="shared" ref="T144" si="82">S144/S$12</f>
        <v>5.0727393090913141E-2</v>
      </c>
      <c r="U144" s="79">
        <f>SUM(U136:U143)</f>
        <v>67101.97</v>
      </c>
      <c r="V144" s="87">
        <f>U144/U12</f>
        <v>6.395231408125128E-2</v>
      </c>
      <c r="W144" s="79">
        <f>SUM(W136:W143)</f>
        <v>67101.97</v>
      </c>
      <c r="X144" s="87">
        <f>W144/W12</f>
        <v>6.2856009154646661E-2</v>
      </c>
      <c r="Y144" s="79">
        <f>SUM(Y136:Y143)</f>
        <v>67101.97</v>
      </c>
      <c r="Z144" s="87">
        <f t="shared" ref="Z144" si="83">Y144/Y$12</f>
        <v>4.1608213803496649E-2</v>
      </c>
      <c r="AA144" s="152">
        <f>SUM(AA136:AA143)</f>
        <v>1009125.87</v>
      </c>
      <c r="AB144" s="153">
        <f t="shared" ref="AB144" si="84">AA144/AA$12</f>
        <v>6.7153772570408887E-2</v>
      </c>
      <c r="AC144" s="137">
        <f>SUM(AC136:AC143)</f>
        <v>84093.822500000009</v>
      </c>
      <c r="AD144" s="138">
        <f t="shared" ref="AD144" si="85">AC144/AC$12</f>
        <v>6.7153772570408901E-2</v>
      </c>
      <c r="AE144" s="603"/>
      <c r="AF144" s="603"/>
      <c r="AG144" s="629"/>
      <c r="AH144" s="74"/>
    </row>
    <row r="145" spans="1:34" s="1" customFormat="1">
      <c r="A145" s="200">
        <v>6799</v>
      </c>
      <c r="B145" s="63" t="s">
        <v>135</v>
      </c>
      <c r="C145" s="203">
        <f>C41+C76+C93+C115+C129+C144+C133</f>
        <v>559304.33997440175</v>
      </c>
      <c r="D145" s="202">
        <f>C145/C12</f>
        <v>0.494867434147375</v>
      </c>
      <c r="E145" s="203">
        <f>E41+E76+E93+E115+E129+E144+E133</f>
        <v>579013.24712704634</v>
      </c>
      <c r="F145" s="202">
        <f>E145/E12</f>
        <v>0.65848937466838209</v>
      </c>
      <c r="G145" s="203">
        <f>G41+G76+G93+G115+G129+G144+G133</f>
        <v>574859.54071067367</v>
      </c>
      <c r="H145" s="202">
        <f>G145/G12</f>
        <v>0.39412489798972811</v>
      </c>
      <c r="I145" s="203">
        <f>I41+I76+I93+I115+I129+I144+I133</f>
        <v>509177.62691496883</v>
      </c>
      <c r="J145" s="202">
        <f>I145/I12</f>
        <v>0.39535163592747824</v>
      </c>
      <c r="K145" s="298">
        <f>K41+K76+K93+K115+K129+K144+K133</f>
        <v>508735.68554624729</v>
      </c>
      <c r="L145" s="202">
        <f>K145/K12</f>
        <v>0.43189118954493938</v>
      </c>
      <c r="M145" s="298">
        <f>M41+M76+M93+M115+M129+M144+M133</f>
        <v>487187.60196444334</v>
      </c>
      <c r="N145" s="202">
        <f>M145/M12</f>
        <v>0.2916798174320448</v>
      </c>
      <c r="O145" s="298">
        <f>O41+O76+O93+O115+O129+O144+O133</f>
        <v>486166.84508262109</v>
      </c>
      <c r="P145" s="202">
        <f>O145/O12</f>
        <v>0.45974388251560588</v>
      </c>
      <c r="Q145" s="298">
        <f>Q41+Q76+Q93+Q115+Q129+Q144+Q133</f>
        <v>521029.38001351769</v>
      </c>
      <c r="R145" s="202">
        <f>Q145/Q12</f>
        <v>0.39679162685220587</v>
      </c>
      <c r="S145" s="298">
        <f>S41+S76+S93+S115+S129+S144+S133</f>
        <v>502839.3190849903</v>
      </c>
      <c r="T145" s="202">
        <f>S145/S12</f>
        <v>0.38013381426493742</v>
      </c>
      <c r="U145" s="201">
        <f>U41+U76+U93+U115+U129+U144+U133</f>
        <v>498296.39370717527</v>
      </c>
      <c r="V145" s="202">
        <f>U145/U12</f>
        <v>0.47490718194884762</v>
      </c>
      <c r="W145" s="201">
        <f>W41+W76+W93+W115+W129+W144+W133</f>
        <v>496948.86802924785</v>
      </c>
      <c r="X145" s="202">
        <f>W145/W12</f>
        <v>0.46550380858025031</v>
      </c>
      <c r="Y145" s="201">
        <f>Y41+Y76+Y93+Y115+Y129+Y144+Y133</f>
        <v>508547.77337336575</v>
      </c>
      <c r="Z145" s="202">
        <f>Y145/Y12</f>
        <v>0.3153374555741234</v>
      </c>
      <c r="AA145" s="201">
        <f>AA41+AA76+AA93+AA115+AA129+AA144+AA133</f>
        <v>6232106.6215287009</v>
      </c>
      <c r="AB145" s="202">
        <f>AA145/AA12</f>
        <v>0.41472474657366343</v>
      </c>
      <c r="AC145" s="201">
        <f>AC41+AC76+AC93+AC115+AC129+AC144+AC133</f>
        <v>519187.21846072492</v>
      </c>
      <c r="AD145" s="202">
        <f>AC145/AC12</f>
        <v>0.41460097012446684</v>
      </c>
      <c r="AE145" s="612"/>
      <c r="AF145" s="612"/>
      <c r="AG145" s="642"/>
      <c r="AH145" s="74"/>
    </row>
    <row r="146" spans="1:34" s="1" customFormat="1" ht="15.75" thickBot="1">
      <c r="A146" s="11">
        <v>6999</v>
      </c>
      <c r="B146" s="11" t="s">
        <v>144</v>
      </c>
      <c r="C146" s="80">
        <f>C135-C144</f>
        <v>9619.6370855368732</v>
      </c>
      <c r="D146" s="88">
        <f>C146/C12</f>
        <v>8.5113681080437181E-3</v>
      </c>
      <c r="E146" s="80">
        <f>E135-E144</f>
        <v>-61176.51963951088</v>
      </c>
      <c r="F146" s="88">
        <f>E146/E12</f>
        <v>-6.95736900005164E-2</v>
      </c>
      <c r="G146" s="80">
        <f>G135-G144</f>
        <v>165845.03528932633</v>
      </c>
      <c r="H146" s="88">
        <f>G146/G12</f>
        <v>0.11370370148976282</v>
      </c>
      <c r="I146" s="80">
        <f>I135-I144</f>
        <v>239106.10829705602</v>
      </c>
      <c r="J146" s="88">
        <f>I146/I12</f>
        <v>0.18565425124478277</v>
      </c>
      <c r="K146" s="30">
        <f>K135-K144</f>
        <v>222623.90025174248</v>
      </c>
      <c r="L146" s="88">
        <f>K146/K12</f>
        <v>0.18899657294066194</v>
      </c>
      <c r="M146" s="30">
        <f>M135-M144</f>
        <v>358226.26688402414</v>
      </c>
      <c r="N146" s="88">
        <f>M146/M12</f>
        <v>0.21447050725999584</v>
      </c>
      <c r="O146" s="30">
        <f>O135-O144</f>
        <v>125648.65624412955</v>
      </c>
      <c r="P146" s="88">
        <f>O146/O12</f>
        <v>0.11881970487873939</v>
      </c>
      <c r="Q146" s="300">
        <f>Q135-Q144</f>
        <v>266452.77943180117</v>
      </c>
      <c r="R146" s="88">
        <f>Q146/Q12</f>
        <v>0.20291798483090029</v>
      </c>
      <c r="S146" s="30">
        <f>S135-S144</f>
        <v>246406.64129012634</v>
      </c>
      <c r="T146" s="88">
        <f>S146/S12</f>
        <v>0.18627719205465751</v>
      </c>
      <c r="U146" s="59">
        <f>U135-U144</f>
        <v>113586.09688985697</v>
      </c>
      <c r="V146" s="88">
        <f>U146/U12</f>
        <v>0.10825455263926784</v>
      </c>
      <c r="W146" s="261">
        <f>W135-W144</f>
        <v>150804.34340258935</v>
      </c>
      <c r="X146" s="88">
        <f>W146/W12</f>
        <v>0.14126201048156464</v>
      </c>
      <c r="Y146" s="59">
        <f>Y135-Y144</f>
        <v>351260.3096292906</v>
      </c>
      <c r="Z146" s="88">
        <f>Y146/Y12</f>
        <v>0.21780752582581339</v>
      </c>
      <c r="AA146" s="389">
        <f>AA135-AA144</f>
        <v>2188403.2550559617</v>
      </c>
      <c r="AB146" s="88">
        <f>AA146/AA12</f>
        <v>0.1456305292048162</v>
      </c>
      <c r="AC146" s="132">
        <f>AC135-AC144</f>
        <v>182521.9379213301</v>
      </c>
      <c r="AD146" s="88">
        <f>AC146/AC12</f>
        <v>0.14575430565401271</v>
      </c>
      <c r="AE146" s="604"/>
      <c r="AF146" s="604"/>
      <c r="AG146" s="630"/>
      <c r="AH146" s="74"/>
    </row>
    <row r="147" spans="1:34" s="1" customFormat="1" ht="15.75" thickTop="1">
      <c r="C147" s="83"/>
      <c r="D147" s="19"/>
      <c r="E147" s="83"/>
      <c r="F147" s="19"/>
      <c r="G147" s="83"/>
      <c r="H147" s="19"/>
      <c r="I147" s="83"/>
      <c r="J147" s="19"/>
      <c r="K147" s="3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/>
      <c r="AD147" s="19"/>
      <c r="AE147" s="605"/>
      <c r="AF147" s="605"/>
      <c r="AG147" s="370"/>
      <c r="AH147" s="74"/>
    </row>
    <row r="148" spans="1:34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>AA148/12</f>
        <v>0</v>
      </c>
      <c r="AD148" s="246">
        <f>AC148/AC12</f>
        <v>0</v>
      </c>
      <c r="AE148" s="606"/>
      <c r="AF148" s="606"/>
      <c r="AG148" s="632"/>
      <c r="AH148" s="26"/>
    </row>
    <row r="149" spans="1:34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/>
      <c r="AD149" s="106"/>
      <c r="AE149" s="602"/>
      <c r="AF149" s="602"/>
      <c r="AG149" s="628"/>
      <c r="AH149" s="26"/>
    </row>
    <row r="150" spans="1:34" s="1" customFormat="1" ht="15.75" customHeight="1" thickBot="1">
      <c r="A150" s="223"/>
      <c r="B150" s="404" t="s">
        <v>232</v>
      </c>
      <c r="C150" s="685">
        <f>C146*10%</f>
        <v>961.96370855368741</v>
      </c>
      <c r="D150" s="406"/>
      <c r="E150" s="685">
        <f>E146*10%</f>
        <v>-6117.651963951088</v>
      </c>
      <c r="F150" s="407"/>
      <c r="G150" s="685">
        <f>G146*10%</f>
        <v>16584.503528932633</v>
      </c>
      <c r="H150" s="407"/>
      <c r="I150" s="685">
        <f>I146*10%</f>
        <v>23910.610829705605</v>
      </c>
      <c r="J150" s="407"/>
      <c r="K150" s="685">
        <f>K146*10%</f>
        <v>22262.390025174249</v>
      </c>
      <c r="L150" s="407"/>
      <c r="M150" s="685">
        <f>M146*10%</f>
        <v>35822.626688402415</v>
      </c>
      <c r="N150" s="407"/>
      <c r="O150" s="685">
        <f>O146*10%</f>
        <v>12564.865624412956</v>
      </c>
      <c r="P150" s="407"/>
      <c r="Q150" s="685">
        <f>Q146*10%</f>
        <v>26645.277943180117</v>
      </c>
      <c r="R150" s="407"/>
      <c r="S150" s="685">
        <f>S146*10%</f>
        <v>24640.664129012635</v>
      </c>
      <c r="T150" s="407"/>
      <c r="U150" s="685">
        <f>U146*10%</f>
        <v>11358.609688985698</v>
      </c>
      <c r="V150" s="407"/>
      <c r="W150" s="685">
        <f>W146*10%</f>
        <v>15080.434340258937</v>
      </c>
      <c r="X150" s="407"/>
      <c r="Y150" s="685">
        <f>Y146*10%</f>
        <v>35126.030962929064</v>
      </c>
      <c r="Z150" s="407"/>
      <c r="AA150" s="405">
        <f>C150+E150+G150+I150+K150+M150+O150+Q150+S150+U150+W150+Y150</f>
        <v>218840.32550559691</v>
      </c>
      <c r="AB150" s="407"/>
      <c r="AC150" s="405">
        <f t="shared" ref="AC150" si="86">AA150/12</f>
        <v>18236.693792133075</v>
      </c>
      <c r="AD150" s="407"/>
      <c r="AE150" s="649"/>
      <c r="AF150" s="363" t="s">
        <v>245</v>
      </c>
      <c r="AG150" s="363"/>
    </row>
    <row r="151" spans="1:34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/>
      <c r="AD151" s="106"/>
      <c r="AE151" s="602"/>
      <c r="AF151" s="602"/>
      <c r="AG151" s="628"/>
      <c r="AH151" s="374"/>
    </row>
    <row r="152" spans="1:34" s="1" customFormat="1" ht="19.5" customHeight="1" thickBot="1">
      <c r="A152" s="224"/>
      <c r="B152" s="232" t="s">
        <v>206</v>
      </c>
      <c r="C152" s="237">
        <f>C146-C148-C150</f>
        <v>8657.6733769831862</v>
      </c>
      <c r="D152" s="246">
        <f>C152/C12</f>
        <v>7.6602312972393477E-3</v>
      </c>
      <c r="E152" s="237">
        <f>E146-E148-E150</f>
        <v>-55058.867675559792</v>
      </c>
      <c r="F152" s="246">
        <f>E152/E12</f>
        <v>-6.2616321000464756E-2</v>
      </c>
      <c r="G152" s="237">
        <f>G146-G148-G150</f>
        <v>149260.5317603937</v>
      </c>
      <c r="H152" s="246">
        <f>G152/G12</f>
        <v>0.10233333134078654</v>
      </c>
      <c r="I152" s="237">
        <f>I146-I148-I150</f>
        <v>215195.49746735042</v>
      </c>
      <c r="J152" s="246">
        <f>I152/I12</f>
        <v>0.16708882612030448</v>
      </c>
      <c r="K152" s="237">
        <f>K146-K148-K150</f>
        <v>200361.51022656824</v>
      </c>
      <c r="L152" s="246">
        <f>K152/K12</f>
        <v>0.17009691564659576</v>
      </c>
      <c r="M152" s="237">
        <f>M146-M148-M150</f>
        <v>322403.6401956217</v>
      </c>
      <c r="N152" s="246">
        <f>M152/M12</f>
        <v>0.19302345653399625</v>
      </c>
      <c r="O152" s="237">
        <f>O146-O148-O150</f>
        <v>113083.7906197166</v>
      </c>
      <c r="P152" s="246">
        <f>O152/O12</f>
        <v>0.10693773439086544</v>
      </c>
      <c r="Q152" s="237">
        <f>Q146-Q148-Q150</f>
        <v>239807.50148862106</v>
      </c>
      <c r="R152" s="246">
        <f>Q152/Q12</f>
        <v>0.18262618634781028</v>
      </c>
      <c r="S152" s="237">
        <f>S146-S148-S150</f>
        <v>221765.9771611137</v>
      </c>
      <c r="T152" s="246">
        <f>S152/S12</f>
        <v>0.16764947284919177</v>
      </c>
      <c r="U152" s="237">
        <f>U146-U148-U150</f>
        <v>102227.48720087127</v>
      </c>
      <c r="V152" s="246">
        <f>U152/U12</f>
        <v>9.7429097375341056E-2</v>
      </c>
      <c r="W152" s="237">
        <f>W146-W148-W150</f>
        <v>135723.90906233041</v>
      </c>
      <c r="X152" s="246">
        <f>W152/W12</f>
        <v>0.12713580943340816</v>
      </c>
      <c r="Y152" s="237">
        <f>Y146-Y148-Y150</f>
        <v>316134.27866636153</v>
      </c>
      <c r="Z152" s="246">
        <f>Y152/Y12</f>
        <v>0.19602677324323206</v>
      </c>
      <c r="AA152" s="270">
        <f>AA146-AA148-AA150</f>
        <v>1969562.9295503648</v>
      </c>
      <c r="AB152" s="246">
        <f>AA152/AA12</f>
        <v>0.13106747628433454</v>
      </c>
      <c r="AC152" s="271">
        <f>AC146-AC148-AC150</f>
        <v>164285.24412919703</v>
      </c>
      <c r="AD152" s="246">
        <f>AC152/AC12</f>
        <v>0.13119125273353105</v>
      </c>
      <c r="AE152" s="606"/>
      <c r="AF152" s="606"/>
      <c r="AG152" s="632"/>
      <c r="AH152" s="374"/>
    </row>
    <row r="153" spans="1:34" ht="15.75" thickTop="1"/>
    <row r="154" spans="1:34" s="1" customFormat="1">
      <c r="B154" s="85" t="s">
        <v>214</v>
      </c>
      <c r="C154" s="84">
        <f>C152</f>
        <v>8657.6733769831862</v>
      </c>
      <c r="D154" s="20"/>
      <c r="E154" s="84">
        <f>E152+C154</f>
        <v>-46401.194298576607</v>
      </c>
      <c r="F154" s="93"/>
      <c r="G154" s="84">
        <f>G152+E154</f>
        <v>102859.33746181709</v>
      </c>
      <c r="H154" s="93"/>
      <c r="I154" s="84">
        <f>I152+G154</f>
        <v>318054.83492916753</v>
      </c>
      <c r="J154" s="93"/>
      <c r="K154" s="84">
        <f>K152+I154</f>
        <v>518416.34515573573</v>
      </c>
      <c r="L154" s="93"/>
      <c r="M154" s="33">
        <f>M152+K154</f>
        <v>840819.98535135738</v>
      </c>
      <c r="N154" s="93"/>
      <c r="O154" s="33">
        <f>O152+M154</f>
        <v>953903.77597107401</v>
      </c>
      <c r="P154" s="93"/>
      <c r="Q154" s="84">
        <f>Q152+O154</f>
        <v>1193711.277459695</v>
      </c>
      <c r="R154" s="93"/>
      <c r="S154" s="84">
        <f>S152+Q154</f>
        <v>1415477.2546208086</v>
      </c>
      <c r="T154" s="93"/>
      <c r="U154" s="84">
        <f>U152+S154</f>
        <v>1517704.74182168</v>
      </c>
      <c r="V154" s="93"/>
      <c r="W154" s="84">
        <f>W152+U154</f>
        <v>1653428.6508840104</v>
      </c>
      <c r="X154" s="93"/>
      <c r="Y154" s="84">
        <f>Y152+W154</f>
        <v>1969562.9295503718</v>
      </c>
      <c r="Z154" s="93"/>
      <c r="AA154" s="142"/>
      <c r="AB154" s="143"/>
      <c r="AC154" s="126"/>
      <c r="AD154" s="127"/>
      <c r="AE154" s="593"/>
      <c r="AF154" s="593"/>
      <c r="AG154" s="616"/>
      <c r="AH154" s="374"/>
    </row>
    <row r="156" spans="1:34">
      <c r="C156" s="267">
        <f>C152</f>
        <v>8657.6733769831862</v>
      </c>
      <c r="E156" s="267">
        <f>E152</f>
        <v>-55058.867675559792</v>
      </c>
      <c r="I156" s="269">
        <f>I36*0.985</f>
        <v>531532.62195835181</v>
      </c>
      <c r="K156" s="269">
        <f>K36*0.985</f>
        <v>439867.51707128552</v>
      </c>
      <c r="M156" s="32">
        <f>M36*0.985</f>
        <v>812495.28865244146</v>
      </c>
      <c r="O156" s="32">
        <f>O36*0.985</f>
        <v>438972.85560028505</v>
      </c>
      <c r="S156" s="215">
        <f>S152</f>
        <v>221765.9771611137</v>
      </c>
    </row>
    <row r="157" spans="1:34">
      <c r="C157" s="267">
        <f>C150</f>
        <v>961.96370855368741</v>
      </c>
      <c r="E157" s="267">
        <f>E150+E43</f>
        <v>7882.348036048912</v>
      </c>
      <c r="I157" s="269">
        <f>SUM(I145-I142+I150)*0.985</f>
        <v>459322.47917850432</v>
      </c>
      <c r="K157" s="269">
        <f>SUM(K145-K142+K150)*0.985</f>
        <v>457263.66943785019</v>
      </c>
      <c r="M157" s="32">
        <f>SUM(M145-M142+M150)*0.985</f>
        <v>449395.64022305311</v>
      </c>
      <c r="O157" s="32">
        <f>SUM(O145-O142+O150)*0.985</f>
        <v>425481.30004642851</v>
      </c>
      <c r="S157" s="215">
        <f>S43+S85+S86+S87</f>
        <v>27919.931506849316</v>
      </c>
    </row>
    <row r="158" spans="1:34">
      <c r="C158" s="267">
        <f>C156+C157</f>
        <v>9619.6370855368732</v>
      </c>
      <c r="E158" s="267">
        <f>E156+E157</f>
        <v>-47176.51963951088</v>
      </c>
      <c r="I158" s="434">
        <f>SUM(I152+I142)*0.985</f>
        <v>277737.0000053402</v>
      </c>
      <c r="K158" s="434">
        <f>SUM(K152+K142)*0.985</f>
        <v>263125.52257316967</v>
      </c>
      <c r="M158" s="431">
        <f>SUM(M152+M142)*0.985</f>
        <v>383337.02059268736</v>
      </c>
      <c r="O158" s="431">
        <f>SUM(O152+O142)*0.985</f>
        <v>177156.96876042086</v>
      </c>
      <c r="S158" s="215">
        <f>S156+S157</f>
        <v>249685.908667963</v>
      </c>
    </row>
    <row r="160" spans="1:34" hidden="1">
      <c r="B160" s="422" t="s">
        <v>144</v>
      </c>
      <c r="C160" s="423">
        <f>C152</f>
        <v>8657.6733769831862</v>
      </c>
      <c r="D160" s="423"/>
      <c r="E160" s="423">
        <f>E152</f>
        <v>-55058.867675559792</v>
      </c>
      <c r="F160" s="423"/>
      <c r="G160" s="423">
        <f>G152</f>
        <v>149260.5317603937</v>
      </c>
      <c r="H160" s="423"/>
      <c r="I160" s="423">
        <f>I152</f>
        <v>215195.49746735042</v>
      </c>
      <c r="J160" s="423"/>
      <c r="K160" s="423">
        <f>K152</f>
        <v>200361.51022656824</v>
      </c>
      <c r="L160" s="423"/>
      <c r="M160" s="423">
        <f>M152</f>
        <v>322403.6401956217</v>
      </c>
      <c r="N160" s="423"/>
      <c r="O160" s="423">
        <f>O152</f>
        <v>113083.7906197166</v>
      </c>
      <c r="P160" s="423"/>
      <c r="Q160" s="423">
        <f>Q152</f>
        <v>239807.50148862106</v>
      </c>
      <c r="R160" s="423"/>
      <c r="S160" s="423">
        <f>S152</f>
        <v>221765.9771611137</v>
      </c>
      <c r="T160" s="423"/>
      <c r="U160" s="423">
        <f>U152</f>
        <v>102227.48720087127</v>
      </c>
      <c r="V160" s="423"/>
      <c r="W160" s="423">
        <f>W152</f>
        <v>135723.90906233041</v>
      </c>
      <c r="X160" s="423"/>
      <c r="Y160" s="423">
        <f>Y152</f>
        <v>316134.27866636153</v>
      </c>
      <c r="Z160" s="423"/>
      <c r="AA160" s="423">
        <f>AA152</f>
        <v>1969562.9295503648</v>
      </c>
      <c r="AB160" s="423"/>
      <c r="AC160" s="423">
        <f>AC152</f>
        <v>164285.24412919703</v>
      </c>
      <c r="AD160" s="423"/>
      <c r="AE160" s="608"/>
      <c r="AF160" s="608"/>
      <c r="AG160" s="634"/>
      <c r="AH160" s="214"/>
    </row>
    <row r="161" spans="2:34" hidden="1">
      <c r="C161" s="215"/>
      <c r="D161" s="216"/>
      <c r="E161" s="215"/>
      <c r="F161" s="217"/>
      <c r="G161" s="215"/>
      <c r="H161" s="217"/>
      <c r="I161" s="215"/>
      <c r="J161" s="217"/>
      <c r="L161" s="217"/>
      <c r="N161" s="217"/>
      <c r="P161" s="217"/>
      <c r="R161" s="217"/>
      <c r="T161" s="217"/>
      <c r="U161" s="215"/>
      <c r="V161" s="217"/>
      <c r="W161" s="215"/>
      <c r="X161" s="217"/>
      <c r="Y161" s="215"/>
      <c r="Z161" s="217"/>
      <c r="AB161" s="218"/>
      <c r="AD161" s="218"/>
      <c r="AE161" s="595"/>
      <c r="AF161" s="595"/>
      <c r="AG161" s="618"/>
      <c r="AH161" s="214"/>
    </row>
    <row r="162" spans="2:34" hidden="1">
      <c r="B162" s="214" t="s">
        <v>237</v>
      </c>
      <c r="C162" s="215">
        <f>C150</f>
        <v>961.96370855368741</v>
      </c>
      <c r="D162" s="216"/>
      <c r="E162" s="215">
        <f>E150</f>
        <v>-6117.651963951088</v>
      </c>
      <c r="F162" s="217"/>
      <c r="G162" s="215">
        <f>G150</f>
        <v>16584.503528932633</v>
      </c>
      <c r="H162" s="217"/>
      <c r="I162" s="215">
        <f>I150</f>
        <v>23910.610829705605</v>
      </c>
      <c r="J162" s="217"/>
      <c r="K162" s="215">
        <f>K150</f>
        <v>22262.390025174249</v>
      </c>
      <c r="L162" s="217"/>
      <c r="M162" s="215">
        <f>M150</f>
        <v>35822.626688402415</v>
      </c>
      <c r="N162" s="217"/>
      <c r="O162" s="215">
        <f>O150</f>
        <v>12564.865624412956</v>
      </c>
      <c r="P162" s="217"/>
      <c r="Q162" s="215">
        <f>Q150</f>
        <v>26645.277943180117</v>
      </c>
      <c r="R162" s="217"/>
      <c r="S162" s="215">
        <f>S150</f>
        <v>24640.664129012635</v>
      </c>
      <c r="T162" s="217"/>
      <c r="U162" s="215">
        <f>U150</f>
        <v>11358.609688985698</v>
      </c>
      <c r="V162" s="217"/>
      <c r="W162" s="215">
        <f>W150</f>
        <v>15080.434340258937</v>
      </c>
      <c r="X162" s="217"/>
      <c r="Y162" s="215">
        <f>Y150</f>
        <v>35126.030962929064</v>
      </c>
      <c r="Z162" s="217"/>
      <c r="AA162" s="215">
        <f>AA150</f>
        <v>218840.32550559691</v>
      </c>
      <c r="AB162" s="218"/>
      <c r="AC162" s="215">
        <f>AC150</f>
        <v>18236.693792133075</v>
      </c>
      <c r="AD162" s="218"/>
      <c r="AE162" s="595"/>
      <c r="AF162" s="595"/>
      <c r="AG162" s="618"/>
      <c r="AH162" s="214"/>
    </row>
    <row r="163" spans="2:34" hidden="1">
      <c r="C163" s="215"/>
      <c r="D163" s="216"/>
      <c r="E163" s="215"/>
      <c r="F163" s="217"/>
      <c r="G163" s="215"/>
      <c r="H163" s="217"/>
      <c r="I163" s="215"/>
      <c r="J163" s="217"/>
      <c r="L163" s="217"/>
      <c r="N163" s="217"/>
      <c r="P163" s="217"/>
      <c r="R163" s="217"/>
      <c r="T163" s="217"/>
      <c r="U163" s="215"/>
      <c r="V163" s="217"/>
      <c r="W163" s="215"/>
      <c r="X163" s="217"/>
      <c r="Y163" s="215"/>
      <c r="Z163" s="217"/>
      <c r="AB163" s="218"/>
      <c r="AD163" s="218"/>
      <c r="AE163" s="595"/>
      <c r="AF163" s="595"/>
      <c r="AG163" s="618"/>
      <c r="AH163" s="214"/>
    </row>
    <row r="164" spans="2:34" hidden="1">
      <c r="B164" s="214" t="s">
        <v>241</v>
      </c>
      <c r="C164" s="215">
        <f>C142</f>
        <v>66771</v>
      </c>
      <c r="D164" s="215"/>
      <c r="E164" s="215">
        <f>E142</f>
        <v>66771</v>
      </c>
      <c r="F164" s="215"/>
      <c r="G164" s="215">
        <f>G142</f>
        <v>66771</v>
      </c>
      <c r="H164" s="215"/>
      <c r="I164" s="215">
        <f>I142</f>
        <v>66771</v>
      </c>
      <c r="J164" s="215"/>
      <c r="K164" s="215">
        <f>K142</f>
        <v>66771</v>
      </c>
      <c r="L164" s="215"/>
      <c r="M164" s="215">
        <f>M142</f>
        <v>66771</v>
      </c>
      <c r="N164" s="215"/>
      <c r="O164" s="215">
        <f>O142</f>
        <v>66771</v>
      </c>
      <c r="P164" s="215"/>
      <c r="Q164" s="215">
        <f>Q142</f>
        <v>66771</v>
      </c>
      <c r="R164" s="215"/>
      <c r="S164" s="215">
        <f>S142</f>
        <v>66771</v>
      </c>
      <c r="T164" s="215"/>
      <c r="U164" s="215">
        <f>U142</f>
        <v>66771</v>
      </c>
      <c r="V164" s="215"/>
      <c r="W164" s="215">
        <f>W142</f>
        <v>66771</v>
      </c>
      <c r="X164" s="215"/>
      <c r="Y164" s="215">
        <f>Y142</f>
        <v>66771</v>
      </c>
      <c r="Z164" s="215"/>
      <c r="AA164" s="215">
        <f>AA142</f>
        <v>801252</v>
      </c>
      <c r="AB164" s="215"/>
      <c r="AC164" s="215">
        <f>AC142</f>
        <v>66771</v>
      </c>
      <c r="AD164" s="215"/>
      <c r="AE164" s="605"/>
      <c r="AF164" s="605"/>
      <c r="AG164" s="370"/>
      <c r="AH164" s="214"/>
    </row>
    <row r="165" spans="2:34" hidden="1">
      <c r="C165" s="215"/>
      <c r="D165" s="216"/>
      <c r="E165" s="215"/>
      <c r="F165" s="217"/>
      <c r="G165" s="215"/>
      <c r="H165" s="217"/>
      <c r="I165" s="215"/>
      <c r="J165" s="217"/>
      <c r="L165" s="217"/>
      <c r="N165" s="217"/>
      <c r="P165" s="217"/>
      <c r="R165" s="217"/>
      <c r="T165" s="217"/>
      <c r="U165" s="215"/>
      <c r="V165" s="217"/>
      <c r="W165" s="215"/>
      <c r="X165" s="217"/>
      <c r="Y165" s="215"/>
      <c r="Z165" s="217"/>
      <c r="AA165" s="215"/>
      <c r="AB165" s="218"/>
      <c r="AC165" s="215"/>
      <c r="AD165" s="218"/>
      <c r="AE165" s="595"/>
      <c r="AF165" s="595"/>
      <c r="AG165" s="618"/>
      <c r="AH165" s="214"/>
    </row>
    <row r="166" spans="2:34" hidden="1">
      <c r="B166" s="214" t="s">
        <v>238</v>
      </c>
      <c r="C166" s="215">
        <f>C144-C142</f>
        <v>68298.38</v>
      </c>
      <c r="D166" s="215"/>
      <c r="E166" s="215">
        <f>E144-E142</f>
        <v>68298.38</v>
      </c>
      <c r="F166" s="215"/>
      <c r="G166" s="215">
        <f>G144-G142</f>
        <v>68298.38</v>
      </c>
      <c r="H166" s="215"/>
      <c r="I166" s="215">
        <f>I144-I142</f>
        <v>330.97000000000116</v>
      </c>
      <c r="J166" s="215"/>
      <c r="K166" s="215">
        <f>K144-K142</f>
        <v>330.97000000000116</v>
      </c>
      <c r="L166" s="215"/>
      <c r="M166" s="215">
        <f>M144-M142</f>
        <v>330.97000000000116</v>
      </c>
      <c r="N166" s="215"/>
      <c r="O166" s="215">
        <f>O144-O142</f>
        <v>330.97000000000116</v>
      </c>
      <c r="P166" s="215"/>
      <c r="Q166" s="215">
        <f>Q144-Q142</f>
        <v>330.97000000000116</v>
      </c>
      <c r="R166" s="215"/>
      <c r="S166" s="215">
        <f>S144-S142</f>
        <v>330.97000000000116</v>
      </c>
      <c r="T166" s="215"/>
      <c r="U166" s="215">
        <f>U144-U142</f>
        <v>330.97000000000116</v>
      </c>
      <c r="V166" s="215"/>
      <c r="W166" s="215">
        <f>W144-W142</f>
        <v>330.97000000000116</v>
      </c>
      <c r="X166" s="215"/>
      <c r="Y166" s="215">
        <f>Y144-Y142</f>
        <v>330.97000000000116</v>
      </c>
      <c r="Z166" s="215"/>
      <c r="AA166" s="215">
        <f>AA144-AA142</f>
        <v>207873.87</v>
      </c>
      <c r="AB166" s="215"/>
      <c r="AC166" s="215">
        <f>AC144-AC142</f>
        <v>17322.822500000009</v>
      </c>
      <c r="AD166" s="215"/>
      <c r="AE166" s="605"/>
      <c r="AF166" s="605"/>
      <c r="AG166" s="370"/>
      <c r="AH166" s="214"/>
    </row>
    <row r="167" spans="2:34" hidden="1">
      <c r="C167" s="215"/>
      <c r="D167" s="216"/>
      <c r="E167" s="215"/>
      <c r="F167" s="217"/>
      <c r="G167" s="215"/>
      <c r="H167" s="217"/>
      <c r="I167" s="215"/>
      <c r="J167" s="217"/>
      <c r="L167" s="217"/>
      <c r="N167" s="217"/>
      <c r="P167" s="217"/>
      <c r="R167" s="217"/>
      <c r="T167" s="217"/>
      <c r="U167" s="215"/>
      <c r="V167" s="217"/>
      <c r="W167" s="215"/>
      <c r="X167" s="217"/>
      <c r="Y167" s="215"/>
      <c r="Z167" s="217"/>
      <c r="AB167" s="218"/>
      <c r="AC167" s="215"/>
      <c r="AD167" s="218"/>
      <c r="AE167" s="595"/>
      <c r="AF167" s="595"/>
      <c r="AG167" s="618"/>
      <c r="AH167" s="214"/>
    </row>
    <row r="168" spans="2:34" hidden="1">
      <c r="C168" s="215"/>
      <c r="D168" s="216"/>
      <c r="E168" s="215"/>
      <c r="F168" s="217"/>
      <c r="G168" s="215"/>
      <c r="H168" s="217"/>
      <c r="I168" s="215"/>
      <c r="J168" s="217"/>
      <c r="L168" s="217"/>
      <c r="N168" s="217"/>
      <c r="P168" s="217"/>
      <c r="R168" s="217"/>
      <c r="T168" s="217"/>
      <c r="U168" s="215"/>
      <c r="V168" s="217"/>
      <c r="W168" s="215"/>
      <c r="X168" s="217"/>
      <c r="Y168" s="215"/>
      <c r="Z168" s="217"/>
      <c r="AB168" s="218"/>
      <c r="AD168" s="218"/>
      <c r="AE168" s="595"/>
      <c r="AF168" s="595"/>
      <c r="AG168" s="618"/>
      <c r="AH168" s="214"/>
    </row>
    <row r="169" spans="2:34" hidden="1">
      <c r="B169" s="424" t="s">
        <v>239</v>
      </c>
      <c r="C169" s="425">
        <f>C162+C160+C164+C166</f>
        <v>144689.01708553688</v>
      </c>
      <c r="D169" s="426"/>
      <c r="E169" s="425">
        <f>E162+E160+E164+E166</f>
        <v>73892.860360489125</v>
      </c>
      <c r="F169" s="425"/>
      <c r="G169" s="425">
        <f>G162+G160+G164+G166</f>
        <v>300914.41528932634</v>
      </c>
      <c r="H169" s="425"/>
      <c r="I169" s="425">
        <f>I162+I160+I164+I166</f>
        <v>306208.07829705602</v>
      </c>
      <c r="J169" s="425"/>
      <c r="K169" s="425">
        <f>K162+K160+K164+K166</f>
        <v>289725.87025174242</v>
      </c>
      <c r="L169" s="425"/>
      <c r="M169" s="425">
        <f>M162+M160+M164+M166</f>
        <v>425328.23688402411</v>
      </c>
      <c r="N169" s="425"/>
      <c r="O169" s="425">
        <f>O162+O160+O164+O166</f>
        <v>192750.62624412955</v>
      </c>
      <c r="P169" s="425"/>
      <c r="Q169" s="425">
        <f>Q162+Q160+Q164+Q166</f>
        <v>333554.74943180114</v>
      </c>
      <c r="R169" s="425"/>
      <c r="S169" s="425">
        <f>S162+S160+S164+S166</f>
        <v>313508.61129012634</v>
      </c>
      <c r="T169" s="425"/>
      <c r="U169" s="425">
        <f>U162+U160+U164+U166</f>
        <v>180688.06688985697</v>
      </c>
      <c r="V169" s="425"/>
      <c r="W169" s="425">
        <f>W162+W160+W164+W166</f>
        <v>217906.31340258935</v>
      </c>
      <c r="X169" s="425"/>
      <c r="Y169" s="425">
        <f>Y162+Y160+Y164+Y166</f>
        <v>418362.27962929057</v>
      </c>
      <c r="Z169" s="425"/>
      <c r="AA169" s="425">
        <f>AA162+AA160+AA164+AA166</f>
        <v>3197529.1250559618</v>
      </c>
      <c r="AB169" s="218"/>
      <c r="AC169" s="215">
        <f>AA169/12</f>
        <v>266460.76042133017</v>
      </c>
      <c r="AD169" s="218"/>
      <c r="AE169" s="595"/>
      <c r="AF169" s="595"/>
      <c r="AG169" s="618"/>
      <c r="AH169" s="214"/>
    </row>
    <row r="170" spans="2:34" hidden="1">
      <c r="C170" s="215"/>
      <c r="D170" s="216"/>
      <c r="E170" s="215"/>
      <c r="F170" s="217"/>
      <c r="G170" s="215"/>
      <c r="H170" s="217"/>
      <c r="I170" s="215"/>
      <c r="J170" s="217"/>
      <c r="L170" s="217"/>
      <c r="N170" s="217"/>
      <c r="P170" s="217"/>
      <c r="R170" s="217"/>
      <c r="T170" s="217"/>
      <c r="U170" s="215"/>
      <c r="V170" s="217"/>
      <c r="W170" s="215"/>
      <c r="X170" s="217"/>
      <c r="Y170" s="215"/>
      <c r="Z170" s="217"/>
      <c r="AB170" s="218"/>
      <c r="AD170" s="218"/>
      <c r="AE170" s="595"/>
      <c r="AF170" s="595"/>
      <c r="AG170" s="618"/>
      <c r="AH170" s="214"/>
    </row>
    <row r="171" spans="2:34" hidden="1">
      <c r="B171" s="275"/>
      <c r="C171" s="215"/>
      <c r="D171" s="216"/>
      <c r="E171" s="215"/>
      <c r="F171" s="217"/>
      <c r="G171" s="215"/>
      <c r="H171" s="217"/>
      <c r="I171" s="215"/>
      <c r="J171" s="217"/>
      <c r="L171" s="217"/>
      <c r="N171" s="217"/>
      <c r="P171" s="217"/>
      <c r="R171" s="217"/>
      <c r="T171" s="217"/>
      <c r="U171" s="215"/>
      <c r="V171" s="217"/>
      <c r="W171" s="215"/>
      <c r="X171" s="217"/>
      <c r="Y171" s="215"/>
      <c r="Z171" s="217"/>
      <c r="AB171" s="218"/>
      <c r="AD171" s="218"/>
      <c r="AE171" s="595"/>
      <c r="AF171" s="595"/>
      <c r="AG171" s="618"/>
      <c r="AH171" s="214"/>
    </row>
    <row r="172" spans="2:34" hidden="1">
      <c r="B172" s="427" t="s">
        <v>240</v>
      </c>
      <c r="C172" s="423">
        <f>C169</f>
        <v>144689.01708553688</v>
      </c>
      <c r="D172" s="423"/>
      <c r="E172" s="423">
        <f>C172+E169</f>
        <v>218581.87744602602</v>
      </c>
      <c r="F172" s="423"/>
      <c r="G172" s="423">
        <f>E172+G169</f>
        <v>519496.29273535236</v>
      </c>
      <c r="H172" s="423"/>
      <c r="I172" s="423">
        <f>G172+I169</f>
        <v>825704.37103240844</v>
      </c>
      <c r="J172" s="423"/>
      <c r="K172" s="423">
        <f>I172+K169</f>
        <v>1115430.2412841509</v>
      </c>
      <c r="L172" s="423"/>
      <c r="M172" s="423">
        <f>K172+M169</f>
        <v>1540758.4781681751</v>
      </c>
      <c r="N172" s="423"/>
      <c r="O172" s="423">
        <f>M172+O169</f>
        <v>1733509.1044123047</v>
      </c>
      <c r="P172" s="423"/>
      <c r="Q172" s="423">
        <f>O172+Q169</f>
        <v>2067063.8538441057</v>
      </c>
      <c r="R172" s="423"/>
      <c r="S172" s="423">
        <f>Q172+S169</f>
        <v>2380572.4651342323</v>
      </c>
      <c r="T172" s="423"/>
      <c r="U172" s="423">
        <f>S172+U169</f>
        <v>2561260.5320240892</v>
      </c>
      <c r="V172" s="423"/>
      <c r="W172" s="423">
        <f>U172+W169</f>
        <v>2779166.8454266787</v>
      </c>
      <c r="X172" s="423"/>
      <c r="Y172" s="423">
        <f>W172+Y169</f>
        <v>3197529.1250559692</v>
      </c>
      <c r="Z172" s="423"/>
      <c r="AA172" s="423"/>
      <c r="AB172" s="423"/>
      <c r="AC172" s="423"/>
      <c r="AD172" s="423"/>
      <c r="AE172" s="608"/>
      <c r="AF172" s="608"/>
      <c r="AG172" s="634"/>
      <c r="AH172" s="214"/>
    </row>
  </sheetData>
  <customSheetViews>
    <customSheetView guid="{E19D3675-E478-4A54-8E7A-94A199F67811}" fitToPage="1" hiddenRows="1">
      <pane xSplit="2" ySplit="3" topLeftCell="G121" activePane="bottomRight" state="frozen"/>
      <selection pane="bottomRight" activeCell="L109" sqref="L109"/>
      <pageMargins left="0.7" right="0.7" top="0.65" bottom="0.75" header="0.3" footer="0.3"/>
      <printOptions gridLines="1"/>
      <pageSetup paperSize="8" scale="26" fitToHeight="2" orientation="landscape" r:id="rId1"/>
    </customSheetView>
    <customSheetView guid="{BFB0E08A-7D07-48F2-93C4-BE631A8642F6}" fitToPage="1" hiddenRows="1">
      <pane xSplit="2" ySplit="3" topLeftCell="G4" activePane="bottomRight" state="frozen"/>
      <selection pane="bottomRight" activeCell="L130" sqref="L130"/>
      <pageMargins left="0.7" right="0.7" top="0.65" bottom="0.75" header="0.3" footer="0.3"/>
      <printOptions gridLines="1"/>
      <pageSetup paperSize="8" scale="26" fitToHeight="2" orientation="landscape" r:id="rId2"/>
    </customSheetView>
    <customSheetView guid="{D65E0E17-9A53-4B36-ADDE-FDFBD878E6A1}" fitToPage="1" hiddenRows="1">
      <pane xSplit="2" ySplit="3" topLeftCell="C106" activePane="bottomRight" state="frozen"/>
      <selection pane="bottomRight" activeCell="I131" sqref="I131"/>
      <pageMargins left="0.7" right="0.7" top="0.65" bottom="0.75" header="0.3" footer="0.3"/>
      <printOptions gridLines="1"/>
      <pageSetup paperSize="8" scale="26" fitToHeight="2" orientation="landscape" r:id="rId3"/>
    </customSheetView>
    <customSheetView guid="{F3E5B7E7-D3C6-4CDC-BAA7-D62F15A870E4}" fitToPage="1" hiddenRows="1">
      <pane xSplit="2" ySplit="3" topLeftCell="V4" activePane="bottomRight" state="frozen"/>
      <selection pane="bottomRight" activeCell="AB17" sqref="AB17"/>
      <pageMargins left="0.7" right="0.7" top="0.65" bottom="0.75" header="0.3" footer="0.3"/>
      <printOptions gridLines="1"/>
      <pageSetup paperSize="8" scale="26" fitToHeight="2" orientation="landscape" r:id="rId4"/>
    </customSheetView>
    <customSheetView guid="{879F34B1-DA85-44D2-99EE-74A633FB2C72}" fitToPage="1" hiddenRows="1">
      <pane xSplit="2" ySplit="3" topLeftCell="V4" activePane="bottomRight" state="frozen"/>
      <selection pane="bottomRight" activeCell="A16" sqref="A16:XFD19"/>
      <pageMargins left="0.7" right="0.7" top="0.65" bottom="0.75" header="0.3" footer="0.3"/>
      <printOptions gridLines="1"/>
      <pageSetup paperSize="8" scale="26" fitToHeight="2" orientation="landscape" r:id="rId5"/>
    </customSheetView>
    <customSheetView guid="{02AA01BD-C75B-4B6E-A8E6-EEB6E90D29E4}" fitToPage="1" hiddenRows="1">
      <pane xSplit="2" ySplit="3" topLeftCell="S4" activePane="bottomRight" state="frozen"/>
      <selection pane="bottomRight" activeCell="AB7" sqref="AB7"/>
      <pageMargins left="0.7" right="0.7" top="0.65" bottom="0.75" header="0.3" footer="0.3"/>
      <printOptions gridLines="1"/>
      <pageSetup paperSize="8" scale="38" fitToHeight="2" orientation="landscape" r:id="rId6"/>
    </customSheetView>
    <customSheetView guid="{209662B1-09B2-4060-A837-250CED7848ED}" fitToPage="1" hiddenRows="1">
      <pane xSplit="2" ySplit="3" topLeftCell="Y58" activePane="bottomRight" state="frozen"/>
      <selection pane="bottomRight" activeCell="AP62" sqref="AP62"/>
      <pageMargins left="0.7" right="0.7" top="0.65" bottom="0.75" header="0.3" footer="0.3"/>
      <printOptions gridLines="1"/>
      <pageSetup paperSize="8" scale="26" fitToHeight="2" orientation="landscape" r:id="rId7"/>
    </customSheetView>
    <customSheetView guid="{B2BB7590-1CD2-4457-858D-F8835B99F338}" fitToPage="1" hiddenRows="1">
      <pane xSplit="2" ySplit="3" topLeftCell="L36" activePane="bottomRight" state="frozen"/>
      <selection pane="bottomRight" activeCell="O161" sqref="O161"/>
      <pageMargins left="0.7" right="0.7" top="0.65" bottom="0.75" header="0.3" footer="0.3"/>
      <printOptions gridLines="1"/>
      <pageSetup paperSize="8" scale="38" fitToHeight="2" orientation="landscape" r:id="rId8"/>
    </customSheetView>
    <customSheetView guid="{C4C974E7-2FCF-4C3A-A063-03001047949F}" topLeftCell="A103">
      <selection activeCell="A141" sqref="A141:XFD141"/>
      <pageMargins left="0.7" right="0.7" top="0.75" bottom="0.75" header="0.3" footer="0.3"/>
    </customSheetView>
    <customSheetView guid="{A8167CC1-C909-4D11-B8D5-4313083C8125}" fitToPage="1" hiddenRows="1" hiddenColumns="1">
      <pane xSplit="2" ySplit="3" topLeftCell="C118" activePane="bottomRight" state="frozen"/>
      <selection pane="bottomRight" activeCell="I130" sqref="I130"/>
      <pageMargins left="0.7" right="0.7" top="0.65" bottom="0.75" header="0.3" footer="0.3"/>
      <printOptions gridLines="1"/>
      <pageSetup paperSize="8" scale="24" fitToHeight="2" orientation="landscape" r:id="rId9"/>
    </customSheetView>
    <customSheetView guid="{AA4262F8-9AB3-4147-94E2-8DEF81F7E83C}" fitToPage="1" hiddenRows="1">
      <pane xSplit="2" ySplit="3" topLeftCell="C61" activePane="bottomRight" state="frozen"/>
      <selection pane="bottomRight" activeCell="I79" sqref="I79"/>
      <pageMargins left="0.7" right="0.7" top="0.65" bottom="0.75" header="0.3" footer="0.3"/>
      <printOptions gridLines="1"/>
      <pageSetup paperSize="8" scale="26" fitToHeight="2" orientation="landscape" r:id="rId10"/>
    </customSheetView>
  </customSheetViews>
  <mergeCells count="1">
    <mergeCell ref="A1:AD1"/>
  </mergeCells>
  <conditionalFormatting sqref="W146 Q146">
    <cfRule type="cellIs" dxfId="7" priority="5" operator="lessThan">
      <formula>0</formula>
    </cfRule>
  </conditionalFormatting>
  <printOptions gridLines="1"/>
  <pageMargins left="0.7" right="0.7" top="0.65" bottom="0.75" header="0.3" footer="0.3"/>
  <pageSetup paperSize="8" scale="36" fitToHeight="2" orientation="landscape" r:id="rId11"/>
  <legacyDrawing r:id="rId1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I158"/>
  <sheetViews>
    <sheetView zoomScale="85" zoomScaleNormal="85" workbookViewId="0">
      <pane xSplit="2" ySplit="4" topLeftCell="N110" activePane="bottomRight" state="frozen"/>
      <selection pane="topRight" activeCell="C1" sqref="C1"/>
      <selection pane="bottomLeft" activeCell="A5" sqref="A5"/>
      <selection pane="bottomRight" activeCell="Y142" sqref="Y142"/>
    </sheetView>
  </sheetViews>
  <sheetFormatPr defaultColWidth="9.140625" defaultRowHeight="15"/>
  <cols>
    <col min="1" max="1" width="6.42578125" style="451" bestFit="1" customWidth="1"/>
    <col min="2" max="2" width="36.28515625" style="451" customWidth="1"/>
    <col min="3" max="3" width="13.28515625" style="450" bestFit="1" customWidth="1"/>
    <col min="4" max="4" width="7.7109375" style="451" bestFit="1" customWidth="1"/>
    <col min="5" max="5" width="14.42578125" style="450" customWidth="1"/>
    <col min="6" max="6" width="7.85546875" style="451" bestFit="1" customWidth="1"/>
    <col min="7" max="7" width="14.28515625" style="450" bestFit="1" customWidth="1"/>
    <col min="8" max="8" width="8.85546875" style="451" bestFit="1" customWidth="1"/>
    <col min="9" max="9" width="14.5703125" style="450" customWidth="1"/>
    <col min="10" max="10" width="7.5703125" style="451" customWidth="1"/>
    <col min="11" max="11" width="14" style="452" bestFit="1" customWidth="1"/>
    <col min="12" max="12" width="8.28515625" style="451" customWidth="1"/>
    <col min="13" max="13" width="14" style="452" bestFit="1" customWidth="1"/>
    <col min="14" max="14" width="8.140625" style="451" bestFit="1" customWidth="1"/>
    <col min="15" max="15" width="14" style="452" bestFit="1" customWidth="1"/>
    <col min="16" max="16" width="7.85546875" style="453" bestFit="1" customWidth="1"/>
    <col min="17" max="17" width="14" style="452" bestFit="1" customWidth="1"/>
    <col min="18" max="18" width="8.140625" style="453" customWidth="1"/>
    <col min="19" max="19" width="14" style="452" bestFit="1" customWidth="1"/>
    <col min="20" max="20" width="7.5703125" style="453" customWidth="1"/>
    <col min="21" max="21" width="14" style="450" bestFit="1" customWidth="1"/>
    <col min="22" max="22" width="7.140625" style="453" bestFit="1" customWidth="1"/>
    <col min="23" max="23" width="14.28515625" style="450" bestFit="1" customWidth="1"/>
    <col min="24" max="24" width="7.140625" style="453" bestFit="1" customWidth="1"/>
    <col min="25" max="25" width="14" style="450" bestFit="1" customWidth="1"/>
    <col min="26" max="26" width="7.140625" style="453" bestFit="1" customWidth="1"/>
    <col min="27" max="27" width="15.42578125" style="451" bestFit="1" customWidth="1"/>
    <col min="28" max="28" width="7.85546875" style="453" bestFit="1" customWidth="1"/>
    <col min="29" max="29" width="12" style="451" bestFit="1" customWidth="1"/>
    <col min="30" max="30" width="7.85546875" style="453" bestFit="1" customWidth="1"/>
    <col min="31" max="31" width="27.7109375" style="839" customWidth="1"/>
    <col min="32" max="32" width="48.85546875" style="839" customWidth="1"/>
    <col min="33" max="33" width="7.85546875" style="839" customWidth="1"/>
    <col min="34" max="34" width="9.140625" style="451" customWidth="1"/>
    <col min="35" max="35" width="11.7109375" style="451" bestFit="1" customWidth="1"/>
    <col min="36" max="53" width="9.140625" style="451" customWidth="1"/>
    <col min="54" max="16384" width="9.140625" style="451"/>
  </cols>
  <sheetData>
    <row r="1" spans="1:33" s="813" customFormat="1">
      <c r="A1" s="1006" t="s">
        <v>367</v>
      </c>
      <c r="B1" s="1006"/>
      <c r="C1" s="1006"/>
      <c r="D1" s="1006"/>
      <c r="E1" s="1006"/>
      <c r="F1" s="1006"/>
      <c r="G1" s="1006"/>
      <c r="H1" s="1006"/>
      <c r="I1" s="1006"/>
      <c r="J1" s="1006"/>
      <c r="K1" s="1006"/>
      <c r="L1" s="1006"/>
      <c r="M1" s="1006"/>
      <c r="N1" s="1006"/>
      <c r="O1" s="1006"/>
      <c r="P1" s="1006"/>
      <c r="Q1" s="1006"/>
      <c r="R1" s="1006"/>
      <c r="S1" s="1006"/>
      <c r="T1" s="1006"/>
      <c r="U1" s="1006"/>
      <c r="V1" s="1006"/>
      <c r="W1" s="1006"/>
      <c r="X1" s="1006"/>
      <c r="Y1" s="1006"/>
      <c r="Z1" s="1006"/>
      <c r="AA1" s="1006"/>
      <c r="AB1" s="1006"/>
      <c r="AC1" s="1006"/>
      <c r="AD1" s="1006"/>
      <c r="AE1" s="812"/>
      <c r="AF1" s="812"/>
      <c r="AG1" s="812"/>
    </row>
    <row r="2" spans="1:33" s="109" customFormat="1">
      <c r="A2" s="438"/>
      <c r="B2" s="989" t="s">
        <v>355</v>
      </c>
      <c r="C2" s="439" t="s">
        <v>64</v>
      </c>
      <c r="D2" s="439"/>
      <c r="E2" s="439" t="s">
        <v>65</v>
      </c>
      <c r="F2" s="439"/>
      <c r="G2" s="439" t="s">
        <v>81</v>
      </c>
      <c r="H2" s="439"/>
      <c r="I2" s="439" t="s">
        <v>82</v>
      </c>
      <c r="J2" s="439"/>
      <c r="K2" s="439" t="s">
        <v>83</v>
      </c>
      <c r="L2" s="439"/>
      <c r="M2" s="799" t="s">
        <v>84</v>
      </c>
      <c r="N2" s="439"/>
      <c r="O2" s="439" t="s">
        <v>85</v>
      </c>
      <c r="P2" s="439"/>
      <c r="Q2" s="439" t="s">
        <v>86</v>
      </c>
      <c r="R2" s="439"/>
      <c r="S2" s="809" t="s">
        <v>87</v>
      </c>
      <c r="T2" s="439"/>
      <c r="U2" s="439" t="s">
        <v>123</v>
      </c>
      <c r="V2" s="439"/>
      <c r="W2" s="439" t="s">
        <v>124</v>
      </c>
      <c r="X2" s="439"/>
      <c r="Y2" s="439" t="s">
        <v>125</v>
      </c>
      <c r="Z2" s="439"/>
      <c r="AA2" s="440" t="s">
        <v>120</v>
      </c>
      <c r="AB2" s="440"/>
      <c r="AC2" s="441" t="s">
        <v>121</v>
      </c>
      <c r="AD2" s="441"/>
      <c r="AE2" s="814"/>
      <c r="AF2" s="814"/>
      <c r="AG2" s="814"/>
    </row>
    <row r="3" spans="1:33" s="109" customFormat="1">
      <c r="A3" s="442"/>
      <c r="B3" s="443" t="s">
        <v>69</v>
      </c>
      <c r="C3" s="444" t="s">
        <v>115</v>
      </c>
      <c r="D3" s="445" t="s">
        <v>80</v>
      </c>
      <c r="E3" s="444" t="s">
        <v>115</v>
      </c>
      <c r="F3" s="445" t="s">
        <v>80</v>
      </c>
      <c r="G3" s="444" t="s">
        <v>115</v>
      </c>
      <c r="H3" s="445" t="s">
        <v>80</v>
      </c>
      <c r="I3" s="444" t="s">
        <v>115</v>
      </c>
      <c r="J3" s="445" t="s">
        <v>80</v>
      </c>
      <c r="K3" s="446" t="s">
        <v>115</v>
      </c>
      <c r="L3" s="445" t="s">
        <v>80</v>
      </c>
      <c r="M3" s="446" t="s">
        <v>115</v>
      </c>
      <c r="N3" s="445" t="s">
        <v>80</v>
      </c>
      <c r="O3" s="446" t="s">
        <v>115</v>
      </c>
      <c r="P3" s="447" t="s">
        <v>80</v>
      </c>
      <c r="Q3" s="446" t="s">
        <v>115</v>
      </c>
      <c r="R3" s="447" t="s">
        <v>80</v>
      </c>
      <c r="S3" s="446" t="s">
        <v>115</v>
      </c>
      <c r="T3" s="447" t="s">
        <v>80</v>
      </c>
      <c r="U3" s="444" t="s">
        <v>115</v>
      </c>
      <c r="V3" s="447" t="s">
        <v>80</v>
      </c>
      <c r="W3" s="444" t="s">
        <v>115</v>
      </c>
      <c r="X3" s="447" t="s">
        <v>80</v>
      </c>
      <c r="Y3" s="444" t="s">
        <v>115</v>
      </c>
      <c r="Z3" s="447" t="s">
        <v>80</v>
      </c>
      <c r="AA3" s="440" t="s">
        <v>115</v>
      </c>
      <c r="AB3" s="448" t="s">
        <v>80</v>
      </c>
      <c r="AC3" s="441" t="s">
        <v>115</v>
      </c>
      <c r="AD3" s="449" t="s">
        <v>80</v>
      </c>
      <c r="AE3" s="814" t="s">
        <v>183</v>
      </c>
      <c r="AF3" s="814" t="s">
        <v>181</v>
      </c>
      <c r="AG3" s="814" t="s">
        <v>225</v>
      </c>
    </row>
    <row r="4" spans="1:33" s="109" customFormat="1">
      <c r="C4" s="450" t="s">
        <v>234</v>
      </c>
      <c r="D4" s="451"/>
      <c r="E4" s="450" t="s">
        <v>234</v>
      </c>
      <c r="F4" s="451"/>
      <c r="G4" s="450" t="s">
        <v>234</v>
      </c>
      <c r="H4" s="451"/>
      <c r="I4" s="450" t="s">
        <v>234</v>
      </c>
      <c r="J4" s="451"/>
      <c r="K4" s="452" t="s">
        <v>234</v>
      </c>
      <c r="L4" s="451"/>
      <c r="M4" s="452" t="s">
        <v>234</v>
      </c>
      <c r="N4" s="451"/>
      <c r="O4" s="452" t="s">
        <v>234</v>
      </c>
      <c r="P4" s="453"/>
      <c r="Q4" s="452" t="s">
        <v>234</v>
      </c>
      <c r="R4" s="453"/>
      <c r="S4" s="452" t="s">
        <v>234</v>
      </c>
      <c r="T4" s="453"/>
      <c r="U4" s="450" t="s">
        <v>234</v>
      </c>
      <c r="V4" s="453"/>
      <c r="W4" s="450" t="s">
        <v>234</v>
      </c>
      <c r="X4" s="453"/>
      <c r="Y4" s="450" t="s">
        <v>234</v>
      </c>
      <c r="Z4" s="453"/>
      <c r="AA4" s="454"/>
      <c r="AB4" s="455"/>
      <c r="AC4" s="456"/>
      <c r="AD4" s="457"/>
      <c r="AE4" s="815"/>
      <c r="AF4" s="815"/>
      <c r="AG4" s="815"/>
    </row>
    <row r="5" spans="1:33" s="109" customFormat="1">
      <c r="A5" s="762">
        <v>5004</v>
      </c>
      <c r="B5" s="763" t="s">
        <v>71</v>
      </c>
      <c r="C5" s="914">
        <f>1135291+C9</f>
        <v>1464525.5120135425</v>
      </c>
      <c r="E5" s="915">
        <f>883258.387172351+E9</f>
        <v>1033412.3129916507</v>
      </c>
      <c r="G5" s="916">
        <f>1465129+G9</f>
        <v>1919319.0591321029</v>
      </c>
      <c r="I5" s="917">
        <f>1293700.70301102+I9</f>
        <v>1642999.8928239956</v>
      </c>
      <c r="K5" s="918">
        <f>1183221.08332659+K9</f>
        <v>1396200.8783253757</v>
      </c>
      <c r="M5" s="919">
        <f>1677791.11419975+M9</f>
        <v>2197906.3596016709</v>
      </c>
      <c r="O5" s="920">
        <f>1062227.20659882+O9</f>
        <v>1380895.3685784671</v>
      </c>
      <c r="Q5" s="921">
        <f>1319008.9907106+Q9</f>
        <v>1688331.5081095695</v>
      </c>
      <c r="S5" s="922">
        <f>1328742.32+S9</f>
        <v>1634353.0540169387</v>
      </c>
      <c r="U5" s="923">
        <f>1053967.08537385+U9</f>
        <v>1380696.8818397424</v>
      </c>
      <c r="W5" s="924">
        <f>1072349.88319563+W9</f>
        <v>1254649.3633388875</v>
      </c>
      <c r="Y5" s="925">
        <f>1619959.80874009+Y9</f>
        <v>2073548.5551873152</v>
      </c>
      <c r="Z5" s="458">
        <v>0</v>
      </c>
      <c r="AA5" s="464">
        <f t="shared" ref="AA5:AA11" si="0">C5+E5+G5+I5+K5+M5+O5+Q5+S5+U5+W5+Y5</f>
        <v>19066838.74595926</v>
      </c>
      <c r="AB5" s="458">
        <v>0</v>
      </c>
      <c r="AC5" s="472">
        <f>AA5/12</f>
        <v>1588903.2288299382</v>
      </c>
      <c r="AD5" s="458">
        <v>0</v>
      </c>
      <c r="AE5" s="816"/>
      <c r="AF5" s="816"/>
      <c r="AG5" s="816"/>
    </row>
    <row r="6" spans="1:33" s="109" customFormat="1">
      <c r="A6" s="109">
        <v>5005</v>
      </c>
      <c r="B6" s="109" t="s">
        <v>67</v>
      </c>
      <c r="C6" s="31"/>
      <c r="D6" s="702"/>
      <c r="E6" s="26"/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464">
        <f t="shared" si="0"/>
        <v>0</v>
      </c>
      <c r="AB6" s="462">
        <f>AA6/AA$5</f>
        <v>0</v>
      </c>
      <c r="AC6" s="472">
        <f t="shared" ref="AC6:AC14" si="1">AA6/12</f>
        <v>0</v>
      </c>
      <c r="AD6" s="462">
        <f>AC6/AC$5</f>
        <v>0</v>
      </c>
      <c r="AE6" s="817"/>
      <c r="AF6" s="817"/>
      <c r="AG6" s="817"/>
    </row>
    <row r="7" spans="1:33" s="109" customFormat="1">
      <c r="A7" s="465">
        <v>5051</v>
      </c>
      <c r="B7" s="466" t="s">
        <v>74</v>
      </c>
      <c r="C7" s="31"/>
      <c r="D7" s="702">
        <f>C7/C$5</f>
        <v>0</v>
      </c>
      <c r="E7" s="27"/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464">
        <f t="shared" si="0"/>
        <v>0</v>
      </c>
      <c r="AB7" s="462">
        <f t="shared" ref="AB7:AB11" si="2">AA7/AA$5</f>
        <v>0</v>
      </c>
      <c r="AC7" s="472">
        <f t="shared" si="1"/>
        <v>0</v>
      </c>
      <c r="AD7" s="462">
        <f t="shared" ref="AD7:AD11" si="3">AC7/AC$5</f>
        <v>0</v>
      </c>
      <c r="AE7" s="817"/>
      <c r="AF7" s="817"/>
      <c r="AG7" s="817"/>
    </row>
    <row r="8" spans="1:33" s="109" customFormat="1">
      <c r="A8" s="109">
        <v>5052</v>
      </c>
      <c r="B8" s="109" t="s">
        <v>90</v>
      </c>
      <c r="C8" s="31"/>
      <c r="D8" s="702">
        <f t="shared" ref="D8:D11" si="4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5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6">Y8/Y$5</f>
        <v>0</v>
      </c>
      <c r="AA8" s="464">
        <f t="shared" si="0"/>
        <v>0</v>
      </c>
      <c r="AB8" s="462">
        <f t="shared" si="2"/>
        <v>0</v>
      </c>
      <c r="AC8" s="472">
        <f t="shared" si="1"/>
        <v>0</v>
      </c>
      <c r="AD8" s="462">
        <f t="shared" si="3"/>
        <v>0</v>
      </c>
      <c r="AE8" s="817"/>
      <c r="AF8" s="817"/>
      <c r="AG8" s="817"/>
    </row>
    <row r="9" spans="1:33" s="109" customFormat="1">
      <c r="A9" s="109">
        <v>5101</v>
      </c>
      <c r="B9" s="109" t="s">
        <v>46</v>
      </c>
      <c r="C9" s="1">
        <v>329234.51201354235</v>
      </c>
      <c r="D9" s="702">
        <v>0.32953317399707838</v>
      </c>
      <c r="E9" s="1">
        <v>150153.92581929965</v>
      </c>
      <c r="F9" s="702">
        <v>0.19317461923966661</v>
      </c>
      <c r="G9" s="1">
        <v>454190.05913210288</v>
      </c>
      <c r="H9" s="702">
        <v>0.35225959978998028</v>
      </c>
      <c r="I9" s="371">
        <v>349299.18981297547</v>
      </c>
      <c r="J9" s="702">
        <v>0.30680674820417642</v>
      </c>
      <c r="K9" s="371">
        <v>212979.79499878574</v>
      </c>
      <c r="L9" s="702">
        <v>0.20453783213611762</v>
      </c>
      <c r="M9" s="33">
        <v>520115.24540192093</v>
      </c>
      <c r="N9" s="702">
        <v>0.35225959978998028</v>
      </c>
      <c r="O9" s="371">
        <v>318668.16197964706</v>
      </c>
      <c r="P9" s="702">
        <v>0.34089638689352925</v>
      </c>
      <c r="Q9" s="371">
        <v>369322.51739896944</v>
      </c>
      <c r="R9" s="702">
        <v>0.3181699611006274</v>
      </c>
      <c r="S9" s="371">
        <v>305610.73401693854</v>
      </c>
      <c r="T9" s="22">
        <v>0.26135389661837255</v>
      </c>
      <c r="U9" s="1">
        <v>326729.79646589234</v>
      </c>
      <c r="V9" s="22">
        <v>0.35225959978998028</v>
      </c>
      <c r="W9" s="1">
        <v>182299.48014325747</v>
      </c>
      <c r="X9" s="22">
        <v>0.19317461923966664</v>
      </c>
      <c r="Y9" s="1">
        <v>453588.7464472251</v>
      </c>
      <c r="Z9" s="22">
        <v>0.31816996110062751</v>
      </c>
      <c r="AA9" s="464">
        <f t="shared" si="0"/>
        <v>3972192.1636305568</v>
      </c>
      <c r="AB9" s="467">
        <f t="shared" si="2"/>
        <v>0.208329876627942</v>
      </c>
      <c r="AC9" s="472">
        <f t="shared" si="1"/>
        <v>331016.01363587973</v>
      </c>
      <c r="AD9" s="462">
        <f t="shared" si="3"/>
        <v>0.208329876627942</v>
      </c>
      <c r="AE9" s="817"/>
      <c r="AF9" s="817"/>
      <c r="AG9" s="817"/>
    </row>
    <row r="10" spans="1:33" s="109" customFormat="1">
      <c r="A10" s="109">
        <v>5102</v>
      </c>
      <c r="B10" s="109" t="s">
        <v>220</v>
      </c>
      <c r="C10" s="31"/>
      <c r="D10" s="702">
        <f t="shared" si="4"/>
        <v>0</v>
      </c>
      <c r="E10" s="26"/>
      <c r="F10" s="702">
        <f t="shared" ref="F10:F11" si="7">E10/E$5</f>
        <v>0</v>
      </c>
      <c r="G10" s="26"/>
      <c r="H10" s="702">
        <f t="shared" ref="H10:H11" si="8">G10/G$5</f>
        <v>0</v>
      </c>
      <c r="I10" s="691"/>
      <c r="J10" s="702">
        <f t="shared" ref="J10:J11" si="9">I10/I$5</f>
        <v>0</v>
      </c>
      <c r="K10" s="26"/>
      <c r="L10" s="702">
        <f t="shared" si="5"/>
        <v>0</v>
      </c>
      <c r="M10" s="26"/>
      <c r="N10" s="702">
        <f t="shared" ref="N10:N11" si="10">M10/M$5</f>
        <v>0</v>
      </c>
      <c r="O10" s="26"/>
      <c r="P10" s="702">
        <f t="shared" ref="P10:P11" si="11">O10/O$5</f>
        <v>0</v>
      </c>
      <c r="Q10" s="26"/>
      <c r="R10" s="702">
        <f t="shared" ref="R10:R11" si="12">Q10/Q$5</f>
        <v>0</v>
      </c>
      <c r="S10" s="26"/>
      <c r="T10" s="702">
        <f t="shared" ref="T10:T11" si="13">S10/S$5</f>
        <v>0</v>
      </c>
      <c r="U10" s="26"/>
      <c r="V10" s="702">
        <f t="shared" ref="V10:V11" si="14">U10/U$5</f>
        <v>0</v>
      </c>
      <c r="W10" s="26"/>
      <c r="X10" s="702">
        <f t="shared" ref="X10:X11" si="15">W10/W$5</f>
        <v>0</v>
      </c>
      <c r="Y10" s="26"/>
      <c r="Z10" s="702">
        <f t="shared" si="6"/>
        <v>0</v>
      </c>
      <c r="AA10" s="464">
        <f t="shared" si="0"/>
        <v>0</v>
      </c>
      <c r="AB10" s="462">
        <f t="shared" si="2"/>
        <v>0</v>
      </c>
      <c r="AC10" s="472">
        <f t="shared" si="1"/>
        <v>0</v>
      </c>
      <c r="AD10" s="462">
        <f t="shared" si="3"/>
        <v>0</v>
      </c>
      <c r="AE10" s="817"/>
      <c r="AF10" s="817"/>
      <c r="AG10" s="817"/>
    </row>
    <row r="11" spans="1:33" s="109" customFormat="1">
      <c r="A11" s="109">
        <v>5103</v>
      </c>
      <c r="B11" s="109" t="s">
        <v>63</v>
      </c>
      <c r="C11" s="26"/>
      <c r="D11" s="702">
        <f t="shared" si="4"/>
        <v>0</v>
      </c>
      <c r="E11" s="27">
        <v>0</v>
      </c>
      <c r="F11" s="702">
        <f t="shared" si="7"/>
        <v>0</v>
      </c>
      <c r="G11" s="26"/>
      <c r="H11" s="702">
        <f t="shared" si="8"/>
        <v>0</v>
      </c>
      <c r="I11" s="26"/>
      <c r="J11" s="702">
        <f t="shared" si="9"/>
        <v>0</v>
      </c>
      <c r="K11" s="26"/>
      <c r="L11" s="702">
        <f t="shared" si="5"/>
        <v>0</v>
      </c>
      <c r="M11" s="26"/>
      <c r="N11" s="702">
        <f t="shared" si="10"/>
        <v>0</v>
      </c>
      <c r="O11" s="26"/>
      <c r="P11" s="702">
        <f t="shared" si="11"/>
        <v>0</v>
      </c>
      <c r="Q11" s="26"/>
      <c r="R11" s="702">
        <f t="shared" si="12"/>
        <v>0</v>
      </c>
      <c r="S11" s="26"/>
      <c r="T11" s="702">
        <f t="shared" si="13"/>
        <v>0</v>
      </c>
      <c r="U11" s="26"/>
      <c r="V11" s="702">
        <f t="shared" si="14"/>
        <v>0</v>
      </c>
      <c r="W11" s="26"/>
      <c r="X11" s="702">
        <f t="shared" si="15"/>
        <v>0</v>
      </c>
      <c r="Y11" s="26"/>
      <c r="Z11" s="702">
        <f t="shared" si="6"/>
        <v>0</v>
      </c>
      <c r="AA11" s="464">
        <f t="shared" si="0"/>
        <v>0</v>
      </c>
      <c r="AB11" s="462">
        <f t="shared" si="2"/>
        <v>0</v>
      </c>
      <c r="AC11" s="472">
        <f t="shared" si="1"/>
        <v>0</v>
      </c>
      <c r="AD11" s="462">
        <f t="shared" si="3"/>
        <v>0</v>
      </c>
      <c r="AE11" s="817"/>
      <c r="AF11" s="817"/>
      <c r="AG11" s="817"/>
    </row>
    <row r="12" spans="1:33" s="109" customFormat="1">
      <c r="A12" s="468">
        <v>5149</v>
      </c>
      <c r="B12" s="468" t="s">
        <v>66</v>
      </c>
      <c r="C12" s="469">
        <f>C5+C6-C7-C8-C9-C10+C11</f>
        <v>1135291</v>
      </c>
      <c r="D12" s="470">
        <v>1</v>
      </c>
      <c r="E12" s="469">
        <f>E5+E6-E7-E8-E9-E10+E11</f>
        <v>883258.38717235101</v>
      </c>
      <c r="F12" s="470">
        <v>1</v>
      </c>
      <c r="G12" s="469">
        <f>G5+G6-G7-G8-G9-G10+G11</f>
        <v>1465129</v>
      </c>
      <c r="H12" s="470">
        <v>1</v>
      </c>
      <c r="I12" s="469">
        <f>I5+I6-I7-I8-I9-I10+I11</f>
        <v>1293700.7030110201</v>
      </c>
      <c r="J12" s="470">
        <v>1</v>
      </c>
      <c r="K12" s="469">
        <f>K5+K6-K7-K8-K9-K10+K11</f>
        <v>1183221.08332659</v>
      </c>
      <c r="L12" s="470">
        <v>1</v>
      </c>
      <c r="M12" s="483">
        <f>M5+M6-M7-M8-M9-M10+M11</f>
        <v>1677791.1141997499</v>
      </c>
      <c r="N12" s="470">
        <v>1</v>
      </c>
      <c r="O12" s="469">
        <f>O5+O6-O7-O8-O9-O10+O11</f>
        <v>1062227.2065988199</v>
      </c>
      <c r="P12" s="470">
        <v>1</v>
      </c>
      <c r="Q12" s="469">
        <f>Q5+Q6-Q7-Q8-Q9-Q10+Q11</f>
        <v>1319008.9907106</v>
      </c>
      <c r="R12" s="470">
        <v>1</v>
      </c>
      <c r="S12" s="469">
        <f>S5+S6-S7-S8-S9-S10+S11</f>
        <v>1328742.32</v>
      </c>
      <c r="T12" s="470">
        <v>1</v>
      </c>
      <c r="U12" s="469">
        <f>U5+U6-U7-U8-U9-U10+U11</f>
        <v>1053967.0853738501</v>
      </c>
      <c r="V12" s="470">
        <v>1</v>
      </c>
      <c r="W12" s="469">
        <f>W5+W6-W7-W8-W9-W10+W11</f>
        <v>1072349.88319563</v>
      </c>
      <c r="X12" s="470">
        <v>1</v>
      </c>
      <c r="Y12" s="469">
        <f>Y5+Y6-Y7-Y8-Y9-Y10+Y11</f>
        <v>1619959.8087400901</v>
      </c>
      <c r="Z12" s="470">
        <v>1</v>
      </c>
      <c r="AA12" s="471">
        <f>AA5+AA6-AA7-AA8-AA9-AA10+AA11</f>
        <v>15094646.582328703</v>
      </c>
      <c r="AB12" s="470">
        <v>1</v>
      </c>
      <c r="AC12" s="471">
        <f>AC5+AC6-AC7-AC8-AC9-AC10+AC11</f>
        <v>1257887.2151940586</v>
      </c>
      <c r="AD12" s="470">
        <v>1</v>
      </c>
      <c r="AE12" s="818"/>
      <c r="AF12" s="818"/>
      <c r="AG12" s="818"/>
    </row>
    <row r="13" spans="1:33" s="109" customFormat="1">
      <c r="A13" s="109">
        <v>5151</v>
      </c>
      <c r="B13" s="109" t="s">
        <v>47</v>
      </c>
      <c r="C13" s="461"/>
      <c r="D13" s="460"/>
      <c r="E13" s="461"/>
      <c r="F13" s="460"/>
      <c r="G13" s="461"/>
      <c r="H13" s="460"/>
      <c r="I13" s="461"/>
      <c r="J13" s="460"/>
      <c r="K13" s="452"/>
      <c r="L13" s="460"/>
      <c r="M13" s="452"/>
      <c r="N13" s="460"/>
      <c r="O13" s="452"/>
      <c r="P13" s="460"/>
      <c r="Q13" s="452"/>
      <c r="R13" s="460"/>
      <c r="S13" s="452"/>
      <c r="T13" s="460"/>
      <c r="U13" s="461"/>
      <c r="V13" s="460"/>
      <c r="W13" s="461"/>
      <c r="X13" s="460"/>
      <c r="Y13" s="461"/>
      <c r="Z13" s="460"/>
      <c r="AA13" s="464">
        <f>C13+E13+G13+I13+K13+M13+O13+Q13+S13+U13+W13+Y13</f>
        <v>0</v>
      </c>
      <c r="AB13" s="460"/>
      <c r="AC13" s="472">
        <f t="shared" si="1"/>
        <v>0</v>
      </c>
      <c r="AD13" s="460"/>
      <c r="AE13" s="819"/>
      <c r="AF13" s="819"/>
      <c r="AG13" s="819"/>
    </row>
    <row r="14" spans="1:33" s="109" customFormat="1">
      <c r="A14" s="109">
        <v>5152</v>
      </c>
      <c r="B14" s="109" t="s">
        <v>48</v>
      </c>
      <c r="C14" s="461"/>
      <c r="D14" s="460"/>
      <c r="E14" s="461"/>
      <c r="F14" s="460"/>
      <c r="G14" s="461"/>
      <c r="H14" s="460"/>
      <c r="I14" s="461"/>
      <c r="J14" s="460"/>
      <c r="K14" s="452"/>
      <c r="L14" s="460"/>
      <c r="M14" s="452"/>
      <c r="N14" s="460"/>
      <c r="O14" s="452"/>
      <c r="P14" s="460"/>
      <c r="Q14" s="452"/>
      <c r="R14" s="460"/>
      <c r="S14" s="452"/>
      <c r="T14" s="460"/>
      <c r="U14" s="461"/>
      <c r="V14" s="460"/>
      <c r="W14" s="461"/>
      <c r="X14" s="460"/>
      <c r="Y14" s="461"/>
      <c r="Z14" s="460"/>
      <c r="AA14" s="464">
        <f>C14+E14+G14+I14+K14+M14+O14+Q14+S14+U14+W14+Y14</f>
        <v>0</v>
      </c>
      <c r="AB14" s="460"/>
      <c r="AC14" s="472">
        <f t="shared" si="1"/>
        <v>0</v>
      </c>
      <c r="AD14" s="460"/>
      <c r="AE14" s="819"/>
      <c r="AF14" s="819"/>
      <c r="AG14" s="819"/>
    </row>
    <row r="15" spans="1:33" s="109" customFormat="1">
      <c r="A15" s="468">
        <v>5198</v>
      </c>
      <c r="B15" s="468" t="s">
        <v>106</v>
      </c>
      <c r="C15" s="469">
        <f>C13+C14</f>
        <v>0</v>
      </c>
      <c r="D15" s="471"/>
      <c r="E15" s="469">
        <f>E13+E14</f>
        <v>0</v>
      </c>
      <c r="F15" s="471"/>
      <c r="G15" s="469">
        <f>G13+G14</f>
        <v>0</v>
      </c>
      <c r="H15" s="471"/>
      <c r="I15" s="469">
        <f>I13+I14</f>
        <v>0</v>
      </c>
      <c r="J15" s="471"/>
      <c r="K15" s="473">
        <f>K13+K14</f>
        <v>0</v>
      </c>
      <c r="L15" s="471"/>
      <c r="M15" s="473">
        <f>M13+M14</f>
        <v>0</v>
      </c>
      <c r="N15" s="471"/>
      <c r="O15" s="473">
        <f>O13+O14</f>
        <v>0</v>
      </c>
      <c r="P15" s="471"/>
      <c r="Q15" s="473">
        <f>Q13+Q14</f>
        <v>0</v>
      </c>
      <c r="R15" s="471"/>
      <c r="S15" s="473">
        <f>S13+S14</f>
        <v>0</v>
      </c>
      <c r="T15" s="471"/>
      <c r="U15" s="469">
        <f>U13+U14</f>
        <v>0</v>
      </c>
      <c r="V15" s="471"/>
      <c r="W15" s="469">
        <f>W13+W14</f>
        <v>0</v>
      </c>
      <c r="X15" s="471"/>
      <c r="Y15" s="469">
        <f>Y13+Y14</f>
        <v>0</v>
      </c>
      <c r="Z15" s="471"/>
      <c r="AA15" s="471">
        <f>AA13+AA14</f>
        <v>0</v>
      </c>
      <c r="AB15" s="471"/>
      <c r="AC15" s="471">
        <f>AC13+AC14</f>
        <v>0</v>
      </c>
      <c r="AD15" s="471"/>
      <c r="AE15" s="820"/>
      <c r="AF15" s="820"/>
      <c r="AG15" s="820"/>
    </row>
    <row r="16" spans="1:33" s="109" customFormat="1">
      <c r="A16" s="474">
        <v>5199</v>
      </c>
      <c r="B16" s="474" t="s">
        <v>70</v>
      </c>
      <c r="C16" s="475">
        <f>C12+C15</f>
        <v>1135291</v>
      </c>
      <c r="D16" s="476">
        <f>C16/C12</f>
        <v>1</v>
      </c>
      <c r="E16" s="475">
        <f>E12+E15</f>
        <v>883258.38717235101</v>
      </c>
      <c r="F16" s="476">
        <f>E16/E12</f>
        <v>1</v>
      </c>
      <c r="G16" s="475">
        <f>G12+G15</f>
        <v>1465129</v>
      </c>
      <c r="H16" s="476">
        <f>G16/G12</f>
        <v>1</v>
      </c>
      <c r="I16" s="475">
        <f>I12+I15</f>
        <v>1293700.7030110201</v>
      </c>
      <c r="J16" s="476">
        <f>I16/I12</f>
        <v>1</v>
      </c>
      <c r="K16" s="477">
        <f>K12+K15</f>
        <v>1183221.08332659</v>
      </c>
      <c r="L16" s="476">
        <f>K16/K12</f>
        <v>1</v>
      </c>
      <c r="M16" s="477">
        <f>M12+M15</f>
        <v>1677791.1141997499</v>
      </c>
      <c r="N16" s="476">
        <f>M16/M12</f>
        <v>1</v>
      </c>
      <c r="O16" s="477">
        <f>O12+O15</f>
        <v>1062227.2065988199</v>
      </c>
      <c r="P16" s="476">
        <f>O16/O12</f>
        <v>1</v>
      </c>
      <c r="Q16" s="477">
        <f>Q12+Q15</f>
        <v>1319008.9907106</v>
      </c>
      <c r="R16" s="476">
        <f>Q16/Q12</f>
        <v>1</v>
      </c>
      <c r="S16" s="477">
        <f>S12+S15</f>
        <v>1328742.32</v>
      </c>
      <c r="T16" s="476">
        <f>S16/S12</f>
        <v>1</v>
      </c>
      <c r="U16" s="475">
        <f>U12+U15</f>
        <v>1053967.0853738501</v>
      </c>
      <c r="V16" s="476">
        <f>U16/U12</f>
        <v>1</v>
      </c>
      <c r="W16" s="475">
        <f>W12+W15</f>
        <v>1072349.88319563</v>
      </c>
      <c r="X16" s="476">
        <f>W16/W12</f>
        <v>1</v>
      </c>
      <c r="Y16" s="475">
        <f>Y12+Y15</f>
        <v>1619959.8087400901</v>
      </c>
      <c r="Z16" s="476">
        <f>Y16/Y12</f>
        <v>1</v>
      </c>
      <c r="AA16" s="478">
        <f>AA12+AA15</f>
        <v>15094646.582328703</v>
      </c>
      <c r="AB16" s="476">
        <f>AA16/AA12</f>
        <v>1</v>
      </c>
      <c r="AC16" s="478">
        <f>AC12+AC15</f>
        <v>1257887.2151940586</v>
      </c>
      <c r="AD16" s="476">
        <f>AC16/AC12</f>
        <v>1</v>
      </c>
      <c r="AE16" s="821"/>
      <c r="AF16" s="821"/>
      <c r="AG16" s="821"/>
    </row>
    <row r="17" spans="1:33" s="109" customFormat="1">
      <c r="A17" s="479">
        <v>5502</v>
      </c>
      <c r="B17" s="451" t="s">
        <v>49</v>
      </c>
      <c r="C17" s="452">
        <f>C12*52.14%</f>
        <v>591940.72739999997</v>
      </c>
      <c r="D17" s="467">
        <f>C17/C12</f>
        <v>0.52139999999999997</v>
      </c>
      <c r="E17" s="452">
        <f>E12*45%</f>
        <v>397466.27422755794</v>
      </c>
      <c r="F17" s="467">
        <f>E17/E12</f>
        <v>0.44999999999999996</v>
      </c>
      <c r="G17" s="452">
        <f>G12*50%</f>
        <v>732564.5</v>
      </c>
      <c r="H17" s="467">
        <f>G17/G12</f>
        <v>0.5</v>
      </c>
      <c r="I17" s="452">
        <f>I12*46.16%</f>
        <v>597172.24450988683</v>
      </c>
      <c r="J17" s="467">
        <f>I17/I12</f>
        <v>0.46159999999999995</v>
      </c>
      <c r="K17" s="452">
        <f>K12*41.16%</f>
        <v>487013.79789722443</v>
      </c>
      <c r="L17" s="467">
        <f>K17/K12</f>
        <v>0.41159999999999997</v>
      </c>
      <c r="M17" s="452">
        <f>M12*52.37%</f>
        <v>878659.20650640887</v>
      </c>
      <c r="N17" s="467">
        <f>M17/M12</f>
        <v>0.52369999999999994</v>
      </c>
      <c r="O17" s="452">
        <f>O12*45.04%</f>
        <v>478427.13385210844</v>
      </c>
      <c r="P17" s="467">
        <f>O17/O12</f>
        <v>0.45039999999999997</v>
      </c>
      <c r="Q17" s="452">
        <f>Q12*45.41%</f>
        <v>598961.98268168338</v>
      </c>
      <c r="R17" s="467">
        <f>Q17/Q12</f>
        <v>0.45409999999999995</v>
      </c>
      <c r="S17" s="452">
        <f>S12*51%</f>
        <v>677658.58319999999</v>
      </c>
      <c r="T17" s="467">
        <f>S17/S12</f>
        <v>0.51</v>
      </c>
      <c r="U17" s="452">
        <f>U12*43.61%</f>
        <v>459635.04593153601</v>
      </c>
      <c r="V17" s="467">
        <f>U17/U12</f>
        <v>0.43609999999999999</v>
      </c>
      <c r="W17" s="452">
        <f>W12*45.39%</f>
        <v>486739.61198249651</v>
      </c>
      <c r="X17" s="467">
        <f>W17/W12</f>
        <v>0.45390000000000003</v>
      </c>
      <c r="Y17" s="452">
        <f>Y12*52.92%</f>
        <v>857282.73078525567</v>
      </c>
      <c r="Z17" s="467">
        <f>Y17/Y12</f>
        <v>0.5292</v>
      </c>
      <c r="AA17" s="464">
        <f>C17+E17+G17+I17+K17+M17+O17+Q17+S17+U17+W17+Y17</f>
        <v>7243521.8389741573</v>
      </c>
      <c r="AB17" s="467">
        <f>AA17/AA12</f>
        <v>0.47987356308521628</v>
      </c>
      <c r="AC17" s="472">
        <f>AA17/12</f>
        <v>603626.81991451315</v>
      </c>
      <c r="AD17" s="467">
        <f>AC17/AC12</f>
        <v>0.47987356308521634</v>
      </c>
      <c r="AE17" s="817"/>
      <c r="AF17" s="817"/>
      <c r="AG17" s="817"/>
    </row>
    <row r="18" spans="1:33" s="109" customFormat="1">
      <c r="A18" s="480">
        <v>5503</v>
      </c>
      <c r="B18" s="480" t="s">
        <v>50</v>
      </c>
      <c r="C18" s="452"/>
      <c r="D18" s="481"/>
      <c r="E18" s="461"/>
      <c r="F18" s="481"/>
      <c r="G18" s="461"/>
      <c r="H18" s="481"/>
      <c r="I18" s="452"/>
      <c r="J18" s="481"/>
      <c r="K18" s="461"/>
      <c r="L18" s="481"/>
      <c r="M18" s="452"/>
      <c r="N18" s="481"/>
      <c r="P18" s="481"/>
      <c r="Q18" s="452"/>
      <c r="R18" s="481"/>
      <c r="S18" s="452"/>
      <c r="T18" s="481"/>
      <c r="U18" s="461"/>
      <c r="V18" s="481"/>
      <c r="W18" s="460"/>
      <c r="X18" s="481"/>
      <c r="Y18" s="461"/>
      <c r="Z18" s="481"/>
      <c r="AA18" s="464">
        <f>C18+E18+G18+I18+K18+M18+O18+Q18+S18+U18+W18+Y18</f>
        <v>0</v>
      </c>
      <c r="AB18" s="481"/>
      <c r="AC18" s="472">
        <f t="shared" ref="AC18:AC20" si="16">AA18/12</f>
        <v>0</v>
      </c>
      <c r="AD18" s="481"/>
      <c r="AE18" s="817"/>
      <c r="AF18" s="817"/>
      <c r="AG18" s="817"/>
    </row>
    <row r="19" spans="1:33" s="109" customFormat="1">
      <c r="A19" s="485">
        <v>5504</v>
      </c>
      <c r="B19" s="485" t="s">
        <v>51</v>
      </c>
      <c r="C19" s="452"/>
      <c r="D19" s="467">
        <f>C19/C12</f>
        <v>0</v>
      </c>
      <c r="E19" s="452"/>
      <c r="F19" s="467">
        <f>E19/E12</f>
        <v>0</v>
      </c>
      <c r="H19" s="467">
        <f>G19/G12</f>
        <v>0</v>
      </c>
      <c r="I19" s="452"/>
      <c r="J19" s="467">
        <f>I19/I12</f>
        <v>0</v>
      </c>
      <c r="K19" s="452"/>
      <c r="L19" s="467">
        <f>K19/K12</f>
        <v>0</v>
      </c>
      <c r="M19" s="110"/>
      <c r="N19" s="467">
        <f>M19/M12</f>
        <v>0</v>
      </c>
      <c r="O19" s="110"/>
      <c r="P19" s="467">
        <f>O19/O12</f>
        <v>0</v>
      </c>
      <c r="Q19" s="452"/>
      <c r="R19" s="467">
        <f>Q19/Q12</f>
        <v>0</v>
      </c>
      <c r="S19" s="452"/>
      <c r="T19" s="467">
        <f>S19/S12</f>
        <v>0</v>
      </c>
      <c r="U19" s="452"/>
      <c r="V19" s="467">
        <f>U19/U12</f>
        <v>0</v>
      </c>
      <c r="W19" s="452"/>
      <c r="X19" s="467">
        <f>W19/W12</f>
        <v>0</v>
      </c>
      <c r="Y19" s="452"/>
      <c r="Z19" s="467">
        <f>Y19/Y12</f>
        <v>0</v>
      </c>
      <c r="AA19" s="464">
        <f>C19+E19+G19+I19+K19+M19+O19+Q19+S19+U19+W19+Y19</f>
        <v>0</v>
      </c>
      <c r="AB19" s="467">
        <f>AA19/AA12</f>
        <v>0</v>
      </c>
      <c r="AC19" s="472">
        <f t="shared" si="16"/>
        <v>0</v>
      </c>
      <c r="AD19" s="467">
        <f>AC19/AC12</f>
        <v>0</v>
      </c>
      <c r="AE19" s="817"/>
      <c r="AF19" s="817"/>
      <c r="AG19" s="817"/>
    </row>
    <row r="20" spans="1:33" s="109" customFormat="1">
      <c r="A20" s="480">
        <v>5505</v>
      </c>
      <c r="B20" s="480" t="s">
        <v>52</v>
      </c>
      <c r="C20" s="452"/>
      <c r="D20" s="481"/>
      <c r="E20" s="461"/>
      <c r="F20" s="481"/>
      <c r="G20" s="461"/>
      <c r="H20" s="481"/>
      <c r="I20" s="452"/>
      <c r="J20" s="481"/>
      <c r="K20" s="461"/>
      <c r="L20" s="481"/>
      <c r="M20" s="452"/>
      <c r="N20" s="481"/>
      <c r="O20" s="452"/>
      <c r="P20" s="481"/>
      <c r="Q20" s="452"/>
      <c r="R20" s="481"/>
      <c r="S20" s="452"/>
      <c r="T20" s="481"/>
      <c r="U20" s="461"/>
      <c r="V20" s="481"/>
      <c r="W20" s="460"/>
      <c r="X20" s="481"/>
      <c r="Y20" s="461"/>
      <c r="Z20" s="481"/>
      <c r="AA20" s="464">
        <f>C20+E20+G20+I20+K20+M20+O20+Q20+S20+U20+W20+Y20</f>
        <v>0</v>
      </c>
      <c r="AB20" s="481"/>
      <c r="AC20" s="472">
        <f t="shared" si="16"/>
        <v>0</v>
      </c>
      <c r="AD20" s="481"/>
      <c r="AE20" s="817"/>
      <c r="AF20" s="817"/>
      <c r="AG20" s="817"/>
    </row>
    <row r="21" spans="1:33" s="109" customFormat="1">
      <c r="A21" s="482">
        <v>5599</v>
      </c>
      <c r="B21" s="482" t="s">
        <v>107</v>
      </c>
      <c r="C21" s="469">
        <f>SUM(C17:C20)</f>
        <v>591940.72739999997</v>
      </c>
      <c r="D21" s="470">
        <f>C21/C12</f>
        <v>0.52139999999999997</v>
      </c>
      <c r="E21" s="469">
        <f>SUM(E17:E20)</f>
        <v>397466.27422755794</v>
      </c>
      <c r="F21" s="470">
        <f>E21/E12</f>
        <v>0.44999999999999996</v>
      </c>
      <c r="G21" s="469">
        <f>SUM(G17:G20)</f>
        <v>732564.5</v>
      </c>
      <c r="H21" s="470">
        <f>G21/G12</f>
        <v>0.5</v>
      </c>
      <c r="I21" s="469">
        <f>SUM(I17:I20)</f>
        <v>597172.24450988683</v>
      </c>
      <c r="J21" s="470">
        <f>I21/I12</f>
        <v>0.46159999999999995</v>
      </c>
      <c r="K21" s="473">
        <f>SUM(K17:K20)</f>
        <v>487013.79789722443</v>
      </c>
      <c r="L21" s="470">
        <f>K21/K12</f>
        <v>0.41159999999999997</v>
      </c>
      <c r="M21" s="483">
        <f>SUM(M17:M20)</f>
        <v>878659.20650640887</v>
      </c>
      <c r="N21" s="470">
        <f>M21/M12</f>
        <v>0.52369999999999994</v>
      </c>
      <c r="O21" s="473">
        <f>SUM(O17:O20)</f>
        <v>478427.13385210844</v>
      </c>
      <c r="P21" s="470">
        <f>O21/O12</f>
        <v>0.45039999999999997</v>
      </c>
      <c r="Q21" s="484">
        <f>SUM(Q17:Q20)</f>
        <v>598961.98268168338</v>
      </c>
      <c r="R21" s="470">
        <f>Q21/Q12</f>
        <v>0.45409999999999995</v>
      </c>
      <c r="S21" s="473">
        <f>SUM(S17:S20)</f>
        <v>677658.58319999999</v>
      </c>
      <c r="T21" s="470">
        <f>S21/S12</f>
        <v>0.51</v>
      </c>
      <c r="U21" s="469">
        <f>SUM(U17:U20)</f>
        <v>459635.04593153601</v>
      </c>
      <c r="V21" s="470">
        <f>U21/U12</f>
        <v>0.43609999999999999</v>
      </c>
      <c r="W21" s="469">
        <f>SUM(W17:W20)</f>
        <v>486739.61198249651</v>
      </c>
      <c r="X21" s="470">
        <f>W21/W12</f>
        <v>0.45390000000000003</v>
      </c>
      <c r="Y21" s="469">
        <f>SUM(Y17:Y20)</f>
        <v>857282.73078525567</v>
      </c>
      <c r="Z21" s="470">
        <f>Y21/Y12</f>
        <v>0.5292</v>
      </c>
      <c r="AA21" s="471">
        <f>SUM(AA17:AA20)</f>
        <v>7243521.8389741573</v>
      </c>
      <c r="AB21" s="470">
        <f>AA21/AA12</f>
        <v>0.47987356308521628</v>
      </c>
      <c r="AC21" s="471">
        <f>SUM(AC17:AC20)</f>
        <v>603626.81991451315</v>
      </c>
      <c r="AD21" s="470">
        <f>AC21/AC12</f>
        <v>0.47987356308521634</v>
      </c>
      <c r="AE21" s="818"/>
      <c r="AF21" s="818"/>
      <c r="AG21" s="818"/>
    </row>
    <row r="22" spans="1:33" s="109" customFormat="1">
      <c r="A22" s="485">
        <v>5601</v>
      </c>
      <c r="B22" s="480" t="s">
        <v>53</v>
      </c>
      <c r="C22" s="452"/>
      <c r="D22" s="467">
        <f>C22/C12</f>
        <v>0</v>
      </c>
      <c r="E22" s="452"/>
      <c r="F22" s="467">
        <f>E22/E12</f>
        <v>0</v>
      </c>
      <c r="G22" s="452"/>
      <c r="H22" s="467">
        <f>G22/G12</f>
        <v>0</v>
      </c>
      <c r="I22" s="452"/>
      <c r="J22" s="467">
        <f>I22/I12</f>
        <v>0</v>
      </c>
      <c r="K22" s="452"/>
      <c r="L22" s="467">
        <f>K22/K12</f>
        <v>0</v>
      </c>
      <c r="M22" s="452"/>
      <c r="N22" s="467">
        <f>M22/M12</f>
        <v>0</v>
      </c>
      <c r="O22" s="452"/>
      <c r="P22" s="467">
        <f>O22/O12</f>
        <v>0</v>
      </c>
      <c r="Q22" s="452"/>
      <c r="R22" s="467">
        <f>Q22/Q12</f>
        <v>0</v>
      </c>
      <c r="S22" s="452"/>
      <c r="T22" s="467">
        <f>S22/S12</f>
        <v>0</v>
      </c>
      <c r="U22" s="452"/>
      <c r="V22" s="467">
        <f>U22/U12</f>
        <v>0</v>
      </c>
      <c r="W22" s="452"/>
      <c r="X22" s="467">
        <f>W22/W12</f>
        <v>0</v>
      </c>
      <c r="Y22" s="452"/>
      <c r="Z22" s="467">
        <f>Y22/Y12</f>
        <v>0</v>
      </c>
      <c r="AA22" s="464">
        <f t="shared" ref="AA22:AA34" si="17">C22+E22+G22+I22+K22+M22+O22+Q22+S22+U22+W22+Y22</f>
        <v>0</v>
      </c>
      <c r="AB22" s="467">
        <f>AA22/AA12</f>
        <v>0</v>
      </c>
      <c r="AC22" s="472">
        <f>AA22/12</f>
        <v>0</v>
      </c>
      <c r="AD22" s="467">
        <f>AC22/AC12</f>
        <v>0</v>
      </c>
      <c r="AE22" s="817"/>
      <c r="AF22" s="817"/>
      <c r="AG22" s="817"/>
    </row>
    <row r="23" spans="1:33" s="109" customFormat="1">
      <c r="A23" s="480">
        <v>5602</v>
      </c>
      <c r="B23" s="480" t="s">
        <v>54</v>
      </c>
      <c r="C23" s="452"/>
      <c r="D23" s="467">
        <f>C23/C12</f>
        <v>0</v>
      </c>
      <c r="E23" s="452"/>
      <c r="F23" s="467">
        <f>E23/E12</f>
        <v>0</v>
      </c>
      <c r="G23" s="452"/>
      <c r="H23" s="467">
        <f>G23/G12</f>
        <v>0</v>
      </c>
      <c r="I23" s="452"/>
      <c r="J23" s="467">
        <f>I23/I12</f>
        <v>0</v>
      </c>
      <c r="K23" s="452"/>
      <c r="L23" s="467">
        <f>K23/K12</f>
        <v>0</v>
      </c>
      <c r="M23" s="452"/>
      <c r="N23" s="467">
        <f>M23/M12</f>
        <v>0</v>
      </c>
      <c r="O23" s="452"/>
      <c r="P23" s="467">
        <f>O23/O12</f>
        <v>0</v>
      </c>
      <c r="Q23" s="452"/>
      <c r="R23" s="467">
        <f>Q23/Q12</f>
        <v>0</v>
      </c>
      <c r="S23" s="452"/>
      <c r="T23" s="467">
        <f>S23/S12</f>
        <v>0</v>
      </c>
      <c r="U23" s="452"/>
      <c r="V23" s="467">
        <f>U23/U12</f>
        <v>0</v>
      </c>
      <c r="W23" s="452"/>
      <c r="X23" s="467">
        <f>W23/W12</f>
        <v>0</v>
      </c>
      <c r="Y23" s="452"/>
      <c r="Z23" s="467">
        <f>Y23/Y12</f>
        <v>0</v>
      </c>
      <c r="AA23" s="464">
        <f t="shared" si="17"/>
        <v>0</v>
      </c>
      <c r="AB23" s="467">
        <f>AA23/AA12</f>
        <v>0</v>
      </c>
      <c r="AC23" s="472">
        <f t="shared" ref="AC23:AC34" si="18">AA23/12</f>
        <v>0</v>
      </c>
      <c r="AD23" s="467">
        <f>AC23/AC12</f>
        <v>0</v>
      </c>
      <c r="AE23" s="817"/>
      <c r="AF23" s="817"/>
      <c r="AG23" s="817"/>
    </row>
    <row r="24" spans="1:33" s="109" customFormat="1">
      <c r="A24" s="480">
        <v>5603</v>
      </c>
      <c r="B24" s="480" t="s">
        <v>55</v>
      </c>
      <c r="C24" s="452"/>
      <c r="D24" s="467">
        <f>C24/C12</f>
        <v>0</v>
      </c>
      <c r="E24" s="452"/>
      <c r="F24" s="467">
        <f>E24/E12</f>
        <v>0</v>
      </c>
      <c r="G24" s="452"/>
      <c r="H24" s="467">
        <f>G24/G12</f>
        <v>0</v>
      </c>
      <c r="I24" s="452"/>
      <c r="J24" s="467">
        <f>I24/I12</f>
        <v>0</v>
      </c>
      <c r="K24" s="452"/>
      <c r="L24" s="467">
        <f>K24/K12</f>
        <v>0</v>
      </c>
      <c r="M24" s="452"/>
      <c r="N24" s="467">
        <f>M24/M12</f>
        <v>0</v>
      </c>
      <c r="O24" s="452"/>
      <c r="P24" s="467">
        <f>O24/O12</f>
        <v>0</v>
      </c>
      <c r="Q24" s="452"/>
      <c r="R24" s="467">
        <f>Q24/Q12</f>
        <v>0</v>
      </c>
      <c r="S24" s="452"/>
      <c r="T24" s="467">
        <f>S24/S12</f>
        <v>0</v>
      </c>
      <c r="U24" s="452"/>
      <c r="V24" s="467">
        <f>U24/U12</f>
        <v>0</v>
      </c>
      <c r="W24" s="452"/>
      <c r="X24" s="467">
        <f>W24/W12</f>
        <v>0</v>
      </c>
      <c r="Y24" s="452"/>
      <c r="Z24" s="467">
        <f>Y24/Y12</f>
        <v>0</v>
      </c>
      <c r="AA24" s="464">
        <f t="shared" si="17"/>
        <v>0</v>
      </c>
      <c r="AB24" s="467">
        <f>AA24/AA12</f>
        <v>0</v>
      </c>
      <c r="AC24" s="472">
        <f t="shared" si="18"/>
        <v>0</v>
      </c>
      <c r="AD24" s="467">
        <f>AC24/AC12</f>
        <v>0</v>
      </c>
      <c r="AE24" s="817"/>
      <c r="AF24" s="817"/>
      <c r="AG24" s="817"/>
    </row>
    <row r="25" spans="1:33" s="109" customFormat="1">
      <c r="A25" s="485">
        <v>5604</v>
      </c>
      <c r="B25" s="485" t="s">
        <v>56</v>
      </c>
      <c r="C25" s="26">
        <v>250</v>
      </c>
      <c r="D25" s="702">
        <f>C25/C12</f>
        <v>2.202078586018915E-4</v>
      </c>
      <c r="E25" s="26">
        <v>250</v>
      </c>
      <c r="F25" s="702">
        <f>E25/E12</f>
        <v>2.8304288261597597E-4</v>
      </c>
      <c r="G25" s="26">
        <v>250</v>
      </c>
      <c r="H25" s="702">
        <f>G25/G12</f>
        <v>1.7063343910331445E-4</v>
      </c>
      <c r="I25" s="26">
        <v>250</v>
      </c>
      <c r="J25" s="702">
        <f>I25/I12</f>
        <v>1.9324407833909204E-4</v>
      </c>
      <c r="K25" s="26">
        <v>250</v>
      </c>
      <c r="L25" s="702">
        <f>K25/K12</f>
        <v>2.1128764820276243E-4</v>
      </c>
      <c r="M25" s="26">
        <v>250</v>
      </c>
      <c r="N25" s="702">
        <f>M25/M12</f>
        <v>1.4900543809307371E-4</v>
      </c>
      <c r="O25" s="26">
        <v>250</v>
      </c>
      <c r="P25" s="702">
        <f>O25/O12</f>
        <v>2.3535454415678467E-4</v>
      </c>
      <c r="Q25" s="26">
        <v>250</v>
      </c>
      <c r="R25" s="702">
        <f>Q25/Q12</f>
        <v>1.8953623649321414E-4</v>
      </c>
      <c r="S25" s="26">
        <v>250</v>
      </c>
      <c r="T25" s="702">
        <f>S25/S12</f>
        <v>1.8814784193823224E-4</v>
      </c>
      <c r="U25" s="26">
        <v>250</v>
      </c>
      <c r="V25" s="702">
        <f>U25/U12</f>
        <v>2.3719905817677704E-4</v>
      </c>
      <c r="W25" s="26">
        <v>250</v>
      </c>
      <c r="X25" s="702">
        <f>W25/W12</f>
        <v>2.331328644854174E-4</v>
      </c>
      <c r="Y25" s="26">
        <v>250</v>
      </c>
      <c r="Z25" s="702">
        <f>Y25/Y12</f>
        <v>1.5432481636345989E-4</v>
      </c>
      <c r="AA25" s="464">
        <f t="shared" si="17"/>
        <v>3000</v>
      </c>
      <c r="AB25" s="467">
        <f>AA25/AA12</f>
        <v>1.9874595828643638E-4</v>
      </c>
      <c r="AC25" s="472">
        <f t="shared" si="18"/>
        <v>250</v>
      </c>
      <c r="AD25" s="467">
        <f>AC25/AC12</f>
        <v>1.9874595828643638E-4</v>
      </c>
      <c r="AE25" s="817" t="s">
        <v>249</v>
      </c>
      <c r="AF25" s="817"/>
      <c r="AG25" s="817"/>
    </row>
    <row r="26" spans="1:33" s="109" customFormat="1">
      <c r="A26" s="485">
        <v>5605</v>
      </c>
      <c r="B26" s="485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464">
        <f t="shared" si="17"/>
        <v>0</v>
      </c>
      <c r="AB26" s="467">
        <f>AA26/AA12</f>
        <v>0</v>
      </c>
      <c r="AC26" s="472">
        <f t="shared" si="18"/>
        <v>0</v>
      </c>
      <c r="AD26" s="467">
        <f>AC26/AC12</f>
        <v>0</v>
      </c>
      <c r="AE26" s="817"/>
      <c r="AF26" s="817"/>
      <c r="AG26" s="817"/>
    </row>
    <row r="27" spans="1:33" s="109" customFormat="1">
      <c r="A27" s="485">
        <v>5606</v>
      </c>
      <c r="B27" s="485" t="s">
        <v>77</v>
      </c>
      <c r="C27" s="26">
        <f>C16*0.3%</f>
        <v>3405.873</v>
      </c>
      <c r="D27" s="702">
        <f>C27/C12</f>
        <v>3.0000000000000001E-3</v>
      </c>
      <c r="E27" s="26">
        <f>E16*0.3%</f>
        <v>2649.7751615170532</v>
      </c>
      <c r="F27" s="702">
        <f>E27/E12</f>
        <v>3.0000000000000001E-3</v>
      </c>
      <c r="G27" s="26">
        <f>G16*0.3%</f>
        <v>4395.3869999999997</v>
      </c>
      <c r="H27" s="702">
        <f>G27/G12</f>
        <v>2.9999999999999996E-3</v>
      </c>
      <c r="I27" s="26">
        <f>I16*0.3%</f>
        <v>3881.1021090330605</v>
      </c>
      <c r="J27" s="702">
        <f>I27/I12</f>
        <v>3.0000000000000001E-3</v>
      </c>
      <c r="K27" s="26">
        <f>K16*0.3%</f>
        <v>3549.6632499797702</v>
      </c>
      <c r="L27" s="702">
        <f>K27/K12</f>
        <v>3.0000000000000001E-3</v>
      </c>
      <c r="M27" s="26">
        <f>M16*0.3%</f>
        <v>5033.3733425992496</v>
      </c>
      <c r="N27" s="702">
        <f>M27/M12</f>
        <v>3.0000000000000001E-3</v>
      </c>
      <c r="O27" s="26">
        <f>O16*0.3%</f>
        <v>3186.6816197964599</v>
      </c>
      <c r="P27" s="702">
        <f>O27/O12</f>
        <v>3.0000000000000001E-3</v>
      </c>
      <c r="Q27" s="26">
        <f>Q16*0.3%</f>
        <v>3957.0269721318004</v>
      </c>
      <c r="R27" s="702">
        <f>Q27/Q12</f>
        <v>3.0000000000000001E-3</v>
      </c>
      <c r="S27" s="26">
        <f>S16*0.3%</f>
        <v>3986.2269600000004</v>
      </c>
      <c r="T27" s="702">
        <f>S27/S12</f>
        <v>3.0000000000000001E-3</v>
      </c>
      <c r="U27" s="26">
        <f>U16*0.3%</f>
        <v>3161.9012561215504</v>
      </c>
      <c r="V27" s="702">
        <f>U27/U12</f>
        <v>3.0000000000000001E-3</v>
      </c>
      <c r="W27" s="26">
        <f>W16*0.3%</f>
        <v>3217.0496495868902</v>
      </c>
      <c r="X27" s="702">
        <f>W27/W12</f>
        <v>3.0000000000000001E-3</v>
      </c>
      <c r="Y27" s="26">
        <f>Y16*0.3%</f>
        <v>4859.87942622027</v>
      </c>
      <c r="Z27" s="702">
        <f>Y27/Y12</f>
        <v>2.9999999999999996E-3</v>
      </c>
      <c r="AA27" s="464">
        <f t="shared" si="17"/>
        <v>45283.939746986114</v>
      </c>
      <c r="AB27" s="467">
        <f>AA27/AA12</f>
        <v>3.0000000000000005E-3</v>
      </c>
      <c r="AC27" s="472">
        <f t="shared" si="18"/>
        <v>3773.6616455821763</v>
      </c>
      <c r="AD27" s="467">
        <f>AC27/AC12</f>
        <v>3.0000000000000005E-3</v>
      </c>
      <c r="AE27" s="822"/>
      <c r="AF27" s="467"/>
      <c r="AG27" s="467"/>
    </row>
    <row r="28" spans="1:33" s="109" customFormat="1">
      <c r="A28" s="480">
        <v>5607</v>
      </c>
      <c r="B28" s="480" t="s">
        <v>57</v>
      </c>
      <c r="C28" s="452"/>
      <c r="D28" s="487">
        <f>C28/C12</f>
        <v>0</v>
      </c>
      <c r="E28" s="452"/>
      <c r="F28" s="487">
        <f>E28/E12</f>
        <v>0</v>
      </c>
      <c r="G28" s="452"/>
      <c r="H28" s="487">
        <f>G28/G12</f>
        <v>0</v>
      </c>
      <c r="I28" s="452"/>
      <c r="J28" s="487">
        <f>I28/I12</f>
        <v>0</v>
      </c>
      <c r="K28" s="452"/>
      <c r="L28" s="487">
        <f>K28/K12</f>
        <v>0</v>
      </c>
      <c r="M28" s="452"/>
      <c r="N28" s="487">
        <f>M28/M12</f>
        <v>0</v>
      </c>
      <c r="O28" s="452"/>
      <c r="P28" s="487">
        <f>O28/O12</f>
        <v>0</v>
      </c>
      <c r="Q28" s="452"/>
      <c r="R28" s="487">
        <f>Q28/Q12</f>
        <v>0</v>
      </c>
      <c r="S28" s="452"/>
      <c r="T28" s="487">
        <f>S28/S12</f>
        <v>0</v>
      </c>
      <c r="U28" s="452"/>
      <c r="V28" s="487">
        <f>U28/U12</f>
        <v>0</v>
      </c>
      <c r="W28" s="452"/>
      <c r="X28" s="487">
        <f>W28/W12</f>
        <v>0</v>
      </c>
      <c r="Y28" s="452"/>
      <c r="Z28" s="487">
        <f>Y28/Y12</f>
        <v>0</v>
      </c>
      <c r="AA28" s="464">
        <f t="shared" si="17"/>
        <v>0</v>
      </c>
      <c r="AB28" s="487">
        <f>AA28/AA12</f>
        <v>0</v>
      </c>
      <c r="AC28" s="472">
        <f t="shared" si="18"/>
        <v>0</v>
      </c>
      <c r="AD28" s="487">
        <f>AC28/AC12</f>
        <v>0</v>
      </c>
      <c r="AE28" s="817"/>
      <c r="AF28" s="817"/>
      <c r="AG28" s="817"/>
    </row>
    <row r="29" spans="1:33" s="109" customFormat="1">
      <c r="A29" s="480">
        <v>5608</v>
      </c>
      <c r="B29" s="480" t="s">
        <v>58</v>
      </c>
      <c r="C29" s="452"/>
      <c r="D29" s="487">
        <f>C29/C12</f>
        <v>0</v>
      </c>
      <c r="E29" s="452"/>
      <c r="F29" s="487">
        <f>E29/E12</f>
        <v>0</v>
      </c>
      <c r="G29" s="452"/>
      <c r="H29" s="487">
        <f>G29/G12</f>
        <v>0</v>
      </c>
      <c r="I29" s="452"/>
      <c r="J29" s="487">
        <f>I29/I12</f>
        <v>0</v>
      </c>
      <c r="K29" s="452"/>
      <c r="L29" s="487">
        <f>K29/K12</f>
        <v>0</v>
      </c>
      <c r="M29" s="452"/>
      <c r="N29" s="487">
        <f>M29/M12</f>
        <v>0</v>
      </c>
      <c r="O29" s="452"/>
      <c r="P29" s="487">
        <f>O29/O12</f>
        <v>0</v>
      </c>
      <c r="Q29" s="452"/>
      <c r="R29" s="487">
        <f>Q29/Q12</f>
        <v>0</v>
      </c>
      <c r="S29" s="452"/>
      <c r="T29" s="487">
        <f>S29/S12</f>
        <v>0</v>
      </c>
      <c r="U29" s="452"/>
      <c r="V29" s="487">
        <f>U29/U12</f>
        <v>0</v>
      </c>
      <c r="W29" s="452"/>
      <c r="X29" s="487">
        <f>W29/W12</f>
        <v>0</v>
      </c>
      <c r="Y29" s="452"/>
      <c r="Z29" s="487">
        <f>Y29/Y12</f>
        <v>0</v>
      </c>
      <c r="AA29" s="464">
        <f t="shared" si="17"/>
        <v>0</v>
      </c>
      <c r="AB29" s="487">
        <f>AA29/AA12</f>
        <v>0</v>
      </c>
      <c r="AC29" s="472">
        <f t="shared" si="18"/>
        <v>0</v>
      </c>
      <c r="AD29" s="487">
        <f>AC29/AC12</f>
        <v>0</v>
      </c>
      <c r="AE29" s="817"/>
      <c r="AF29" s="817"/>
      <c r="AG29" s="817"/>
    </row>
    <row r="30" spans="1:33" s="109" customFormat="1">
      <c r="A30" s="480">
        <v>5609</v>
      </c>
      <c r="B30" s="480" t="s">
        <v>59</v>
      </c>
      <c r="C30" s="452"/>
      <c r="D30" s="487">
        <f>C30/C12</f>
        <v>0</v>
      </c>
      <c r="E30" s="452"/>
      <c r="F30" s="487">
        <f>E30/E12</f>
        <v>0</v>
      </c>
      <c r="G30" s="452"/>
      <c r="H30" s="487">
        <f>G30/G12</f>
        <v>0</v>
      </c>
      <c r="I30" s="452"/>
      <c r="J30" s="487">
        <f>I30/I12</f>
        <v>0</v>
      </c>
      <c r="K30" s="452"/>
      <c r="L30" s="487">
        <f>K30/K12</f>
        <v>0</v>
      </c>
      <c r="M30" s="452"/>
      <c r="N30" s="487">
        <f>M30/M12</f>
        <v>0</v>
      </c>
      <c r="O30" s="452"/>
      <c r="P30" s="487">
        <f>O30/O12</f>
        <v>0</v>
      </c>
      <c r="Q30" s="452"/>
      <c r="R30" s="487">
        <f>Q30/Q12</f>
        <v>0</v>
      </c>
      <c r="S30" s="452"/>
      <c r="T30" s="487">
        <f>S30/S12</f>
        <v>0</v>
      </c>
      <c r="U30" s="452"/>
      <c r="V30" s="487">
        <f>U30/U12</f>
        <v>0</v>
      </c>
      <c r="W30" s="452"/>
      <c r="X30" s="487">
        <f>W30/W12</f>
        <v>0</v>
      </c>
      <c r="Y30" s="452"/>
      <c r="Z30" s="487">
        <f>Y30/Y12</f>
        <v>0</v>
      </c>
      <c r="AA30" s="464">
        <f t="shared" si="17"/>
        <v>0</v>
      </c>
      <c r="AB30" s="487">
        <f>AA30/AA12</f>
        <v>0</v>
      </c>
      <c r="AC30" s="472">
        <f t="shared" si="18"/>
        <v>0</v>
      </c>
      <c r="AD30" s="487">
        <f>AC30/AC12</f>
        <v>0</v>
      </c>
      <c r="AE30" s="817"/>
      <c r="AF30" s="817"/>
      <c r="AG30" s="817"/>
    </row>
    <row r="31" spans="1:33" s="109" customFormat="1">
      <c r="A31" s="480">
        <v>5610</v>
      </c>
      <c r="B31" s="480" t="s">
        <v>60</v>
      </c>
      <c r="C31" s="452"/>
      <c r="D31" s="487">
        <f>C31/C12</f>
        <v>0</v>
      </c>
      <c r="E31" s="452"/>
      <c r="F31" s="487">
        <f>E31/E12</f>
        <v>0</v>
      </c>
      <c r="G31" s="452"/>
      <c r="H31" s="487">
        <f>G31/G12</f>
        <v>0</v>
      </c>
      <c r="I31" s="452"/>
      <c r="J31" s="487">
        <f>I31/I12</f>
        <v>0</v>
      </c>
      <c r="K31" s="452"/>
      <c r="L31" s="487">
        <f>K31/K12</f>
        <v>0</v>
      </c>
      <c r="M31" s="452"/>
      <c r="N31" s="487">
        <f>M31/M12</f>
        <v>0</v>
      </c>
      <c r="O31" s="452"/>
      <c r="P31" s="487">
        <f>O31/O12</f>
        <v>0</v>
      </c>
      <c r="Q31" s="452"/>
      <c r="R31" s="487">
        <f>Q31/Q12</f>
        <v>0</v>
      </c>
      <c r="S31" s="452"/>
      <c r="T31" s="487">
        <f>S31/S12</f>
        <v>0</v>
      </c>
      <c r="U31" s="452"/>
      <c r="V31" s="487">
        <f>U31/U12</f>
        <v>0</v>
      </c>
      <c r="W31" s="452"/>
      <c r="X31" s="487">
        <f>W31/W12</f>
        <v>0</v>
      </c>
      <c r="Y31" s="452"/>
      <c r="Z31" s="487">
        <f>Y31/Y12</f>
        <v>0</v>
      </c>
      <c r="AA31" s="464">
        <f t="shared" si="17"/>
        <v>0</v>
      </c>
      <c r="AB31" s="487">
        <f>AA31/AA12</f>
        <v>0</v>
      </c>
      <c r="AC31" s="472">
        <f t="shared" si="18"/>
        <v>0</v>
      </c>
      <c r="AD31" s="487">
        <f>AC31/AC12</f>
        <v>0</v>
      </c>
      <c r="AE31" s="817"/>
      <c r="AF31" s="817"/>
      <c r="AG31" s="817"/>
    </row>
    <row r="32" spans="1:33" s="109" customFormat="1">
      <c r="A32" s="480">
        <v>5611</v>
      </c>
      <c r="B32" s="480" t="s">
        <v>108</v>
      </c>
      <c r="C32" s="452"/>
      <c r="D32" s="487">
        <f>C32/C12</f>
        <v>0</v>
      </c>
      <c r="E32" s="452"/>
      <c r="F32" s="487">
        <f>E32/E12</f>
        <v>0</v>
      </c>
      <c r="G32" s="452"/>
      <c r="H32" s="487">
        <f>G32/G12</f>
        <v>0</v>
      </c>
      <c r="I32" s="452"/>
      <c r="J32" s="487">
        <f>I32/I12</f>
        <v>0</v>
      </c>
      <c r="K32" s="452"/>
      <c r="L32" s="487">
        <f>K32/K12</f>
        <v>0</v>
      </c>
      <c r="M32" s="452"/>
      <c r="N32" s="487">
        <f>M32/M12</f>
        <v>0</v>
      </c>
      <c r="O32" s="452"/>
      <c r="P32" s="487">
        <f>O32/O12</f>
        <v>0</v>
      </c>
      <c r="Q32" s="452"/>
      <c r="R32" s="487">
        <f>Q32/Q12</f>
        <v>0</v>
      </c>
      <c r="S32" s="452"/>
      <c r="T32" s="487">
        <f>S32/S12</f>
        <v>0</v>
      </c>
      <c r="U32" s="452"/>
      <c r="V32" s="487">
        <f>U32/U12</f>
        <v>0</v>
      </c>
      <c r="W32" s="452"/>
      <c r="X32" s="487">
        <f>W32/W12</f>
        <v>0</v>
      </c>
      <c r="Y32" s="452"/>
      <c r="Z32" s="487">
        <f>Y32/Y12</f>
        <v>0</v>
      </c>
      <c r="AA32" s="464">
        <f t="shared" si="17"/>
        <v>0</v>
      </c>
      <c r="AB32" s="487">
        <f>AA32/AA12</f>
        <v>0</v>
      </c>
      <c r="AC32" s="472">
        <f t="shared" si="18"/>
        <v>0</v>
      </c>
      <c r="AD32" s="487">
        <f>AC32/AC12</f>
        <v>0</v>
      </c>
      <c r="AE32" s="817"/>
      <c r="AF32" s="817"/>
      <c r="AG32" s="817"/>
    </row>
    <row r="33" spans="1:33" s="109" customFormat="1">
      <c r="A33" s="480">
        <v>5612</v>
      </c>
      <c r="B33" s="480" t="s">
        <v>61</v>
      </c>
      <c r="C33" s="452"/>
      <c r="D33" s="487">
        <f>C33/C12</f>
        <v>0</v>
      </c>
      <c r="E33" s="452"/>
      <c r="F33" s="487">
        <f>E33/E12</f>
        <v>0</v>
      </c>
      <c r="G33" s="452"/>
      <c r="H33" s="487">
        <f>G33/G12</f>
        <v>0</v>
      </c>
      <c r="I33" s="452"/>
      <c r="J33" s="487">
        <f>I33/I12</f>
        <v>0</v>
      </c>
      <c r="K33" s="452"/>
      <c r="L33" s="487">
        <f>K33/K12</f>
        <v>0</v>
      </c>
      <c r="M33" s="452"/>
      <c r="N33" s="487">
        <f>M33/M12</f>
        <v>0</v>
      </c>
      <c r="O33" s="452"/>
      <c r="P33" s="487">
        <f>O33/O12</f>
        <v>0</v>
      </c>
      <c r="Q33" s="452"/>
      <c r="R33" s="487">
        <f>Q33/Q12</f>
        <v>0</v>
      </c>
      <c r="S33" s="452"/>
      <c r="T33" s="487">
        <f>S33/S12</f>
        <v>0</v>
      </c>
      <c r="U33" s="452"/>
      <c r="V33" s="487">
        <f>U33/U12</f>
        <v>0</v>
      </c>
      <c r="W33" s="452"/>
      <c r="X33" s="487">
        <f>W33/W12</f>
        <v>0</v>
      </c>
      <c r="Y33" s="452"/>
      <c r="Z33" s="487">
        <f>Y33/Y12</f>
        <v>0</v>
      </c>
      <c r="AA33" s="464">
        <f t="shared" si="17"/>
        <v>0</v>
      </c>
      <c r="AB33" s="487">
        <f>AA33/AA12</f>
        <v>0</v>
      </c>
      <c r="AC33" s="472">
        <f t="shared" si="18"/>
        <v>0</v>
      </c>
      <c r="AD33" s="487">
        <f>AC33/AC12</f>
        <v>0</v>
      </c>
      <c r="AE33" s="817"/>
      <c r="AF33" s="817"/>
      <c r="AG33" s="817"/>
    </row>
    <row r="34" spans="1:33" s="109" customFormat="1">
      <c r="A34" s="480">
        <v>5613</v>
      </c>
      <c r="B34" s="480" t="s">
        <v>62</v>
      </c>
      <c r="C34" s="452"/>
      <c r="D34" s="487">
        <f>C34/C12</f>
        <v>0</v>
      </c>
      <c r="E34" s="452"/>
      <c r="F34" s="487">
        <f>E34/E12</f>
        <v>0</v>
      </c>
      <c r="G34" s="452"/>
      <c r="H34" s="487">
        <f>G34/G12</f>
        <v>0</v>
      </c>
      <c r="I34" s="452"/>
      <c r="J34" s="487">
        <f>I34/I12</f>
        <v>0</v>
      </c>
      <c r="K34" s="452"/>
      <c r="L34" s="487">
        <f>K34/K12</f>
        <v>0</v>
      </c>
      <c r="M34" s="452"/>
      <c r="N34" s="487">
        <f>M34/M12</f>
        <v>0</v>
      </c>
      <c r="O34" s="452"/>
      <c r="P34" s="487">
        <f>O34/O12</f>
        <v>0</v>
      </c>
      <c r="Q34" s="452"/>
      <c r="R34" s="487">
        <f>Q34/Q12</f>
        <v>0</v>
      </c>
      <c r="S34" s="452"/>
      <c r="T34" s="487">
        <f>S34/S12</f>
        <v>0</v>
      </c>
      <c r="U34" s="452"/>
      <c r="V34" s="487">
        <f>U34/U12</f>
        <v>0</v>
      </c>
      <c r="W34" s="452"/>
      <c r="X34" s="487">
        <f>W34/W12</f>
        <v>0</v>
      </c>
      <c r="Y34" s="452"/>
      <c r="Z34" s="487">
        <f>Y34/Y12</f>
        <v>0</v>
      </c>
      <c r="AA34" s="464">
        <f t="shared" si="17"/>
        <v>0</v>
      </c>
      <c r="AB34" s="487">
        <f>AA34/AA12</f>
        <v>0</v>
      </c>
      <c r="AC34" s="472">
        <f t="shared" si="18"/>
        <v>0</v>
      </c>
      <c r="AD34" s="487">
        <f>AC34/AC12</f>
        <v>0</v>
      </c>
      <c r="AE34" s="817"/>
      <c r="AF34" s="817"/>
      <c r="AG34" s="817"/>
    </row>
    <row r="35" spans="1:33" s="109" customFormat="1">
      <c r="A35" s="488">
        <v>5699</v>
      </c>
      <c r="B35" s="488" t="s">
        <v>109</v>
      </c>
      <c r="C35" s="469">
        <f>SUM(C22:C34)</f>
        <v>3655.873</v>
      </c>
      <c r="D35" s="489">
        <f>C35/C12</f>
        <v>3.2202078586018915E-3</v>
      </c>
      <c r="E35" s="469">
        <f>SUM(E22:E34)</f>
        <v>2899.7751615170532</v>
      </c>
      <c r="F35" s="489">
        <f>E35/E12</f>
        <v>3.2830428826159763E-3</v>
      </c>
      <c r="G35" s="469">
        <f>SUM(G22:G34)</f>
        <v>4645.3869999999997</v>
      </c>
      <c r="H35" s="489">
        <f>G35/G12</f>
        <v>3.1706334391033144E-3</v>
      </c>
      <c r="I35" s="469">
        <f>SUM(I22:I34)</f>
        <v>4131.1021090330605</v>
      </c>
      <c r="J35" s="489">
        <f>I35/I12</f>
        <v>3.1932440783390922E-3</v>
      </c>
      <c r="K35" s="473">
        <f>SUM(K22:K34)</f>
        <v>3799.6632499797702</v>
      </c>
      <c r="L35" s="489">
        <f>K35/K12</f>
        <v>3.2112876482027625E-3</v>
      </c>
      <c r="M35" s="473">
        <f>SUM(M22:M34)</f>
        <v>5283.3733425992496</v>
      </c>
      <c r="N35" s="489">
        <f>M35/M12</f>
        <v>3.1490054380930738E-3</v>
      </c>
      <c r="O35" s="473">
        <f>SUM(O22:O34)</f>
        <v>3436.6816197964599</v>
      </c>
      <c r="P35" s="489">
        <f>O35/O12</f>
        <v>3.2353545441567849E-3</v>
      </c>
      <c r="Q35" s="473">
        <f>SUM(Q22:Q34)</f>
        <v>4207.0269721318</v>
      </c>
      <c r="R35" s="489">
        <f>Q35/Q12</f>
        <v>3.1895362364932141E-3</v>
      </c>
      <c r="S35" s="473">
        <f>SUM(S22:S34)</f>
        <v>4236.22696</v>
      </c>
      <c r="T35" s="489">
        <f>S35/S12</f>
        <v>3.1881478419382319E-3</v>
      </c>
      <c r="U35" s="469">
        <f>SUM(U22:U34)</f>
        <v>3411.9012561215504</v>
      </c>
      <c r="V35" s="489">
        <f>U35/U12</f>
        <v>3.2371990581767773E-3</v>
      </c>
      <c r="W35" s="469">
        <f>SUM(W22:W34)</f>
        <v>3467.0496495868902</v>
      </c>
      <c r="X35" s="489">
        <f>W35/W12</f>
        <v>3.2331328644854174E-3</v>
      </c>
      <c r="Y35" s="469">
        <f>SUM(Y22:Y34)</f>
        <v>5109.87942622027</v>
      </c>
      <c r="Z35" s="489">
        <f>Y35/Y12</f>
        <v>3.1543248163634595E-3</v>
      </c>
      <c r="AA35" s="490">
        <f>SUM(AA22:AA34)</f>
        <v>48283.939746986114</v>
      </c>
      <c r="AB35" s="489">
        <f>AA35/AA12</f>
        <v>3.1987459582864365E-3</v>
      </c>
      <c r="AC35" s="491">
        <f>SUM(AC22:AC34)</f>
        <v>4023.6616455821763</v>
      </c>
      <c r="AD35" s="489">
        <f>AC35/AC12</f>
        <v>3.198745958286437E-3</v>
      </c>
      <c r="AE35" s="818"/>
      <c r="AF35" s="818"/>
      <c r="AG35" s="818"/>
    </row>
    <row r="36" spans="1:33" s="109" customFormat="1">
      <c r="A36" s="488">
        <v>5999</v>
      </c>
      <c r="B36" s="488" t="s">
        <v>110</v>
      </c>
      <c r="C36" s="469">
        <f>C21+C35</f>
        <v>595596.6004</v>
      </c>
      <c r="D36" s="489">
        <f>C36/C12</f>
        <v>0.52462020785860186</v>
      </c>
      <c r="E36" s="469">
        <f>E21+E35</f>
        <v>400366.04938907496</v>
      </c>
      <c r="F36" s="489">
        <f>E36/E12</f>
        <v>0.45328304288261595</v>
      </c>
      <c r="G36" s="469">
        <f>G21+G35</f>
        <v>737209.88699999999</v>
      </c>
      <c r="H36" s="489">
        <f>G36/G12</f>
        <v>0.50317063343910329</v>
      </c>
      <c r="I36" s="469">
        <f>I21+I35</f>
        <v>601303.34661891987</v>
      </c>
      <c r="J36" s="489">
        <f>I36/I12</f>
        <v>0.46479324407833905</v>
      </c>
      <c r="K36" s="473">
        <f>K21+K35</f>
        <v>490813.46114720422</v>
      </c>
      <c r="L36" s="489">
        <f>K36/K12</f>
        <v>0.41481128764820274</v>
      </c>
      <c r="M36" s="473">
        <f>M21+M35</f>
        <v>883942.57984900812</v>
      </c>
      <c r="N36" s="489">
        <f>M36/M12</f>
        <v>0.52684900543809299</v>
      </c>
      <c r="O36" s="473">
        <f>O21+O35</f>
        <v>481863.81547190488</v>
      </c>
      <c r="P36" s="489">
        <f>O36/O12</f>
        <v>0.45363535454415671</v>
      </c>
      <c r="Q36" s="473">
        <f>Q21+Q35</f>
        <v>603169.00965381518</v>
      </c>
      <c r="R36" s="489">
        <f>Q36/Q12</f>
        <v>0.45728953623649315</v>
      </c>
      <c r="S36" s="473">
        <f>S21+S35</f>
        <v>681894.81015999999</v>
      </c>
      <c r="T36" s="489">
        <f>S36/S12</f>
        <v>0.51318814784193822</v>
      </c>
      <c r="U36" s="469">
        <f>U21+U35</f>
        <v>463046.94718765758</v>
      </c>
      <c r="V36" s="489">
        <f>U36/U12</f>
        <v>0.43933719905817681</v>
      </c>
      <c r="W36" s="469">
        <f>W21+W35</f>
        <v>490206.66163208341</v>
      </c>
      <c r="X36" s="489">
        <f>W36/W12</f>
        <v>0.45713313286448548</v>
      </c>
      <c r="Y36" s="469">
        <f>Y21+Y35</f>
        <v>862392.61021147599</v>
      </c>
      <c r="Z36" s="489">
        <f>Y36/Y12</f>
        <v>0.53235432481636347</v>
      </c>
      <c r="AA36" s="490">
        <f>AA21+AA35</f>
        <v>7291805.7787211435</v>
      </c>
      <c r="AB36" s="489">
        <f>AA36/AA12</f>
        <v>0.48307230904350273</v>
      </c>
      <c r="AC36" s="491">
        <f>AC21+AC35</f>
        <v>607650.48156009533</v>
      </c>
      <c r="AD36" s="489">
        <f>AC36/AC12</f>
        <v>0.48307230904350273</v>
      </c>
      <c r="AE36" s="818">
        <f>AE37/AD37</f>
        <v>-160389.25695334046</v>
      </c>
      <c r="AF36" s="818"/>
      <c r="AG36" s="818"/>
    </row>
    <row r="37" spans="1:33" s="109" customFormat="1">
      <c r="A37" s="492"/>
      <c r="B37" s="492" t="s">
        <v>68</v>
      </c>
      <c r="C37" s="475">
        <f>(C16-C36)</f>
        <v>539694.3996</v>
      </c>
      <c r="D37" s="493">
        <f>C37/C12</f>
        <v>0.47537979214139814</v>
      </c>
      <c r="E37" s="475">
        <f>(E16-E36)</f>
        <v>482892.33778327605</v>
      </c>
      <c r="F37" s="493">
        <f>E37/E12</f>
        <v>0.54671695711738411</v>
      </c>
      <c r="G37" s="475">
        <f>(G16-G36)</f>
        <v>727919.11300000001</v>
      </c>
      <c r="H37" s="493">
        <f>G37/G12</f>
        <v>0.49682936656089671</v>
      </c>
      <c r="I37" s="475">
        <f>(I16-I36)</f>
        <v>692397.35639210022</v>
      </c>
      <c r="J37" s="493">
        <f>I37/I12</f>
        <v>0.535206755921661</v>
      </c>
      <c r="K37" s="477">
        <f>(K16-K36)</f>
        <v>692407.62217938574</v>
      </c>
      <c r="L37" s="493">
        <f>K37/K12</f>
        <v>0.58518871235179715</v>
      </c>
      <c r="M37" s="477">
        <f>(M16-M36)</f>
        <v>793848.53435074177</v>
      </c>
      <c r="N37" s="493">
        <f>M37/M12</f>
        <v>0.47315099456190701</v>
      </c>
      <c r="O37" s="477">
        <f>(O16-O36)</f>
        <v>580363.39112691511</v>
      </c>
      <c r="P37" s="493">
        <f>O37/O12</f>
        <v>0.5463646454558434</v>
      </c>
      <c r="Q37" s="477">
        <f>(Q16-Q36)</f>
        <v>715839.98105678486</v>
      </c>
      <c r="R37" s="493">
        <f>Q37/Q12</f>
        <v>0.54271046376350685</v>
      </c>
      <c r="S37" s="477">
        <f>(S16-S36)</f>
        <v>646847.50984000007</v>
      </c>
      <c r="T37" s="493">
        <f>S37/S12</f>
        <v>0.48681185215806178</v>
      </c>
      <c r="U37" s="475">
        <f>(U16-U36)</f>
        <v>590920.13818619249</v>
      </c>
      <c r="V37" s="493">
        <f>U37/U12</f>
        <v>0.56066280094182319</v>
      </c>
      <c r="W37" s="475">
        <f>(W16-W36)</f>
        <v>582143.22156354669</v>
      </c>
      <c r="X37" s="493">
        <f>W37/W12</f>
        <v>0.54286686713551457</v>
      </c>
      <c r="Y37" s="475">
        <f>(Y16-Y36)</f>
        <v>757567.19852861413</v>
      </c>
      <c r="Z37" s="493">
        <f>Y37/Y12</f>
        <v>0.46764567518363653</v>
      </c>
      <c r="AA37" s="478">
        <f>(AA16-AA36)</f>
        <v>7802840.8036075598</v>
      </c>
      <c r="AB37" s="493">
        <f>AA37/AA12</f>
        <v>0.51692769095649727</v>
      </c>
      <c r="AC37" s="478">
        <f>(AC16-AC36)</f>
        <v>650236.73363396327</v>
      </c>
      <c r="AD37" s="493">
        <f>AC37/AC12</f>
        <v>0.51692769095649727</v>
      </c>
      <c r="AE37" s="821">
        <v>-82909.648251118604</v>
      </c>
      <c r="AF37" s="821"/>
      <c r="AG37" s="821"/>
    </row>
    <row r="38" spans="1:33" s="109" customFormat="1">
      <c r="A38" s="494">
        <v>6002</v>
      </c>
      <c r="B38" s="494" t="s">
        <v>45</v>
      </c>
      <c r="C38" s="461"/>
      <c r="D38" s="487">
        <f>C38/C12</f>
        <v>0</v>
      </c>
      <c r="E38" s="461"/>
      <c r="F38" s="487">
        <f>E38/E12</f>
        <v>0</v>
      </c>
      <c r="G38" s="461"/>
      <c r="H38" s="487">
        <f>G38/G12</f>
        <v>0</v>
      </c>
      <c r="I38" s="461"/>
      <c r="J38" s="487">
        <f>I38/I12</f>
        <v>0</v>
      </c>
      <c r="K38" s="452"/>
      <c r="L38" s="487">
        <f>K38/K12</f>
        <v>0</v>
      </c>
      <c r="M38" s="452"/>
      <c r="N38" s="487">
        <f>M38/M12</f>
        <v>0</v>
      </c>
      <c r="O38" s="452"/>
      <c r="P38" s="487">
        <f>O38/O12</f>
        <v>0</v>
      </c>
      <c r="Q38" s="452"/>
      <c r="R38" s="487">
        <f>Q38/Q12</f>
        <v>0</v>
      </c>
      <c r="S38" s="452"/>
      <c r="T38" s="487">
        <f>S38/S12</f>
        <v>0</v>
      </c>
      <c r="U38" s="461"/>
      <c r="V38" s="487">
        <f>U38/U12</f>
        <v>0</v>
      </c>
      <c r="W38" s="461"/>
      <c r="X38" s="487">
        <f>W38/W12</f>
        <v>0</v>
      </c>
      <c r="Y38" s="461"/>
      <c r="Z38" s="487">
        <f>Y38/Y12</f>
        <v>0</v>
      </c>
      <c r="AA38" s="464">
        <f>C38+E38+G38+I38+K38+M38+O38+Q38+S38+U38+W38+Y38</f>
        <v>0</v>
      </c>
      <c r="AB38" s="487">
        <f>AA38/AA12</f>
        <v>0</v>
      </c>
      <c r="AC38" s="472">
        <f t="shared" ref="AC38:AC40" si="19">AA38/12</f>
        <v>0</v>
      </c>
      <c r="AD38" s="487">
        <f>AC38/AC12</f>
        <v>0</v>
      </c>
      <c r="AE38" s="817"/>
      <c r="AF38" s="817"/>
      <c r="AG38" s="817"/>
    </row>
    <row r="39" spans="1:33" s="109" customFormat="1">
      <c r="A39" s="494">
        <v>6003</v>
      </c>
      <c r="B39" s="494" t="s">
        <v>0</v>
      </c>
      <c r="C39" s="461"/>
      <c r="D39" s="467">
        <f>C39/C12</f>
        <v>0</v>
      </c>
      <c r="E39" s="461"/>
      <c r="F39" s="467">
        <f>E39/E12</f>
        <v>0</v>
      </c>
      <c r="G39" s="461"/>
      <c r="H39" s="467">
        <f>G39/G12</f>
        <v>0</v>
      </c>
      <c r="I39" s="461"/>
      <c r="J39" s="467">
        <f>I39/I12</f>
        <v>0</v>
      </c>
      <c r="K39" s="452">
        <v>0</v>
      </c>
      <c r="L39" s="467">
        <f>K39/K12</f>
        <v>0</v>
      </c>
      <c r="M39" s="452">
        <v>0</v>
      </c>
      <c r="N39" s="467">
        <f>M39/M12</f>
        <v>0</v>
      </c>
      <c r="O39" s="452"/>
      <c r="P39" s="467">
        <f>O39/O12</f>
        <v>0</v>
      </c>
      <c r="Q39" s="452"/>
      <c r="R39" s="467">
        <f>Q39/Q12</f>
        <v>0</v>
      </c>
      <c r="S39" s="452">
        <v>0</v>
      </c>
      <c r="T39" s="467">
        <f>S39/S12</f>
        <v>0</v>
      </c>
      <c r="U39" s="452"/>
      <c r="V39" s="467">
        <f>U39/U12</f>
        <v>0</v>
      </c>
      <c r="W39" s="452"/>
      <c r="X39" s="467">
        <f>W39/W12</f>
        <v>0</v>
      </c>
      <c r="Y39" s="452"/>
      <c r="Z39" s="467">
        <f>Y39/Y12</f>
        <v>0</v>
      </c>
      <c r="AA39" s="464">
        <f>C39+E39+G39+I39+K39+M39+O39+Q39+S39+U39+W39+Y39</f>
        <v>0</v>
      </c>
      <c r="AB39" s="467">
        <f>AA39/AA12</f>
        <v>0</v>
      </c>
      <c r="AC39" s="472">
        <f t="shared" si="19"/>
        <v>0</v>
      </c>
      <c r="AD39" s="467">
        <f>AC39/AC12</f>
        <v>0</v>
      </c>
      <c r="AE39" s="817"/>
      <c r="AF39" s="817"/>
      <c r="AG39" s="817"/>
    </row>
    <row r="40" spans="1:33" s="109" customFormat="1">
      <c r="A40" s="494">
        <v>6004</v>
      </c>
      <c r="B40" s="494" t="s">
        <v>1</v>
      </c>
      <c r="C40" s="461"/>
      <c r="D40" s="487">
        <f>C40/C12</f>
        <v>0</v>
      </c>
      <c r="E40" s="461"/>
      <c r="F40" s="487">
        <f>E40/E12</f>
        <v>0</v>
      </c>
      <c r="G40" s="461"/>
      <c r="H40" s="487">
        <f>G40/G12</f>
        <v>0</v>
      </c>
      <c r="I40" s="461"/>
      <c r="J40" s="487">
        <f>I40/I12</f>
        <v>0</v>
      </c>
      <c r="K40" s="452"/>
      <c r="L40" s="487">
        <f>K40/K12</f>
        <v>0</v>
      </c>
      <c r="M40" s="452"/>
      <c r="N40" s="487">
        <f>M40/M12</f>
        <v>0</v>
      </c>
      <c r="O40" s="452"/>
      <c r="P40" s="487">
        <f>O40/O12</f>
        <v>0</v>
      </c>
      <c r="Q40" s="452"/>
      <c r="R40" s="487">
        <f>Q40/Q12</f>
        <v>0</v>
      </c>
      <c r="S40" s="452"/>
      <c r="T40" s="487">
        <f>S40/S12</f>
        <v>0</v>
      </c>
      <c r="U40" s="461"/>
      <c r="V40" s="487">
        <f>U40/U12</f>
        <v>0</v>
      </c>
      <c r="W40" s="461"/>
      <c r="X40" s="487">
        <f>W40/W12</f>
        <v>0</v>
      </c>
      <c r="Y40" s="461"/>
      <c r="Z40" s="487">
        <f>Y40/Y12</f>
        <v>0</v>
      </c>
      <c r="AA40" s="464">
        <f>C40+E40+G40+I40+K40+M40+O40+Q40+S40+U40+W40+Y40</f>
        <v>0</v>
      </c>
      <c r="AB40" s="487">
        <f>AA40/AA12</f>
        <v>0</v>
      </c>
      <c r="AC40" s="472">
        <f t="shared" si="19"/>
        <v>0</v>
      </c>
      <c r="AD40" s="487">
        <f>AC40/AC12</f>
        <v>0</v>
      </c>
      <c r="AE40" s="817"/>
      <c r="AF40" s="817"/>
      <c r="AG40" s="817"/>
    </row>
    <row r="41" spans="1:33" s="109" customFormat="1">
      <c r="A41" s="495">
        <v>6099</v>
      </c>
      <c r="B41" s="495" t="s">
        <v>111</v>
      </c>
      <c r="C41" s="469">
        <f>SUM(C38:C40)</f>
        <v>0</v>
      </c>
      <c r="D41" s="496">
        <f>C41/C12</f>
        <v>0</v>
      </c>
      <c r="E41" s="469">
        <f>SUM(E38:E40)</f>
        <v>0</v>
      </c>
      <c r="F41" s="496">
        <f>E41/E12</f>
        <v>0</v>
      </c>
      <c r="G41" s="469">
        <f>SUM(G38:G40)</f>
        <v>0</v>
      </c>
      <c r="H41" s="496">
        <f>G41/G12</f>
        <v>0</v>
      </c>
      <c r="I41" s="469">
        <f>SUM(I38:I40)</f>
        <v>0</v>
      </c>
      <c r="J41" s="496">
        <f>I41/I12</f>
        <v>0</v>
      </c>
      <c r="K41" s="473">
        <f>SUM(K38:K40)</f>
        <v>0</v>
      </c>
      <c r="L41" s="496">
        <f>K41/K12</f>
        <v>0</v>
      </c>
      <c r="M41" s="473">
        <f>SUM(M38:M40)</f>
        <v>0</v>
      </c>
      <c r="N41" s="496">
        <f>M41/M12</f>
        <v>0</v>
      </c>
      <c r="O41" s="473">
        <f>SUM(O38:O40)</f>
        <v>0</v>
      </c>
      <c r="P41" s="496">
        <f>O41/O12</f>
        <v>0</v>
      </c>
      <c r="Q41" s="473">
        <f>SUM(Q38:Q40)</f>
        <v>0</v>
      </c>
      <c r="R41" s="496">
        <f>Q41/Q12</f>
        <v>0</v>
      </c>
      <c r="S41" s="473">
        <f>SUM(S38:S40)</f>
        <v>0</v>
      </c>
      <c r="T41" s="496">
        <f>S41/S12</f>
        <v>0</v>
      </c>
      <c r="U41" s="469">
        <f>SUM(U38:U40)</f>
        <v>0</v>
      </c>
      <c r="V41" s="496">
        <f>U41/U12</f>
        <v>0</v>
      </c>
      <c r="W41" s="469">
        <f>SUM(W38:W40)</f>
        <v>0</v>
      </c>
      <c r="X41" s="496">
        <f>W41/W12</f>
        <v>0</v>
      </c>
      <c r="Y41" s="469">
        <f>SUM(Y38:Y40)</f>
        <v>0</v>
      </c>
      <c r="Z41" s="496">
        <f>Y41/Y12</f>
        <v>0</v>
      </c>
      <c r="AA41" s="471">
        <f>SUM(AA38:AA40)</f>
        <v>0</v>
      </c>
      <c r="AB41" s="496">
        <f>AA41/AA12</f>
        <v>0</v>
      </c>
      <c r="AC41" s="471">
        <f>SUM(AC38:AC40)</f>
        <v>0</v>
      </c>
      <c r="AD41" s="496">
        <f>AC41/AC12</f>
        <v>0</v>
      </c>
      <c r="AE41" s="820"/>
      <c r="AF41" s="820"/>
      <c r="AG41" s="820"/>
    </row>
    <row r="42" spans="1:33" s="109" customFormat="1">
      <c r="A42" s="497">
        <v>6101</v>
      </c>
      <c r="B42" s="497" t="s">
        <v>2</v>
      </c>
      <c r="C42" s="452">
        <v>157299.58333333334</v>
      </c>
      <c r="D42" s="487">
        <f>C42/C12</f>
        <v>0.13855441761921247</v>
      </c>
      <c r="E42" s="452">
        <v>157299.58333333334</v>
      </c>
      <c r="F42" s="487">
        <f>E42/E12</f>
        <v>0.1780901100038344</v>
      </c>
      <c r="G42" s="452">
        <v>157299.58333333334</v>
      </c>
      <c r="H42" s="487">
        <f>G42/G12</f>
        <v>0.10736227549474028</v>
      </c>
      <c r="I42" s="452">
        <v>157299.58333333334</v>
      </c>
      <c r="J42" s="487">
        <f>I42/I12</f>
        <v>0.12158885201749281</v>
      </c>
      <c r="K42" s="452">
        <v>157299.58333333334</v>
      </c>
      <c r="L42" s="487">
        <f>K42/K12</f>
        <v>0.13294183610309779</v>
      </c>
      <c r="M42" s="110">
        <v>157299.57999999999</v>
      </c>
      <c r="N42" s="487">
        <f>M42/M12</f>
        <v>9.3753971319025978E-2</v>
      </c>
      <c r="O42" s="811">
        <v>157299.57999999999</v>
      </c>
      <c r="P42" s="487">
        <f>O42/O12</f>
        <v>0.14808468378781472</v>
      </c>
      <c r="Q42" s="452">
        <v>157299.58333333334</v>
      </c>
      <c r="R42" s="487">
        <f>Q42/Q12</f>
        <v>0.11925588410780287</v>
      </c>
      <c r="S42" s="452">
        <v>157299.57999999999</v>
      </c>
      <c r="T42" s="487">
        <f>S42/S12</f>
        <v>0.11838230605916125</v>
      </c>
      <c r="U42" s="452">
        <v>157299.58333333334</v>
      </c>
      <c r="V42" s="487">
        <f>U42/U12</f>
        <v>0.14924525207306449</v>
      </c>
      <c r="W42" s="452">
        <v>157299.58333333334</v>
      </c>
      <c r="X42" s="487">
        <f>W42/W12</f>
        <v>0.14668680977945051</v>
      </c>
      <c r="Y42" s="452">
        <v>157299.58333333334</v>
      </c>
      <c r="Z42" s="487">
        <f>Y42/Y12</f>
        <v>9.7100917247861698E-2</v>
      </c>
      <c r="AA42" s="464">
        <f t="shared" ref="AA42:AA74" si="20">C42+E42+G42+I42+K42+M42+O42+Q42+S42+U42+W42+Y42</f>
        <v>1887594.9899999998</v>
      </c>
      <c r="AB42" s="467">
        <f>AA42/AA12</f>
        <v>0.12505062504807543</v>
      </c>
      <c r="AC42" s="472">
        <f>AA42/12</f>
        <v>157299.58249999999</v>
      </c>
      <c r="AD42" s="467">
        <f>AC42/AC12</f>
        <v>0.12505062504807543</v>
      </c>
      <c r="AE42" s="817" t="s">
        <v>228</v>
      </c>
      <c r="AF42" s="817" t="s">
        <v>302</v>
      </c>
      <c r="AG42" s="817"/>
    </row>
    <row r="43" spans="1:33" s="109" customFormat="1">
      <c r="A43" s="497">
        <v>6102</v>
      </c>
      <c r="B43" s="497" t="s">
        <v>3</v>
      </c>
      <c r="C43" s="708">
        <v>21000</v>
      </c>
      <c r="D43" s="487">
        <f>C43/C12</f>
        <v>1.8497460122558887E-2</v>
      </c>
      <c r="E43" s="708">
        <v>21000</v>
      </c>
      <c r="F43" s="487">
        <f>E43/E12</f>
        <v>2.3775602139741982E-2</v>
      </c>
      <c r="G43" s="708">
        <v>21000</v>
      </c>
      <c r="H43" s="487">
        <f>G43/G12</f>
        <v>1.4333208884678414E-2</v>
      </c>
      <c r="I43" s="708">
        <v>21000</v>
      </c>
      <c r="J43" s="487">
        <f>I43/I12</f>
        <v>1.623250258048373E-2</v>
      </c>
      <c r="K43" s="708">
        <v>21000</v>
      </c>
      <c r="L43" s="487">
        <f>K43/K12</f>
        <v>1.7748162449032046E-2</v>
      </c>
      <c r="M43" s="708">
        <v>21000</v>
      </c>
      <c r="N43" s="487">
        <f>M43/M12</f>
        <v>1.2516456799818191E-2</v>
      </c>
      <c r="O43" s="708">
        <v>21000</v>
      </c>
      <c r="P43" s="487">
        <f>O43/O12</f>
        <v>1.9769781709169914E-2</v>
      </c>
      <c r="Q43" s="708">
        <v>21000</v>
      </c>
      <c r="R43" s="487">
        <f>Q43/Q12</f>
        <v>1.5921043865429987E-2</v>
      </c>
      <c r="S43" s="708">
        <v>21000</v>
      </c>
      <c r="T43" s="487">
        <f>S43/S12</f>
        <v>1.5804418722811506E-2</v>
      </c>
      <c r="U43" s="708">
        <v>21000</v>
      </c>
      <c r="V43" s="487">
        <f>U43/U12</f>
        <v>1.9924720886849271E-2</v>
      </c>
      <c r="W43" s="708">
        <v>21000</v>
      </c>
      <c r="X43" s="487">
        <f>W43/W12</f>
        <v>1.958316061677506E-2</v>
      </c>
      <c r="Y43" s="708">
        <v>21000</v>
      </c>
      <c r="Z43" s="487">
        <f>Y43/Y12</f>
        <v>1.296328457453063E-2</v>
      </c>
      <c r="AA43" s="464">
        <f t="shared" si="20"/>
        <v>252000</v>
      </c>
      <c r="AB43" s="467">
        <f>AA43/AA12</f>
        <v>1.6694660496060658E-2</v>
      </c>
      <c r="AC43" s="472">
        <f t="shared" ref="AC43:AC74" si="21">AA43/12</f>
        <v>21000</v>
      </c>
      <c r="AD43" s="467">
        <f>AC43/AC12</f>
        <v>1.6694660496060658E-2</v>
      </c>
      <c r="AE43" s="823">
        <v>2015</v>
      </c>
      <c r="AF43" s="824" t="s">
        <v>311</v>
      </c>
      <c r="AG43" s="817"/>
    </row>
    <row r="44" spans="1:33" s="109" customFormat="1">
      <c r="A44" s="497">
        <v>6103</v>
      </c>
      <c r="B44" s="497" t="s">
        <v>4</v>
      </c>
      <c r="C44" s="461"/>
      <c r="D44" s="487">
        <f>C44/C12</f>
        <v>0</v>
      </c>
      <c r="E44" s="461"/>
      <c r="F44" s="487">
        <f>E44/E12</f>
        <v>0</v>
      </c>
      <c r="H44" s="487">
        <f>G44/G12</f>
        <v>0</v>
      </c>
      <c r="I44" s="461"/>
      <c r="J44" s="487">
        <f>I44/I12</f>
        <v>0</v>
      </c>
      <c r="K44" s="452">
        <v>0</v>
      </c>
      <c r="L44" s="487">
        <f>K44/K12</f>
        <v>0</v>
      </c>
      <c r="M44" s="452"/>
      <c r="N44" s="487">
        <f>M44/M12</f>
        <v>0</v>
      </c>
      <c r="P44" s="487">
        <f>O44/O12</f>
        <v>0</v>
      </c>
      <c r="Q44" s="452">
        <v>0</v>
      </c>
      <c r="R44" s="487">
        <f>Q44/Q12</f>
        <v>0</v>
      </c>
      <c r="S44" s="452">
        <v>0</v>
      </c>
      <c r="T44" s="487">
        <f>S44/S12</f>
        <v>0</v>
      </c>
      <c r="U44" s="460">
        <v>0</v>
      </c>
      <c r="V44" s="487">
        <f>U44/U12</f>
        <v>0</v>
      </c>
      <c r="W44" s="460"/>
      <c r="X44" s="487">
        <f>W44/W12</f>
        <v>0</v>
      </c>
      <c r="Y44" s="460"/>
      <c r="Z44" s="487">
        <f>Y44/Y12</f>
        <v>0</v>
      </c>
      <c r="AA44" s="464">
        <f t="shared" si="20"/>
        <v>0</v>
      </c>
      <c r="AB44" s="467">
        <f>AA44/AA12</f>
        <v>0</v>
      </c>
      <c r="AC44" s="472">
        <f t="shared" si="21"/>
        <v>0</v>
      </c>
      <c r="AD44" s="467">
        <f>AC44/AC12</f>
        <v>0</v>
      </c>
      <c r="AE44" s="817"/>
      <c r="AF44" s="817"/>
      <c r="AG44" s="817"/>
    </row>
    <row r="45" spans="1:33" s="109" customFormat="1">
      <c r="A45" s="497">
        <v>6104</v>
      </c>
      <c r="B45" s="497" t="s">
        <v>5</v>
      </c>
      <c r="C45" s="707">
        <v>2489.9</v>
      </c>
      <c r="D45" s="467">
        <f>C45/C12</f>
        <v>2.1931821885313985E-3</v>
      </c>
      <c r="E45" s="707">
        <v>2493.1</v>
      </c>
      <c r="F45" s="467">
        <f>E45/E12</f>
        <v>2.8226168425995587E-3</v>
      </c>
      <c r="G45" s="811">
        <v>2485</v>
      </c>
      <c r="H45" s="467">
        <f>G45/G12</f>
        <v>1.6960963846869457E-3</v>
      </c>
      <c r="I45" s="707">
        <v>2492.5</v>
      </c>
      <c r="J45" s="467">
        <f>I45/I12</f>
        <v>1.9266434610407475E-3</v>
      </c>
      <c r="K45" s="707">
        <v>2504.1999999999998</v>
      </c>
      <c r="L45" s="467">
        <f>K45/K12</f>
        <v>2.1164261145174305E-3</v>
      </c>
      <c r="M45" s="707">
        <v>2535.1</v>
      </c>
      <c r="N45" s="467">
        <f>M45/M12</f>
        <v>1.5109747444390046E-3</v>
      </c>
      <c r="O45" s="811">
        <v>2543.6</v>
      </c>
      <c r="P45" s="467">
        <f>O45/O12</f>
        <v>2.39459127406879E-3</v>
      </c>
      <c r="Q45" s="707">
        <v>2533</v>
      </c>
      <c r="R45" s="467">
        <f>Q45/Q12</f>
        <v>1.9203811481492458E-3</v>
      </c>
      <c r="S45" s="707">
        <v>2535.1</v>
      </c>
      <c r="T45" s="467">
        <f>S45/S12</f>
        <v>1.9078943763904501E-3</v>
      </c>
      <c r="U45" s="707">
        <v>2750</v>
      </c>
      <c r="V45" s="467">
        <f>U45/U12</f>
        <v>2.6091896399445475E-3</v>
      </c>
      <c r="W45" s="707">
        <v>2750</v>
      </c>
      <c r="X45" s="467">
        <f>W45/W12</f>
        <v>2.5644615093395914E-3</v>
      </c>
      <c r="Y45" s="707">
        <v>2750</v>
      </c>
      <c r="Z45" s="467">
        <f>Y45/Y12</f>
        <v>1.6975729799980587E-3</v>
      </c>
      <c r="AA45" s="464">
        <f t="shared" si="20"/>
        <v>30861.5</v>
      </c>
      <c r="AB45" s="467">
        <f>AA45/AA12</f>
        <v>2.0445327972189523E-3</v>
      </c>
      <c r="AC45" s="472">
        <f t="shared" si="21"/>
        <v>2571.7916666666665</v>
      </c>
      <c r="AD45" s="467">
        <f>AC45/AC12</f>
        <v>2.0445327972189523E-3</v>
      </c>
      <c r="AE45" s="822"/>
      <c r="AF45" s="824"/>
      <c r="AG45" s="817"/>
    </row>
    <row r="46" spans="1:33" s="109" customFormat="1">
      <c r="A46" s="497">
        <v>6105</v>
      </c>
      <c r="B46" s="497" t="s">
        <v>39</v>
      </c>
      <c r="C46" s="436">
        <f>C12*0.24%</f>
        <v>2724.6983999999998</v>
      </c>
      <c r="D46" s="702">
        <f>C46/C$12</f>
        <v>2.3999999999999998E-3</v>
      </c>
      <c r="E46" s="436">
        <f>E12*0.24%</f>
        <v>2119.8201292136423</v>
      </c>
      <c r="F46" s="702">
        <f>E46/E$12</f>
        <v>2.3999999999999998E-3</v>
      </c>
      <c r="G46" s="436">
        <f>G12*0.24%</f>
        <v>3516.3095999999996</v>
      </c>
      <c r="H46" s="702">
        <f>G46/$G$12</f>
        <v>2.3999999999999998E-3</v>
      </c>
      <c r="I46" s="436">
        <f>I12*0.24%</f>
        <v>3104.8816872264479</v>
      </c>
      <c r="J46" s="226">
        <v>2.282921148507532E-3</v>
      </c>
      <c r="K46" s="436">
        <f>K12*0.24%</f>
        <v>2839.7305999838159</v>
      </c>
      <c r="L46" s="226">
        <v>1.4480363095715567E-3</v>
      </c>
      <c r="M46" s="436">
        <f>M12*0.24%</f>
        <v>4026.6986740793996</v>
      </c>
      <c r="N46" s="702">
        <v>1.4265472348621291E-3</v>
      </c>
      <c r="O46" s="436">
        <f>O12*0.24%</f>
        <v>2549.3452958371677</v>
      </c>
      <c r="P46" s="702">
        <f>O46/O$12</f>
        <v>2.3999999999999998E-3</v>
      </c>
      <c r="Q46" s="436">
        <f>Q12*0.24%</f>
        <v>3165.6215777054399</v>
      </c>
      <c r="R46" s="702">
        <f>Q46/Q$12</f>
        <v>2.3999999999999998E-3</v>
      </c>
      <c r="S46" s="436">
        <f>S12*0.24%</f>
        <v>3188.9815679999997</v>
      </c>
      <c r="T46" s="702">
        <f>S46/S$12</f>
        <v>2.3999999999999998E-3</v>
      </c>
      <c r="U46" s="436">
        <f>U12*0.24%</f>
        <v>2529.5210048972399</v>
      </c>
      <c r="V46" s="702">
        <f>U46/U12</f>
        <v>2.3999999999999998E-3</v>
      </c>
      <c r="W46" s="436">
        <f>W12*0.24%</f>
        <v>2573.639719669512</v>
      </c>
      <c r="X46" s="702">
        <f>W46/W12</f>
        <v>2.3999999999999998E-3</v>
      </c>
      <c r="Y46" s="436">
        <f>Y16*0.24%</f>
        <v>3887.9035409762159</v>
      </c>
      <c r="Z46" s="702">
        <f>Y46/Y12</f>
        <v>2.3999999999999998E-3</v>
      </c>
      <c r="AA46" s="464">
        <f t="shared" si="20"/>
        <v>36227.151797588878</v>
      </c>
      <c r="AB46" s="467">
        <f>AA46/AA12</f>
        <v>2.3999999999999994E-3</v>
      </c>
      <c r="AC46" s="472">
        <f t="shared" si="21"/>
        <v>3018.9293164657397</v>
      </c>
      <c r="AD46" s="467">
        <f>AC46/AC12</f>
        <v>2.3999999999999994E-3</v>
      </c>
      <c r="AE46" s="822"/>
      <c r="AF46" s="824"/>
      <c r="AG46" s="817"/>
    </row>
    <row r="47" spans="1:33" s="109" customFormat="1">
      <c r="A47" s="497">
        <v>6106</v>
      </c>
      <c r="B47" s="497" t="s">
        <v>6</v>
      </c>
      <c r="C47" s="707">
        <v>200</v>
      </c>
      <c r="D47" s="467">
        <f>C47/C12</f>
        <v>1.7616628688151321E-4</v>
      </c>
      <c r="E47" s="707">
        <v>200</v>
      </c>
      <c r="F47" s="467">
        <f>E47/E12</f>
        <v>2.2643430609278078E-4</v>
      </c>
      <c r="G47" s="707">
        <v>200</v>
      </c>
      <c r="H47" s="467">
        <f>G47/G12</f>
        <v>1.3650675128265157E-4</v>
      </c>
      <c r="I47" s="707">
        <v>200</v>
      </c>
      <c r="J47" s="467">
        <f>I47/I12</f>
        <v>1.5459526267127361E-4</v>
      </c>
      <c r="K47" s="707">
        <v>200</v>
      </c>
      <c r="L47" s="467">
        <f>K47/K12</f>
        <v>1.6903011856220994E-4</v>
      </c>
      <c r="M47" s="707">
        <v>200</v>
      </c>
      <c r="N47" s="467">
        <f>M47/M12</f>
        <v>1.1920435047445898E-4</v>
      </c>
      <c r="O47" s="707">
        <v>200</v>
      </c>
      <c r="P47" s="467">
        <f>O47/O12</f>
        <v>1.8828363532542774E-4</v>
      </c>
      <c r="Q47" s="707">
        <v>200</v>
      </c>
      <c r="R47" s="467">
        <f>Q47/Q12</f>
        <v>1.5162898919457131E-4</v>
      </c>
      <c r="S47" s="707">
        <v>200</v>
      </c>
      <c r="T47" s="467">
        <f>S47/S12</f>
        <v>1.5051827355058579E-4</v>
      </c>
      <c r="U47" s="707">
        <v>200</v>
      </c>
      <c r="V47" s="467">
        <f>U47/U12</f>
        <v>1.8975924654142165E-4</v>
      </c>
      <c r="W47" s="707">
        <v>200</v>
      </c>
      <c r="X47" s="467">
        <f>W47/W12</f>
        <v>1.8650629158833393E-4</v>
      </c>
      <c r="Y47" s="707">
        <v>200</v>
      </c>
      <c r="Z47" s="467">
        <f>Y47/Y12</f>
        <v>1.2345985309076789E-4</v>
      </c>
      <c r="AA47" s="464">
        <f t="shared" si="20"/>
        <v>2400</v>
      </c>
      <c r="AB47" s="467">
        <f>AA47/AA12</f>
        <v>1.5899676662914911E-4</v>
      </c>
      <c r="AC47" s="472">
        <f t="shared" si="21"/>
        <v>200</v>
      </c>
      <c r="AD47" s="467">
        <f>AC47/AC12</f>
        <v>1.5899676662914911E-4</v>
      </c>
      <c r="AE47" s="822"/>
      <c r="AF47" s="824"/>
      <c r="AG47" s="467"/>
    </row>
    <row r="48" spans="1:33" s="109" customFormat="1">
      <c r="A48" s="497">
        <v>6107</v>
      </c>
      <c r="B48" s="497" t="s">
        <v>7</v>
      </c>
      <c r="C48" s="459"/>
      <c r="D48" s="487">
        <f>C48/C12</f>
        <v>0</v>
      </c>
      <c r="E48" s="459"/>
      <c r="F48" s="487">
        <f>E48/E12</f>
        <v>0</v>
      </c>
      <c r="H48" s="487">
        <f>G48/G12</f>
        <v>0</v>
      </c>
      <c r="I48" s="459">
        <v>0</v>
      </c>
      <c r="J48" s="487">
        <f>I48/I12</f>
        <v>0</v>
      </c>
      <c r="K48" s="463">
        <v>0</v>
      </c>
      <c r="L48" s="487">
        <f>K48/K12</f>
        <v>0</v>
      </c>
      <c r="M48" s="463">
        <v>0</v>
      </c>
      <c r="N48" s="487">
        <f>M48/M12</f>
        <v>0</v>
      </c>
      <c r="P48" s="487">
        <f>O48/O12</f>
        <v>0</v>
      </c>
      <c r="Q48" s="463"/>
      <c r="R48" s="487">
        <f>Q48/Q12</f>
        <v>0</v>
      </c>
      <c r="S48" s="463"/>
      <c r="T48" s="487">
        <f>S48/S12</f>
        <v>0</v>
      </c>
      <c r="U48" s="463"/>
      <c r="V48" s="487">
        <f>U48/U12</f>
        <v>0</v>
      </c>
      <c r="W48" s="463"/>
      <c r="X48" s="487">
        <f>W48/W12</f>
        <v>0</v>
      </c>
      <c r="Y48" s="463"/>
      <c r="Z48" s="487">
        <f>Y48/Y12</f>
        <v>0</v>
      </c>
      <c r="AA48" s="464">
        <f t="shared" si="20"/>
        <v>0</v>
      </c>
      <c r="AB48" s="467">
        <f>AA48/AA12</f>
        <v>0</v>
      </c>
      <c r="AC48" s="472">
        <f t="shared" si="21"/>
        <v>0</v>
      </c>
      <c r="AD48" s="467">
        <f>AC48/AC12</f>
        <v>0</v>
      </c>
      <c r="AE48" s="817"/>
      <c r="AF48" s="817"/>
      <c r="AG48" s="817"/>
    </row>
    <row r="49" spans="1:33" s="109" customFormat="1">
      <c r="A49" s="497">
        <v>6108</v>
      </c>
      <c r="B49" s="497" t="s">
        <v>8</v>
      </c>
      <c r="C49" s="459"/>
      <c r="D49" s="487">
        <f>C49/C12</f>
        <v>0</v>
      </c>
      <c r="E49" s="459"/>
      <c r="F49" s="487">
        <f>E49/E12</f>
        <v>0</v>
      </c>
      <c r="H49" s="487">
        <f>G49/G12</f>
        <v>0</v>
      </c>
      <c r="I49" s="459"/>
      <c r="J49" s="487">
        <f>I49/I12</f>
        <v>0</v>
      </c>
      <c r="K49" s="463">
        <v>0</v>
      </c>
      <c r="L49" s="487">
        <f>K49/K12</f>
        <v>0</v>
      </c>
      <c r="M49" s="463"/>
      <c r="N49" s="487">
        <f>M49/M12</f>
        <v>0</v>
      </c>
      <c r="P49" s="487">
        <f>O49/O12</f>
        <v>0</v>
      </c>
      <c r="Q49" s="463">
        <v>0</v>
      </c>
      <c r="R49" s="487">
        <f>Q49/Q12</f>
        <v>0</v>
      </c>
      <c r="S49" s="463"/>
      <c r="T49" s="487">
        <f>S49/S12</f>
        <v>0</v>
      </c>
      <c r="U49" s="463"/>
      <c r="V49" s="487">
        <f>U49/U12</f>
        <v>0</v>
      </c>
      <c r="W49" s="463"/>
      <c r="X49" s="487">
        <f>W49/W12</f>
        <v>0</v>
      </c>
      <c r="Y49" s="463"/>
      <c r="Z49" s="487">
        <f>Y49/Y12</f>
        <v>0</v>
      </c>
      <c r="AA49" s="464">
        <f t="shared" si="20"/>
        <v>0</v>
      </c>
      <c r="AB49" s="467">
        <f>AA49/AA12</f>
        <v>0</v>
      </c>
      <c r="AC49" s="472">
        <f t="shared" si="21"/>
        <v>0</v>
      </c>
      <c r="AD49" s="467">
        <f>AC49/AC12</f>
        <v>0</v>
      </c>
      <c r="AE49" s="817"/>
      <c r="AF49" s="817"/>
      <c r="AG49" s="817"/>
    </row>
    <row r="50" spans="1:33" s="109" customFormat="1">
      <c r="A50" s="497">
        <v>6109</v>
      </c>
      <c r="B50" s="497" t="s">
        <v>79</v>
      </c>
      <c r="C50" s="459"/>
      <c r="D50" s="487">
        <f>C50/C12</f>
        <v>0</v>
      </c>
      <c r="E50" s="459"/>
      <c r="F50" s="487">
        <f>E50/E12</f>
        <v>0</v>
      </c>
      <c r="H50" s="487">
        <f>G50/G12</f>
        <v>0</v>
      </c>
      <c r="I50" s="459"/>
      <c r="J50" s="487">
        <f>I50/I12</f>
        <v>0</v>
      </c>
      <c r="K50" s="459"/>
      <c r="L50" s="487">
        <f>K50/K12</f>
        <v>0</v>
      </c>
      <c r="M50" s="463"/>
      <c r="N50" s="487">
        <f>M50/M12</f>
        <v>0</v>
      </c>
      <c r="P50" s="487">
        <f>O50/O12</f>
        <v>0</v>
      </c>
      <c r="Q50" s="459">
        <v>0</v>
      </c>
      <c r="R50" s="487">
        <f>Q50/Q12</f>
        <v>0</v>
      </c>
      <c r="S50" s="459"/>
      <c r="T50" s="487">
        <f>S50/S12</f>
        <v>0</v>
      </c>
      <c r="U50" s="459"/>
      <c r="V50" s="487">
        <f>U50/U12</f>
        <v>0</v>
      </c>
      <c r="W50" s="459"/>
      <c r="X50" s="487">
        <f>W50/W12</f>
        <v>0</v>
      </c>
      <c r="Y50" s="459"/>
      <c r="Z50" s="487">
        <f>Y50/Y12</f>
        <v>0</v>
      </c>
      <c r="AA50" s="464">
        <f t="shared" si="20"/>
        <v>0</v>
      </c>
      <c r="AB50" s="467">
        <f>AA50/AA12</f>
        <v>0</v>
      </c>
      <c r="AC50" s="472">
        <f t="shared" si="21"/>
        <v>0</v>
      </c>
      <c r="AD50" s="467">
        <f>AC50/AC12</f>
        <v>0</v>
      </c>
      <c r="AE50" s="817"/>
      <c r="AF50" s="817"/>
      <c r="AG50" s="817"/>
    </row>
    <row r="51" spans="1:33" s="109" customFormat="1">
      <c r="A51" s="497">
        <v>6110</v>
      </c>
      <c r="B51" s="497" t="s">
        <v>9</v>
      </c>
      <c r="C51" s="432">
        <v>250</v>
      </c>
      <c r="D51" s="702">
        <f>C51/C12</f>
        <v>2.202078586018915E-4</v>
      </c>
      <c r="E51" s="432">
        <v>250</v>
      </c>
      <c r="F51" s="702">
        <f>E51/E12</f>
        <v>2.8304288261597597E-4</v>
      </c>
      <c r="G51" s="432">
        <v>250</v>
      </c>
      <c r="H51" s="702">
        <f>G51/G12</f>
        <v>1.7063343910331445E-4</v>
      </c>
      <c r="I51" s="432">
        <v>250</v>
      </c>
      <c r="J51" s="702">
        <f>I51/I12</f>
        <v>1.9324407833909204E-4</v>
      </c>
      <c r="K51" s="432">
        <v>250</v>
      </c>
      <c r="L51" s="702">
        <f>K51/K12</f>
        <v>2.1128764820276243E-4</v>
      </c>
      <c r="M51" s="432">
        <v>250</v>
      </c>
      <c r="N51" s="702">
        <f>M51/M12</f>
        <v>1.4900543809307371E-4</v>
      </c>
      <c r="O51" s="432">
        <v>250</v>
      </c>
      <c r="P51" s="702">
        <f>O51/O12</f>
        <v>2.3535454415678467E-4</v>
      </c>
      <c r="Q51" s="432">
        <v>250</v>
      </c>
      <c r="R51" s="702">
        <f>Q51/Q12</f>
        <v>1.8953623649321414E-4</v>
      </c>
      <c r="S51" s="432">
        <v>250</v>
      </c>
      <c r="T51" s="702">
        <f>S51/S12</f>
        <v>1.8814784193823224E-4</v>
      </c>
      <c r="U51" s="432">
        <v>250</v>
      </c>
      <c r="V51" s="702">
        <f>U51/U12</f>
        <v>2.3719905817677704E-4</v>
      </c>
      <c r="W51" s="432">
        <v>250</v>
      </c>
      <c r="X51" s="702">
        <f>W51/W12</f>
        <v>2.331328644854174E-4</v>
      </c>
      <c r="Y51" s="432">
        <v>250</v>
      </c>
      <c r="Z51" s="702">
        <f>Y51/Y12</f>
        <v>1.5432481636345989E-4</v>
      </c>
      <c r="AA51" s="464">
        <f t="shared" si="20"/>
        <v>3000</v>
      </c>
      <c r="AB51" s="467">
        <f>AA51/AA12</f>
        <v>1.9874595828643638E-4</v>
      </c>
      <c r="AC51" s="472">
        <f t="shared" si="21"/>
        <v>250</v>
      </c>
      <c r="AD51" s="467">
        <f>AC51/AC12</f>
        <v>1.9874595828643638E-4</v>
      </c>
      <c r="AE51" s="822"/>
      <c r="AF51" s="824"/>
      <c r="AG51" s="467"/>
    </row>
    <row r="52" spans="1:33" s="109" customFormat="1">
      <c r="A52" s="497">
        <v>6111</v>
      </c>
      <c r="B52" s="497" t="s">
        <v>10</v>
      </c>
      <c r="C52" s="498">
        <v>55517.5</v>
      </c>
      <c r="D52" s="487">
        <f>C52/C12</f>
        <v>4.8901559159722045E-2</v>
      </c>
      <c r="E52" s="498">
        <v>55517.5</v>
      </c>
      <c r="F52" s="487">
        <f>E52/E12</f>
        <v>6.2855332942529776E-2</v>
      </c>
      <c r="G52" s="811">
        <v>55517.5</v>
      </c>
      <c r="H52" s="487">
        <f>G52/G12</f>
        <v>3.7892567821673037E-2</v>
      </c>
      <c r="I52" s="498">
        <v>55517.5</v>
      </c>
      <c r="J52" s="487">
        <f>I52/I12</f>
        <v>4.2913712476762164E-2</v>
      </c>
      <c r="K52" s="498">
        <v>55517.5</v>
      </c>
      <c r="L52" s="487">
        <f>K52/K12</f>
        <v>4.6920648036387451E-2</v>
      </c>
      <c r="M52" s="110">
        <v>55517.5</v>
      </c>
      <c r="N52" s="487">
        <f>M52/M12</f>
        <v>3.3089637637328882E-2</v>
      </c>
      <c r="O52" s="811">
        <v>55517.5</v>
      </c>
      <c r="P52" s="487">
        <f>O52/O12</f>
        <v>5.2265183620897174E-2</v>
      </c>
      <c r="Q52" s="498">
        <v>55517.5</v>
      </c>
      <c r="R52" s="487">
        <f>Q52/Q12</f>
        <v>4.2090312038048069E-2</v>
      </c>
      <c r="S52" s="498">
        <v>55517.5</v>
      </c>
      <c r="T52" s="487">
        <f>S52/S12</f>
        <v>4.1781991259223231E-2</v>
      </c>
      <c r="U52" s="498">
        <v>55517.5</v>
      </c>
      <c r="V52" s="487">
        <f>U52/U12</f>
        <v>5.2674794849316878E-2</v>
      </c>
      <c r="W52" s="498">
        <v>55517.5</v>
      </c>
      <c r="X52" s="487">
        <f>W52/W12</f>
        <v>5.1771815216276641E-2</v>
      </c>
      <c r="Y52" s="498">
        <v>55517.5</v>
      </c>
      <c r="Z52" s="487">
        <f>Y52/Y12</f>
        <v>3.4270911969833534E-2</v>
      </c>
      <c r="AA52" s="464">
        <f t="shared" si="20"/>
        <v>666210</v>
      </c>
      <c r="AB52" s="467">
        <f>AA52/AA12</f>
        <v>4.4135514956668925E-2</v>
      </c>
      <c r="AC52" s="472">
        <f t="shared" si="21"/>
        <v>55517.5</v>
      </c>
      <c r="AD52" s="467">
        <f>AC52/AC12</f>
        <v>4.4135514956668925E-2</v>
      </c>
      <c r="AE52" s="817"/>
      <c r="AF52" s="817"/>
      <c r="AG52" s="817"/>
    </row>
    <row r="53" spans="1:33" s="109" customFormat="1">
      <c r="A53" s="497">
        <v>6112</v>
      </c>
      <c r="B53" s="497" t="s">
        <v>11</v>
      </c>
      <c r="C53" s="705">
        <v>2650</v>
      </c>
      <c r="D53" s="702">
        <f>C53/C12</f>
        <v>2.3342033011800501E-3</v>
      </c>
      <c r="E53" s="705">
        <v>2650</v>
      </c>
      <c r="F53" s="702">
        <f>E53/E12</f>
        <v>3.0002545557293453E-3</v>
      </c>
      <c r="G53" s="705">
        <v>2650</v>
      </c>
      <c r="H53" s="702">
        <f>G53/G12</f>
        <v>1.8087144544951333E-3</v>
      </c>
      <c r="I53" s="705">
        <v>2650</v>
      </c>
      <c r="J53" s="702">
        <f>I53/I12</f>
        <v>2.0483872303943755E-3</v>
      </c>
      <c r="K53" s="705">
        <v>2650</v>
      </c>
      <c r="L53" s="702">
        <f>K53/K12</f>
        <v>2.2396490709492818E-3</v>
      </c>
      <c r="M53" s="705">
        <v>2650</v>
      </c>
      <c r="N53" s="702">
        <f>M53/M12</f>
        <v>1.5794576437865814E-3</v>
      </c>
      <c r="O53" s="705">
        <v>2650</v>
      </c>
      <c r="P53" s="702">
        <f>O53/O12</f>
        <v>2.4947581680619174E-3</v>
      </c>
      <c r="Q53" s="705">
        <v>2650</v>
      </c>
      <c r="R53" s="702">
        <f>Q53/Q12</f>
        <v>2.0090841068280702E-3</v>
      </c>
      <c r="S53" s="705">
        <v>2650</v>
      </c>
      <c r="T53" s="702">
        <f>S53/S12</f>
        <v>1.9943671245452616E-3</v>
      </c>
      <c r="U53" s="705">
        <v>2650</v>
      </c>
      <c r="V53" s="702">
        <f>U53/U12</f>
        <v>2.5143100166738369E-3</v>
      </c>
      <c r="W53" s="705">
        <v>2650</v>
      </c>
      <c r="X53" s="702">
        <f>W53/W12</f>
        <v>2.4712083635454246E-3</v>
      </c>
      <c r="Y53" s="705">
        <v>2650</v>
      </c>
      <c r="Z53" s="702">
        <f>Y53/Y12</f>
        <v>1.6358430534526747E-3</v>
      </c>
      <c r="AA53" s="464">
        <f t="shared" si="20"/>
        <v>31800</v>
      </c>
      <c r="AB53" s="467">
        <f>AA53/AA12</f>
        <v>2.1067071578362256E-3</v>
      </c>
      <c r="AC53" s="472">
        <f t="shared" si="21"/>
        <v>2650</v>
      </c>
      <c r="AD53" s="467">
        <f>AC53/AC12</f>
        <v>2.1067071578362256E-3</v>
      </c>
      <c r="AE53" s="822"/>
      <c r="AF53" s="824"/>
      <c r="AG53" s="467"/>
    </row>
    <row r="54" spans="1:33" s="109" customFormat="1">
      <c r="A54" s="497">
        <v>6113</v>
      </c>
      <c r="B54" s="497" t="s">
        <v>12</v>
      </c>
      <c r="C54" s="461"/>
      <c r="D54" s="487">
        <f>C54/C12</f>
        <v>0</v>
      </c>
      <c r="E54" s="461"/>
      <c r="F54" s="487">
        <f>E54/E12</f>
        <v>0</v>
      </c>
      <c r="H54" s="487">
        <f>G54/G12</f>
        <v>0</v>
      </c>
      <c r="I54" s="461"/>
      <c r="J54" s="487">
        <f>I54/I12</f>
        <v>0</v>
      </c>
      <c r="K54" s="452">
        <v>0</v>
      </c>
      <c r="L54" s="487">
        <f>K54/K12</f>
        <v>0</v>
      </c>
      <c r="M54" s="452"/>
      <c r="N54" s="487">
        <f>M54/M12</f>
        <v>0</v>
      </c>
      <c r="P54" s="487">
        <f>O54/O12</f>
        <v>0</v>
      </c>
      <c r="Q54" s="452"/>
      <c r="R54" s="487">
        <f>Q54/Q12</f>
        <v>0</v>
      </c>
      <c r="S54" s="452"/>
      <c r="T54" s="487">
        <f>S54/S12</f>
        <v>0</v>
      </c>
      <c r="U54" s="461"/>
      <c r="V54" s="487">
        <f>U54/U12</f>
        <v>0</v>
      </c>
      <c r="W54" s="461"/>
      <c r="X54" s="487">
        <f>W54/W12</f>
        <v>0</v>
      </c>
      <c r="Y54" s="461"/>
      <c r="Z54" s="487">
        <f>Y54/Y12</f>
        <v>0</v>
      </c>
      <c r="AA54" s="464">
        <f t="shared" si="20"/>
        <v>0</v>
      </c>
      <c r="AB54" s="467">
        <f>AA54/AA12</f>
        <v>0</v>
      </c>
      <c r="AC54" s="472">
        <f t="shared" si="21"/>
        <v>0</v>
      </c>
      <c r="AD54" s="467">
        <f>AC54/AC12</f>
        <v>0</v>
      </c>
      <c r="AE54" s="817"/>
      <c r="AF54" s="817"/>
      <c r="AG54" s="817"/>
    </row>
    <row r="55" spans="1:33" s="109" customFormat="1">
      <c r="A55" s="497">
        <v>6114</v>
      </c>
      <c r="B55" s="497" t="s">
        <v>88</v>
      </c>
      <c r="C55" s="707">
        <v>1295</v>
      </c>
      <c r="D55" s="467">
        <f>C55/C12</f>
        <v>1.1406767075577979E-3</v>
      </c>
      <c r="E55" s="707">
        <v>905.5</v>
      </c>
      <c r="F55" s="467">
        <f>E55/E12</f>
        <v>1.0251813208350649E-3</v>
      </c>
      <c r="G55" s="811">
        <v>2138</v>
      </c>
      <c r="H55" s="467">
        <f>G55/G12</f>
        <v>1.4592571712115452E-3</v>
      </c>
      <c r="I55" s="707">
        <v>1364.75</v>
      </c>
      <c r="J55" s="467">
        <f>I55/I12</f>
        <v>1.0549194236531033E-3</v>
      </c>
      <c r="K55" s="707">
        <v>879</v>
      </c>
      <c r="L55" s="467">
        <f>K55/K12</f>
        <v>7.4288737108091265E-4</v>
      </c>
      <c r="M55" s="110">
        <v>890.75</v>
      </c>
      <c r="N55" s="467">
        <f>M55/M12</f>
        <v>5.3090637592562162E-4</v>
      </c>
      <c r="O55" s="110">
        <v>875</v>
      </c>
      <c r="P55" s="467">
        <f>O55/O12</f>
        <v>8.2374090454874634E-4</v>
      </c>
      <c r="Q55" s="707">
        <v>1105.5</v>
      </c>
      <c r="R55" s="467">
        <f>Q55/Q12</f>
        <v>8.3812923777299298E-4</v>
      </c>
      <c r="S55" s="707">
        <v>3365.47</v>
      </c>
      <c r="T55" s="467">
        <f>S55/S12</f>
        <v>2.5328236704314495E-3</v>
      </c>
      <c r="U55" s="707">
        <v>1200</v>
      </c>
      <c r="V55" s="467">
        <f>U55/U12</f>
        <v>1.1385554792485298E-3</v>
      </c>
      <c r="W55" s="707">
        <v>1200</v>
      </c>
      <c r="X55" s="467">
        <f>W55/W12</f>
        <v>1.1190377495300036E-3</v>
      </c>
      <c r="Y55" s="707">
        <v>1200</v>
      </c>
      <c r="Z55" s="467">
        <f>Y55/Y12</f>
        <v>7.4075911854460741E-4</v>
      </c>
      <c r="AA55" s="464">
        <f>C55+E55+G55+I55+K55+M55+O55+Q55+S55+U55+W55+Y55</f>
        <v>16418.97</v>
      </c>
      <c r="AB55" s="467">
        <f>AA55/AA12</f>
        <v>1.0877346422420834E-3</v>
      </c>
      <c r="AC55" s="472">
        <f t="shared" si="21"/>
        <v>1368.2475000000002</v>
      </c>
      <c r="AD55" s="467">
        <f>AC55/AC12</f>
        <v>1.0877346422420837E-3</v>
      </c>
      <c r="AE55" s="817"/>
      <c r="AF55" s="817"/>
      <c r="AG55" s="823"/>
    </row>
    <row r="56" spans="1:33" s="109" customFormat="1">
      <c r="A56" s="497">
        <v>6115</v>
      </c>
      <c r="B56" s="497" t="s">
        <v>13</v>
      </c>
      <c r="C56" s="708">
        <v>176.66</v>
      </c>
      <c r="D56" s="467">
        <f>C56/C12</f>
        <v>1.5560768120244061E-4</v>
      </c>
      <c r="E56" s="708">
        <v>186.96</v>
      </c>
      <c r="F56" s="467">
        <f>E56/E12</f>
        <v>2.1167078933553146E-4</v>
      </c>
      <c r="G56" s="109">
        <v>718.32</v>
      </c>
      <c r="H56" s="467">
        <f>G56/G12</f>
        <v>4.9027764790677143E-4</v>
      </c>
      <c r="I56" s="708">
        <v>27.5</v>
      </c>
      <c r="J56" s="467">
        <f>I56/I12</f>
        <v>2.1256848617300123E-5</v>
      </c>
      <c r="K56" s="708">
        <v>124.17</v>
      </c>
      <c r="L56" s="467">
        <f>K56/K12</f>
        <v>1.0494234910934805E-4</v>
      </c>
      <c r="M56" s="110">
        <v>217.82</v>
      </c>
      <c r="N56" s="467">
        <f>M56/M12</f>
        <v>1.2982545810173325E-4</v>
      </c>
      <c r="O56" s="109">
        <v>189.73</v>
      </c>
      <c r="P56" s="467">
        <f>O56/O12</f>
        <v>1.78615270651467E-4</v>
      </c>
      <c r="Q56" s="708">
        <v>189.96</v>
      </c>
      <c r="R56" s="467">
        <f>Q56/Q12</f>
        <v>1.4401721393700385E-4</v>
      </c>
      <c r="S56" s="708">
        <v>138.79</v>
      </c>
      <c r="T56" s="467">
        <f>S56/S12</f>
        <v>1.0445215593042899E-4</v>
      </c>
      <c r="U56" s="708">
        <v>250</v>
      </c>
      <c r="V56" s="467">
        <f>U56/U12</f>
        <v>2.3719905817677704E-4</v>
      </c>
      <c r="W56" s="708">
        <v>250</v>
      </c>
      <c r="X56" s="467">
        <f>W56/W12</f>
        <v>2.331328644854174E-4</v>
      </c>
      <c r="Y56" s="708">
        <v>250</v>
      </c>
      <c r="Z56" s="467">
        <f>Y56/Y12</f>
        <v>1.5432481636345989E-4</v>
      </c>
      <c r="AA56" s="464">
        <f t="shared" si="20"/>
        <v>2719.91</v>
      </c>
      <c r="AB56" s="467">
        <f>AA56/AA12</f>
        <v>1.8019037313428705E-4</v>
      </c>
      <c r="AC56" s="472">
        <f t="shared" si="21"/>
        <v>226.65916666666666</v>
      </c>
      <c r="AD56" s="467">
        <f>AC56/AC12</f>
        <v>1.8019037313428705E-4</v>
      </c>
      <c r="AE56" s="817"/>
      <c r="AF56" s="817"/>
      <c r="AG56" s="823"/>
    </row>
    <row r="57" spans="1:33" s="109" customFormat="1">
      <c r="A57" s="497">
        <v>6116</v>
      </c>
      <c r="B57" s="497" t="s">
        <v>14</v>
      </c>
      <c r="C57" s="707">
        <v>1021.18</v>
      </c>
      <c r="D57" s="467">
        <f>C57/C12</f>
        <v>8.9948744418831821E-4</v>
      </c>
      <c r="E57" s="707">
        <v>1021.18</v>
      </c>
      <c r="F57" s="467">
        <f>E57/E12</f>
        <v>1.1561509234791292E-3</v>
      </c>
      <c r="G57" s="811">
        <v>1021.18</v>
      </c>
      <c r="H57" s="467">
        <f>G57/G12</f>
        <v>6.9698982137409056E-4</v>
      </c>
      <c r="I57" s="707">
        <v>1021.18</v>
      </c>
      <c r="J57" s="467">
        <f>I57/I12</f>
        <v>7.8934795167325596E-4</v>
      </c>
      <c r="K57" s="707">
        <v>1021.18</v>
      </c>
      <c r="L57" s="467">
        <f>K57/K12</f>
        <v>8.6305088236678768E-4</v>
      </c>
      <c r="M57" s="463">
        <v>797.28</v>
      </c>
      <c r="N57" s="467">
        <f>M57/M12</f>
        <v>4.7519622273138325E-4</v>
      </c>
      <c r="O57" s="109">
        <v>797.28</v>
      </c>
      <c r="P57" s="467">
        <f>O57/O12</f>
        <v>7.5057388386128509E-4</v>
      </c>
      <c r="Q57" s="463">
        <v>797.28</v>
      </c>
      <c r="R57" s="467">
        <f>Q57/Q12</f>
        <v>6.044538025252391E-4</v>
      </c>
      <c r="S57" s="463">
        <v>797.28</v>
      </c>
      <c r="T57" s="467">
        <f>S57/S12</f>
        <v>6.0002604568205518E-4</v>
      </c>
      <c r="U57" s="463">
        <f>250+1021.18</f>
        <v>1271.1799999999998</v>
      </c>
      <c r="V57" s="467">
        <f>U57/U12</f>
        <v>1.2060907950926217E-3</v>
      </c>
      <c r="W57" s="463">
        <f>250+1021.18</f>
        <v>1271.1799999999998</v>
      </c>
      <c r="X57" s="467">
        <f>W57/W12</f>
        <v>1.1854153387062915E-3</v>
      </c>
      <c r="Y57" s="463">
        <f>250+1021.18</f>
        <v>1271.1799999999998</v>
      </c>
      <c r="Z57" s="467">
        <f>Y57/Y12</f>
        <v>7.8469848025961161E-4</v>
      </c>
      <c r="AA57" s="464">
        <f t="shared" si="20"/>
        <v>12108.56</v>
      </c>
      <c r="AB57" s="467">
        <f>AA57/AA12</f>
        <v>8.0217578688960406E-4</v>
      </c>
      <c r="AC57" s="472">
        <f t="shared" si="21"/>
        <v>1009.0466666666666</v>
      </c>
      <c r="AD57" s="467">
        <f>AC57/AC12</f>
        <v>8.0217578688960406E-4</v>
      </c>
      <c r="AE57" s="825"/>
      <c r="AF57" s="817"/>
      <c r="AG57" s="817"/>
    </row>
    <row r="58" spans="1:33" s="109" customFormat="1">
      <c r="A58" s="497">
        <v>6117</v>
      </c>
      <c r="B58" s="497" t="s">
        <v>15</v>
      </c>
      <c r="C58" s="461"/>
      <c r="D58" s="487">
        <f>C58/C12</f>
        <v>0</v>
      </c>
      <c r="E58" s="461"/>
      <c r="F58" s="487">
        <f>E58/E12</f>
        <v>0</v>
      </c>
      <c r="H58" s="487">
        <f>G58/G12</f>
        <v>0</v>
      </c>
      <c r="I58" s="461"/>
      <c r="J58" s="487">
        <f>I58/I12</f>
        <v>0</v>
      </c>
      <c r="K58" s="452">
        <v>0</v>
      </c>
      <c r="L58" s="487">
        <f>K58/K12</f>
        <v>0</v>
      </c>
      <c r="M58" s="452"/>
      <c r="N58" s="487">
        <f>M58/M12</f>
        <v>0</v>
      </c>
      <c r="P58" s="487">
        <f>O58/O12</f>
        <v>0</v>
      </c>
      <c r="Q58" s="452"/>
      <c r="R58" s="487">
        <f>Q58/Q12</f>
        <v>0</v>
      </c>
      <c r="S58" s="452"/>
      <c r="T58" s="487">
        <f>S58/S12</f>
        <v>0</v>
      </c>
      <c r="U58" s="461"/>
      <c r="V58" s="487">
        <f>U58/U12</f>
        <v>0</v>
      </c>
      <c r="W58" s="461"/>
      <c r="X58" s="487">
        <f>W58/W12</f>
        <v>0</v>
      </c>
      <c r="Y58" s="461"/>
      <c r="Z58" s="487">
        <f>Y58/Y12</f>
        <v>0</v>
      </c>
      <c r="AA58" s="464">
        <f t="shared" si="20"/>
        <v>0</v>
      </c>
      <c r="AB58" s="467">
        <f>AA58/AA12</f>
        <v>0</v>
      </c>
      <c r="AC58" s="472">
        <f t="shared" si="21"/>
        <v>0</v>
      </c>
      <c r="AD58" s="467">
        <f>AC58/AC12</f>
        <v>0</v>
      </c>
      <c r="AE58" s="817"/>
      <c r="AF58" s="817"/>
      <c r="AG58" s="817"/>
    </row>
    <row r="59" spans="1:33" s="109" customFormat="1">
      <c r="A59" s="497">
        <v>6118</v>
      </c>
      <c r="B59" s="497" t="s">
        <v>16</v>
      </c>
      <c r="C59" s="459">
        <v>7816.11</v>
      </c>
      <c r="D59" s="487">
        <f>C59/C12</f>
        <v>6.8846753827873199E-3</v>
      </c>
      <c r="E59" s="459">
        <v>7315.62</v>
      </c>
      <c r="F59" s="487">
        <f>E59/E12</f>
        <v>8.2825366916923441E-3</v>
      </c>
      <c r="G59" s="811">
        <v>7714.02</v>
      </c>
      <c r="H59" s="487">
        <f>G59/G12</f>
        <v>5.265079047646999E-3</v>
      </c>
      <c r="I59" s="459">
        <v>4536.78</v>
      </c>
      <c r="J59" s="487">
        <f>I59/I12</f>
        <v>3.5068234789089035E-3</v>
      </c>
      <c r="K59" s="707">
        <v>12900.69</v>
      </c>
      <c r="L59" s="487">
        <f>K59/K12</f>
        <v>1.0903025801171581E-2</v>
      </c>
      <c r="M59" s="110">
        <v>6750.39</v>
      </c>
      <c r="N59" s="487">
        <f>M59/M12</f>
        <v>4.0233792769964159E-3</v>
      </c>
      <c r="O59" s="811">
        <v>8209.5300000000007</v>
      </c>
      <c r="P59" s="487">
        <f>O59/O12</f>
        <v>7.7286007635657943E-3</v>
      </c>
      <c r="Q59" s="463">
        <v>9095.9699999999993</v>
      </c>
      <c r="R59" s="487">
        <f>Q59/Q12</f>
        <v>6.8960636842207244E-3</v>
      </c>
      <c r="S59" s="463">
        <v>10908.69</v>
      </c>
      <c r="T59" s="487">
        <f>S59/S12</f>
        <v>8.2097859274926979E-3</v>
      </c>
      <c r="U59" s="463">
        <v>16209.9</v>
      </c>
      <c r="V59" s="487">
        <f>U59/U12</f>
        <v>1.5379892052558953E-2</v>
      </c>
      <c r="W59" s="459">
        <v>9000</v>
      </c>
      <c r="X59" s="487">
        <f>W59/W12</f>
        <v>8.3927831214750271E-3</v>
      </c>
      <c r="Y59" s="459">
        <v>9000</v>
      </c>
      <c r="Z59" s="487">
        <f>Y59/Y12</f>
        <v>5.5556933890845558E-3</v>
      </c>
      <c r="AA59" s="464">
        <f t="shared" si="20"/>
        <v>109457.7</v>
      </c>
      <c r="AB59" s="467">
        <f>AA59/AA12</f>
        <v>7.2514251594430895E-3</v>
      </c>
      <c r="AC59" s="472">
        <f t="shared" si="21"/>
        <v>9121.4750000000004</v>
      </c>
      <c r="AD59" s="467">
        <f>AC59/AC12</f>
        <v>7.2514251594430895E-3</v>
      </c>
      <c r="AE59" s="817"/>
      <c r="AF59" s="817"/>
      <c r="AG59" s="817"/>
    </row>
    <row r="60" spans="1:33" s="109" customFormat="1">
      <c r="A60" s="497">
        <v>6119</v>
      </c>
      <c r="B60" s="497" t="s">
        <v>17</v>
      </c>
      <c r="C60" s="461"/>
      <c r="D60" s="487">
        <f>C60/C12</f>
        <v>0</v>
      </c>
      <c r="E60" s="461"/>
      <c r="F60" s="487">
        <f>E60/E12</f>
        <v>0</v>
      </c>
      <c r="H60" s="487">
        <f>G60/G12</f>
        <v>0</v>
      </c>
      <c r="I60" s="461"/>
      <c r="J60" s="487">
        <f>I60/I12</f>
        <v>0</v>
      </c>
      <c r="K60" s="452">
        <v>0</v>
      </c>
      <c r="L60" s="487">
        <f>K60/K12</f>
        <v>0</v>
      </c>
      <c r="M60" s="452"/>
      <c r="N60" s="487">
        <f>M60/M12</f>
        <v>0</v>
      </c>
      <c r="P60" s="487">
        <f>O60/O12</f>
        <v>0</v>
      </c>
      <c r="Q60" s="452"/>
      <c r="R60" s="487">
        <f>Q60/Q12</f>
        <v>0</v>
      </c>
      <c r="S60" s="452"/>
      <c r="T60" s="487">
        <f>S60/S12</f>
        <v>0</v>
      </c>
      <c r="U60" s="461"/>
      <c r="V60" s="487">
        <f>U60/U12</f>
        <v>0</v>
      </c>
      <c r="W60" s="461"/>
      <c r="X60" s="487">
        <f>W60/W12</f>
        <v>0</v>
      </c>
      <c r="Y60" s="461"/>
      <c r="Z60" s="487">
        <f>Y60/Y12</f>
        <v>0</v>
      </c>
      <c r="AA60" s="464">
        <f t="shared" si="20"/>
        <v>0</v>
      </c>
      <c r="AB60" s="467">
        <f>AA60/AA12</f>
        <v>0</v>
      </c>
      <c r="AC60" s="472">
        <f t="shared" si="21"/>
        <v>0</v>
      </c>
      <c r="AD60" s="467">
        <f>AC60/AC12</f>
        <v>0</v>
      </c>
      <c r="AE60" s="817"/>
      <c r="AF60" s="817"/>
      <c r="AG60" s="817"/>
    </row>
    <row r="61" spans="1:33" s="109" customFormat="1">
      <c r="A61" s="497">
        <v>6120</v>
      </c>
      <c r="B61" s="497" t="s">
        <v>18</v>
      </c>
      <c r="C61" s="461"/>
      <c r="D61" s="487">
        <f>C61/C12</f>
        <v>0</v>
      </c>
      <c r="E61" s="461"/>
      <c r="F61" s="487">
        <f>E61/E12</f>
        <v>0</v>
      </c>
      <c r="H61" s="487">
        <f>G61/G12</f>
        <v>0</v>
      </c>
      <c r="I61" s="461"/>
      <c r="J61" s="487">
        <f>I61/I12</f>
        <v>0</v>
      </c>
      <c r="K61" s="452">
        <v>0</v>
      </c>
      <c r="L61" s="487">
        <f>K61/K12</f>
        <v>0</v>
      </c>
      <c r="M61" s="452"/>
      <c r="N61" s="487">
        <f>M61/M12</f>
        <v>0</v>
      </c>
      <c r="P61" s="487">
        <f>O61/O12</f>
        <v>0</v>
      </c>
      <c r="Q61" s="452"/>
      <c r="R61" s="487">
        <f>Q61/Q12</f>
        <v>0</v>
      </c>
      <c r="S61" s="452"/>
      <c r="T61" s="487">
        <f>S61/S12</f>
        <v>0</v>
      </c>
      <c r="U61" s="461"/>
      <c r="V61" s="487">
        <f>U61/U12</f>
        <v>0</v>
      </c>
      <c r="W61" s="461"/>
      <c r="X61" s="487">
        <f>W61/W12</f>
        <v>0</v>
      </c>
      <c r="Y61" s="461"/>
      <c r="Z61" s="487">
        <f>Y61/Y12</f>
        <v>0</v>
      </c>
      <c r="AA61" s="464">
        <f t="shared" si="20"/>
        <v>0</v>
      </c>
      <c r="AB61" s="467">
        <f>AA61/AA12</f>
        <v>0</v>
      </c>
      <c r="AC61" s="472">
        <f t="shared" si="21"/>
        <v>0</v>
      </c>
      <c r="AD61" s="467">
        <f>AC61/AC12</f>
        <v>0</v>
      </c>
      <c r="AE61" s="817"/>
      <c r="AF61" s="817"/>
      <c r="AG61" s="817"/>
    </row>
    <row r="62" spans="1:33" s="109" customFormat="1">
      <c r="A62" s="497">
        <v>6121</v>
      </c>
      <c r="B62" s="497" t="s">
        <v>19</v>
      </c>
      <c r="C62" s="705">
        <v>250</v>
      </c>
      <c r="D62" s="702">
        <f>C62/C12</f>
        <v>2.202078586018915E-4</v>
      </c>
      <c r="E62" s="705">
        <v>250</v>
      </c>
      <c r="F62" s="702">
        <f>E62/E12</f>
        <v>2.8304288261597597E-4</v>
      </c>
      <c r="G62" s="705">
        <v>250</v>
      </c>
      <c r="H62" s="702">
        <f>G62/G12</f>
        <v>1.7063343910331445E-4</v>
      </c>
      <c r="I62" s="705">
        <v>250</v>
      </c>
      <c r="J62" s="702">
        <f>I62/I12</f>
        <v>1.9324407833909204E-4</v>
      </c>
      <c r="K62" s="705">
        <v>250</v>
      </c>
      <c r="L62" s="702">
        <f>K62/K12</f>
        <v>2.1128764820276243E-4</v>
      </c>
      <c r="M62" s="705">
        <v>500</v>
      </c>
      <c r="N62" s="702">
        <f>M62/M12</f>
        <v>2.9801087618614743E-4</v>
      </c>
      <c r="O62" s="705">
        <v>250</v>
      </c>
      <c r="P62" s="702">
        <f>O62/O12</f>
        <v>2.3535454415678467E-4</v>
      </c>
      <c r="Q62" s="705">
        <v>250</v>
      </c>
      <c r="R62" s="702">
        <f>Q62/Q12</f>
        <v>1.8953623649321414E-4</v>
      </c>
      <c r="S62" s="705">
        <v>500</v>
      </c>
      <c r="T62" s="702">
        <f>S62/S12</f>
        <v>3.7629568387646448E-4</v>
      </c>
      <c r="U62" s="705">
        <v>250</v>
      </c>
      <c r="V62" s="702">
        <f>U62/U12</f>
        <v>2.3719905817677704E-4</v>
      </c>
      <c r="W62" s="705">
        <v>250</v>
      </c>
      <c r="X62" s="702">
        <f>W62/W12</f>
        <v>2.331328644854174E-4</v>
      </c>
      <c r="Y62" s="705">
        <f>250+250</f>
        <v>500</v>
      </c>
      <c r="Z62" s="702">
        <f>Y62/Y12</f>
        <v>3.0864963272691977E-4</v>
      </c>
      <c r="AA62" s="464">
        <f t="shared" si="20"/>
        <v>3750</v>
      </c>
      <c r="AB62" s="467">
        <f>AA62/AA12</f>
        <v>2.484324478580455E-4</v>
      </c>
      <c r="AC62" s="472">
        <f t="shared" si="21"/>
        <v>312.5</v>
      </c>
      <c r="AD62" s="467">
        <f>AC62/AC12</f>
        <v>2.484324478580455E-4</v>
      </c>
      <c r="AE62" s="822"/>
      <c r="AF62" s="467"/>
      <c r="AG62" s="467"/>
    </row>
    <row r="63" spans="1:33" s="109" customFormat="1">
      <c r="A63" s="497">
        <v>6122</v>
      </c>
      <c r="B63" s="497" t="s">
        <v>199</v>
      </c>
      <c r="C63" s="461"/>
      <c r="D63" s="487">
        <f>C63/C12</f>
        <v>0</v>
      </c>
      <c r="E63" s="461"/>
      <c r="F63" s="487">
        <f>E63/E12</f>
        <v>0</v>
      </c>
      <c r="H63" s="487">
        <f>G63/G12</f>
        <v>0</v>
      </c>
      <c r="I63" s="461"/>
      <c r="J63" s="487">
        <f>I63/I12</f>
        <v>0</v>
      </c>
      <c r="K63" s="461"/>
      <c r="L63" s="487">
        <f>K63/K12</f>
        <v>0</v>
      </c>
      <c r="M63" s="452"/>
      <c r="N63" s="487">
        <f>M63/M12</f>
        <v>0</v>
      </c>
      <c r="P63" s="487">
        <f>O63/O12</f>
        <v>0</v>
      </c>
      <c r="Q63" s="461"/>
      <c r="R63" s="487">
        <f>Q63/Q12</f>
        <v>0</v>
      </c>
      <c r="S63" s="461"/>
      <c r="T63" s="487">
        <f>S63/S12</f>
        <v>0</v>
      </c>
      <c r="U63" s="461"/>
      <c r="V63" s="487">
        <f>U63/U12</f>
        <v>0</v>
      </c>
      <c r="W63" s="461"/>
      <c r="X63" s="487">
        <f>W63/W12</f>
        <v>0</v>
      </c>
      <c r="Y63" s="461"/>
      <c r="Z63" s="487">
        <f>Y63/Y12</f>
        <v>0</v>
      </c>
      <c r="AA63" s="464">
        <f t="shared" si="20"/>
        <v>0</v>
      </c>
      <c r="AB63" s="467">
        <f>AA63/AA12</f>
        <v>0</v>
      </c>
      <c r="AC63" s="472">
        <f t="shared" si="21"/>
        <v>0</v>
      </c>
      <c r="AD63" s="467">
        <f>AC63/AC12</f>
        <v>0</v>
      </c>
      <c r="AE63" s="817"/>
      <c r="AF63" s="817"/>
      <c r="AG63" s="817"/>
    </row>
    <row r="64" spans="1:33" s="109" customFormat="1">
      <c r="A64" s="497">
        <v>6123</v>
      </c>
      <c r="B64" s="497" t="s">
        <v>21</v>
      </c>
      <c r="C64" s="461"/>
      <c r="D64" s="487">
        <f>C64/C12</f>
        <v>0</v>
      </c>
      <c r="E64" s="461"/>
      <c r="F64" s="487">
        <f>E64/E12</f>
        <v>0</v>
      </c>
      <c r="H64" s="487">
        <f>G64/G12</f>
        <v>0</v>
      </c>
      <c r="I64" s="461"/>
      <c r="J64" s="487">
        <f>I64/I12</f>
        <v>0</v>
      </c>
      <c r="K64" s="452">
        <v>0</v>
      </c>
      <c r="L64" s="487">
        <f>K64/K12</f>
        <v>0</v>
      </c>
      <c r="M64" s="452"/>
      <c r="N64" s="487">
        <f>M64/M12</f>
        <v>0</v>
      </c>
      <c r="P64" s="487">
        <f>O64/O12</f>
        <v>0</v>
      </c>
      <c r="Q64" s="452"/>
      <c r="R64" s="487">
        <f>Q64/Q12</f>
        <v>0</v>
      </c>
      <c r="S64" s="452"/>
      <c r="T64" s="487">
        <f>S64/S12</f>
        <v>0</v>
      </c>
      <c r="U64" s="461"/>
      <c r="V64" s="487">
        <f>U64/U12</f>
        <v>0</v>
      </c>
      <c r="W64" s="461"/>
      <c r="X64" s="487">
        <f>W64/W12</f>
        <v>0</v>
      </c>
      <c r="Y64" s="461"/>
      <c r="Z64" s="487">
        <f>Y64/Y12</f>
        <v>0</v>
      </c>
      <c r="AA64" s="464">
        <f t="shared" si="20"/>
        <v>0</v>
      </c>
      <c r="AB64" s="467">
        <f>AA64/AA12</f>
        <v>0</v>
      </c>
      <c r="AC64" s="472">
        <f t="shared" si="21"/>
        <v>0</v>
      </c>
      <c r="AD64" s="467">
        <f>AC64/AC12</f>
        <v>0</v>
      </c>
      <c r="AE64" s="817"/>
      <c r="AF64" s="817"/>
      <c r="AG64" s="817"/>
    </row>
    <row r="65" spans="1:33" s="109" customFormat="1">
      <c r="A65" s="497">
        <v>6124</v>
      </c>
      <c r="B65" s="497" t="s">
        <v>22</v>
      </c>
      <c r="C65" s="498">
        <v>23000</v>
      </c>
      <c r="D65" s="487">
        <f>C65/C12</f>
        <v>2.0259122991374019E-2</v>
      </c>
      <c r="E65" s="498">
        <v>23000</v>
      </c>
      <c r="F65" s="487">
        <f>E65/E12</f>
        <v>2.6039945200669788E-2</v>
      </c>
      <c r="G65" s="498">
        <v>23000</v>
      </c>
      <c r="H65" s="487">
        <f>G65/G12</f>
        <v>1.5698276397504929E-2</v>
      </c>
      <c r="I65" s="498">
        <v>23000</v>
      </c>
      <c r="J65" s="487">
        <f>I65/I12</f>
        <v>1.7778455207196467E-2</v>
      </c>
      <c r="K65" s="498">
        <v>23000</v>
      </c>
      <c r="L65" s="487">
        <f>K65/K12</f>
        <v>1.9438463634654145E-2</v>
      </c>
      <c r="M65" s="498">
        <v>23000</v>
      </c>
      <c r="N65" s="487">
        <f>M65/M12</f>
        <v>1.3708500304562781E-2</v>
      </c>
      <c r="O65" s="498">
        <v>23000</v>
      </c>
      <c r="P65" s="487">
        <f>O65/O12</f>
        <v>2.1652618062424189E-2</v>
      </c>
      <c r="Q65" s="498">
        <v>23000</v>
      </c>
      <c r="R65" s="487">
        <f>Q65/Q12</f>
        <v>1.7437333757375703E-2</v>
      </c>
      <c r="S65" s="498">
        <v>23000</v>
      </c>
      <c r="T65" s="487">
        <f>S65/S12</f>
        <v>1.7309601458317364E-2</v>
      </c>
      <c r="U65" s="498">
        <v>23000</v>
      </c>
      <c r="V65" s="487">
        <f>U65/U12</f>
        <v>2.1822313352263489E-2</v>
      </c>
      <c r="W65" s="498">
        <f>23000+105000</f>
        <v>128000</v>
      </c>
      <c r="X65" s="487">
        <f>W65/W12</f>
        <v>0.11936402661653371</v>
      </c>
      <c r="Y65" s="498">
        <v>23000</v>
      </c>
      <c r="Z65" s="487">
        <f>Y65/Y12</f>
        <v>1.4197883105438309E-2</v>
      </c>
      <c r="AA65" s="464">
        <f t="shared" si="20"/>
        <v>381000</v>
      </c>
      <c r="AB65" s="467">
        <f>AA65/AA12</f>
        <v>2.524073670237742E-2</v>
      </c>
      <c r="AC65" s="472">
        <f t="shared" si="21"/>
        <v>31750</v>
      </c>
      <c r="AD65" s="467">
        <f>AC65/AC12</f>
        <v>2.524073670237742E-2</v>
      </c>
      <c r="AE65" s="822" t="s">
        <v>346</v>
      </c>
      <c r="AF65" s="817">
        <f>2620+21320</f>
        <v>23940</v>
      </c>
      <c r="AG65" s="817"/>
    </row>
    <row r="66" spans="1:33" s="109" customFormat="1">
      <c r="A66" s="497">
        <v>6125</v>
      </c>
      <c r="B66" s="497" t="s">
        <v>78</v>
      </c>
      <c r="C66" s="486">
        <v>423.01184433164127</v>
      </c>
      <c r="D66" s="467">
        <f>C66/C12</f>
        <v>3.7260212961402961E-4</v>
      </c>
      <c r="E66" s="486">
        <v>423.01184433164127</v>
      </c>
      <c r="F66" s="467">
        <f>E66/E12</f>
        <v>4.7892196720131295E-4</v>
      </c>
      <c r="G66" s="486">
        <v>423.01184433164127</v>
      </c>
      <c r="H66" s="467">
        <f>G66/G12</f>
        <v>2.8871986311897538E-4</v>
      </c>
      <c r="I66" s="486">
        <v>423.01184433164127</v>
      </c>
      <c r="J66" s="467">
        <f>I66/I12</f>
        <v>3.2697813593754997E-4</v>
      </c>
      <c r="K66" s="486">
        <v>423.01184433164127</v>
      </c>
      <c r="L66" s="467">
        <f>K66/K12</f>
        <v>3.5750871100298211E-4</v>
      </c>
      <c r="M66" s="486">
        <v>423.01184433164127</v>
      </c>
      <c r="N66" s="467">
        <f>M66/M12</f>
        <v>2.5212426073278123E-4</v>
      </c>
      <c r="O66" s="486">
        <v>423.01184433164127</v>
      </c>
      <c r="P66" s="467">
        <f>O66/O12</f>
        <v>3.9823103918237677E-4</v>
      </c>
      <c r="Q66" s="486">
        <v>423.01184433164127</v>
      </c>
      <c r="R66" s="467">
        <f>Q66/Q12</f>
        <v>3.2070429186669059E-4</v>
      </c>
      <c r="S66" s="486">
        <v>423.01184433164127</v>
      </c>
      <c r="T66" s="467">
        <f>S66/S12</f>
        <v>3.1835506250123898E-4</v>
      </c>
      <c r="U66" s="486">
        <v>423.01184433164127</v>
      </c>
      <c r="V66" s="467">
        <f>U66/U12</f>
        <v>4.0135204429234692E-4</v>
      </c>
      <c r="W66" s="486">
        <v>423.01184433164127</v>
      </c>
      <c r="X66" s="467">
        <f>W66/W12</f>
        <v>3.9447185192118E-4</v>
      </c>
      <c r="Y66" s="486">
        <v>423.01184433164127</v>
      </c>
      <c r="Z66" s="467">
        <f>Y66/Y12</f>
        <v>2.6112490078419604E-4</v>
      </c>
      <c r="AA66" s="464">
        <f t="shared" si="20"/>
        <v>5076.1421319796964</v>
      </c>
      <c r="AB66" s="467">
        <f>AA66/AA$12</f>
        <v>3.3628757747281967E-4</v>
      </c>
      <c r="AC66" s="472">
        <f t="shared" si="21"/>
        <v>423.01184433164138</v>
      </c>
      <c r="AD66" s="467">
        <f>AC66/AC$12</f>
        <v>3.3628757747281967E-4</v>
      </c>
      <c r="AE66" s="825" t="s">
        <v>295</v>
      </c>
      <c r="AF66" s="826" t="s">
        <v>296</v>
      </c>
      <c r="AG66" s="817"/>
    </row>
    <row r="67" spans="1:33" s="109" customFormat="1">
      <c r="A67" s="497">
        <v>6126</v>
      </c>
      <c r="B67" s="497" t="s">
        <v>116</v>
      </c>
      <c r="C67" s="461"/>
      <c r="D67" s="467">
        <f t="shared" ref="D67:R75" si="22">C67/C$12</f>
        <v>0</v>
      </c>
      <c r="E67" s="461"/>
      <c r="F67" s="467">
        <f t="shared" si="22"/>
        <v>0</v>
      </c>
      <c r="G67" s="461"/>
      <c r="H67" s="467">
        <f t="shared" ref="H67" si="23">G67/G$12</f>
        <v>0</v>
      </c>
      <c r="I67" s="461"/>
      <c r="J67" s="467">
        <f t="shared" ref="J67" si="24">I67/I$12</f>
        <v>0</v>
      </c>
      <c r="K67" s="461"/>
      <c r="L67" s="467">
        <f t="shared" ref="L67" si="25">K67/K$12</f>
        <v>0</v>
      </c>
      <c r="M67" s="461"/>
      <c r="N67" s="467">
        <f t="shared" ref="N67:N74" si="26">M67/M$12</f>
        <v>0</v>
      </c>
      <c r="O67" s="461"/>
      <c r="P67" s="467">
        <f t="shared" ref="P67:P74" si="27">O67/O$12</f>
        <v>0</v>
      </c>
      <c r="Q67" s="461"/>
      <c r="R67" s="467">
        <f t="shared" ref="R67" si="28">Q67/Q$12</f>
        <v>0</v>
      </c>
      <c r="S67" s="461"/>
      <c r="T67" s="467">
        <f t="shared" ref="T67" si="29">S67/S$12</f>
        <v>0</v>
      </c>
      <c r="U67" s="461"/>
      <c r="V67" s="467">
        <f t="shared" ref="V67" si="30">U67/U$12</f>
        <v>0</v>
      </c>
      <c r="W67" s="461"/>
      <c r="X67" s="467">
        <f t="shared" ref="X67" si="31">W67/W$12</f>
        <v>0</v>
      </c>
      <c r="Y67" s="461"/>
      <c r="Z67" s="467">
        <f t="shared" ref="Z67" si="32">Y67/Y$12</f>
        <v>0</v>
      </c>
      <c r="AA67" s="464">
        <f t="shared" si="20"/>
        <v>0</v>
      </c>
      <c r="AB67" s="467">
        <f t="shared" ref="AB67" si="33">AA67/AA$12</f>
        <v>0</v>
      </c>
      <c r="AC67" s="472">
        <f t="shared" si="21"/>
        <v>0</v>
      </c>
      <c r="AD67" s="467">
        <f t="shared" ref="AD67" si="34">AC67/AC$12</f>
        <v>0</v>
      </c>
      <c r="AE67" s="817"/>
      <c r="AF67" s="817"/>
      <c r="AG67" s="817"/>
    </row>
    <row r="68" spans="1:33" s="109" customFormat="1">
      <c r="A68" s="497">
        <v>6127</v>
      </c>
      <c r="B68" s="497" t="s">
        <v>76</v>
      </c>
      <c r="C68" s="705">
        <v>382</v>
      </c>
      <c r="D68" s="702">
        <f>C68/C$12</f>
        <v>3.3647760794369019E-4</v>
      </c>
      <c r="E68" s="705">
        <v>382</v>
      </c>
      <c r="F68" s="702">
        <f>E68/E$12</f>
        <v>4.3248952463721126E-4</v>
      </c>
      <c r="G68" s="705">
        <v>382</v>
      </c>
      <c r="H68" s="702">
        <f>G68/G$12</f>
        <v>2.6072789494986447E-4</v>
      </c>
      <c r="I68" s="705">
        <v>382</v>
      </c>
      <c r="J68" s="702">
        <f>I68/I$12</f>
        <v>2.952769517021326E-4</v>
      </c>
      <c r="K68" s="705">
        <v>382</v>
      </c>
      <c r="L68" s="702">
        <f>K68/K$12</f>
        <v>3.2284752645382099E-4</v>
      </c>
      <c r="M68" s="705">
        <v>382</v>
      </c>
      <c r="N68" s="702">
        <f>M68/M$12</f>
        <v>2.2768030940621662E-4</v>
      </c>
      <c r="O68" s="705">
        <v>382</v>
      </c>
      <c r="P68" s="702">
        <f>O68/O$12</f>
        <v>3.5962174347156699E-4</v>
      </c>
      <c r="Q68" s="705">
        <v>382</v>
      </c>
      <c r="R68" s="702">
        <f>Q68/Q$12</f>
        <v>2.8961136936163124E-4</v>
      </c>
      <c r="S68" s="705">
        <v>382</v>
      </c>
      <c r="T68" s="702">
        <f>S68/S$12</f>
        <v>2.8748990248161883E-4</v>
      </c>
      <c r="U68" s="705">
        <v>382</v>
      </c>
      <c r="V68" s="702">
        <f>U68/U$12</f>
        <v>3.6244016089411531E-4</v>
      </c>
      <c r="W68" s="705">
        <v>382</v>
      </c>
      <c r="X68" s="702">
        <f>W68/W$12</f>
        <v>3.562270169337178E-4</v>
      </c>
      <c r="Y68" s="705">
        <v>382</v>
      </c>
      <c r="Z68" s="702">
        <f>Y68/Y$12</f>
        <v>2.3580831940336669E-4</v>
      </c>
      <c r="AA68" s="464">
        <f t="shared" si="20"/>
        <v>4584</v>
      </c>
      <c r="AB68" s="467">
        <f>AA68/AA12</f>
        <v>3.0368382426167477E-4</v>
      </c>
      <c r="AC68" s="472">
        <f t="shared" si="21"/>
        <v>382</v>
      </c>
      <c r="AD68" s="467">
        <f>AC68/AC12</f>
        <v>3.0368382426167477E-4</v>
      </c>
      <c r="AE68" s="822"/>
      <c r="AF68" s="467"/>
      <c r="AG68" s="467"/>
    </row>
    <row r="69" spans="1:33" s="109" customFormat="1">
      <c r="A69" s="497">
        <v>6128</v>
      </c>
      <c r="B69" s="497" t="s">
        <v>270</v>
      </c>
      <c r="C69" s="674">
        <v>0</v>
      </c>
      <c r="D69" s="467">
        <f t="shared" si="22"/>
        <v>0</v>
      </c>
      <c r="E69" s="674">
        <v>0</v>
      </c>
      <c r="F69" s="467">
        <f t="shared" si="22"/>
        <v>0</v>
      </c>
      <c r="G69" s="674">
        <v>0</v>
      </c>
      <c r="H69" s="467">
        <f t="shared" ref="H69:H74" si="35">G69/G$12</f>
        <v>0</v>
      </c>
      <c r="I69" s="674">
        <v>0</v>
      </c>
      <c r="J69" s="467">
        <f t="shared" ref="J69:J74" si="36">I69/I$12</f>
        <v>0</v>
      </c>
      <c r="K69" s="674">
        <v>0</v>
      </c>
      <c r="L69" s="467">
        <f t="shared" ref="L69:L74" si="37">K69/K$12</f>
        <v>0</v>
      </c>
      <c r="M69" s="674">
        <v>0</v>
      </c>
      <c r="N69" s="467">
        <f t="shared" si="26"/>
        <v>0</v>
      </c>
      <c r="O69" s="674">
        <v>0</v>
      </c>
      <c r="P69" s="467">
        <f t="shared" si="27"/>
        <v>0</v>
      </c>
      <c r="Q69" s="674">
        <v>0</v>
      </c>
      <c r="R69" s="467">
        <f t="shared" ref="R69:R74" si="38">Q69/Q$12</f>
        <v>0</v>
      </c>
      <c r="S69" s="674">
        <v>0</v>
      </c>
      <c r="T69" s="467">
        <f t="shared" ref="T69:Z75" si="39">S69/S$12</f>
        <v>0</v>
      </c>
      <c r="U69" s="674">
        <v>0</v>
      </c>
      <c r="V69" s="467">
        <f t="shared" ref="V69:V74" si="40">U69/U$12</f>
        <v>0</v>
      </c>
      <c r="W69" s="674">
        <v>0</v>
      </c>
      <c r="X69" s="467">
        <f t="shared" ref="X69:X74" si="41">W69/W$12</f>
        <v>0</v>
      </c>
      <c r="Y69" s="674">
        <v>0</v>
      </c>
      <c r="Z69" s="467">
        <f t="shared" ref="Z69:Z74" si="42">Y69/Y$12</f>
        <v>0</v>
      </c>
      <c r="AA69" s="464">
        <f t="shared" si="20"/>
        <v>0</v>
      </c>
      <c r="AB69" s="467">
        <f t="shared" ref="AB69:AB74" si="43">AA69/AA$12</f>
        <v>0</v>
      </c>
      <c r="AC69" s="472">
        <f t="shared" si="21"/>
        <v>0</v>
      </c>
      <c r="AD69" s="467">
        <f t="shared" ref="AD69:AD74" si="44">AC69/AC$12</f>
        <v>0</v>
      </c>
      <c r="AE69" s="817"/>
      <c r="AF69" s="817"/>
      <c r="AG69" s="817"/>
    </row>
    <row r="70" spans="1:33" s="109" customFormat="1">
      <c r="A70" s="494">
        <v>6131</v>
      </c>
      <c r="B70" s="497" t="s">
        <v>314</v>
      </c>
      <c r="C70" s="674">
        <v>676.8189509306261</v>
      </c>
      <c r="D70" s="467">
        <f t="shared" si="22"/>
        <v>5.9616340738244736E-4</v>
      </c>
      <c r="E70" s="674">
        <v>676.8189509306261</v>
      </c>
      <c r="F70" s="467">
        <f t="shared" si="22"/>
        <v>7.6627514752210084E-4</v>
      </c>
      <c r="G70" s="674">
        <v>676.8189509306261</v>
      </c>
      <c r="H70" s="467">
        <f t="shared" si="35"/>
        <v>4.6195178099036065E-4</v>
      </c>
      <c r="I70" s="674">
        <v>676.8189509306261</v>
      </c>
      <c r="J70" s="467">
        <f t="shared" si="36"/>
        <v>5.2316501750007997E-4</v>
      </c>
      <c r="K70" s="674">
        <v>676.8189509306261</v>
      </c>
      <c r="L70" s="467">
        <f t="shared" si="37"/>
        <v>5.720139376047714E-4</v>
      </c>
      <c r="M70" s="674">
        <v>676.8189509306261</v>
      </c>
      <c r="N70" s="467">
        <f t="shared" si="26"/>
        <v>4.0339881717245E-4</v>
      </c>
      <c r="O70" s="674">
        <v>676.8189509306261</v>
      </c>
      <c r="P70" s="467">
        <f t="shared" si="27"/>
        <v>6.3716966269180284E-4</v>
      </c>
      <c r="Q70" s="674">
        <v>676.8189509306261</v>
      </c>
      <c r="R70" s="467">
        <f t="shared" si="38"/>
        <v>5.1312686698670501E-4</v>
      </c>
      <c r="S70" s="674">
        <v>676.8189509306261</v>
      </c>
      <c r="T70" s="467">
        <f t="shared" si="39"/>
        <v>5.0936810000198234E-4</v>
      </c>
      <c r="U70" s="674">
        <v>676.8189509306261</v>
      </c>
      <c r="V70" s="467">
        <f t="shared" si="40"/>
        <v>6.4216327086775516E-4</v>
      </c>
      <c r="W70" s="674">
        <v>676.8189509306261</v>
      </c>
      <c r="X70" s="467">
        <f t="shared" si="41"/>
        <v>6.3115496307388809E-4</v>
      </c>
      <c r="Y70" s="674">
        <v>676.8189509306261</v>
      </c>
      <c r="Z70" s="467">
        <f t="shared" si="42"/>
        <v>4.1779984125471373E-4</v>
      </c>
      <c r="AA70" s="464">
        <f t="shared" si="20"/>
        <v>8121.8274111675119</v>
      </c>
      <c r="AB70" s="467">
        <f t="shared" si="43"/>
        <v>5.3806012395651132E-4</v>
      </c>
      <c r="AC70" s="472">
        <f t="shared" si="21"/>
        <v>676.81895093062599</v>
      </c>
      <c r="AD70" s="467">
        <f t="shared" si="44"/>
        <v>5.3806012395651132E-4</v>
      </c>
      <c r="AE70" s="822"/>
      <c r="AF70" s="467"/>
      <c r="AG70" s="467"/>
    </row>
    <row r="71" spans="1:33" s="109" customFormat="1">
      <c r="A71" s="494">
        <v>6132</v>
      </c>
      <c r="B71" s="497" t="s">
        <v>315</v>
      </c>
      <c r="C71" s="674">
        <v>46.531302876480538</v>
      </c>
      <c r="D71" s="467">
        <f t="shared" si="22"/>
        <v>4.0986234257543251E-5</v>
      </c>
      <c r="E71" s="674">
        <v>46.531302876480538</v>
      </c>
      <c r="F71" s="467">
        <f t="shared" si="22"/>
        <v>5.2681416392144424E-5</v>
      </c>
      <c r="G71" s="674">
        <v>46.531302876480538</v>
      </c>
      <c r="H71" s="467">
        <f t="shared" si="35"/>
        <v>3.1759184943087292E-5</v>
      </c>
      <c r="I71" s="674">
        <v>46.531302876480538</v>
      </c>
      <c r="J71" s="467">
        <f t="shared" si="36"/>
        <v>3.5967594953130493E-5</v>
      </c>
      <c r="K71" s="674">
        <v>46.531302876480538</v>
      </c>
      <c r="L71" s="467">
        <f t="shared" si="37"/>
        <v>3.9325958210328026E-5</v>
      </c>
      <c r="M71" s="674">
        <v>46.531302876480538</v>
      </c>
      <c r="N71" s="467">
        <f t="shared" si="26"/>
        <v>2.7733668680605933E-5</v>
      </c>
      <c r="O71" s="674">
        <v>46.531302876480538</v>
      </c>
      <c r="P71" s="467">
        <f t="shared" si="27"/>
        <v>4.3805414310061442E-5</v>
      </c>
      <c r="Q71" s="674">
        <v>46.531302876480538</v>
      </c>
      <c r="R71" s="467">
        <f t="shared" si="38"/>
        <v>3.5277472105335966E-5</v>
      </c>
      <c r="S71" s="674">
        <v>46.531302876480538</v>
      </c>
      <c r="T71" s="467">
        <f t="shared" si="39"/>
        <v>3.5019056875136285E-5</v>
      </c>
      <c r="U71" s="674">
        <v>46.531302876480538</v>
      </c>
      <c r="V71" s="467">
        <f t="shared" si="40"/>
        <v>4.4148724872158159E-5</v>
      </c>
      <c r="W71" s="674">
        <v>46.531302876480538</v>
      </c>
      <c r="X71" s="467">
        <f t="shared" si="41"/>
        <v>4.3391903711329801E-5</v>
      </c>
      <c r="Y71" s="674">
        <v>46.531302876480538</v>
      </c>
      <c r="Z71" s="467">
        <f t="shared" si="42"/>
        <v>2.8723739086261565E-5</v>
      </c>
      <c r="AA71" s="464">
        <f t="shared" si="20"/>
        <v>558.37563451776646</v>
      </c>
      <c r="AB71" s="467">
        <f t="shared" si="43"/>
        <v>3.6991633522010153E-5</v>
      </c>
      <c r="AC71" s="472">
        <f t="shared" si="21"/>
        <v>46.531302876480538</v>
      </c>
      <c r="AD71" s="467">
        <f t="shared" si="44"/>
        <v>3.6991633522010153E-5</v>
      </c>
      <c r="AE71" s="822"/>
      <c r="AF71" s="467"/>
      <c r="AG71" s="467"/>
    </row>
    <row r="72" spans="1:33" s="109" customFormat="1">
      <c r="A72" s="494">
        <v>6133</v>
      </c>
      <c r="B72" s="497" t="s">
        <v>316</v>
      </c>
      <c r="C72" s="676">
        <v>100</v>
      </c>
      <c r="D72" s="702">
        <f t="shared" si="22"/>
        <v>8.8083143440756604E-5</v>
      </c>
      <c r="E72" s="676">
        <v>100</v>
      </c>
      <c r="F72" s="702">
        <f t="shared" si="22"/>
        <v>1.1321715304639039E-4</v>
      </c>
      <c r="G72" s="676">
        <v>100</v>
      </c>
      <c r="H72" s="702">
        <f t="shared" si="35"/>
        <v>6.8253375641325783E-5</v>
      </c>
      <c r="I72" s="676">
        <v>100</v>
      </c>
      <c r="J72" s="702">
        <f t="shared" si="36"/>
        <v>7.7297631335636807E-5</v>
      </c>
      <c r="K72" s="676">
        <v>100</v>
      </c>
      <c r="L72" s="702">
        <f t="shared" si="37"/>
        <v>8.4515059281104968E-5</v>
      </c>
      <c r="M72" s="676">
        <v>100</v>
      </c>
      <c r="N72" s="702">
        <f t="shared" si="26"/>
        <v>5.9602175237229488E-5</v>
      </c>
      <c r="O72" s="676">
        <v>100</v>
      </c>
      <c r="P72" s="702">
        <f t="shared" si="27"/>
        <v>9.4141817662713869E-5</v>
      </c>
      <c r="Q72" s="676">
        <v>100</v>
      </c>
      <c r="R72" s="702">
        <f t="shared" si="38"/>
        <v>7.5814494597285656E-5</v>
      </c>
      <c r="S72" s="676">
        <v>100</v>
      </c>
      <c r="T72" s="702">
        <f t="shared" si="39"/>
        <v>7.5259136775292893E-5</v>
      </c>
      <c r="U72" s="676">
        <v>100</v>
      </c>
      <c r="V72" s="702">
        <f t="shared" si="40"/>
        <v>9.4879623270710824E-5</v>
      </c>
      <c r="W72" s="676">
        <v>100</v>
      </c>
      <c r="X72" s="702">
        <f t="shared" si="41"/>
        <v>9.3253145794166964E-5</v>
      </c>
      <c r="Y72" s="676">
        <v>100</v>
      </c>
      <c r="Z72" s="702">
        <f t="shared" si="42"/>
        <v>6.1729926545383947E-5</v>
      </c>
      <c r="AA72" s="144">
        <f t="shared" si="20"/>
        <v>1200</v>
      </c>
      <c r="AB72" s="467">
        <f t="shared" si="43"/>
        <v>7.9498383314574556E-5</v>
      </c>
      <c r="AC72" s="472">
        <f t="shared" si="21"/>
        <v>100</v>
      </c>
      <c r="AD72" s="467">
        <f t="shared" si="44"/>
        <v>7.9498383314574556E-5</v>
      </c>
      <c r="AE72" s="822"/>
      <c r="AF72" s="467"/>
      <c r="AG72" s="467"/>
    </row>
    <row r="73" spans="1:33" s="109" customFormat="1">
      <c r="A73" s="494">
        <v>6134</v>
      </c>
      <c r="B73" s="497" t="s">
        <v>317</v>
      </c>
      <c r="C73" s="676">
        <v>118.44331641285957</v>
      </c>
      <c r="D73" s="702">
        <f t="shared" si="22"/>
        <v>1.043285962919283E-4</v>
      </c>
      <c r="E73" s="676">
        <v>118.44331641285957</v>
      </c>
      <c r="F73" s="702">
        <f t="shared" si="22"/>
        <v>1.3409815081636764E-4</v>
      </c>
      <c r="G73" s="676">
        <v>118.44331641285957</v>
      </c>
      <c r="H73" s="702">
        <f t="shared" si="35"/>
        <v>8.0841561673313119E-5</v>
      </c>
      <c r="I73" s="676">
        <v>118.44331641285957</v>
      </c>
      <c r="J73" s="702">
        <f t="shared" si="36"/>
        <v>9.1553878062513997E-5</v>
      </c>
      <c r="K73" s="676">
        <v>118.44331641285957</v>
      </c>
      <c r="L73" s="702">
        <f t="shared" si="37"/>
        <v>1.00102439080835E-4</v>
      </c>
      <c r="M73" s="676">
        <v>118.44331641285957</v>
      </c>
      <c r="N73" s="702">
        <f t="shared" si="26"/>
        <v>7.0594793005178757E-5</v>
      </c>
      <c r="O73" s="676">
        <v>118.44331641285957</v>
      </c>
      <c r="P73" s="702">
        <f t="shared" si="27"/>
        <v>1.115046909710655E-4</v>
      </c>
      <c r="Q73" s="676">
        <v>118.44331641285957</v>
      </c>
      <c r="R73" s="702">
        <f t="shared" si="38"/>
        <v>8.9797201722673377E-5</v>
      </c>
      <c r="S73" s="676">
        <v>118.44331641285957</v>
      </c>
      <c r="T73" s="702">
        <f t="shared" si="39"/>
        <v>8.9139417500346918E-5</v>
      </c>
      <c r="U73" s="676">
        <v>118.44331641285957</v>
      </c>
      <c r="V73" s="702">
        <f t="shared" si="40"/>
        <v>1.1237857240185716E-4</v>
      </c>
      <c r="W73" s="676">
        <v>118.44331641285957</v>
      </c>
      <c r="X73" s="702">
        <f t="shared" si="41"/>
        <v>1.1045211853793043E-4</v>
      </c>
      <c r="Y73" s="676">
        <v>118.44331641285957</v>
      </c>
      <c r="Z73" s="702">
        <f t="shared" si="42"/>
        <v>7.3114972219574912E-5</v>
      </c>
      <c r="AA73" s="464">
        <f t="shared" si="20"/>
        <v>1421.3197969543146</v>
      </c>
      <c r="AB73" s="467">
        <f t="shared" si="43"/>
        <v>9.4160521692389476E-5</v>
      </c>
      <c r="AC73" s="472">
        <f t="shared" si="21"/>
        <v>118.44331641285955</v>
      </c>
      <c r="AD73" s="467">
        <f t="shared" si="44"/>
        <v>9.4160521692389476E-5</v>
      </c>
      <c r="AE73" s="822"/>
      <c r="AF73" s="467"/>
      <c r="AG73" s="467"/>
    </row>
    <row r="74" spans="1:33" s="109" customFormat="1">
      <c r="A74" s="494">
        <v>6135</v>
      </c>
      <c r="B74" s="497" t="s">
        <v>318</v>
      </c>
      <c r="C74" s="674">
        <v>0</v>
      </c>
      <c r="D74" s="467">
        <f t="shared" si="22"/>
        <v>0</v>
      </c>
      <c r="E74" s="674">
        <v>0</v>
      </c>
      <c r="F74" s="467">
        <f t="shared" si="22"/>
        <v>0</v>
      </c>
      <c r="G74" s="674">
        <v>0</v>
      </c>
      <c r="H74" s="467">
        <f t="shared" si="35"/>
        <v>0</v>
      </c>
      <c r="I74" s="674">
        <v>0</v>
      </c>
      <c r="J74" s="467">
        <f t="shared" si="36"/>
        <v>0</v>
      </c>
      <c r="K74" s="674">
        <v>0</v>
      </c>
      <c r="L74" s="467">
        <f t="shared" si="37"/>
        <v>0</v>
      </c>
      <c r="M74" s="674">
        <v>0</v>
      </c>
      <c r="N74" s="467">
        <f t="shared" si="26"/>
        <v>0</v>
      </c>
      <c r="O74" s="674">
        <v>0</v>
      </c>
      <c r="P74" s="467">
        <f t="shared" si="27"/>
        <v>0</v>
      </c>
      <c r="Q74" s="674">
        <v>0</v>
      </c>
      <c r="R74" s="467">
        <f t="shared" si="38"/>
        <v>0</v>
      </c>
      <c r="S74" s="674">
        <v>0</v>
      </c>
      <c r="T74" s="467">
        <f t="shared" si="39"/>
        <v>0</v>
      </c>
      <c r="U74" s="674">
        <v>0</v>
      </c>
      <c r="V74" s="467">
        <f t="shared" si="40"/>
        <v>0</v>
      </c>
      <c r="W74" s="674">
        <v>0</v>
      </c>
      <c r="X74" s="467">
        <f t="shared" si="41"/>
        <v>0</v>
      </c>
      <c r="Y74" s="674">
        <v>0</v>
      </c>
      <c r="Z74" s="467">
        <f t="shared" si="42"/>
        <v>0</v>
      </c>
      <c r="AA74" s="464">
        <f t="shared" si="20"/>
        <v>0</v>
      </c>
      <c r="AB74" s="467">
        <f t="shared" si="43"/>
        <v>0</v>
      </c>
      <c r="AC74" s="472">
        <f t="shared" si="21"/>
        <v>0</v>
      </c>
      <c r="AD74" s="467">
        <f t="shared" si="44"/>
        <v>0</v>
      </c>
      <c r="AE74" s="822"/>
      <c r="AF74" s="467"/>
      <c r="AG74" s="467"/>
    </row>
    <row r="75" spans="1:33" s="109" customFormat="1">
      <c r="A75" s="494">
        <v>6136</v>
      </c>
      <c r="B75" s="497" t="s">
        <v>330</v>
      </c>
      <c r="C75" s="674">
        <v>155</v>
      </c>
      <c r="D75" s="467">
        <f t="shared" si="22"/>
        <v>1.3652887233317273E-4</v>
      </c>
      <c r="E75" s="674">
        <v>155</v>
      </c>
      <c r="F75" s="467">
        <f t="shared" si="22"/>
        <v>1.7548658722190509E-4</v>
      </c>
      <c r="G75" s="674">
        <v>155</v>
      </c>
      <c r="H75" s="467">
        <f t="shared" si="22"/>
        <v>1.0579273224405496E-4</v>
      </c>
      <c r="I75" s="674">
        <v>155</v>
      </c>
      <c r="J75" s="467">
        <f t="shared" si="22"/>
        <v>1.1981132857023705E-4</v>
      </c>
      <c r="K75" s="674">
        <v>155</v>
      </c>
      <c r="L75" s="467">
        <f t="shared" si="22"/>
        <v>1.309983418857127E-4</v>
      </c>
      <c r="M75" s="674">
        <v>155</v>
      </c>
      <c r="N75" s="467">
        <f t="shared" si="22"/>
        <v>9.2383371617705697E-5</v>
      </c>
      <c r="O75" s="674">
        <v>155</v>
      </c>
      <c r="P75" s="467">
        <f t="shared" si="22"/>
        <v>1.459198173772065E-4</v>
      </c>
      <c r="Q75" s="674">
        <v>155</v>
      </c>
      <c r="R75" s="467">
        <f t="shared" si="22"/>
        <v>1.1751246662579277E-4</v>
      </c>
      <c r="S75" s="674">
        <v>155</v>
      </c>
      <c r="T75" s="467">
        <f t="shared" si="39"/>
        <v>1.1665166200170398E-4</v>
      </c>
      <c r="U75" s="674">
        <v>155</v>
      </c>
      <c r="V75" s="467">
        <f t="shared" si="39"/>
        <v>1.4706341606960177E-4</v>
      </c>
      <c r="W75" s="674">
        <v>155</v>
      </c>
      <c r="X75" s="467">
        <f t="shared" si="39"/>
        <v>1.445423759809588E-4</v>
      </c>
      <c r="Y75" s="674">
        <v>155</v>
      </c>
      <c r="Z75" s="467">
        <f t="shared" si="39"/>
        <v>9.5681386145345131E-5</v>
      </c>
      <c r="AA75" s="464">
        <f t="shared" ref="AA75" si="45">C75+E75+G75+I75+K75+M75+O75+Q75+S75+U75+W75+Y75</f>
        <v>1860</v>
      </c>
      <c r="AB75" s="467">
        <f t="shared" ref="AB75" si="46">AA75/AA$12</f>
        <v>1.2322249413759055E-4</v>
      </c>
      <c r="AC75" s="472">
        <f t="shared" ref="AC75" si="47">AA75/12</f>
        <v>155</v>
      </c>
      <c r="AD75" s="467">
        <f t="shared" ref="AD75" si="48">AC75/AC$12</f>
        <v>1.2322249413759055E-4</v>
      </c>
      <c r="AE75" s="822"/>
      <c r="AF75" s="467"/>
      <c r="AG75" s="467"/>
    </row>
    <row r="76" spans="1:33" s="109" customFormat="1">
      <c r="A76" s="495">
        <v>6199</v>
      </c>
      <c r="B76" s="495" t="s">
        <v>23</v>
      </c>
      <c r="C76" s="469">
        <f>SUM(C42:C75)</f>
        <v>277592.43714788492</v>
      </c>
      <c r="D76" s="489">
        <f>C76/C12</f>
        <v>0.24451214459366358</v>
      </c>
      <c r="E76" s="469">
        <f>SUM(E42:E75)</f>
        <v>276111.06887709856</v>
      </c>
      <c r="F76" s="489">
        <f>E76/E12</f>
        <v>0.31260509142860904</v>
      </c>
      <c r="G76" s="469">
        <f>SUM(G42:G75)</f>
        <v>279661.71834788489</v>
      </c>
      <c r="H76" s="489">
        <f>G76/G12</f>
        <v>0.19087856314896837</v>
      </c>
      <c r="I76" s="469">
        <f>SUM(I42:I75)</f>
        <v>274616.48043511139</v>
      </c>
      <c r="J76" s="489">
        <f>I76/I12</f>
        <v>0.21227203463363359</v>
      </c>
      <c r="K76" s="469">
        <f>SUM(K42:K75)</f>
        <v>282337.85934786877</v>
      </c>
      <c r="L76" s="489">
        <f>K76/K12</f>
        <v>0.23861800920085408</v>
      </c>
      <c r="M76" s="473">
        <f>SUM(M42:M75)</f>
        <v>277536.924088631</v>
      </c>
      <c r="N76" s="489">
        <f>M76/M12</f>
        <v>0.16541804384332243</v>
      </c>
      <c r="O76" s="469">
        <f>SUM(O42:O75)</f>
        <v>277233.37071038876</v>
      </c>
      <c r="P76" s="489">
        <f>O76/O12</f>
        <v>0.26099253435436975</v>
      </c>
      <c r="Q76" s="469">
        <f>SUM(Q42:Q75)</f>
        <v>278956.22032559034</v>
      </c>
      <c r="R76" s="489">
        <f>Q76/Q12</f>
        <v>0.21148924858753698</v>
      </c>
      <c r="S76" s="469">
        <f>SUM(S42:S75)</f>
        <v>283253.19698255154</v>
      </c>
      <c r="T76" s="489">
        <f>S76/S12</f>
        <v>0.21317391093748825</v>
      </c>
      <c r="U76" s="469">
        <f>SUM(U42:U75)</f>
        <v>286279.48975278216</v>
      </c>
      <c r="V76" s="489">
        <f>U76/U12</f>
        <v>0.27162090137875289</v>
      </c>
      <c r="W76" s="469">
        <f>SUM(W42:W75)</f>
        <v>384113.70846755442</v>
      </c>
      <c r="X76" s="489">
        <f>W76/W12</f>
        <v>0.35819811657262995</v>
      </c>
      <c r="Y76" s="469">
        <f>SUM(Y42:Y75)</f>
        <v>280677.97228886111</v>
      </c>
      <c r="Z76" s="489">
        <f>Y76/Y12</f>
        <v>0.1732623061229871</v>
      </c>
      <c r="AA76" s="469">
        <f>SUM(AA42:AA75)</f>
        <v>3458370.4467722084</v>
      </c>
      <c r="AB76" s="489">
        <f>AA76/AA12</f>
        <v>0.22911238285107791</v>
      </c>
      <c r="AC76" s="469">
        <f>SUM(AC42:AC75)</f>
        <v>288197.53723101731</v>
      </c>
      <c r="AD76" s="489">
        <f>AC76/AC12</f>
        <v>0.22911238285107785</v>
      </c>
      <c r="AE76" s="818"/>
      <c r="AF76" s="818"/>
      <c r="AG76" s="818"/>
    </row>
    <row r="77" spans="1:33" s="109" customFormat="1">
      <c r="A77" s="494">
        <v>6201</v>
      </c>
      <c r="B77" s="494" t="s">
        <v>24</v>
      </c>
      <c r="C77" s="461">
        <v>57600</v>
      </c>
      <c r="D77" s="487">
        <f>C77/C12</f>
        <v>5.07358906218758E-2</v>
      </c>
      <c r="E77" s="461">
        <v>57600</v>
      </c>
      <c r="F77" s="487">
        <f>E77/E12</f>
        <v>6.5213080154720868E-2</v>
      </c>
      <c r="G77" s="461">
        <v>57600</v>
      </c>
      <c r="H77" s="487">
        <f>G77/G12</f>
        <v>3.931394436940365E-2</v>
      </c>
      <c r="I77" s="461">
        <v>57600</v>
      </c>
      <c r="J77" s="487">
        <f>I77/I12</f>
        <v>4.4523435649326801E-2</v>
      </c>
      <c r="K77" s="461">
        <v>57600</v>
      </c>
      <c r="L77" s="487">
        <f>K77/K12</f>
        <v>4.8680674145916467E-2</v>
      </c>
      <c r="M77" s="461">
        <v>57600</v>
      </c>
      <c r="N77" s="487">
        <f>M77/M12</f>
        <v>3.4330852936644181E-2</v>
      </c>
      <c r="O77" s="461">
        <v>57600</v>
      </c>
      <c r="P77" s="487">
        <f>O77/O12</f>
        <v>5.4225686973723188E-2</v>
      </c>
      <c r="Q77" s="461">
        <v>57600</v>
      </c>
      <c r="R77" s="487">
        <f>Q77/Q12</f>
        <v>4.3669148888036538E-2</v>
      </c>
      <c r="S77" s="461">
        <v>57600</v>
      </c>
      <c r="T77" s="487">
        <f>S77/S12</f>
        <v>4.3349262782568704E-2</v>
      </c>
      <c r="U77" s="461">
        <v>57600</v>
      </c>
      <c r="V77" s="487">
        <f>U77/U12</f>
        <v>5.4650663003929428E-2</v>
      </c>
      <c r="W77" s="461">
        <v>57600</v>
      </c>
      <c r="X77" s="487">
        <f>W77/W12</f>
        <v>5.3713811977440171E-2</v>
      </c>
      <c r="Y77" s="461">
        <v>57600</v>
      </c>
      <c r="Z77" s="487">
        <f>Y77/Y12</f>
        <v>3.5556437690141156E-2</v>
      </c>
      <c r="AA77" s="464">
        <f t="shared" ref="AA77:AA92" si="49">C77+E77+G77+I77+K77+M77+O77+Q77+S77+U77+W77+Y77</f>
        <v>691200</v>
      </c>
      <c r="AB77" s="487">
        <f>AA77/AA12</f>
        <v>4.5791068789194943E-2</v>
      </c>
      <c r="AC77" s="472">
        <f t="shared" ref="AC77:AC92" si="50">AA77/12</f>
        <v>57600</v>
      </c>
      <c r="AD77" s="487">
        <f>AC77/AC12</f>
        <v>4.5791068789194943E-2</v>
      </c>
      <c r="AE77" s="817"/>
      <c r="AF77" s="817"/>
      <c r="AG77" s="817"/>
    </row>
    <row r="78" spans="1:33" s="109" customFormat="1">
      <c r="A78" s="494">
        <v>6202</v>
      </c>
      <c r="B78" s="494" t="s">
        <v>25</v>
      </c>
      <c r="C78" s="461">
        <v>28800</v>
      </c>
      <c r="D78" s="487">
        <f>C78/C12</f>
        <v>2.53679453109379E-2</v>
      </c>
      <c r="E78" s="461">
        <v>28800</v>
      </c>
      <c r="F78" s="487">
        <f>E78/E12</f>
        <v>3.2606540077360434E-2</v>
      </c>
      <c r="G78" s="461">
        <v>28800</v>
      </c>
      <c r="H78" s="487">
        <f>G78/G12</f>
        <v>1.9656972184701825E-2</v>
      </c>
      <c r="I78" s="461">
        <v>28800</v>
      </c>
      <c r="J78" s="487">
        <f>I78/I12</f>
        <v>2.22617178246634E-2</v>
      </c>
      <c r="K78" s="461">
        <v>28800</v>
      </c>
      <c r="L78" s="487">
        <f>K78/K12</f>
        <v>2.4340337072958233E-2</v>
      </c>
      <c r="M78" s="461">
        <v>28800</v>
      </c>
      <c r="N78" s="487">
        <f>M78/M12</f>
        <v>1.716542646832209E-2</v>
      </c>
      <c r="O78" s="461">
        <v>28800</v>
      </c>
      <c r="P78" s="487">
        <f>O78/O12</f>
        <v>2.7112843486861594E-2</v>
      </c>
      <c r="Q78" s="461">
        <v>28800</v>
      </c>
      <c r="R78" s="487">
        <f>Q78/Q12</f>
        <v>2.1834574444018269E-2</v>
      </c>
      <c r="S78" s="461">
        <v>28800</v>
      </c>
      <c r="T78" s="487">
        <f>S78/S12</f>
        <v>2.1674631391284352E-2</v>
      </c>
      <c r="U78" s="461">
        <v>28800</v>
      </c>
      <c r="V78" s="487">
        <f>U78/U12</f>
        <v>2.7325331501964714E-2</v>
      </c>
      <c r="W78" s="461">
        <v>28800</v>
      </c>
      <c r="X78" s="487">
        <f>W78/W12</f>
        <v>2.6856905988720085E-2</v>
      </c>
      <c r="Y78" s="461">
        <v>28800</v>
      </c>
      <c r="Z78" s="487">
        <f>Y78/Y12</f>
        <v>1.7778218845070578E-2</v>
      </c>
      <c r="AA78" s="464">
        <f t="shared" si="49"/>
        <v>345600</v>
      </c>
      <c r="AB78" s="487">
        <f>AA78/AA12</f>
        <v>2.2895534394597471E-2</v>
      </c>
      <c r="AC78" s="472">
        <f t="shared" si="50"/>
        <v>28800</v>
      </c>
      <c r="AD78" s="487">
        <f>AC78/AC12</f>
        <v>2.2895534394597471E-2</v>
      </c>
      <c r="AE78" s="817"/>
      <c r="AF78" s="817"/>
      <c r="AG78" s="817"/>
    </row>
    <row r="79" spans="1:33" s="109" customFormat="1">
      <c r="A79" s="494">
        <v>6203</v>
      </c>
      <c r="B79" s="494" t="s">
        <v>26</v>
      </c>
      <c r="C79" s="461">
        <v>9600</v>
      </c>
      <c r="D79" s="487">
        <f>C79/C12</f>
        <v>8.4559817703126327E-3</v>
      </c>
      <c r="E79" s="461">
        <v>9600</v>
      </c>
      <c r="F79" s="487">
        <f>E79/E12</f>
        <v>1.0868846692453478E-2</v>
      </c>
      <c r="G79" s="461">
        <v>9600</v>
      </c>
      <c r="H79" s="487">
        <f>G79/G12</f>
        <v>6.5523240615672747E-3</v>
      </c>
      <c r="I79" s="461">
        <v>9600</v>
      </c>
      <c r="J79" s="487">
        <f>I79/I12</f>
        <v>7.4205726082211343E-3</v>
      </c>
      <c r="K79" s="461">
        <v>9600</v>
      </c>
      <c r="L79" s="487">
        <f>K79/K12</f>
        <v>8.1134456909860778E-3</v>
      </c>
      <c r="M79" s="461">
        <v>9600</v>
      </c>
      <c r="N79" s="487">
        <f>M79/M12</f>
        <v>5.7218088227740304E-3</v>
      </c>
      <c r="O79" s="461">
        <v>9600</v>
      </c>
      <c r="P79" s="487">
        <f>O79/O12</f>
        <v>9.0376144956205318E-3</v>
      </c>
      <c r="Q79" s="461">
        <v>9600</v>
      </c>
      <c r="R79" s="487">
        <f>Q79/Q12</f>
        <v>7.2781914813394239E-3</v>
      </c>
      <c r="S79" s="461">
        <v>9600</v>
      </c>
      <c r="T79" s="487">
        <f>S79/S12</f>
        <v>7.2248771304281173E-3</v>
      </c>
      <c r="U79" s="461">
        <v>9600</v>
      </c>
      <c r="V79" s="487">
        <f>U79/U12</f>
        <v>9.1084438339882386E-3</v>
      </c>
      <c r="W79" s="461">
        <v>9600</v>
      </c>
      <c r="X79" s="487">
        <f>W79/W12</f>
        <v>8.952301996240029E-3</v>
      </c>
      <c r="Y79" s="461">
        <v>9600</v>
      </c>
      <c r="Z79" s="487">
        <f>Y79/Y12</f>
        <v>5.9260729483568593E-3</v>
      </c>
      <c r="AA79" s="464">
        <f t="shared" si="49"/>
        <v>115200</v>
      </c>
      <c r="AB79" s="487">
        <f>AA79/AA12</f>
        <v>7.6318447981991574E-3</v>
      </c>
      <c r="AC79" s="472">
        <f t="shared" si="50"/>
        <v>9600</v>
      </c>
      <c r="AD79" s="487">
        <f>AC79/AC12</f>
        <v>7.6318447981991574E-3</v>
      </c>
      <c r="AE79" s="817"/>
      <c r="AF79" s="817"/>
      <c r="AG79" s="817"/>
    </row>
    <row r="80" spans="1:33" s="109" customFormat="1">
      <c r="A80" s="494">
        <v>6204</v>
      </c>
      <c r="B80" s="494" t="s">
        <v>27</v>
      </c>
      <c r="C80" s="461"/>
      <c r="D80" s="487">
        <f>C80/C12</f>
        <v>0</v>
      </c>
      <c r="E80" s="461"/>
      <c r="F80" s="487">
        <f>E80/E12</f>
        <v>0</v>
      </c>
      <c r="G80" s="461"/>
      <c r="H80" s="487">
        <f>G80/G12</f>
        <v>0</v>
      </c>
      <c r="I80" s="461"/>
      <c r="J80" s="487">
        <f>I80/I12</f>
        <v>0</v>
      </c>
      <c r="K80" s="461"/>
      <c r="L80" s="487">
        <f>K80/K12</f>
        <v>0</v>
      </c>
      <c r="M80" s="461"/>
      <c r="N80" s="487">
        <f>M80/M12</f>
        <v>0</v>
      </c>
      <c r="O80" s="461"/>
      <c r="P80" s="487">
        <f>O80/O12</f>
        <v>0</v>
      </c>
      <c r="Q80" s="461"/>
      <c r="R80" s="487">
        <f>Q80/Q12</f>
        <v>0</v>
      </c>
      <c r="S80" s="461"/>
      <c r="T80" s="487">
        <f>S80/S12</f>
        <v>0</v>
      </c>
      <c r="U80" s="461"/>
      <c r="V80" s="487">
        <f>U80/U12</f>
        <v>0</v>
      </c>
      <c r="W80" s="461"/>
      <c r="X80" s="487">
        <f>W80/W12</f>
        <v>0</v>
      </c>
      <c r="Y80" s="461"/>
      <c r="Z80" s="487">
        <f>Y80/Y12</f>
        <v>0</v>
      </c>
      <c r="AA80" s="464">
        <f t="shared" si="49"/>
        <v>0</v>
      </c>
      <c r="AB80" s="487">
        <f>AA80/AA12</f>
        <v>0</v>
      </c>
      <c r="AC80" s="472">
        <f t="shared" si="50"/>
        <v>0</v>
      </c>
      <c r="AD80" s="487">
        <f>AC80/AC12</f>
        <v>0</v>
      </c>
      <c r="AE80" s="817"/>
      <c r="AF80" s="817"/>
      <c r="AG80" s="817"/>
    </row>
    <row r="81" spans="1:33" s="109" customFormat="1">
      <c r="A81" s="494">
        <v>6205</v>
      </c>
      <c r="B81" s="494" t="s">
        <v>28</v>
      </c>
      <c r="C81" s="461"/>
      <c r="D81" s="487">
        <f>C81/C12</f>
        <v>0</v>
      </c>
      <c r="E81" s="461"/>
      <c r="F81" s="487">
        <f>E81/E12</f>
        <v>0</v>
      </c>
      <c r="G81" s="461"/>
      <c r="H81" s="487">
        <f>G81/G12</f>
        <v>0</v>
      </c>
      <c r="I81" s="461"/>
      <c r="J81" s="487">
        <f>I81/I12</f>
        <v>0</v>
      </c>
      <c r="K81" s="461"/>
      <c r="L81" s="487">
        <f>K81/K12</f>
        <v>0</v>
      </c>
      <c r="M81" s="461"/>
      <c r="N81" s="487">
        <f>M81/M12</f>
        <v>0</v>
      </c>
      <c r="O81" s="461"/>
      <c r="P81" s="487">
        <f>O81/O12</f>
        <v>0</v>
      </c>
      <c r="Q81" s="461"/>
      <c r="R81" s="487">
        <f>Q81/Q12</f>
        <v>0</v>
      </c>
      <c r="S81" s="461"/>
      <c r="T81" s="487">
        <f>S81/S12</f>
        <v>0</v>
      </c>
      <c r="U81" s="461"/>
      <c r="V81" s="487">
        <f>U81/U12</f>
        <v>0</v>
      </c>
      <c r="W81" s="461"/>
      <c r="X81" s="487">
        <f>W81/W12</f>
        <v>0</v>
      </c>
      <c r="Y81" s="461"/>
      <c r="Z81" s="487">
        <f>Y81/Y12</f>
        <v>0</v>
      </c>
      <c r="AA81" s="464">
        <f t="shared" si="49"/>
        <v>0</v>
      </c>
      <c r="AB81" s="487">
        <f>AA81/AA12</f>
        <v>0</v>
      </c>
      <c r="AC81" s="472">
        <f t="shared" si="50"/>
        <v>0</v>
      </c>
      <c r="AD81" s="487">
        <f>AC81/AC12</f>
        <v>0</v>
      </c>
      <c r="AE81" s="817"/>
      <c r="AF81" s="817"/>
      <c r="AG81" s="817"/>
    </row>
    <row r="82" spans="1:33" s="109" customFormat="1">
      <c r="A82" s="494">
        <v>6206</v>
      </c>
      <c r="B82" s="494" t="s">
        <v>217</v>
      </c>
      <c r="C82" s="461">
        <v>1629.8666666666668</v>
      </c>
      <c r="D82" s="487">
        <f>C82/C12</f>
        <v>1.4356377938930783E-3</v>
      </c>
      <c r="E82" s="461">
        <v>1629.8666666666668</v>
      </c>
      <c r="F82" s="487">
        <f>E82/E12</f>
        <v>1.8452886384521016E-3</v>
      </c>
      <c r="G82" s="461">
        <v>1629.8666666666668</v>
      </c>
      <c r="H82" s="487">
        <f>G82/G12</f>
        <v>1.1124390184527552E-3</v>
      </c>
      <c r="I82" s="461">
        <v>1629.8666666666668</v>
      </c>
      <c r="J82" s="487">
        <f>I82/I12</f>
        <v>1.2598483272624327E-3</v>
      </c>
      <c r="K82" s="461">
        <v>1629.8666666666668</v>
      </c>
      <c r="L82" s="487">
        <f>K82/K12</f>
        <v>1.3774827795363031E-3</v>
      </c>
      <c r="M82" s="461">
        <v>1629.8666666666668</v>
      </c>
      <c r="N82" s="487">
        <f>M82/M12</f>
        <v>9.7143598679985774E-4</v>
      </c>
      <c r="O82" s="461">
        <v>1629.8666666666668</v>
      </c>
      <c r="P82" s="487">
        <f>O82/O12</f>
        <v>1.5343861054786859E-3</v>
      </c>
      <c r="Q82" s="461">
        <v>1629.8666666666668</v>
      </c>
      <c r="R82" s="487">
        <f>Q82/Q12</f>
        <v>1.23567517594296E-3</v>
      </c>
      <c r="S82" s="461">
        <v>1629.8666666666668</v>
      </c>
      <c r="T82" s="487">
        <f>S82/S12</f>
        <v>1.2266235839215739E-3</v>
      </c>
      <c r="U82" s="461">
        <v>1629.8666666666668</v>
      </c>
      <c r="V82" s="487">
        <f>U82/U12</f>
        <v>1.5464113531482254E-3</v>
      </c>
      <c r="W82" s="461">
        <v>1629.8666666666668</v>
      </c>
      <c r="X82" s="487">
        <f>W82/W12</f>
        <v>1.5199019389171961E-3</v>
      </c>
      <c r="Y82" s="461">
        <v>1629.8666666666668</v>
      </c>
      <c r="Z82" s="487">
        <f>Y82/Y12</f>
        <v>1.0061154961210313E-3</v>
      </c>
      <c r="AA82" s="464">
        <f t="shared" si="49"/>
        <v>19558.400000000001</v>
      </c>
      <c r="AB82" s="487">
        <f>AA82/AA12</f>
        <v>1.2957176501831459E-3</v>
      </c>
      <c r="AC82" s="472">
        <f t="shared" si="50"/>
        <v>1629.8666666666668</v>
      </c>
      <c r="AD82" s="487">
        <f>AC82/AC12</f>
        <v>1.2957176501831459E-3</v>
      </c>
      <c r="AE82" s="817" t="s">
        <v>269</v>
      </c>
      <c r="AF82" s="817"/>
      <c r="AG82" s="817"/>
    </row>
    <row r="83" spans="1:33" s="109" customFormat="1">
      <c r="A83" s="494">
        <v>6207</v>
      </c>
      <c r="B83" s="494" t="s">
        <v>218</v>
      </c>
      <c r="C83" s="459">
        <v>5316.666666666667</v>
      </c>
      <c r="D83" s="487">
        <f>C83/C$12</f>
        <v>4.6830871262668926E-3</v>
      </c>
      <c r="E83" s="459">
        <v>5316.666666666667</v>
      </c>
      <c r="F83" s="487">
        <f>E83/E$12</f>
        <v>6.0193786369664229E-3</v>
      </c>
      <c r="G83" s="459">
        <v>5316.666666666667</v>
      </c>
      <c r="H83" s="487">
        <f>G83/G$12</f>
        <v>3.6288044715971544E-3</v>
      </c>
      <c r="I83" s="459">
        <v>5316.666666666667</v>
      </c>
      <c r="J83" s="487">
        <f>I83/I$12</f>
        <v>4.1096573993446911E-3</v>
      </c>
      <c r="K83" s="459">
        <v>5316.666666666667</v>
      </c>
      <c r="L83" s="487">
        <f>K83/K$12</f>
        <v>4.4933839851120814E-3</v>
      </c>
      <c r="M83" s="459">
        <v>5316.666666666667</v>
      </c>
      <c r="N83" s="487">
        <f>M83/M$12</f>
        <v>3.1688489834460344E-3</v>
      </c>
      <c r="O83" s="459">
        <v>5316.666666666667</v>
      </c>
      <c r="P83" s="487">
        <f>O83/O$12</f>
        <v>5.0052066390676208E-3</v>
      </c>
      <c r="Q83" s="459">
        <v>5316.666666666667</v>
      </c>
      <c r="R83" s="487">
        <f>Q83/Q$12</f>
        <v>4.030803962755688E-3</v>
      </c>
      <c r="S83" s="459">
        <v>5316.666666666667</v>
      </c>
      <c r="T83" s="487">
        <f>S83/S$12</f>
        <v>4.0012774385530725E-3</v>
      </c>
      <c r="U83" s="459">
        <v>5316.666666666667</v>
      </c>
      <c r="V83" s="487">
        <f>U83/U$12</f>
        <v>5.0444333038927921E-3</v>
      </c>
      <c r="W83" s="459">
        <v>5316.666666666667</v>
      </c>
      <c r="X83" s="487">
        <f>W83/W$12</f>
        <v>4.9579589180565441E-3</v>
      </c>
      <c r="Y83" s="459">
        <v>5316.666666666667</v>
      </c>
      <c r="Z83" s="487">
        <f>Y83/Y$12</f>
        <v>3.281974427996247E-3</v>
      </c>
      <c r="AA83" s="464">
        <f t="shared" si="49"/>
        <v>63799.999999999993</v>
      </c>
      <c r="AB83" s="467">
        <f>AA83/AA$12</f>
        <v>4.2266640462248796E-3</v>
      </c>
      <c r="AC83" s="472">
        <f t="shared" si="50"/>
        <v>5316.6666666666661</v>
      </c>
      <c r="AD83" s="467">
        <f>AC83/AC$12</f>
        <v>4.2266640462248796E-3</v>
      </c>
      <c r="AE83" s="817"/>
      <c r="AF83" s="817"/>
      <c r="AG83" s="817"/>
    </row>
    <row r="84" spans="1:33" s="109" customFormat="1">
      <c r="A84" s="494">
        <v>6208</v>
      </c>
      <c r="B84" s="494" t="s">
        <v>219</v>
      </c>
      <c r="C84" s="461"/>
      <c r="D84" s="487">
        <f>C84/C12</f>
        <v>0</v>
      </c>
      <c r="E84" s="461"/>
      <c r="F84" s="487">
        <f>E84/E12</f>
        <v>0</v>
      </c>
      <c r="G84" s="461"/>
      <c r="H84" s="487">
        <f>G84/G12</f>
        <v>0</v>
      </c>
      <c r="I84" s="461"/>
      <c r="J84" s="487">
        <f>I84/I12</f>
        <v>0</v>
      </c>
      <c r="K84" s="461"/>
      <c r="L84" s="487">
        <f>K84/K12</f>
        <v>0</v>
      </c>
      <c r="M84" s="461"/>
      <c r="N84" s="487">
        <f>M84/M12</f>
        <v>0</v>
      </c>
      <c r="O84" s="461"/>
      <c r="P84" s="487">
        <f>O84/O12</f>
        <v>0</v>
      </c>
      <c r="Q84" s="461"/>
      <c r="R84" s="487">
        <f>Q84/Q12</f>
        <v>0</v>
      </c>
      <c r="S84" s="461"/>
      <c r="T84" s="487">
        <f>S84/S12</f>
        <v>0</v>
      </c>
      <c r="U84" s="461"/>
      <c r="V84" s="487">
        <f>U84/U12</f>
        <v>0</v>
      </c>
      <c r="W84" s="461"/>
      <c r="X84" s="487">
        <f>W84/W12</f>
        <v>0</v>
      </c>
      <c r="Y84" s="461"/>
      <c r="Z84" s="487">
        <f>Y84/Y12</f>
        <v>0</v>
      </c>
      <c r="AA84" s="464">
        <f t="shared" si="49"/>
        <v>0</v>
      </c>
      <c r="AB84" s="487">
        <f>AA84/AA12</f>
        <v>0</v>
      </c>
      <c r="AC84" s="472">
        <f t="shared" si="50"/>
        <v>0</v>
      </c>
      <c r="AD84" s="487">
        <f>AC84/AC12</f>
        <v>0</v>
      </c>
      <c r="AE84" s="817"/>
      <c r="AF84" s="817"/>
      <c r="AG84" s="817"/>
    </row>
    <row r="85" spans="1:33" s="109" customFormat="1">
      <c r="A85" s="494">
        <v>6209</v>
      </c>
      <c r="B85" s="494" t="s">
        <v>29</v>
      </c>
      <c r="C85" s="461">
        <v>7200</v>
      </c>
      <c r="D85" s="467">
        <f>C85/C12</f>
        <v>6.341986327734475E-3</v>
      </c>
      <c r="E85" s="461">
        <v>7200</v>
      </c>
      <c r="F85" s="467">
        <f>E85/E12</f>
        <v>8.1516350193401085E-3</v>
      </c>
      <c r="G85" s="461">
        <v>7200</v>
      </c>
      <c r="H85" s="467">
        <f>G85/G12</f>
        <v>4.9142430461754563E-3</v>
      </c>
      <c r="I85" s="461">
        <v>7200</v>
      </c>
      <c r="J85" s="467">
        <f>I85/I12</f>
        <v>5.5654294561658501E-3</v>
      </c>
      <c r="K85" s="461">
        <v>7200</v>
      </c>
      <c r="L85" s="467">
        <f>K85/K12</f>
        <v>6.0850842682395583E-3</v>
      </c>
      <c r="M85" s="461">
        <v>7200</v>
      </c>
      <c r="N85" s="467">
        <f>M85/M12</f>
        <v>4.2913566170805226E-3</v>
      </c>
      <c r="O85" s="461">
        <v>7200</v>
      </c>
      <c r="P85" s="467">
        <f>O85/O12</f>
        <v>6.7782108717153984E-3</v>
      </c>
      <c r="Q85" s="461">
        <v>7200</v>
      </c>
      <c r="R85" s="467">
        <f>Q85/Q12</f>
        <v>5.4586436110045673E-3</v>
      </c>
      <c r="S85" s="461">
        <v>7200</v>
      </c>
      <c r="T85" s="467">
        <f>S85/S12</f>
        <v>5.418657847821088E-3</v>
      </c>
      <c r="U85" s="461">
        <v>7200</v>
      </c>
      <c r="V85" s="467">
        <f>U85/U12</f>
        <v>6.8313328754911785E-3</v>
      </c>
      <c r="W85" s="461">
        <v>7200</v>
      </c>
      <c r="X85" s="467">
        <f>W85/W12</f>
        <v>6.7142264971800213E-3</v>
      </c>
      <c r="Y85" s="461">
        <v>7200</v>
      </c>
      <c r="Z85" s="467">
        <f>Y85/Y12</f>
        <v>4.4445547112676445E-3</v>
      </c>
      <c r="AA85" s="464">
        <f t="shared" si="49"/>
        <v>86400</v>
      </c>
      <c r="AB85" s="467">
        <f>AA85/AA12</f>
        <v>5.7238835986493678E-3</v>
      </c>
      <c r="AC85" s="472">
        <f t="shared" si="50"/>
        <v>7200</v>
      </c>
      <c r="AD85" s="467">
        <f>AC85/AC12</f>
        <v>5.7238835986493678E-3</v>
      </c>
      <c r="AE85" s="817"/>
      <c r="AF85" s="817"/>
      <c r="AG85" s="817"/>
    </row>
    <row r="86" spans="1:33" s="109" customFormat="1">
      <c r="A86" s="494">
        <v>6210</v>
      </c>
      <c r="B86" s="494" t="s">
        <v>30</v>
      </c>
      <c r="C86" s="461">
        <v>3313.972602739726</v>
      </c>
      <c r="D86" s="487">
        <f>C86/C12</f>
        <v>2.9190512412586075E-3</v>
      </c>
      <c r="E86" s="461">
        <v>3313.972602739726</v>
      </c>
      <c r="F86" s="487">
        <f>E86/E12</f>
        <v>3.7519854335592824E-3</v>
      </c>
      <c r="G86" s="461">
        <v>3313.972602739726</v>
      </c>
      <c r="H86" s="487">
        <f>G86/G12</f>
        <v>2.2618981691985662E-3</v>
      </c>
      <c r="I86" s="461">
        <v>3313.972602739726</v>
      </c>
      <c r="J86" s="487">
        <f>I86/I12</f>
        <v>2.5616223250297613E-3</v>
      </c>
      <c r="K86" s="461">
        <v>3313.972602739726</v>
      </c>
      <c r="L86" s="487">
        <f>K86/K12</f>
        <v>2.8008059097650567E-3</v>
      </c>
      <c r="M86" s="461">
        <v>3313.972602739726</v>
      </c>
      <c r="N86" s="487">
        <f>M86/M12</f>
        <v>1.9751997579987063E-3</v>
      </c>
      <c r="O86" s="461">
        <v>3313.972602739726</v>
      </c>
      <c r="P86" s="487">
        <f>O86/O12</f>
        <v>3.119834045063526E-3</v>
      </c>
      <c r="Q86" s="461">
        <v>3313.972602739726</v>
      </c>
      <c r="R86" s="487">
        <f>Q86/Q12</f>
        <v>2.5124715798596365E-3</v>
      </c>
      <c r="S86" s="461">
        <v>3313.972602739726</v>
      </c>
      <c r="T86" s="487">
        <f>S86/S12</f>
        <v>2.4940671737916243E-3</v>
      </c>
      <c r="U86" s="461">
        <v>3313.972602739726</v>
      </c>
      <c r="V86" s="487">
        <f>U86/U12</f>
        <v>3.1442847207740219E-3</v>
      </c>
      <c r="W86" s="461">
        <v>3313.972602739726</v>
      </c>
      <c r="X86" s="487">
        <f>W86/W12</f>
        <v>3.0903837028116261E-3</v>
      </c>
      <c r="Y86" s="461">
        <v>3313.972602739726</v>
      </c>
      <c r="Z86" s="487">
        <f>Y86/Y12</f>
        <v>2.0457128534053814E-3</v>
      </c>
      <c r="AA86" s="464">
        <f t="shared" si="49"/>
        <v>39767.67123287671</v>
      </c>
      <c r="AB86" s="487">
        <f>AA86/AA12</f>
        <v>2.6345546426660101E-3</v>
      </c>
      <c r="AC86" s="472">
        <f t="shared" si="50"/>
        <v>3313.972602739726</v>
      </c>
      <c r="AD86" s="487">
        <f>AC86/AC12</f>
        <v>2.6345546426660106E-3</v>
      </c>
      <c r="AE86" s="817"/>
      <c r="AF86" s="817"/>
      <c r="AG86" s="817"/>
    </row>
    <row r="87" spans="1:33" s="109" customFormat="1">
      <c r="A87" s="494">
        <v>6211</v>
      </c>
      <c r="B87" s="494" t="s">
        <v>31</v>
      </c>
      <c r="C87" s="461">
        <v>3750</v>
      </c>
      <c r="D87" s="487">
        <f>C87/C12</f>
        <v>3.3031178790283726E-3</v>
      </c>
      <c r="E87" s="461">
        <v>3750</v>
      </c>
      <c r="F87" s="487">
        <f>E87/E12</f>
        <v>4.2456432392396397E-3</v>
      </c>
      <c r="G87" s="461">
        <v>3750</v>
      </c>
      <c r="H87" s="487">
        <f>G87/G12</f>
        <v>2.5595015865497168E-3</v>
      </c>
      <c r="I87" s="461">
        <v>3750</v>
      </c>
      <c r="J87" s="487">
        <f>I87/I12</f>
        <v>2.8986611750863806E-3</v>
      </c>
      <c r="K87" s="461">
        <v>3750</v>
      </c>
      <c r="L87" s="487">
        <f>K87/K12</f>
        <v>3.1693147230414365E-3</v>
      </c>
      <c r="M87" s="461">
        <v>3750</v>
      </c>
      <c r="N87" s="487">
        <f>M87/M12</f>
        <v>2.2350815713961057E-3</v>
      </c>
      <c r="O87" s="461">
        <v>3750</v>
      </c>
      <c r="P87" s="487">
        <f>O87/O12</f>
        <v>3.5303181623517702E-3</v>
      </c>
      <c r="Q87" s="461">
        <v>3750</v>
      </c>
      <c r="R87" s="487">
        <f>Q87/Q12</f>
        <v>2.8430435473982122E-3</v>
      </c>
      <c r="S87" s="461">
        <v>3750</v>
      </c>
      <c r="T87" s="487">
        <f>S87/S12</f>
        <v>2.8222176290734835E-3</v>
      </c>
      <c r="U87" s="461">
        <v>3750</v>
      </c>
      <c r="V87" s="487">
        <f>U87/U12</f>
        <v>3.5579858726516559E-3</v>
      </c>
      <c r="W87" s="461">
        <v>3750</v>
      </c>
      <c r="X87" s="487">
        <f>W87/W12</f>
        <v>3.4969929672812611E-3</v>
      </c>
      <c r="Y87" s="461">
        <v>3750</v>
      </c>
      <c r="Z87" s="487">
        <f>Y87/Y12</f>
        <v>2.3148722454518983E-3</v>
      </c>
      <c r="AA87" s="464">
        <f t="shared" si="49"/>
        <v>45000</v>
      </c>
      <c r="AB87" s="487">
        <f>AA87/AA12</f>
        <v>2.981189374296546E-3</v>
      </c>
      <c r="AC87" s="472">
        <f t="shared" si="50"/>
        <v>3750</v>
      </c>
      <c r="AD87" s="487">
        <f>AC87/AC12</f>
        <v>2.981189374296546E-3</v>
      </c>
      <c r="AE87" s="817"/>
      <c r="AF87" s="817"/>
      <c r="AG87" s="817"/>
    </row>
    <row r="88" spans="1:33" s="109" customFormat="1">
      <c r="A88" s="494">
        <v>6212</v>
      </c>
      <c r="B88" s="494" t="s">
        <v>32</v>
      </c>
      <c r="C88" s="75">
        <v>100</v>
      </c>
      <c r="D88" s="702">
        <f>C88/C12</f>
        <v>8.8083143440756604E-5</v>
      </c>
      <c r="E88" s="75">
        <v>100</v>
      </c>
      <c r="F88" s="702">
        <f>E88/E12</f>
        <v>1.1321715304639039E-4</v>
      </c>
      <c r="G88" s="75">
        <v>100</v>
      </c>
      <c r="H88" s="702">
        <f>G88/G12</f>
        <v>6.8253375641325783E-5</v>
      </c>
      <c r="I88" s="75">
        <v>100</v>
      </c>
      <c r="J88" s="702">
        <f>I88/I12</f>
        <v>7.7297631335636807E-5</v>
      </c>
      <c r="K88" s="75">
        <v>100</v>
      </c>
      <c r="L88" s="702">
        <f>K88/K12</f>
        <v>8.4515059281104968E-5</v>
      </c>
      <c r="M88" s="75">
        <v>100</v>
      </c>
      <c r="N88" s="702">
        <f>M88/M12</f>
        <v>5.9602175237229488E-5</v>
      </c>
      <c r="O88" s="75">
        <v>100</v>
      </c>
      <c r="P88" s="702">
        <f>O88/O12</f>
        <v>9.4141817662713869E-5</v>
      </c>
      <c r="Q88" s="75">
        <v>100</v>
      </c>
      <c r="R88" s="702">
        <f>Q88/Q12</f>
        <v>7.5814494597285656E-5</v>
      </c>
      <c r="S88" s="75">
        <v>100</v>
      </c>
      <c r="T88" s="702">
        <f>S88/S12</f>
        <v>7.5259136775292893E-5</v>
      </c>
      <c r="U88" s="75">
        <v>100</v>
      </c>
      <c r="V88" s="702">
        <f>U88/U12</f>
        <v>9.4879623270710824E-5</v>
      </c>
      <c r="W88" s="75">
        <v>100</v>
      </c>
      <c r="X88" s="702">
        <f>W88/W12</f>
        <v>9.3253145794166964E-5</v>
      </c>
      <c r="Y88" s="75">
        <v>100</v>
      </c>
      <c r="Z88" s="702">
        <f>Y88/Y12</f>
        <v>6.1729926545383947E-5</v>
      </c>
      <c r="AA88" s="464">
        <f t="shared" si="49"/>
        <v>1200</v>
      </c>
      <c r="AB88" s="467">
        <f>AA88/AA12</f>
        <v>7.9498383314574556E-5</v>
      </c>
      <c r="AC88" s="472">
        <f t="shared" si="50"/>
        <v>100</v>
      </c>
      <c r="AD88" s="467">
        <f>AC88/AC12</f>
        <v>7.9498383314574556E-5</v>
      </c>
      <c r="AE88" s="817"/>
      <c r="AF88" s="817"/>
      <c r="AG88" s="817"/>
    </row>
    <row r="89" spans="1:33" s="109" customFormat="1">
      <c r="A89" s="494">
        <v>6213</v>
      </c>
      <c r="B89" s="494" t="s">
        <v>33</v>
      </c>
      <c r="C89" s="459"/>
      <c r="D89" s="467">
        <f>C89/C12</f>
        <v>0</v>
      </c>
      <c r="E89" s="459"/>
      <c r="F89" s="467">
        <f>E89/E12</f>
        <v>0</v>
      </c>
      <c r="G89" s="459"/>
      <c r="H89" s="467">
        <f>G89/G12</f>
        <v>0</v>
      </c>
      <c r="I89" s="459"/>
      <c r="J89" s="467">
        <f>I89/I12</f>
        <v>0</v>
      </c>
      <c r="K89" s="459"/>
      <c r="L89" s="467">
        <f>K89/K12</f>
        <v>0</v>
      </c>
      <c r="M89" s="459"/>
      <c r="N89" s="467">
        <f>M89/M12</f>
        <v>0</v>
      </c>
      <c r="O89" s="459"/>
      <c r="P89" s="467">
        <f>O89/O12</f>
        <v>0</v>
      </c>
      <c r="Q89" s="459"/>
      <c r="R89" s="467">
        <f>Q89/Q12</f>
        <v>0</v>
      </c>
      <c r="S89" s="459"/>
      <c r="T89" s="467">
        <f>S89/S12</f>
        <v>0</v>
      </c>
      <c r="U89" s="459"/>
      <c r="V89" s="467">
        <f>U89/U12</f>
        <v>0</v>
      </c>
      <c r="W89" s="459"/>
      <c r="X89" s="467">
        <f>W89/W12</f>
        <v>0</v>
      </c>
      <c r="Y89" s="459"/>
      <c r="Z89" s="467">
        <f>Y89/Y12</f>
        <v>0</v>
      </c>
      <c r="AA89" s="464">
        <f t="shared" si="49"/>
        <v>0</v>
      </c>
      <c r="AB89" s="467">
        <f>AA89/AA12</f>
        <v>0</v>
      </c>
      <c r="AC89" s="472">
        <f t="shared" si="50"/>
        <v>0</v>
      </c>
      <c r="AD89" s="467">
        <f>AC89/AC12</f>
        <v>0</v>
      </c>
      <c r="AE89" s="817"/>
      <c r="AF89" s="817"/>
      <c r="AG89" s="817"/>
    </row>
    <row r="90" spans="1:33" s="109" customFormat="1">
      <c r="A90" s="494">
        <v>6214</v>
      </c>
      <c r="B90" s="494" t="s">
        <v>34</v>
      </c>
      <c r="C90" s="459">
        <v>1920</v>
      </c>
      <c r="D90" s="467">
        <f>C90/C12</f>
        <v>1.6911963540625268E-3</v>
      </c>
      <c r="E90" s="459">
        <v>1920</v>
      </c>
      <c r="F90" s="467">
        <f>E90/E12</f>
        <v>2.1737693384906954E-3</v>
      </c>
      <c r="G90" s="459">
        <v>1920</v>
      </c>
      <c r="H90" s="467">
        <f>G90/G12</f>
        <v>1.3104648123134549E-3</v>
      </c>
      <c r="I90" s="459">
        <v>1920</v>
      </c>
      <c r="J90" s="467">
        <f>I90/I12</f>
        <v>1.4841145216442269E-3</v>
      </c>
      <c r="K90" s="459">
        <v>1920</v>
      </c>
      <c r="L90" s="467">
        <f>K90/K12</f>
        <v>1.6226891381972155E-3</v>
      </c>
      <c r="M90" s="459">
        <v>1920</v>
      </c>
      <c r="N90" s="467">
        <f>M90/M12</f>
        <v>1.1443617645548062E-3</v>
      </c>
      <c r="O90" s="459">
        <v>1920</v>
      </c>
      <c r="P90" s="467">
        <f>O90/O12</f>
        <v>1.8075228991241063E-3</v>
      </c>
      <c r="Q90" s="459">
        <v>1920</v>
      </c>
      <c r="R90" s="467">
        <f>Q90/Q12</f>
        <v>1.4556382962678848E-3</v>
      </c>
      <c r="S90" s="459">
        <v>1920</v>
      </c>
      <c r="T90" s="467">
        <f>S90/S12</f>
        <v>1.4449754260856234E-3</v>
      </c>
      <c r="U90" s="459">
        <v>1920</v>
      </c>
      <c r="V90" s="467">
        <f>U90/U12</f>
        <v>1.8216887667976476E-3</v>
      </c>
      <c r="W90" s="459">
        <v>1920</v>
      </c>
      <c r="X90" s="467">
        <f>W90/W12</f>
        <v>1.7904603992480058E-3</v>
      </c>
      <c r="Y90" s="459">
        <v>1920</v>
      </c>
      <c r="Z90" s="467">
        <f>Y90/Y12</f>
        <v>1.1852145896713718E-3</v>
      </c>
      <c r="AA90" s="464">
        <f t="shared" si="49"/>
        <v>23040</v>
      </c>
      <c r="AB90" s="467">
        <f>AA90/AA12</f>
        <v>1.5263689596398315E-3</v>
      </c>
      <c r="AC90" s="472">
        <f t="shared" si="50"/>
        <v>1920</v>
      </c>
      <c r="AD90" s="467">
        <f>AC90/AC12</f>
        <v>1.5263689596398315E-3</v>
      </c>
      <c r="AE90" s="817"/>
      <c r="AF90" s="817"/>
      <c r="AG90" s="817"/>
    </row>
    <row r="91" spans="1:33" s="109" customFormat="1">
      <c r="A91" s="494">
        <v>6215</v>
      </c>
      <c r="B91" s="494" t="s">
        <v>35</v>
      </c>
      <c r="C91" s="461"/>
      <c r="D91" s="487">
        <f>C91/C12</f>
        <v>0</v>
      </c>
      <c r="E91" s="461"/>
      <c r="F91" s="487">
        <f>E91/E12</f>
        <v>0</v>
      </c>
      <c r="G91" s="461"/>
      <c r="H91" s="487">
        <f>G91/G12</f>
        <v>0</v>
      </c>
      <c r="I91" s="461"/>
      <c r="J91" s="487">
        <f>I91/I12</f>
        <v>0</v>
      </c>
      <c r="K91" s="461"/>
      <c r="L91" s="487">
        <f>K91/K12</f>
        <v>0</v>
      </c>
      <c r="M91" s="452"/>
      <c r="N91" s="487">
        <f>M91/M12</f>
        <v>0</v>
      </c>
      <c r="O91" s="461"/>
      <c r="P91" s="487">
        <f>O91/O12</f>
        <v>0</v>
      </c>
      <c r="Q91" s="461"/>
      <c r="R91" s="487">
        <f>Q91/Q12</f>
        <v>0</v>
      </c>
      <c r="S91" s="461"/>
      <c r="T91" s="487">
        <f>S91/S12</f>
        <v>0</v>
      </c>
      <c r="U91" s="461"/>
      <c r="V91" s="487">
        <f>U91/U12</f>
        <v>0</v>
      </c>
      <c r="W91" s="461"/>
      <c r="X91" s="487">
        <f>W91/W12</f>
        <v>0</v>
      </c>
      <c r="Y91" s="461"/>
      <c r="Z91" s="487">
        <f>Y91/Y12</f>
        <v>0</v>
      </c>
      <c r="AA91" s="464">
        <f t="shared" si="49"/>
        <v>0</v>
      </c>
      <c r="AB91" s="487">
        <f>AA91/AA12</f>
        <v>0</v>
      </c>
      <c r="AC91" s="472">
        <f t="shared" si="50"/>
        <v>0</v>
      </c>
      <c r="AD91" s="487">
        <f>AC91/AC12</f>
        <v>0</v>
      </c>
      <c r="AE91" s="817"/>
      <c r="AF91" s="817"/>
      <c r="AG91" s="817"/>
    </row>
    <row r="92" spans="1:33" s="109" customFormat="1">
      <c r="A92" s="494">
        <v>6216</v>
      </c>
      <c r="B92" s="494" t="s">
        <v>91</v>
      </c>
      <c r="C92" s="461"/>
      <c r="D92" s="487">
        <f>C92/C12</f>
        <v>0</v>
      </c>
      <c r="E92" s="461"/>
      <c r="F92" s="487">
        <f>E92/E12</f>
        <v>0</v>
      </c>
      <c r="G92" s="461"/>
      <c r="H92" s="487">
        <f>G92/G12</f>
        <v>0</v>
      </c>
      <c r="I92" s="461"/>
      <c r="J92" s="487">
        <f>I92/I12</f>
        <v>0</v>
      </c>
      <c r="K92" s="461"/>
      <c r="L92" s="487">
        <f>K92/K12</f>
        <v>0</v>
      </c>
      <c r="M92" s="452"/>
      <c r="N92" s="487">
        <f>M92/M12</f>
        <v>0</v>
      </c>
      <c r="O92" s="461"/>
      <c r="P92" s="487">
        <f>O92/O12</f>
        <v>0</v>
      </c>
      <c r="Q92" s="461"/>
      <c r="R92" s="487">
        <f>Q92/Q12</f>
        <v>0</v>
      </c>
      <c r="S92" s="461"/>
      <c r="T92" s="487">
        <f>S92/S12</f>
        <v>0</v>
      </c>
      <c r="U92" s="461"/>
      <c r="V92" s="487">
        <f>U92/U12</f>
        <v>0</v>
      </c>
      <c r="W92" s="461"/>
      <c r="X92" s="487">
        <f>W92/W12</f>
        <v>0</v>
      </c>
      <c r="Y92" s="461"/>
      <c r="Z92" s="487">
        <f>Y92/Y12</f>
        <v>0</v>
      </c>
      <c r="AA92" s="464">
        <f t="shared" si="49"/>
        <v>0</v>
      </c>
      <c r="AB92" s="487">
        <f>AA92/AA12</f>
        <v>0</v>
      </c>
      <c r="AC92" s="472">
        <f t="shared" si="50"/>
        <v>0</v>
      </c>
      <c r="AD92" s="487">
        <f>AC92/AC12</f>
        <v>0</v>
      </c>
      <c r="AE92" s="817"/>
      <c r="AF92" s="817"/>
      <c r="AG92" s="817"/>
    </row>
    <row r="93" spans="1:33" s="109" customFormat="1" ht="15.75" thickBot="1">
      <c r="A93" s="495">
        <v>6299</v>
      </c>
      <c r="B93" s="495" t="s">
        <v>112</v>
      </c>
      <c r="C93" s="469">
        <f>SUM(C77:C91)</f>
        <v>119230.50593607307</v>
      </c>
      <c r="D93" s="470">
        <f>C93/C12</f>
        <v>0.10502197756881106</v>
      </c>
      <c r="E93" s="469">
        <f>SUM(E77:E91)</f>
        <v>119230.50593607307</v>
      </c>
      <c r="F93" s="470">
        <f>E93/E12</f>
        <v>0.13498938438362942</v>
      </c>
      <c r="G93" s="469">
        <f>SUM(G77:G91)</f>
        <v>119230.50593607307</v>
      </c>
      <c r="H93" s="470">
        <f>G93/G12</f>
        <v>8.1378845095601185E-2</v>
      </c>
      <c r="I93" s="469">
        <f>SUM(I77:I92)</f>
        <v>119230.50593607307</v>
      </c>
      <c r="J93" s="470">
        <f>I93/I12</f>
        <v>9.2162356918080321E-2</v>
      </c>
      <c r="K93" s="473">
        <f>SUM(K77:K91)</f>
        <v>119230.50593607307</v>
      </c>
      <c r="L93" s="470">
        <f>K93/K12</f>
        <v>0.10076773277303354</v>
      </c>
      <c r="M93" s="473">
        <f>SUM(M77:M91)</f>
        <v>119230.50593607307</v>
      </c>
      <c r="N93" s="470">
        <f>M93/M12</f>
        <v>7.1063975084253578E-2</v>
      </c>
      <c r="O93" s="473">
        <f>SUM(O77:O91)</f>
        <v>119230.50593607307</v>
      </c>
      <c r="P93" s="470">
        <f>O93/O12</f>
        <v>0.11224576549666915</v>
      </c>
      <c r="Q93" s="473">
        <f>SUM(Q77:Q92)</f>
        <v>119230.50593607307</v>
      </c>
      <c r="R93" s="470">
        <f>Q93/Q12</f>
        <v>9.039400548122048E-2</v>
      </c>
      <c r="S93" s="473">
        <f>SUM(S77:S92)</f>
        <v>119230.50593607307</v>
      </c>
      <c r="T93" s="470">
        <f>S93/S12</f>
        <v>8.9731849540302944E-2</v>
      </c>
      <c r="U93" s="473">
        <f>SUM(U77:U92)</f>
        <v>119230.50593607307</v>
      </c>
      <c r="V93" s="470">
        <f>U93/U12</f>
        <v>0.11312545485590862</v>
      </c>
      <c r="W93" s="473">
        <f>SUM(W77:W92)</f>
        <v>119230.50593607307</v>
      </c>
      <c r="X93" s="470">
        <f>W93/W12</f>
        <v>0.11118619753168911</v>
      </c>
      <c r="Y93" s="473">
        <f>SUM(Y77:Y92)</f>
        <v>119230.50593607307</v>
      </c>
      <c r="Z93" s="470">
        <f>Y93/Y12</f>
        <v>7.3600903734027556E-2</v>
      </c>
      <c r="AA93" s="471">
        <f>SUM(AA77:AA92)</f>
        <v>1430766.0712328765</v>
      </c>
      <c r="AB93" s="489">
        <f>AA93/AA12</f>
        <v>9.4786324636965916E-2</v>
      </c>
      <c r="AC93" s="471">
        <f>SUM(AC77:AC92)</f>
        <v>119230.50593607307</v>
      </c>
      <c r="AD93" s="489">
        <f>AC93/AC12</f>
        <v>9.478632463696593E-2</v>
      </c>
      <c r="AE93" s="818"/>
      <c r="AF93" s="818"/>
      <c r="AG93" s="818"/>
    </row>
    <row r="94" spans="1:33" s="109" customFormat="1" ht="15.75" thickTop="1">
      <c r="A94" s="494">
        <v>6301</v>
      </c>
      <c r="B94" s="494" t="s">
        <v>36</v>
      </c>
      <c r="C94" s="992"/>
      <c r="D94" s="994">
        <f t="shared" ref="D94:D101" si="51">C94/C$12</f>
        <v>0</v>
      </c>
      <c r="E94" s="992"/>
      <c r="F94" s="994">
        <f t="shared" ref="F94:F101" si="52">E94/E$12</f>
        <v>0</v>
      </c>
      <c r="G94" s="992"/>
      <c r="H94" s="994">
        <f t="shared" ref="H94:H101" si="53">G94/G$12</f>
        <v>0</v>
      </c>
      <c r="I94" s="992"/>
      <c r="J94" s="994">
        <f t="shared" ref="J94:J101" si="54">I94/I$12</f>
        <v>0</v>
      </c>
      <c r="K94" s="992"/>
      <c r="L94" s="994">
        <f t="shared" ref="L94:L101" si="55">K94/K$12</f>
        <v>0</v>
      </c>
      <c r="M94" s="992"/>
      <c r="N94" s="994">
        <f t="shared" ref="N94:N101" si="56">M94/M$12</f>
        <v>0</v>
      </c>
      <c r="O94" s="992"/>
      <c r="P94" s="994">
        <f t="shared" ref="P94:P101" si="57">O94/O$12</f>
        <v>0</v>
      </c>
      <c r="Q94" s="992"/>
      <c r="R94" s="994">
        <f t="shared" ref="R94:R101" si="58">Q94/Q$12</f>
        <v>0</v>
      </c>
      <c r="S94" s="992"/>
      <c r="T94" s="994">
        <f t="shared" ref="T94:T101" si="59">S94/S$12</f>
        <v>0</v>
      </c>
      <c r="U94" s="992"/>
      <c r="V94" s="994">
        <f t="shared" ref="V94:V101" si="60">U94/U$12</f>
        <v>0</v>
      </c>
      <c r="W94" s="992"/>
      <c r="X94" s="994">
        <f t="shared" ref="X94:X101" si="61">W94/W$12</f>
        <v>0</v>
      </c>
      <c r="Y94" s="992"/>
      <c r="Z94" s="467">
        <f t="shared" ref="Z94:Z101" si="62">Y94/Y$12</f>
        <v>0</v>
      </c>
      <c r="AA94" s="464">
        <f t="shared" ref="AA94:AA114" si="63">C94+E94+G94+I94+K94+M94+O94+Q94+S94+U94+W94+Y94</f>
        <v>0</v>
      </c>
      <c r="AB94" s="467">
        <f>AA94/AA$12</f>
        <v>0</v>
      </c>
      <c r="AC94" s="472">
        <f t="shared" ref="AC94:AC115" si="64">AA94/12</f>
        <v>0</v>
      </c>
      <c r="AD94" s="467">
        <f>AC94/AC$12</f>
        <v>0</v>
      </c>
      <c r="AE94" s="817"/>
      <c r="AF94" s="817"/>
      <c r="AG94" s="817"/>
    </row>
    <row r="95" spans="1:33" s="109" customFormat="1">
      <c r="A95" s="494">
        <v>6302</v>
      </c>
      <c r="B95" s="494" t="s">
        <v>37</v>
      </c>
      <c r="C95" s="678"/>
      <c r="D95" s="702">
        <f t="shared" si="51"/>
        <v>0</v>
      </c>
      <c r="E95" s="678"/>
      <c r="F95" s="702">
        <f t="shared" si="52"/>
        <v>0</v>
      </c>
      <c r="G95" s="678"/>
      <c r="H95" s="702">
        <f t="shared" si="53"/>
        <v>0</v>
      </c>
      <c r="I95" s="678"/>
      <c r="J95" s="702">
        <f t="shared" si="54"/>
        <v>0</v>
      </c>
      <c r="K95" s="678"/>
      <c r="L95" s="702">
        <f t="shared" si="55"/>
        <v>0</v>
      </c>
      <c r="M95" s="678"/>
      <c r="N95" s="702">
        <f t="shared" si="56"/>
        <v>0</v>
      </c>
      <c r="O95" s="678"/>
      <c r="P95" s="702">
        <f t="shared" si="57"/>
        <v>0</v>
      </c>
      <c r="Q95" s="678"/>
      <c r="R95" s="702">
        <f t="shared" si="58"/>
        <v>0</v>
      </c>
      <c r="S95" s="678"/>
      <c r="T95" s="702">
        <f t="shared" si="59"/>
        <v>0</v>
      </c>
      <c r="U95" s="678"/>
      <c r="V95" s="702">
        <f t="shared" si="60"/>
        <v>0</v>
      </c>
      <c r="W95" s="678"/>
      <c r="X95" s="702">
        <f t="shared" si="61"/>
        <v>0</v>
      </c>
      <c r="Y95" s="678"/>
      <c r="Z95" s="467">
        <f t="shared" si="62"/>
        <v>0</v>
      </c>
      <c r="AA95" s="464">
        <f t="shared" si="63"/>
        <v>0</v>
      </c>
      <c r="AB95" s="467">
        <f t="shared" ref="AB95:AB99" si="65">AA95/AA$12</f>
        <v>0</v>
      </c>
      <c r="AC95" s="472">
        <f t="shared" si="64"/>
        <v>0</v>
      </c>
      <c r="AD95" s="467">
        <f t="shared" ref="AD95:AD99" si="66">AC95/AC$12</f>
        <v>0</v>
      </c>
      <c r="AE95" s="817"/>
      <c r="AF95" s="817"/>
      <c r="AG95" s="817"/>
    </row>
    <row r="96" spans="1:33" s="109" customFormat="1">
      <c r="A96" s="494">
        <v>6303</v>
      </c>
      <c r="B96" s="494" t="s">
        <v>132</v>
      </c>
      <c r="C96" s="678"/>
      <c r="D96" s="702">
        <f t="shared" si="51"/>
        <v>0</v>
      </c>
      <c r="E96" s="678"/>
      <c r="F96" s="702">
        <f t="shared" si="52"/>
        <v>0</v>
      </c>
      <c r="G96" s="678"/>
      <c r="H96" s="702">
        <f t="shared" si="53"/>
        <v>0</v>
      </c>
      <c r="I96" s="678"/>
      <c r="J96" s="702">
        <f t="shared" si="54"/>
        <v>0</v>
      </c>
      <c r="K96" s="678"/>
      <c r="L96" s="702">
        <f t="shared" si="55"/>
        <v>0</v>
      </c>
      <c r="M96" s="678"/>
      <c r="N96" s="702">
        <f t="shared" si="56"/>
        <v>0</v>
      </c>
      <c r="O96" s="678"/>
      <c r="P96" s="702">
        <f t="shared" si="57"/>
        <v>0</v>
      </c>
      <c r="Q96" s="678"/>
      <c r="R96" s="702">
        <f t="shared" si="58"/>
        <v>0</v>
      </c>
      <c r="S96" s="678"/>
      <c r="T96" s="702">
        <f t="shared" si="59"/>
        <v>0</v>
      </c>
      <c r="U96" s="678"/>
      <c r="V96" s="702">
        <f t="shared" si="60"/>
        <v>0</v>
      </c>
      <c r="W96" s="678"/>
      <c r="X96" s="702">
        <f t="shared" si="61"/>
        <v>0</v>
      </c>
      <c r="Y96" s="678"/>
      <c r="Z96" s="467">
        <f t="shared" si="62"/>
        <v>0</v>
      </c>
      <c r="AA96" s="464">
        <f t="shared" si="63"/>
        <v>0</v>
      </c>
      <c r="AB96" s="467">
        <f t="shared" si="65"/>
        <v>0</v>
      </c>
      <c r="AC96" s="472">
        <f t="shared" si="64"/>
        <v>0</v>
      </c>
      <c r="AD96" s="467">
        <f t="shared" si="66"/>
        <v>0</v>
      </c>
      <c r="AE96" s="817"/>
      <c r="AF96" s="817"/>
      <c r="AG96" s="817"/>
    </row>
    <row r="97" spans="1:33" s="109" customFormat="1">
      <c r="A97" s="494">
        <v>6304</v>
      </c>
      <c r="B97" s="494" t="s">
        <v>38</v>
      </c>
      <c r="C97" s="753"/>
      <c r="D97" s="702">
        <f t="shared" si="51"/>
        <v>0</v>
      </c>
      <c r="E97" s="753"/>
      <c r="F97" s="702">
        <f t="shared" si="52"/>
        <v>0</v>
      </c>
      <c r="G97" s="753"/>
      <c r="H97" s="702">
        <f t="shared" si="53"/>
        <v>0</v>
      </c>
      <c r="I97" s="753"/>
      <c r="J97" s="702">
        <f t="shared" si="54"/>
        <v>0</v>
      </c>
      <c r="K97" s="753"/>
      <c r="L97" s="702">
        <f t="shared" si="55"/>
        <v>0</v>
      </c>
      <c r="M97" s="753"/>
      <c r="N97" s="702">
        <f t="shared" si="56"/>
        <v>0</v>
      </c>
      <c r="O97" s="753"/>
      <c r="P97" s="702">
        <f t="shared" si="57"/>
        <v>0</v>
      </c>
      <c r="Q97" s="753"/>
      <c r="R97" s="702">
        <f t="shared" si="58"/>
        <v>0</v>
      </c>
      <c r="S97" s="753"/>
      <c r="T97" s="702">
        <f t="shared" si="59"/>
        <v>0</v>
      </c>
      <c r="U97" s="753"/>
      <c r="V97" s="702">
        <f t="shared" si="60"/>
        <v>0</v>
      </c>
      <c r="W97" s="753"/>
      <c r="X97" s="702">
        <f t="shared" si="61"/>
        <v>0</v>
      </c>
      <c r="Y97" s="753"/>
      <c r="Z97" s="467">
        <f t="shared" si="62"/>
        <v>0</v>
      </c>
      <c r="AA97" s="464">
        <f t="shared" si="63"/>
        <v>0</v>
      </c>
      <c r="AB97" s="467">
        <f t="shared" si="65"/>
        <v>0</v>
      </c>
      <c r="AC97" s="472">
        <f t="shared" si="64"/>
        <v>0</v>
      </c>
      <c r="AD97" s="467">
        <f t="shared" si="66"/>
        <v>0</v>
      </c>
      <c r="AE97" s="817"/>
      <c r="AF97" s="817"/>
      <c r="AG97" s="817"/>
    </row>
    <row r="98" spans="1:33" s="109" customFormat="1">
      <c r="A98" s="497">
        <v>6305</v>
      </c>
      <c r="B98" s="494" t="s">
        <v>39</v>
      </c>
      <c r="C98" s="678"/>
      <c r="D98" s="702">
        <f t="shared" si="51"/>
        <v>0</v>
      </c>
      <c r="E98" s="678"/>
      <c r="F98" s="702">
        <f t="shared" si="52"/>
        <v>0</v>
      </c>
      <c r="G98" s="678"/>
      <c r="H98" s="702">
        <f t="shared" si="53"/>
        <v>0</v>
      </c>
      <c r="I98" s="678"/>
      <c r="J98" s="702">
        <f t="shared" si="54"/>
        <v>0</v>
      </c>
      <c r="K98" s="678"/>
      <c r="L98" s="702">
        <f t="shared" si="55"/>
        <v>0</v>
      </c>
      <c r="M98" s="678"/>
      <c r="N98" s="702">
        <f t="shared" si="56"/>
        <v>0</v>
      </c>
      <c r="O98" s="678"/>
      <c r="P98" s="702">
        <f t="shared" si="57"/>
        <v>0</v>
      </c>
      <c r="Q98" s="678"/>
      <c r="R98" s="702">
        <f t="shared" si="58"/>
        <v>0</v>
      </c>
      <c r="S98" s="678"/>
      <c r="T98" s="702">
        <f t="shared" si="59"/>
        <v>0</v>
      </c>
      <c r="U98" s="678"/>
      <c r="V98" s="702">
        <f t="shared" si="60"/>
        <v>0</v>
      </c>
      <c r="W98" s="678"/>
      <c r="X98" s="702">
        <f t="shared" si="61"/>
        <v>0</v>
      </c>
      <c r="Y98" s="678"/>
      <c r="Z98" s="467">
        <f t="shared" si="62"/>
        <v>0</v>
      </c>
      <c r="AA98" s="464">
        <f t="shared" si="63"/>
        <v>0</v>
      </c>
      <c r="AB98" s="467">
        <f t="shared" si="65"/>
        <v>0</v>
      </c>
      <c r="AC98" s="472">
        <f t="shared" si="64"/>
        <v>0</v>
      </c>
      <c r="AD98" s="467">
        <f t="shared" si="66"/>
        <v>0</v>
      </c>
      <c r="AE98" s="817"/>
      <c r="AF98" s="817"/>
      <c r="AG98" s="817"/>
    </row>
    <row r="99" spans="1:33" s="109" customFormat="1">
      <c r="A99" s="494">
        <v>6306</v>
      </c>
      <c r="B99" s="494" t="s">
        <v>40</v>
      </c>
      <c r="C99" s="678"/>
      <c r="D99" s="702">
        <f t="shared" si="51"/>
        <v>0</v>
      </c>
      <c r="E99" s="678"/>
      <c r="F99" s="702">
        <f t="shared" si="52"/>
        <v>0</v>
      </c>
      <c r="G99" s="678"/>
      <c r="H99" s="702">
        <f t="shared" si="53"/>
        <v>0</v>
      </c>
      <c r="I99" s="678"/>
      <c r="J99" s="702">
        <f t="shared" si="54"/>
        <v>0</v>
      </c>
      <c r="K99" s="678"/>
      <c r="L99" s="702">
        <f t="shared" si="55"/>
        <v>0</v>
      </c>
      <c r="M99" s="678"/>
      <c r="N99" s="702">
        <f t="shared" si="56"/>
        <v>0</v>
      </c>
      <c r="O99" s="678"/>
      <c r="P99" s="702">
        <f t="shared" si="57"/>
        <v>0</v>
      </c>
      <c r="Q99" s="678"/>
      <c r="R99" s="702">
        <f t="shared" si="58"/>
        <v>0</v>
      </c>
      <c r="S99" s="678"/>
      <c r="T99" s="702">
        <f t="shared" si="59"/>
        <v>0</v>
      </c>
      <c r="U99" s="678"/>
      <c r="V99" s="702">
        <f t="shared" si="60"/>
        <v>0</v>
      </c>
      <c r="W99" s="678"/>
      <c r="X99" s="702">
        <f t="shared" si="61"/>
        <v>0</v>
      </c>
      <c r="Y99" s="678"/>
      <c r="Z99" s="467">
        <f t="shared" si="62"/>
        <v>0</v>
      </c>
      <c r="AA99" s="464">
        <f t="shared" si="63"/>
        <v>0</v>
      </c>
      <c r="AB99" s="467">
        <f t="shared" si="65"/>
        <v>0</v>
      </c>
      <c r="AC99" s="472">
        <f t="shared" si="64"/>
        <v>0</v>
      </c>
      <c r="AD99" s="467">
        <f t="shared" si="66"/>
        <v>0</v>
      </c>
      <c r="AE99" s="817"/>
      <c r="AF99" s="817"/>
      <c r="AG99" s="817"/>
    </row>
    <row r="100" spans="1:33" s="109" customFormat="1">
      <c r="A100" s="494">
        <v>6307</v>
      </c>
      <c r="B100" s="494" t="s">
        <v>322</v>
      </c>
      <c r="C100" s="678"/>
      <c r="D100" s="702">
        <f t="shared" si="51"/>
        <v>0</v>
      </c>
      <c r="E100" s="678">
        <v>425</v>
      </c>
      <c r="F100" s="702">
        <f t="shared" si="52"/>
        <v>4.8117290044715914E-4</v>
      </c>
      <c r="G100" s="678">
        <v>425</v>
      </c>
      <c r="H100" s="702">
        <f t="shared" si="53"/>
        <v>2.9007684647563455E-4</v>
      </c>
      <c r="I100" s="678">
        <v>1040</v>
      </c>
      <c r="J100" s="702">
        <f t="shared" si="54"/>
        <v>8.0389536589062281E-4</v>
      </c>
      <c r="K100" s="678">
        <v>425</v>
      </c>
      <c r="L100" s="702">
        <f t="shared" si="55"/>
        <v>3.5918900194469613E-4</v>
      </c>
      <c r="M100" s="678"/>
      <c r="N100" s="702">
        <f t="shared" si="56"/>
        <v>0</v>
      </c>
      <c r="O100" s="678">
        <v>425</v>
      </c>
      <c r="P100" s="702">
        <f t="shared" si="57"/>
        <v>4.0010272506653394E-4</v>
      </c>
      <c r="Q100" s="678">
        <v>425</v>
      </c>
      <c r="R100" s="702">
        <f t="shared" si="58"/>
        <v>3.2221160203846404E-4</v>
      </c>
      <c r="S100" s="678">
        <v>425</v>
      </c>
      <c r="T100" s="702">
        <f t="shared" si="59"/>
        <v>3.1985133129499481E-4</v>
      </c>
      <c r="U100" s="678">
        <v>425</v>
      </c>
      <c r="V100" s="702">
        <f t="shared" si="60"/>
        <v>4.0323839890052095E-4</v>
      </c>
      <c r="W100" s="678">
        <v>425</v>
      </c>
      <c r="X100" s="702">
        <f t="shared" si="61"/>
        <v>3.9632586962520957E-4</v>
      </c>
      <c r="Y100" s="678">
        <v>425</v>
      </c>
      <c r="Z100" s="467">
        <f t="shared" si="62"/>
        <v>2.6235218781788178E-4</v>
      </c>
      <c r="AA100" s="464">
        <f t="shared" si="63"/>
        <v>4865</v>
      </c>
      <c r="AB100" s="467">
        <f>AA100/AA$12</f>
        <v>3.2229969568783764E-4</v>
      </c>
      <c r="AC100" s="472">
        <f t="shared" si="64"/>
        <v>405.41666666666669</v>
      </c>
      <c r="AD100" s="467">
        <f>AC100/AC$12</f>
        <v>3.222996956878377E-4</v>
      </c>
      <c r="AE100" s="817"/>
      <c r="AF100" s="817"/>
      <c r="AG100" s="817"/>
    </row>
    <row r="101" spans="1:33" s="109" customFormat="1">
      <c r="A101" s="494">
        <v>6308</v>
      </c>
      <c r="B101" s="494" t="s">
        <v>151</v>
      </c>
      <c r="C101" s="678"/>
      <c r="D101" s="702">
        <f t="shared" si="51"/>
        <v>0</v>
      </c>
      <c r="E101" s="678"/>
      <c r="F101" s="702">
        <f t="shared" si="52"/>
        <v>0</v>
      </c>
      <c r="G101" s="678"/>
      <c r="H101" s="702">
        <f t="shared" si="53"/>
        <v>0</v>
      </c>
      <c r="I101" s="678"/>
      <c r="J101" s="702">
        <f t="shared" si="54"/>
        <v>0</v>
      </c>
      <c r="K101" s="678"/>
      <c r="L101" s="702">
        <f t="shared" si="55"/>
        <v>0</v>
      </c>
      <c r="M101" s="678"/>
      <c r="N101" s="702">
        <f t="shared" si="56"/>
        <v>0</v>
      </c>
      <c r="O101" s="678"/>
      <c r="P101" s="702">
        <f t="shared" si="57"/>
        <v>0</v>
      </c>
      <c r="Q101" s="678"/>
      <c r="R101" s="702">
        <f t="shared" si="58"/>
        <v>0</v>
      </c>
      <c r="S101" s="678"/>
      <c r="T101" s="702">
        <f t="shared" si="59"/>
        <v>0</v>
      </c>
      <c r="U101" s="678"/>
      <c r="V101" s="702">
        <f t="shared" si="60"/>
        <v>0</v>
      </c>
      <c r="W101" s="678"/>
      <c r="X101" s="702">
        <f t="shared" si="61"/>
        <v>0</v>
      </c>
      <c r="Y101" s="678"/>
      <c r="Z101" s="467">
        <f t="shared" si="62"/>
        <v>0</v>
      </c>
      <c r="AA101" s="464">
        <f t="shared" si="63"/>
        <v>0</v>
      </c>
      <c r="AB101" s="467">
        <f>AA101/AA$12</f>
        <v>0</v>
      </c>
      <c r="AC101" s="472">
        <f t="shared" si="64"/>
        <v>0</v>
      </c>
      <c r="AD101" s="467">
        <f>AC101/AC$12</f>
        <v>0</v>
      </c>
      <c r="AE101" s="817"/>
      <c r="AF101" s="817"/>
      <c r="AG101" s="817"/>
    </row>
    <row r="102" spans="1:33" s="109" customFormat="1">
      <c r="A102" s="494">
        <v>6309</v>
      </c>
      <c r="B102" s="494" t="s">
        <v>152</v>
      </c>
      <c r="C102" s="753">
        <f>3294.3346711075*2</f>
        <v>6588.6693422150001</v>
      </c>
      <c r="D102" s="702">
        <f>C102/C$12</f>
        <v>5.8035070675403928E-3</v>
      </c>
      <c r="E102" s="678">
        <f>3400.0063756127*2</f>
        <v>6800.0127512254003</v>
      </c>
      <c r="F102" s="702">
        <f>E102/E$12</f>
        <v>7.6987808437289232E-3</v>
      </c>
      <c r="G102" s="678">
        <v>3509.0676899322875</v>
      </c>
      <c r="H102" s="702">
        <f>G102/G$12</f>
        <v>2.3950571519178771E-3</v>
      </c>
      <c r="I102" s="678">
        <v>3621.6273418921851</v>
      </c>
      <c r="J102" s="702">
        <f>I102/I$12</f>
        <v>2.7994321510864443E-3</v>
      </c>
      <c r="K102" s="678">
        <f>3737.79754695873*2</f>
        <v>7475.59509391746</v>
      </c>
      <c r="L102" s="702">
        <f>K102/K$12</f>
        <v>6.3180036252397159E-3</v>
      </c>
      <c r="M102" s="678">
        <v>3857.6941201110039</v>
      </c>
      <c r="N102" s="702">
        <f>M102/M$12</f>
        <v>2.2992696095848588E-3</v>
      </c>
      <c r="O102" s="678">
        <v>3981.4365913016404</v>
      </c>
      <c r="P102" s="702">
        <f>O102/O$12</f>
        <v>3.7481967761397606E-3</v>
      </c>
      <c r="Q102" s="678">
        <v>4109.1483246213138</v>
      </c>
      <c r="R102" s="702">
        <f>Q102/Q$12</f>
        <v>3.1153300345644801E-3</v>
      </c>
      <c r="S102" s="678">
        <f>4240.95664128559*2</f>
        <v>8481.9132825711804</v>
      </c>
      <c r="T102" s="702">
        <f>S102/S$12</f>
        <v>6.3834147184919799E-3</v>
      </c>
      <c r="U102" s="678">
        <f>4376.99294656682*2</f>
        <v>8753.9858931336403</v>
      </c>
      <c r="V102" s="702">
        <f>U102/U$12</f>
        <v>8.3057488365763672E-3</v>
      </c>
      <c r="W102" s="678">
        <v>4517.3928607975949</v>
      </c>
      <c r="X102" s="702">
        <f>W102/W$12</f>
        <v>4.2126109505748709E-3</v>
      </c>
      <c r="Y102" s="678">
        <v>4662.2963545763987</v>
      </c>
      <c r="Z102" s="467">
        <f>Y102/Y$12</f>
        <v>2.8780321150081245E-3</v>
      </c>
      <c r="AA102" s="464">
        <f t="shared" si="63"/>
        <v>66358.839646295091</v>
      </c>
      <c r="AB102" s="467">
        <f>AA102/AA$12</f>
        <v>4.3961837254262951E-3</v>
      </c>
      <c r="AC102" s="472">
        <f t="shared" si="64"/>
        <v>5529.9033038579246</v>
      </c>
      <c r="AD102" s="467">
        <f>AC102/AC$12</f>
        <v>4.3961837254262951E-3</v>
      </c>
      <c r="AE102" s="817"/>
      <c r="AF102" s="817"/>
      <c r="AG102" s="817"/>
    </row>
    <row r="103" spans="1:33" s="109" customFormat="1">
      <c r="A103" s="494">
        <v>6310</v>
      </c>
      <c r="B103" s="494" t="s">
        <v>153</v>
      </c>
      <c r="C103" s="678">
        <v>1500</v>
      </c>
      <c r="D103" s="702">
        <f t="shared" ref="D103:D114" si="67">C103/C$12</f>
        <v>1.3212471516113489E-3</v>
      </c>
      <c r="E103" s="678">
        <f>580+270</f>
        <v>850</v>
      </c>
      <c r="F103" s="702">
        <f t="shared" ref="F103:F114" si="68">E103/E$12</f>
        <v>9.6234580089431829E-4</v>
      </c>
      <c r="G103" s="371">
        <v>1760</v>
      </c>
      <c r="H103" s="702">
        <f t="shared" ref="H103:H114" si="69">G103/G$12</f>
        <v>1.2012594112873337E-3</v>
      </c>
      <c r="I103" s="678">
        <f>3270+30</f>
        <v>3300</v>
      </c>
      <c r="J103" s="702">
        <f t="shared" ref="J103:J114" si="70">I103/I$12</f>
        <v>2.5508218340760148E-3</v>
      </c>
      <c r="K103" s="678">
        <v>5500</v>
      </c>
      <c r="L103" s="702">
        <f t="shared" ref="L103:L114" si="71">K103/K$12</f>
        <v>4.6483282604607738E-3</v>
      </c>
      <c r="M103" s="48"/>
      <c r="N103" s="702">
        <f t="shared" ref="N103:P114" si="72">M103/M$12</f>
        <v>0</v>
      </c>
      <c r="O103" s="371">
        <v>2700</v>
      </c>
      <c r="P103" s="702">
        <f t="shared" ref="P103:P114" si="73">O103/O$12</f>
        <v>2.5418290768932745E-3</v>
      </c>
      <c r="Q103" s="678">
        <v>1500</v>
      </c>
      <c r="R103" s="702">
        <f t="shared" ref="R103:R114" si="74">Q103/Q$12</f>
        <v>1.1372174189592848E-3</v>
      </c>
      <c r="S103" s="678">
        <v>2510</v>
      </c>
      <c r="T103" s="702">
        <f t="shared" ref="T103:T114" si="75">S103/S$12</f>
        <v>1.8890043330598515E-3</v>
      </c>
      <c r="U103" s="678">
        <v>2300</v>
      </c>
      <c r="V103" s="702">
        <f t="shared" ref="V103:V114" si="76">U103/U$12</f>
        <v>2.1822313352263486E-3</v>
      </c>
      <c r="W103" s="678">
        <v>3200</v>
      </c>
      <c r="X103" s="702">
        <f t="shared" ref="X103:X114" si="77">W103/W$12</f>
        <v>2.9841006654133429E-3</v>
      </c>
      <c r="Y103" s="678">
        <v>2000</v>
      </c>
      <c r="Z103" s="467">
        <f t="shared" ref="Z103:Z114" si="78">Y103/Y$12</f>
        <v>1.2345985309076791E-3</v>
      </c>
      <c r="AA103" s="464">
        <f t="shared" si="63"/>
        <v>27120</v>
      </c>
      <c r="AB103" s="467">
        <f t="shared" ref="AB103:AB114" si="79">AA103/AA$12</f>
        <v>1.7966634629093849E-3</v>
      </c>
      <c r="AC103" s="472">
        <f t="shared" si="64"/>
        <v>2260</v>
      </c>
      <c r="AD103" s="467">
        <f t="shared" ref="AD103:AD114" si="80">AC103/AC$12</f>
        <v>1.7966634629093849E-3</v>
      </c>
      <c r="AE103" s="817"/>
      <c r="AF103" s="817"/>
      <c r="AG103" s="817"/>
    </row>
    <row r="104" spans="1:33" s="109" customFormat="1">
      <c r="A104" s="494">
        <v>6311</v>
      </c>
      <c r="B104" s="494" t="s">
        <v>154</v>
      </c>
      <c r="C104" s="753">
        <v>10284.905617732022</v>
      </c>
      <c r="D104" s="702">
        <f t="shared" si="67"/>
        <v>9.0592681680133295E-3</v>
      </c>
      <c r="E104" s="678"/>
      <c r="F104" s="702">
        <f t="shared" si="68"/>
        <v>0</v>
      </c>
      <c r="G104" s="678"/>
      <c r="H104" s="702">
        <f t="shared" si="69"/>
        <v>0</v>
      </c>
      <c r="I104" s="678"/>
      <c r="J104" s="702">
        <f t="shared" si="70"/>
        <v>0</v>
      </c>
      <c r="K104" s="678"/>
      <c r="L104" s="702">
        <f t="shared" si="71"/>
        <v>0</v>
      </c>
      <c r="M104" s="678"/>
      <c r="N104" s="702">
        <f t="shared" si="72"/>
        <v>0</v>
      </c>
      <c r="O104" s="678"/>
      <c r="P104" s="702">
        <f t="shared" si="73"/>
        <v>0</v>
      </c>
      <c r="Q104" s="678"/>
      <c r="R104" s="702">
        <f t="shared" si="74"/>
        <v>0</v>
      </c>
      <c r="S104" s="678"/>
      <c r="T104" s="702">
        <f t="shared" si="75"/>
        <v>0</v>
      </c>
      <c r="U104" s="678"/>
      <c r="V104" s="702">
        <f t="shared" si="76"/>
        <v>0</v>
      </c>
      <c r="W104" s="678"/>
      <c r="X104" s="702">
        <f t="shared" si="77"/>
        <v>0</v>
      </c>
      <c r="Y104" s="678"/>
      <c r="Z104" s="467">
        <f t="shared" si="78"/>
        <v>0</v>
      </c>
      <c r="AA104" s="464">
        <f t="shared" si="63"/>
        <v>10284.905617732022</v>
      </c>
      <c r="AB104" s="467">
        <f t="shared" si="79"/>
        <v>6.8136114096056788E-4</v>
      </c>
      <c r="AC104" s="472">
        <f t="shared" si="64"/>
        <v>857.0754681443351</v>
      </c>
      <c r="AD104" s="467">
        <f t="shared" si="80"/>
        <v>6.8136114096056788E-4</v>
      </c>
      <c r="AE104" s="817"/>
      <c r="AF104" s="817"/>
      <c r="AG104" s="817"/>
    </row>
    <row r="105" spans="1:33" s="109" customFormat="1">
      <c r="A105" s="494">
        <v>6312</v>
      </c>
      <c r="B105" s="494" t="s">
        <v>155</v>
      </c>
      <c r="C105" s="678"/>
      <c r="D105" s="702">
        <f t="shared" si="67"/>
        <v>0</v>
      </c>
      <c r="E105" s="678"/>
      <c r="F105" s="702">
        <f t="shared" si="68"/>
        <v>0</v>
      </c>
      <c r="G105" s="678"/>
      <c r="H105" s="702">
        <f t="shared" si="69"/>
        <v>0</v>
      </c>
      <c r="I105" s="678"/>
      <c r="J105" s="702">
        <f t="shared" si="70"/>
        <v>0</v>
      </c>
      <c r="K105" s="678"/>
      <c r="L105" s="702">
        <f t="shared" si="71"/>
        <v>0</v>
      </c>
      <c r="M105" s="678"/>
      <c r="N105" s="702">
        <f t="shared" si="72"/>
        <v>0</v>
      </c>
      <c r="O105" s="678"/>
      <c r="P105" s="702">
        <f t="shared" si="73"/>
        <v>0</v>
      </c>
      <c r="Q105" s="678"/>
      <c r="R105" s="702">
        <f t="shared" si="74"/>
        <v>0</v>
      </c>
      <c r="S105" s="678"/>
      <c r="T105" s="702">
        <f t="shared" si="75"/>
        <v>0</v>
      </c>
      <c r="U105" s="678"/>
      <c r="V105" s="702">
        <f t="shared" si="76"/>
        <v>0</v>
      </c>
      <c r="W105" s="678"/>
      <c r="X105" s="702">
        <f t="shared" si="77"/>
        <v>0</v>
      </c>
      <c r="Y105" s="678"/>
      <c r="Z105" s="467">
        <f t="shared" si="78"/>
        <v>0</v>
      </c>
      <c r="AA105" s="464">
        <f t="shared" si="63"/>
        <v>0</v>
      </c>
      <c r="AB105" s="467">
        <f t="shared" si="79"/>
        <v>0</v>
      </c>
      <c r="AC105" s="472">
        <f t="shared" si="64"/>
        <v>0</v>
      </c>
      <c r="AD105" s="467">
        <f t="shared" si="80"/>
        <v>0</v>
      </c>
      <c r="AE105" s="817"/>
      <c r="AF105" s="817"/>
      <c r="AG105" s="817"/>
    </row>
    <row r="106" spans="1:33" s="109" customFormat="1">
      <c r="A106" s="494">
        <v>6313</v>
      </c>
      <c r="B106" s="494" t="s">
        <v>156</v>
      </c>
      <c r="C106" s="753"/>
      <c r="D106" s="702">
        <f t="shared" si="67"/>
        <v>0</v>
      </c>
      <c r="E106" s="753"/>
      <c r="F106" s="702">
        <f t="shared" si="68"/>
        <v>0</v>
      </c>
      <c r="G106" s="753">
        <f>(27272.7272727273/0.985)/12</f>
        <v>2307.3373327180457</v>
      </c>
      <c r="H106" s="702">
        <f t="shared" si="69"/>
        <v>1.5748356170125946E-3</v>
      </c>
      <c r="I106" s="753"/>
      <c r="J106" s="702">
        <f t="shared" si="70"/>
        <v>0</v>
      </c>
      <c r="K106" s="753">
        <f>(27272.7272727273/0.985)/12</f>
        <v>2307.3373327180457</v>
      </c>
      <c r="L106" s="702">
        <f t="shared" si="71"/>
        <v>1.9500475145617225E-3</v>
      </c>
      <c r="M106" s="753"/>
      <c r="N106" s="702">
        <f t="shared" si="72"/>
        <v>0</v>
      </c>
      <c r="O106" s="753"/>
      <c r="P106" s="702">
        <f t="shared" si="72"/>
        <v>0</v>
      </c>
      <c r="Q106" s="753">
        <f>(27272.7272727273/0.985)/12</f>
        <v>2307.3373327180457</v>
      </c>
      <c r="R106" s="702">
        <f t="shared" si="74"/>
        <v>1.7492961374546779E-3</v>
      </c>
      <c r="S106" s="753"/>
      <c r="T106" s="702">
        <f t="shared" si="75"/>
        <v>0</v>
      </c>
      <c r="U106" s="753"/>
      <c r="V106" s="702">
        <f t="shared" si="76"/>
        <v>0</v>
      </c>
      <c r="W106" s="753"/>
      <c r="X106" s="702">
        <f t="shared" si="77"/>
        <v>0</v>
      </c>
      <c r="Y106" s="753">
        <f>(27272.7272727273/0.985)/12</f>
        <v>2307.3373327180457</v>
      </c>
      <c r="Z106" s="467">
        <f t="shared" si="78"/>
        <v>1.424317640641071E-3</v>
      </c>
      <c r="AA106" s="464">
        <f t="shared" si="63"/>
        <v>9229.3493308721827</v>
      </c>
      <c r="AB106" s="467">
        <f t="shared" si="79"/>
        <v>6.1143195904149082E-4</v>
      </c>
      <c r="AC106" s="472">
        <f t="shared" si="64"/>
        <v>769.11244423934852</v>
      </c>
      <c r="AD106" s="467">
        <f t="shared" si="80"/>
        <v>6.1143195904149082E-4</v>
      </c>
      <c r="AE106" s="817"/>
      <c r="AF106" s="817"/>
      <c r="AG106" s="817"/>
    </row>
    <row r="107" spans="1:33" s="109" customFormat="1">
      <c r="A107" s="494">
        <v>6314</v>
      </c>
      <c r="B107" s="494" t="s">
        <v>268</v>
      </c>
      <c r="C107" s="678">
        <f>(147750/12)/0.985</f>
        <v>12500</v>
      </c>
      <c r="D107" s="702">
        <f t="shared" si="67"/>
        <v>1.1010392930094575E-2</v>
      </c>
      <c r="E107" s="678">
        <f>(206850/12)/0.985</f>
        <v>17500</v>
      </c>
      <c r="F107" s="702">
        <f t="shared" si="68"/>
        <v>1.9813001783118317E-2</v>
      </c>
      <c r="G107" s="678">
        <f>(159570/12)/0.985</f>
        <v>13500</v>
      </c>
      <c r="H107" s="702">
        <f t="shared" si="69"/>
        <v>9.2142057115789811E-3</v>
      </c>
      <c r="I107" s="678">
        <f>(159570/12)/0.985</f>
        <v>13500</v>
      </c>
      <c r="J107" s="702">
        <f t="shared" si="70"/>
        <v>1.043518023031097E-2</v>
      </c>
      <c r="K107" s="678">
        <f>(206850/12)/0.985</f>
        <v>17500</v>
      </c>
      <c r="L107" s="702">
        <f t="shared" si="71"/>
        <v>1.479013537419337E-2</v>
      </c>
      <c r="M107" s="678">
        <f>(159570/12)/0.985</f>
        <v>13500</v>
      </c>
      <c r="N107" s="702">
        <f t="shared" si="72"/>
        <v>8.04629365702598E-3</v>
      </c>
      <c r="O107" s="678">
        <f>(159570/12)/0.985</f>
        <v>13500</v>
      </c>
      <c r="P107" s="702">
        <f t="shared" si="72"/>
        <v>1.2709145384466372E-2</v>
      </c>
      <c r="Q107" s="678">
        <f>(206850/12)/0.985</f>
        <v>17500</v>
      </c>
      <c r="R107" s="702">
        <f t="shared" si="74"/>
        <v>1.326753655452499E-2</v>
      </c>
      <c r="S107" s="678">
        <f>(159570/12)/0.985</f>
        <v>13500</v>
      </c>
      <c r="T107" s="702">
        <f t="shared" si="75"/>
        <v>1.015998346466454E-2</v>
      </c>
      <c r="U107" s="678">
        <f>(159570/12)/0.985</f>
        <v>13500</v>
      </c>
      <c r="V107" s="702">
        <f t="shared" si="76"/>
        <v>1.280874914154596E-2</v>
      </c>
      <c r="W107" s="678">
        <f>(206850/12)/0.985</f>
        <v>17500</v>
      </c>
      <c r="X107" s="702">
        <f t="shared" si="77"/>
        <v>1.6319300513979219E-2</v>
      </c>
      <c r="Y107" s="678">
        <f>(159570/12)/0.985</f>
        <v>13500</v>
      </c>
      <c r="Z107" s="467">
        <f t="shared" si="78"/>
        <v>8.3335400836268333E-3</v>
      </c>
      <c r="AA107" s="464">
        <f t="shared" si="63"/>
        <v>177000</v>
      </c>
      <c r="AB107" s="467">
        <f t="shared" si="79"/>
        <v>1.1726011538899747E-2</v>
      </c>
      <c r="AC107" s="472">
        <f t="shared" si="64"/>
        <v>14750</v>
      </c>
      <c r="AD107" s="467">
        <f t="shared" si="80"/>
        <v>1.1726011538899747E-2</v>
      </c>
      <c r="AE107" s="817"/>
      <c r="AF107" s="817"/>
      <c r="AG107" s="817"/>
    </row>
    <row r="108" spans="1:33" s="109" customFormat="1">
      <c r="A108" s="494">
        <v>6315</v>
      </c>
      <c r="B108" s="494" t="s">
        <v>323</v>
      </c>
      <c r="C108" s="678"/>
      <c r="D108" s="702">
        <f t="shared" si="67"/>
        <v>0</v>
      </c>
      <c r="E108" s="678">
        <v>2957</v>
      </c>
      <c r="F108" s="702">
        <f t="shared" si="68"/>
        <v>3.3478312155817637E-3</v>
      </c>
      <c r="G108" s="678">
        <v>4207</v>
      </c>
      <c r="H108" s="702">
        <f t="shared" si="69"/>
        <v>2.8714195132305757E-3</v>
      </c>
      <c r="I108" s="678">
        <v>2957</v>
      </c>
      <c r="J108" s="702">
        <f t="shared" si="70"/>
        <v>2.2856909585947808E-3</v>
      </c>
      <c r="K108" s="678">
        <v>1250</v>
      </c>
      <c r="L108" s="702">
        <f t="shared" si="71"/>
        <v>1.0564382410138122E-3</v>
      </c>
      <c r="M108" s="678"/>
      <c r="N108" s="702">
        <f t="shared" si="72"/>
        <v>0</v>
      </c>
      <c r="O108" s="678">
        <v>875</v>
      </c>
      <c r="P108" s="702">
        <f t="shared" si="73"/>
        <v>8.2374090454874634E-4</v>
      </c>
      <c r="Q108" s="678">
        <v>1250</v>
      </c>
      <c r="R108" s="702">
        <f t="shared" si="74"/>
        <v>9.4768118246607081E-4</v>
      </c>
      <c r="S108" s="678"/>
      <c r="T108" s="702">
        <f t="shared" si="75"/>
        <v>0</v>
      </c>
      <c r="U108" s="678">
        <v>875</v>
      </c>
      <c r="V108" s="702">
        <f t="shared" si="76"/>
        <v>8.3019670361871966E-4</v>
      </c>
      <c r="W108" s="678"/>
      <c r="X108" s="702">
        <f t="shared" si="77"/>
        <v>0</v>
      </c>
      <c r="Y108" s="678">
        <v>1250</v>
      </c>
      <c r="Z108" s="467">
        <f t="shared" si="78"/>
        <v>7.7162408181729941E-4</v>
      </c>
      <c r="AA108" s="464">
        <f t="shared" si="63"/>
        <v>15621</v>
      </c>
      <c r="AB108" s="467">
        <f t="shared" si="79"/>
        <v>1.0348702047974744E-3</v>
      </c>
      <c r="AC108" s="472">
        <f t="shared" si="64"/>
        <v>1301.75</v>
      </c>
      <c r="AD108" s="467">
        <f t="shared" si="80"/>
        <v>1.0348702047974744E-3</v>
      </c>
      <c r="AE108" s="817"/>
      <c r="AF108" s="817"/>
      <c r="AG108" s="817"/>
    </row>
    <row r="109" spans="1:33" s="109" customFormat="1">
      <c r="A109" s="494">
        <v>6316</v>
      </c>
      <c r="B109" s="494" t="s">
        <v>324</v>
      </c>
      <c r="C109" s="678"/>
      <c r="D109" s="702">
        <f t="shared" si="67"/>
        <v>0</v>
      </c>
      <c r="E109" s="678">
        <v>7672.2222222222226</v>
      </c>
      <c r="F109" s="702">
        <f t="shared" si="68"/>
        <v>8.6862715753925068E-3</v>
      </c>
      <c r="G109" s="678"/>
      <c r="H109" s="702">
        <f t="shared" si="69"/>
        <v>0</v>
      </c>
      <c r="I109" s="678"/>
      <c r="J109" s="702">
        <f t="shared" si="70"/>
        <v>0</v>
      </c>
      <c r="K109" s="678">
        <v>5000</v>
      </c>
      <c r="L109" s="702">
        <f t="shared" si="71"/>
        <v>4.225752964055249E-3</v>
      </c>
      <c r="M109" s="678">
        <v>1900</v>
      </c>
      <c r="N109" s="702">
        <f t="shared" si="72"/>
        <v>1.1324413295073603E-3</v>
      </c>
      <c r="O109" s="678"/>
      <c r="P109" s="702">
        <f t="shared" si="73"/>
        <v>0</v>
      </c>
      <c r="Q109" s="678">
        <v>6972.2222222222226</v>
      </c>
      <c r="R109" s="702">
        <f t="shared" si="74"/>
        <v>5.2859550399774174E-3</v>
      </c>
      <c r="S109" s="678">
        <v>1900</v>
      </c>
      <c r="T109" s="702">
        <f t="shared" si="75"/>
        <v>1.429923598730565E-3</v>
      </c>
      <c r="U109" s="678">
        <v>5600</v>
      </c>
      <c r="V109" s="702">
        <f t="shared" si="76"/>
        <v>5.313258903159806E-3</v>
      </c>
      <c r="W109" s="678"/>
      <c r="X109" s="702">
        <f t="shared" si="77"/>
        <v>0</v>
      </c>
      <c r="Y109" s="678"/>
      <c r="Z109" s="467">
        <f t="shared" si="78"/>
        <v>0</v>
      </c>
      <c r="AA109" s="464">
        <f t="shared" si="63"/>
        <v>29044.444444444445</v>
      </c>
      <c r="AB109" s="467">
        <f t="shared" si="79"/>
        <v>1.9241553146694249E-3</v>
      </c>
      <c r="AC109" s="472">
        <f t="shared" si="64"/>
        <v>2420.3703703703704</v>
      </c>
      <c r="AD109" s="467">
        <f t="shared" si="80"/>
        <v>1.9241553146694249E-3</v>
      </c>
      <c r="AE109" s="817"/>
      <c r="AF109" s="817"/>
      <c r="AG109" s="817"/>
    </row>
    <row r="110" spans="1:33" s="109" customFormat="1">
      <c r="A110" s="494">
        <v>6317</v>
      </c>
      <c r="B110" s="494" t="s">
        <v>325</v>
      </c>
      <c r="C110" s="678"/>
      <c r="D110" s="702">
        <f t="shared" si="67"/>
        <v>0</v>
      </c>
      <c r="E110" s="678">
        <v>2750</v>
      </c>
      <c r="F110" s="702">
        <f t="shared" si="68"/>
        <v>3.1134717087757356E-3</v>
      </c>
      <c r="G110" s="678"/>
      <c r="H110" s="702">
        <f t="shared" si="69"/>
        <v>0</v>
      </c>
      <c r="I110" s="678">
        <v>16120</v>
      </c>
      <c r="J110" s="702">
        <f t="shared" si="70"/>
        <v>1.2460378171304654E-2</v>
      </c>
      <c r="K110" s="678">
        <v>3100</v>
      </c>
      <c r="L110" s="702">
        <f t="shared" si="71"/>
        <v>2.6199668377142539E-3</v>
      </c>
      <c r="M110" s="678"/>
      <c r="N110" s="702">
        <f t="shared" si="72"/>
        <v>0</v>
      </c>
      <c r="O110" s="678"/>
      <c r="P110" s="702">
        <f t="shared" si="73"/>
        <v>0</v>
      </c>
      <c r="Q110" s="678">
        <v>10466</v>
      </c>
      <c r="R110" s="702">
        <f t="shared" si="74"/>
        <v>7.9347450045519179E-3</v>
      </c>
      <c r="S110" s="678"/>
      <c r="T110" s="702">
        <f t="shared" si="75"/>
        <v>0</v>
      </c>
      <c r="U110" s="678">
        <v>2750</v>
      </c>
      <c r="V110" s="702">
        <f t="shared" si="76"/>
        <v>2.6091896399445475E-3</v>
      </c>
      <c r="W110" s="678"/>
      <c r="X110" s="702">
        <f t="shared" si="77"/>
        <v>0</v>
      </c>
      <c r="Y110" s="678"/>
      <c r="Z110" s="467">
        <f t="shared" si="78"/>
        <v>0</v>
      </c>
      <c r="AA110" s="464">
        <f t="shared" si="63"/>
        <v>35186</v>
      </c>
      <c r="AB110" s="467">
        <f t="shared" si="79"/>
        <v>2.33102509608885E-3</v>
      </c>
      <c r="AC110" s="472">
        <f t="shared" si="64"/>
        <v>2932.1666666666665</v>
      </c>
      <c r="AD110" s="467">
        <f t="shared" si="80"/>
        <v>2.33102509608885E-3</v>
      </c>
      <c r="AE110" s="817"/>
      <c r="AF110" s="817"/>
      <c r="AG110" s="817"/>
    </row>
    <row r="111" spans="1:33" s="109" customFormat="1">
      <c r="A111" s="494">
        <v>6318</v>
      </c>
      <c r="B111" s="494" t="s">
        <v>326</v>
      </c>
      <c r="C111" s="678">
        <f>(6660/12)</f>
        <v>555</v>
      </c>
      <c r="D111" s="702">
        <f t="shared" si="67"/>
        <v>4.8886144609619909E-4</v>
      </c>
      <c r="E111" s="678">
        <f>(6660/12)</f>
        <v>555</v>
      </c>
      <c r="F111" s="702">
        <f t="shared" si="68"/>
        <v>6.283551994074666E-4</v>
      </c>
      <c r="G111" s="678">
        <f>(6660/12)</f>
        <v>555</v>
      </c>
      <c r="H111" s="702">
        <f t="shared" si="69"/>
        <v>3.7880623480935808E-4</v>
      </c>
      <c r="I111" s="678">
        <f>(6660/12)</f>
        <v>555</v>
      </c>
      <c r="J111" s="702">
        <f t="shared" si="70"/>
        <v>4.2900185391278432E-4</v>
      </c>
      <c r="K111" s="678">
        <f>(6660/12)</f>
        <v>555</v>
      </c>
      <c r="L111" s="702">
        <f t="shared" si="71"/>
        <v>4.690585790101326E-4</v>
      </c>
      <c r="M111" s="678">
        <f>(6660/12)</f>
        <v>555</v>
      </c>
      <c r="N111" s="702">
        <f t="shared" si="72"/>
        <v>3.3079207256662366E-4</v>
      </c>
      <c r="O111" s="678">
        <f>(6660/12)</f>
        <v>555</v>
      </c>
      <c r="P111" s="702">
        <f t="shared" si="72"/>
        <v>5.2248708802806192E-4</v>
      </c>
      <c r="Q111" s="678">
        <f>(6660/12)</f>
        <v>555</v>
      </c>
      <c r="R111" s="702">
        <f t="shared" si="74"/>
        <v>4.2077044501493544E-4</v>
      </c>
      <c r="S111" s="678">
        <f>(6660/12)</f>
        <v>555</v>
      </c>
      <c r="T111" s="702">
        <f t="shared" si="75"/>
        <v>4.1768820910287552E-4</v>
      </c>
      <c r="U111" s="678">
        <f>(6660/12)</f>
        <v>555</v>
      </c>
      <c r="V111" s="702">
        <f t="shared" si="76"/>
        <v>5.2658190915244498E-4</v>
      </c>
      <c r="W111" s="678">
        <f>(6660/12)</f>
        <v>555</v>
      </c>
      <c r="X111" s="702">
        <f t="shared" si="77"/>
        <v>5.1755495915762663E-4</v>
      </c>
      <c r="Y111" s="678">
        <f>(6660/12)</f>
        <v>555</v>
      </c>
      <c r="Z111" s="467">
        <f t="shared" si="78"/>
        <v>3.4260109232688094E-4</v>
      </c>
      <c r="AA111" s="464">
        <f t="shared" si="63"/>
        <v>6660</v>
      </c>
      <c r="AB111" s="467">
        <f t="shared" si="79"/>
        <v>4.4121602739588875E-4</v>
      </c>
      <c r="AC111" s="472">
        <f t="shared" si="64"/>
        <v>555</v>
      </c>
      <c r="AD111" s="467">
        <f t="shared" si="80"/>
        <v>4.4121602739588875E-4</v>
      </c>
      <c r="AE111" s="817"/>
      <c r="AF111" s="817"/>
      <c r="AG111" s="817"/>
    </row>
    <row r="112" spans="1:33" s="109" customFormat="1">
      <c r="A112" s="494">
        <v>6319</v>
      </c>
      <c r="B112" s="494" t="s">
        <v>327</v>
      </c>
      <c r="C112" s="678"/>
      <c r="D112" s="702">
        <f t="shared" si="67"/>
        <v>0</v>
      </c>
      <c r="E112" s="678">
        <f>(43504.1666666667/12)/0.985</f>
        <v>3680.5555555555584</v>
      </c>
      <c r="F112" s="702">
        <f t="shared" si="68"/>
        <v>4.1670202162907609E-3</v>
      </c>
      <c r="G112" s="678">
        <f>(43504.1666666667/12)/0.985</f>
        <v>3680.5555555555584</v>
      </c>
      <c r="H112" s="702">
        <f t="shared" si="69"/>
        <v>2.5121034090210201E-3</v>
      </c>
      <c r="I112" s="678">
        <f>(43504.1666666667/12)/0.985</f>
        <v>3680.5555555555584</v>
      </c>
      <c r="J112" s="702">
        <f t="shared" si="70"/>
        <v>2.8449822644366347E-3</v>
      </c>
      <c r="K112" s="678">
        <f>(43504.1666666667/12)/0.985</f>
        <v>3680.5555555555584</v>
      </c>
      <c r="L112" s="702">
        <f t="shared" si="71"/>
        <v>3.1106237096517825E-3</v>
      </c>
      <c r="M112" s="678"/>
      <c r="N112" s="702">
        <f t="shared" si="72"/>
        <v>0</v>
      </c>
      <c r="O112" s="678">
        <f>(43504.1666666667/12)/0.985</f>
        <v>3680.5555555555584</v>
      </c>
      <c r="P112" s="702">
        <f t="shared" si="72"/>
        <v>3.4649419000859993E-3</v>
      </c>
      <c r="Q112" s="678">
        <f>(43504.1666666667/12)/0.985</f>
        <v>3680.5555555555584</v>
      </c>
      <c r="R112" s="702">
        <f t="shared" si="74"/>
        <v>2.790394592816766E-3</v>
      </c>
      <c r="S112" s="678">
        <f>(43504.1666666667/12)/0.985</f>
        <v>3680.5555555555584</v>
      </c>
      <c r="T112" s="702">
        <f t="shared" si="75"/>
        <v>2.769954339646199E-3</v>
      </c>
      <c r="U112" s="678">
        <f>(43504.1666666667/12)/0.985</f>
        <v>3680.5555555555584</v>
      </c>
      <c r="V112" s="702">
        <f t="shared" si="76"/>
        <v>3.4920972453803315E-3</v>
      </c>
      <c r="W112" s="678">
        <f>(43504.1666666667/12)/0.985</f>
        <v>3680.5555555555584</v>
      </c>
      <c r="X112" s="702">
        <f t="shared" si="77"/>
        <v>3.4322338382575365E-3</v>
      </c>
      <c r="Y112" s="678">
        <f>(43504.1666666667/12)/0.985</f>
        <v>3680.5555555555584</v>
      </c>
      <c r="Z112" s="467">
        <f t="shared" si="78"/>
        <v>2.2720042409064946E-3</v>
      </c>
      <c r="AA112" s="464">
        <f t="shared" si="63"/>
        <v>36805.555555555591</v>
      </c>
      <c r="AB112" s="467">
        <f t="shared" si="79"/>
        <v>2.4383184697178563E-3</v>
      </c>
      <c r="AC112" s="472">
        <f t="shared" si="64"/>
        <v>3067.1296296296327</v>
      </c>
      <c r="AD112" s="467">
        <f t="shared" si="80"/>
        <v>2.4383184697178563E-3</v>
      </c>
      <c r="AE112" s="817"/>
      <c r="AF112" s="817"/>
      <c r="AG112" s="817"/>
    </row>
    <row r="113" spans="1:33" s="109" customFormat="1">
      <c r="A113" s="494">
        <v>6320</v>
      </c>
      <c r="B113" s="494" t="s">
        <v>328</v>
      </c>
      <c r="C113" s="678"/>
      <c r="D113" s="702">
        <f t="shared" si="67"/>
        <v>0</v>
      </c>
      <c r="E113" s="678"/>
      <c r="F113" s="702">
        <f t="shared" si="68"/>
        <v>0</v>
      </c>
      <c r="G113" s="678"/>
      <c r="H113" s="702">
        <f t="shared" si="69"/>
        <v>0</v>
      </c>
      <c r="I113" s="678"/>
      <c r="J113" s="702">
        <f t="shared" si="70"/>
        <v>0</v>
      </c>
      <c r="K113" s="678"/>
      <c r="L113" s="702">
        <f t="shared" si="71"/>
        <v>0</v>
      </c>
      <c r="M113" s="678"/>
      <c r="N113" s="702">
        <f t="shared" si="72"/>
        <v>0</v>
      </c>
      <c r="O113" s="678"/>
      <c r="P113" s="702">
        <f t="shared" si="73"/>
        <v>0</v>
      </c>
      <c r="Q113" s="678"/>
      <c r="R113" s="702">
        <f t="shared" si="74"/>
        <v>0</v>
      </c>
      <c r="S113" s="678"/>
      <c r="T113" s="702">
        <f t="shared" si="75"/>
        <v>0</v>
      </c>
      <c r="U113" s="678"/>
      <c r="V113" s="702">
        <f t="shared" si="76"/>
        <v>0</v>
      </c>
      <c r="W113" s="678"/>
      <c r="X113" s="702">
        <f t="shared" si="77"/>
        <v>0</v>
      </c>
      <c r="Y113" s="678"/>
      <c r="Z113" s="467">
        <f t="shared" si="78"/>
        <v>0</v>
      </c>
      <c r="AA113" s="464">
        <f t="shared" si="63"/>
        <v>0</v>
      </c>
      <c r="AB113" s="467">
        <f t="shared" si="79"/>
        <v>0</v>
      </c>
      <c r="AC113" s="472">
        <f t="shared" si="64"/>
        <v>0</v>
      </c>
      <c r="AD113" s="467">
        <f t="shared" si="80"/>
        <v>0</v>
      </c>
      <c r="AE113" s="817"/>
      <c r="AF113" s="817"/>
      <c r="AG113" s="817"/>
    </row>
    <row r="114" spans="1:33" s="109" customFormat="1">
      <c r="A114" s="494">
        <v>6321</v>
      </c>
      <c r="B114" s="494" t="s">
        <v>329</v>
      </c>
      <c r="C114" s="754"/>
      <c r="D114" s="684">
        <f t="shared" si="67"/>
        <v>0</v>
      </c>
      <c r="E114" s="754"/>
      <c r="F114" s="684">
        <f t="shared" si="68"/>
        <v>0</v>
      </c>
      <c r="G114" s="754"/>
      <c r="H114" s="684">
        <f t="shared" si="69"/>
        <v>0</v>
      </c>
      <c r="I114" s="754"/>
      <c r="J114" s="684">
        <f t="shared" si="70"/>
        <v>0</v>
      </c>
      <c r="K114" s="754"/>
      <c r="L114" s="684">
        <f t="shared" si="71"/>
        <v>0</v>
      </c>
      <c r="M114" s="754"/>
      <c r="N114" s="684">
        <f t="shared" si="72"/>
        <v>0</v>
      </c>
      <c r="O114" s="754"/>
      <c r="P114" s="684">
        <f t="shared" si="73"/>
        <v>0</v>
      </c>
      <c r="Q114" s="754"/>
      <c r="R114" s="684">
        <f t="shared" si="74"/>
        <v>0</v>
      </c>
      <c r="S114" s="754"/>
      <c r="T114" s="684">
        <f t="shared" si="75"/>
        <v>0</v>
      </c>
      <c r="U114" s="754"/>
      <c r="V114" s="684">
        <f t="shared" si="76"/>
        <v>0</v>
      </c>
      <c r="W114" s="754">
        <f>100000/12</f>
        <v>8333.3333333333339</v>
      </c>
      <c r="X114" s="684">
        <f t="shared" si="77"/>
        <v>7.771095482847247E-3</v>
      </c>
      <c r="Y114" s="754"/>
      <c r="Z114" s="467">
        <f t="shared" si="78"/>
        <v>0</v>
      </c>
      <c r="AA114" s="464">
        <f t="shared" si="63"/>
        <v>8333.3333333333339</v>
      </c>
      <c r="AB114" s="467">
        <f t="shared" si="79"/>
        <v>5.5207210635121226E-4</v>
      </c>
      <c r="AC114" s="472">
        <f t="shared" si="64"/>
        <v>694.44444444444446</v>
      </c>
      <c r="AD114" s="467">
        <f t="shared" si="80"/>
        <v>5.5207210635121215E-4</v>
      </c>
      <c r="AE114" s="817"/>
      <c r="AF114" s="817"/>
      <c r="AG114" s="817"/>
    </row>
    <row r="115" spans="1:33" s="109" customFormat="1">
      <c r="A115" s="495">
        <v>6399</v>
      </c>
      <c r="B115" s="495" t="s">
        <v>113</v>
      </c>
      <c r="C115" s="473">
        <f>SUM(C94:C114)</f>
        <v>31428.574959947022</v>
      </c>
      <c r="D115" s="752">
        <f>C115/C12</f>
        <v>2.7683276763355847E-2</v>
      </c>
      <c r="E115" s="473">
        <f>SUM(E94:E114)</f>
        <v>43189.790529003178</v>
      </c>
      <c r="F115" s="752">
        <f>E115/E12</f>
        <v>4.8898251243636948E-2</v>
      </c>
      <c r="G115" s="473">
        <f>SUM(G94:G114)</f>
        <v>29943.96057820589</v>
      </c>
      <c r="H115" s="752">
        <f>G115/G12</f>
        <v>2.0437763895333375E-2</v>
      </c>
      <c r="I115" s="473">
        <f>SUM(I94:I114)</f>
        <v>44774.182897447739</v>
      </c>
      <c r="J115" s="752">
        <f>I115/I12</f>
        <v>3.46093828296129E-2</v>
      </c>
      <c r="K115" s="473">
        <f>SUM(K94:K114)</f>
        <v>46793.487982191058</v>
      </c>
      <c r="L115" s="752">
        <f>K115/K12</f>
        <v>3.95475441078455E-2</v>
      </c>
      <c r="M115" s="473">
        <f>SUM(M94:M114)</f>
        <v>19812.694120111002</v>
      </c>
      <c r="N115" s="752">
        <f>M115/M12</f>
        <v>1.1808796668684823E-2</v>
      </c>
      <c r="O115" s="473">
        <f>SUM(O94:O114)</f>
        <v>25716.992146857199</v>
      </c>
      <c r="P115" s="752">
        <f>O115/O12</f>
        <v>2.4210443855228751E-2</v>
      </c>
      <c r="Q115" s="473">
        <f>SUM(Q94:Q114)</f>
        <v>48765.263435117144</v>
      </c>
      <c r="R115" s="752">
        <f>Q115/Q12</f>
        <v>3.6971138012369009E-2</v>
      </c>
      <c r="S115" s="473">
        <f>SUM(S94:S114)</f>
        <v>31052.468838126737</v>
      </c>
      <c r="T115" s="752">
        <f>S115/S12</f>
        <v>2.3369819994991003E-2</v>
      </c>
      <c r="U115" s="473">
        <f>SUM(U94:U114)</f>
        <v>38439.541448689197</v>
      </c>
      <c r="V115" s="752">
        <f>U115/U12</f>
        <v>3.6471292113505048E-2</v>
      </c>
      <c r="W115" s="473">
        <f>SUM(W94:W114)</f>
        <v>38211.281749686488</v>
      </c>
      <c r="X115" s="752">
        <f>W115/W12</f>
        <v>3.5633222279855055E-2</v>
      </c>
      <c r="Y115" s="473">
        <f>SUM(Y94:Y114)</f>
        <v>28380.189242850003</v>
      </c>
      <c r="Z115" s="752">
        <f>Y115/Y12</f>
        <v>1.7519069973052265E-2</v>
      </c>
      <c r="AA115" s="473">
        <f>SUM(AA94:AA114)</f>
        <v>426508.42792823265</v>
      </c>
      <c r="AB115" s="752">
        <f>AA115/AA12</f>
        <v>2.8255608741946027E-2</v>
      </c>
      <c r="AC115" s="491">
        <f t="shared" si="64"/>
        <v>35542.368994019387</v>
      </c>
      <c r="AD115" s="752">
        <f>AC115/AC12</f>
        <v>2.8255608741946027E-2</v>
      </c>
      <c r="AE115" s="818"/>
      <c r="AF115" s="818"/>
      <c r="AG115" s="818"/>
    </row>
    <row r="116" spans="1:33" s="109" customFormat="1">
      <c r="A116" s="497">
        <v>6401</v>
      </c>
      <c r="B116" s="497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464">
        <f t="shared" ref="AA116:AA128" si="81">C116+E116+G116+I116+K116+M116+O116+Q116+S116+U116+W116+Y116</f>
        <v>0</v>
      </c>
      <c r="AB116" s="467">
        <f t="shared" ref="AB116:AD116" si="82">AA116/AA$12</f>
        <v>0</v>
      </c>
      <c r="AC116" s="472">
        <f t="shared" ref="AC116:AC128" si="83">AA116/12</f>
        <v>0</v>
      </c>
      <c r="AD116" s="467">
        <f t="shared" si="82"/>
        <v>0</v>
      </c>
      <c r="AE116" s="817"/>
      <c r="AF116" s="817"/>
      <c r="AG116" s="817"/>
    </row>
    <row r="117" spans="1:33" s="109" customFormat="1">
      <c r="A117" s="497">
        <v>6402</v>
      </c>
      <c r="B117" s="494" t="s">
        <v>75</v>
      </c>
      <c r="C117" s="452">
        <v>500</v>
      </c>
      <c r="D117" s="467">
        <f>C117/C12</f>
        <v>4.4041571720378301E-4</v>
      </c>
      <c r="E117" s="452">
        <v>500</v>
      </c>
      <c r="F117" s="467">
        <f>E117/E12</f>
        <v>5.6608576523195194E-4</v>
      </c>
      <c r="G117" s="452">
        <v>500</v>
      </c>
      <c r="H117" s="467">
        <f>G117/G12</f>
        <v>3.412668782066289E-4</v>
      </c>
      <c r="I117" s="452">
        <v>500</v>
      </c>
      <c r="J117" s="467">
        <f>I117/I12</f>
        <v>3.8648815667818409E-4</v>
      </c>
      <c r="K117" s="452">
        <v>500</v>
      </c>
      <c r="L117" s="467">
        <f>K117/K12</f>
        <v>4.2257529640552487E-4</v>
      </c>
      <c r="M117" s="452">
        <v>500</v>
      </c>
      <c r="N117" s="467">
        <f>M117/M12</f>
        <v>2.9801087618614743E-4</v>
      </c>
      <c r="O117" s="452">
        <v>500</v>
      </c>
      <c r="P117" s="467">
        <f>O117/O12</f>
        <v>4.7070908831356933E-4</v>
      </c>
      <c r="Q117" s="452">
        <v>500</v>
      </c>
      <c r="R117" s="467">
        <f>Q117/Q12</f>
        <v>3.7907247298642828E-4</v>
      </c>
      <c r="S117" s="452">
        <v>500</v>
      </c>
      <c r="T117" s="467">
        <f>S117/S12</f>
        <v>3.7629568387646448E-4</v>
      </c>
      <c r="U117" s="452">
        <v>500</v>
      </c>
      <c r="V117" s="467">
        <f>U117/U12</f>
        <v>4.7439811635355408E-4</v>
      </c>
      <c r="W117" s="452">
        <v>500</v>
      </c>
      <c r="X117" s="467">
        <f>W117/W12</f>
        <v>4.6626572897083481E-4</v>
      </c>
      <c r="Y117" s="452">
        <v>500</v>
      </c>
      <c r="Z117" s="467">
        <f>Y117/Y12</f>
        <v>3.0864963272691977E-4</v>
      </c>
      <c r="AA117" s="464">
        <f t="shared" si="81"/>
        <v>6000</v>
      </c>
      <c r="AB117" s="467">
        <f>AA117/AA12</f>
        <v>3.9749191657287276E-4</v>
      </c>
      <c r="AC117" s="472">
        <f t="shared" si="83"/>
        <v>500</v>
      </c>
      <c r="AD117" s="467">
        <f>AC117/AC12</f>
        <v>3.9749191657287276E-4</v>
      </c>
      <c r="AE117" s="817"/>
      <c r="AF117" s="817"/>
      <c r="AG117" s="817"/>
    </row>
    <row r="118" spans="1:33" s="109" customFormat="1">
      <c r="A118" s="497">
        <v>6403</v>
      </c>
      <c r="B118" s="494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464">
        <f t="shared" si="81"/>
        <v>0</v>
      </c>
      <c r="AB118" s="467">
        <f>AA118/AA12</f>
        <v>0</v>
      </c>
      <c r="AC118" s="472">
        <f t="shared" si="83"/>
        <v>0</v>
      </c>
      <c r="AD118" s="467">
        <f>AC118/AC12</f>
        <v>0</v>
      </c>
      <c r="AE118" s="817"/>
      <c r="AF118" s="817"/>
      <c r="AG118" s="817"/>
    </row>
    <row r="119" spans="1:33" s="109" customFormat="1">
      <c r="A119" s="497">
        <v>6404</v>
      </c>
      <c r="B119" s="497" t="s">
        <v>92</v>
      </c>
      <c r="C119" s="707">
        <v>2000</v>
      </c>
      <c r="D119" s="467">
        <f>C119/C12</f>
        <v>1.761662868815132E-3</v>
      </c>
      <c r="E119" s="707">
        <v>2000</v>
      </c>
      <c r="F119" s="467">
        <f>E119/E12</f>
        <v>2.2643430609278078E-3</v>
      </c>
      <c r="G119" s="707">
        <v>2000</v>
      </c>
      <c r="H119" s="467">
        <f>G119/G12</f>
        <v>1.3650675128265156E-3</v>
      </c>
      <c r="I119" s="707">
        <v>2000</v>
      </c>
      <c r="J119" s="467">
        <f>I119/I12</f>
        <v>1.5459526267127364E-3</v>
      </c>
      <c r="K119" s="707">
        <v>2000</v>
      </c>
      <c r="L119" s="467">
        <f>K119/K12</f>
        <v>1.6903011856220995E-3</v>
      </c>
      <c r="M119" s="707">
        <v>2000</v>
      </c>
      <c r="N119" s="467">
        <f>M119/M12</f>
        <v>1.1920435047445897E-3</v>
      </c>
      <c r="O119" s="707">
        <v>2000</v>
      </c>
      <c r="P119" s="467">
        <f>O119/O12</f>
        <v>1.8828363532542773E-3</v>
      </c>
      <c r="Q119" s="707">
        <v>2000</v>
      </c>
      <c r="R119" s="467">
        <f>Q119/Q12</f>
        <v>1.5162898919457131E-3</v>
      </c>
      <c r="S119" s="707">
        <v>2000</v>
      </c>
      <c r="T119" s="467">
        <f>S119/S12</f>
        <v>1.5051827355058579E-3</v>
      </c>
      <c r="U119" s="707">
        <v>2000</v>
      </c>
      <c r="V119" s="467">
        <f>U119/U12</f>
        <v>1.8975924654142163E-3</v>
      </c>
      <c r="W119" s="707">
        <v>2000</v>
      </c>
      <c r="X119" s="467">
        <f>W119/W12</f>
        <v>1.8650629158833392E-3</v>
      </c>
      <c r="Y119" s="707">
        <v>2000</v>
      </c>
      <c r="Z119" s="467">
        <f>Y119/Y12</f>
        <v>1.2345985309076791E-3</v>
      </c>
      <c r="AA119" s="464">
        <f t="shared" si="81"/>
        <v>24000</v>
      </c>
      <c r="AB119" s="467">
        <f>AA119/AA12</f>
        <v>1.589967666291491E-3</v>
      </c>
      <c r="AC119" s="472">
        <f t="shared" si="83"/>
        <v>2000</v>
      </c>
      <c r="AD119" s="467">
        <v>0</v>
      </c>
      <c r="AE119" s="822"/>
      <c r="AF119" s="467"/>
      <c r="AG119" s="467"/>
    </row>
    <row r="120" spans="1:33" s="109" customFormat="1">
      <c r="A120" s="497">
        <v>6406</v>
      </c>
      <c r="B120" s="497" t="s">
        <v>72</v>
      </c>
      <c r="C120" s="452">
        <v>750</v>
      </c>
      <c r="D120" s="467">
        <f>C120/C12</f>
        <v>6.6062357580567446E-4</v>
      </c>
      <c r="E120" s="452">
        <v>750</v>
      </c>
      <c r="F120" s="467">
        <f>E120/E12</f>
        <v>8.4912864784792786E-4</v>
      </c>
      <c r="G120" s="452">
        <v>750</v>
      </c>
      <c r="H120" s="467">
        <f>G120/G12</f>
        <v>5.1190031730994332E-4</v>
      </c>
      <c r="I120" s="452">
        <v>750</v>
      </c>
      <c r="J120" s="467">
        <f>I120/I12</f>
        <v>5.7973223501727605E-4</v>
      </c>
      <c r="K120" s="452">
        <v>750</v>
      </c>
      <c r="L120" s="467">
        <f>K120/K12</f>
        <v>6.3386294460828733E-4</v>
      </c>
      <c r="M120" s="452">
        <v>750</v>
      </c>
      <c r="N120" s="467">
        <f>M120/M12</f>
        <v>4.4701631427922114E-4</v>
      </c>
      <c r="O120" s="452">
        <v>750</v>
      </c>
      <c r="P120" s="467">
        <f>O120/O12</f>
        <v>7.0606363247035402E-4</v>
      </c>
      <c r="Q120" s="452">
        <v>750</v>
      </c>
      <c r="R120" s="467">
        <f>Q120/Q12</f>
        <v>5.6860870947964242E-4</v>
      </c>
      <c r="S120" s="452">
        <v>750</v>
      </c>
      <c r="T120" s="467">
        <f>S120/S12</f>
        <v>5.6444352581469666E-4</v>
      </c>
      <c r="U120" s="452">
        <v>750</v>
      </c>
      <c r="V120" s="467">
        <f>U120/U12</f>
        <v>7.1159717453033117E-4</v>
      </c>
      <c r="W120" s="452">
        <v>750</v>
      </c>
      <c r="X120" s="467">
        <f>W120/W12</f>
        <v>6.9939859345625219E-4</v>
      </c>
      <c r="Y120" s="452">
        <v>750</v>
      </c>
      <c r="Z120" s="467">
        <f>Y120/Y12</f>
        <v>4.6297444909037963E-4</v>
      </c>
      <c r="AA120" s="464">
        <f t="shared" si="81"/>
        <v>9000</v>
      </c>
      <c r="AB120" s="467">
        <f>AA120/AA12</f>
        <v>5.9623787485930913E-4</v>
      </c>
      <c r="AC120" s="472">
        <f t="shared" si="83"/>
        <v>750</v>
      </c>
      <c r="AD120" s="467">
        <f>AC120/AC12</f>
        <v>5.9623787485930913E-4</v>
      </c>
      <c r="AE120" s="817" t="s">
        <v>230</v>
      </c>
      <c r="AF120" s="817"/>
      <c r="AG120" s="817"/>
    </row>
    <row r="121" spans="1:33" s="109" customFormat="1">
      <c r="A121" s="497">
        <v>6407</v>
      </c>
      <c r="B121" s="497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464">
        <f t="shared" si="81"/>
        <v>0</v>
      </c>
      <c r="AB121" s="467">
        <f>AA121/AA12</f>
        <v>0</v>
      </c>
      <c r="AC121" s="472">
        <f t="shared" si="83"/>
        <v>0</v>
      </c>
      <c r="AD121" s="467">
        <f>AC121/AC12</f>
        <v>0</v>
      </c>
      <c r="AE121" s="817"/>
      <c r="AF121" s="817"/>
      <c r="AG121" s="817"/>
    </row>
    <row r="122" spans="1:33" s="109" customFormat="1">
      <c r="A122" s="497">
        <v>6408</v>
      </c>
      <c r="B122" s="497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464">
        <f t="shared" si="81"/>
        <v>0</v>
      </c>
      <c r="AB122" s="467">
        <f>AA122/AA12</f>
        <v>0</v>
      </c>
      <c r="AC122" s="472">
        <f t="shared" si="83"/>
        <v>0</v>
      </c>
      <c r="AD122" s="467">
        <f>AC122/AC12</f>
        <v>0</v>
      </c>
      <c r="AE122" s="817"/>
      <c r="AF122" s="817"/>
      <c r="AG122" s="817"/>
    </row>
    <row r="123" spans="1:33" s="109" customFormat="1">
      <c r="A123" s="497">
        <v>6410</v>
      </c>
      <c r="B123" s="497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464">
        <f t="shared" si="81"/>
        <v>0</v>
      </c>
      <c r="AB123" s="487"/>
      <c r="AC123" s="472">
        <f t="shared" si="83"/>
        <v>0</v>
      </c>
      <c r="AD123" s="487"/>
      <c r="AE123" s="817"/>
      <c r="AF123" s="817"/>
      <c r="AG123" s="817"/>
    </row>
    <row r="124" spans="1:33" s="109" customFormat="1">
      <c r="A124" s="497">
        <v>6411</v>
      </c>
      <c r="B124" s="497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464">
        <f t="shared" si="81"/>
        <v>0</v>
      </c>
      <c r="AB124" s="487"/>
      <c r="AC124" s="472">
        <f t="shared" si="83"/>
        <v>0</v>
      </c>
      <c r="AD124" s="487"/>
      <c r="AE124" s="817"/>
      <c r="AF124" s="817"/>
      <c r="AG124" s="817"/>
    </row>
    <row r="125" spans="1:33" s="109" customFormat="1">
      <c r="A125" s="497">
        <v>6412</v>
      </c>
      <c r="B125" s="497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464">
        <f t="shared" si="81"/>
        <v>0</v>
      </c>
      <c r="AB125" s="487">
        <f>AA125/AA12</f>
        <v>0</v>
      </c>
      <c r="AC125" s="472">
        <f t="shared" si="83"/>
        <v>0</v>
      </c>
      <c r="AD125" s="487">
        <f>AC125/AC12</f>
        <v>0</v>
      </c>
      <c r="AE125" s="817"/>
      <c r="AF125" s="817"/>
      <c r="AG125" s="817"/>
    </row>
    <row r="126" spans="1:33" s="109" customFormat="1">
      <c r="A126" s="497">
        <v>6413</v>
      </c>
      <c r="B126" s="497" t="s">
        <v>41</v>
      </c>
      <c r="C126" s="452">
        <f>C12*1%</f>
        <v>11352.91</v>
      </c>
      <c r="D126" s="467">
        <f>C126/C12</f>
        <v>0.01</v>
      </c>
      <c r="E126" s="452">
        <f>E12*1%</f>
        <v>8832.583871723511</v>
      </c>
      <c r="F126" s="467">
        <f>E126/E12</f>
        <v>0.01</v>
      </c>
      <c r="G126" s="452">
        <f>G12*1%</f>
        <v>14651.29</v>
      </c>
      <c r="H126" s="467">
        <f>G126/G12</f>
        <v>0.01</v>
      </c>
      <c r="I126" s="452">
        <f>I12*1%</f>
        <v>12937.007030110201</v>
      </c>
      <c r="J126" s="467">
        <f>I126/I12</f>
        <v>0.01</v>
      </c>
      <c r="K126" s="452">
        <f>K12*1%</f>
        <v>11832.210833265901</v>
      </c>
      <c r="L126" s="467">
        <f>K126/K12</f>
        <v>0.01</v>
      </c>
      <c r="M126" s="452">
        <f>M12*1%</f>
        <v>16777.911141997498</v>
      </c>
      <c r="N126" s="467">
        <f>M126/M12</f>
        <v>0.01</v>
      </c>
      <c r="O126" s="452">
        <f>O12*1%</f>
        <v>10622.2720659882</v>
      </c>
      <c r="P126" s="467">
        <f>O126/O12</f>
        <v>0.01</v>
      </c>
      <c r="Q126" s="452">
        <f>Q12*1%</f>
        <v>13190.089907106001</v>
      </c>
      <c r="R126" s="467">
        <f>Q126/Q12</f>
        <v>0.01</v>
      </c>
      <c r="S126" s="452">
        <f>S12*1%</f>
        <v>13287.423200000001</v>
      </c>
      <c r="T126" s="467">
        <f>S126/S12</f>
        <v>0.01</v>
      </c>
      <c r="U126" s="452">
        <f>U12*1%</f>
        <v>10539.6708537385</v>
      </c>
      <c r="V126" s="467">
        <f>U126/U12</f>
        <v>0.01</v>
      </c>
      <c r="W126" s="452">
        <f>W12*1%</f>
        <v>10723.4988319563</v>
      </c>
      <c r="X126" s="467">
        <f>W126/W12</f>
        <v>0.01</v>
      </c>
      <c r="Y126" s="452">
        <f>Y12*1%</f>
        <v>16199.598087400902</v>
      </c>
      <c r="Z126" s="467">
        <f>Y126/Y12</f>
        <v>0.01</v>
      </c>
      <c r="AA126" s="464">
        <f t="shared" si="81"/>
        <v>150946.46582328703</v>
      </c>
      <c r="AB126" s="467">
        <f>AA126/AA12</f>
        <v>0.01</v>
      </c>
      <c r="AC126" s="472">
        <f t="shared" si="83"/>
        <v>12578.872151940586</v>
      </c>
      <c r="AD126" s="467">
        <f>AC126/AC12</f>
        <v>0.01</v>
      </c>
      <c r="AE126" s="817" t="s">
        <v>290</v>
      </c>
      <c r="AF126" s="817"/>
      <c r="AG126" s="817"/>
    </row>
    <row r="127" spans="1:33" s="109" customFormat="1">
      <c r="A127" s="497">
        <v>6414</v>
      </c>
      <c r="B127" s="497" t="s">
        <v>43</v>
      </c>
      <c r="C127" s="486">
        <v>250</v>
      </c>
      <c r="D127" s="467">
        <f>C127/C12</f>
        <v>2.202078586018915E-4</v>
      </c>
      <c r="E127" s="486">
        <v>250</v>
      </c>
      <c r="F127" s="467">
        <f>E127/E12</f>
        <v>2.8304288261597597E-4</v>
      </c>
      <c r="G127" s="486">
        <v>250</v>
      </c>
      <c r="H127" s="467">
        <f>G127/G12</f>
        <v>1.7063343910331445E-4</v>
      </c>
      <c r="I127" s="486">
        <v>250</v>
      </c>
      <c r="J127" s="467">
        <f>I127/I12</f>
        <v>1.9324407833909204E-4</v>
      </c>
      <c r="K127" s="486">
        <v>250</v>
      </c>
      <c r="L127" s="467">
        <f>K127/K12</f>
        <v>2.1128764820276243E-4</v>
      </c>
      <c r="M127" s="486">
        <v>250</v>
      </c>
      <c r="N127" s="467">
        <f>M127/M12</f>
        <v>1.4900543809307371E-4</v>
      </c>
      <c r="O127" s="486">
        <v>250</v>
      </c>
      <c r="P127" s="467">
        <f>O127/O12</f>
        <v>2.3535454415678467E-4</v>
      </c>
      <c r="Q127" s="486">
        <v>250</v>
      </c>
      <c r="R127" s="467">
        <f>Q127/Q12</f>
        <v>1.8953623649321414E-4</v>
      </c>
      <c r="S127" s="486">
        <v>250</v>
      </c>
      <c r="T127" s="467">
        <f>S127/S12</f>
        <v>1.8814784193823224E-4</v>
      </c>
      <c r="U127" s="486">
        <v>250</v>
      </c>
      <c r="V127" s="467">
        <f>U127/U12</f>
        <v>2.3719905817677704E-4</v>
      </c>
      <c r="W127" s="486">
        <v>250</v>
      </c>
      <c r="X127" s="467">
        <f>W127/W12</f>
        <v>2.331328644854174E-4</v>
      </c>
      <c r="Y127" s="486">
        <v>250</v>
      </c>
      <c r="Z127" s="467">
        <f>Y127/Y12</f>
        <v>1.5432481636345989E-4</v>
      </c>
      <c r="AA127" s="464">
        <f t="shared" si="81"/>
        <v>3000</v>
      </c>
      <c r="AB127" s="467">
        <f>AA127/AA12</f>
        <v>1.9874595828643638E-4</v>
      </c>
      <c r="AC127" s="472">
        <f t="shared" si="83"/>
        <v>250</v>
      </c>
      <c r="AD127" s="467">
        <f>AC127/AC12</f>
        <v>1.9874595828643638E-4</v>
      </c>
      <c r="AE127" s="822" t="s">
        <v>284</v>
      </c>
      <c r="AF127" s="817"/>
      <c r="AG127" s="817"/>
    </row>
    <row r="128" spans="1:33" s="109" customFormat="1">
      <c r="A128" s="494">
        <v>6415</v>
      </c>
      <c r="B128" s="494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464">
        <f t="shared" si="81"/>
        <v>0</v>
      </c>
      <c r="AB128" s="467">
        <f>AA128/AA12</f>
        <v>0</v>
      </c>
      <c r="AC128" s="472">
        <f t="shared" si="83"/>
        <v>0</v>
      </c>
      <c r="AD128" s="467">
        <f>AC128/AC12</f>
        <v>0</v>
      </c>
      <c r="AE128" s="817"/>
      <c r="AF128" s="817"/>
      <c r="AG128" s="817"/>
    </row>
    <row r="129" spans="1:35" s="109" customFormat="1">
      <c r="A129" s="495">
        <v>6499</v>
      </c>
      <c r="B129" s="495" t="s">
        <v>114</v>
      </c>
      <c r="C129" s="469">
        <f>SUM(C116:C128)</f>
        <v>14852.91</v>
      </c>
      <c r="D129" s="470">
        <f>C129/C12</f>
        <v>1.3082910020426481E-2</v>
      </c>
      <c r="E129" s="469">
        <f>SUM(E116:E128)</f>
        <v>12332.583871723511</v>
      </c>
      <c r="F129" s="470">
        <f>E129/E12</f>
        <v>1.3962600356623665E-2</v>
      </c>
      <c r="G129" s="469">
        <f>SUM(G116:G128)</f>
        <v>18151.29</v>
      </c>
      <c r="H129" s="470">
        <f>G129/G12</f>
        <v>1.2388868147446403E-2</v>
      </c>
      <c r="I129" s="469">
        <f>SUM(I116:I128)</f>
        <v>16437.007030110202</v>
      </c>
      <c r="J129" s="470">
        <f>I129/I12</f>
        <v>1.2705417096747289E-2</v>
      </c>
      <c r="K129" s="473">
        <f>SUM(K116:K128)</f>
        <v>15332.210833265901</v>
      </c>
      <c r="L129" s="470">
        <f>K129/K12</f>
        <v>1.2958027074838674E-2</v>
      </c>
      <c r="M129" s="473">
        <f>SUM(M116:M128)</f>
        <v>20277.911141997498</v>
      </c>
      <c r="N129" s="470">
        <f>M129/M12</f>
        <v>1.2086076133303031E-2</v>
      </c>
      <c r="O129" s="473">
        <f>SUM(O116:O128)</f>
        <v>14122.2720659882</v>
      </c>
      <c r="P129" s="470">
        <f>O129/O12</f>
        <v>1.3294963618194986E-2</v>
      </c>
      <c r="Q129" s="473">
        <f>SUM(Q116:Q128)</f>
        <v>16690.089907106001</v>
      </c>
      <c r="R129" s="470">
        <f>Q129/Q12</f>
        <v>1.2653507310904999E-2</v>
      </c>
      <c r="S129" s="473">
        <f>SUM(S116:S128)</f>
        <v>16787.423200000001</v>
      </c>
      <c r="T129" s="470">
        <f>S129/S12</f>
        <v>1.2634069787135252E-2</v>
      </c>
      <c r="U129" s="469">
        <f>SUM(U116:U128)</f>
        <v>14039.6708537385</v>
      </c>
      <c r="V129" s="470">
        <f>U129/U12</f>
        <v>1.3320786814474878E-2</v>
      </c>
      <c r="W129" s="469">
        <f>SUM(W116:W128)</f>
        <v>14223.4988319563</v>
      </c>
      <c r="X129" s="470">
        <f>W129/W12</f>
        <v>1.3263860102795844E-2</v>
      </c>
      <c r="Y129" s="469">
        <f>SUM(Y116:Y128)</f>
        <v>19699.598087400904</v>
      </c>
      <c r="Z129" s="470">
        <f>Y129/Y12</f>
        <v>1.2160547429088439E-2</v>
      </c>
      <c r="AA129" s="471">
        <f>SUM(AA116:AA128)</f>
        <v>192946.46582328703</v>
      </c>
      <c r="AB129" s="470">
        <f>AA129/AA12</f>
        <v>1.2782443416010109E-2</v>
      </c>
      <c r="AC129" s="471">
        <f>SUM(AC116:AC128)</f>
        <v>16078.872151940586</v>
      </c>
      <c r="AD129" s="470">
        <f>AC129/AC12</f>
        <v>1.2782443416010109E-2</v>
      </c>
      <c r="AE129" s="818"/>
      <c r="AF129" s="818"/>
      <c r="AG129" s="818"/>
    </row>
    <row r="130" spans="1:35" s="109" customFormat="1">
      <c r="A130" s="499"/>
      <c r="B130" s="499"/>
      <c r="C130" s="461"/>
      <c r="D130" s="500"/>
      <c r="E130" s="461"/>
      <c r="F130" s="500"/>
      <c r="G130" s="461"/>
      <c r="H130" s="500"/>
      <c r="I130" s="461"/>
      <c r="J130" s="500"/>
      <c r="K130" s="452"/>
      <c r="L130" s="500"/>
      <c r="M130" s="452"/>
      <c r="N130" s="500"/>
      <c r="O130" s="452"/>
      <c r="P130" s="500"/>
      <c r="Q130" s="452"/>
      <c r="R130" s="500"/>
      <c r="S130" s="452"/>
      <c r="T130" s="500"/>
      <c r="U130" s="461"/>
      <c r="V130" s="500"/>
      <c r="W130" s="461"/>
      <c r="X130" s="500"/>
      <c r="Y130" s="461"/>
      <c r="Z130" s="500"/>
      <c r="AA130" s="471"/>
      <c r="AB130" s="500"/>
      <c r="AC130" s="471"/>
      <c r="AD130" s="500"/>
      <c r="AE130" s="817"/>
      <c r="AF130" s="817"/>
      <c r="AG130" s="817"/>
    </row>
    <row r="131" spans="1:35" s="109" customFormat="1">
      <c r="A131" s="495"/>
      <c r="B131" s="495" t="s">
        <v>133</v>
      </c>
      <c r="C131" s="501">
        <f>C37-C41-C76-C93-C115-C129</f>
        <v>96589.97155609497</v>
      </c>
      <c r="D131" s="502">
        <f>C131/C12</f>
        <v>8.5079483195141137E-2</v>
      </c>
      <c r="E131" s="501">
        <f>E37-E41-E76-E93-E115-E129</f>
        <v>32028.388569377734</v>
      </c>
      <c r="F131" s="502">
        <f>E131/E12</f>
        <v>3.6261629704884994E-2</v>
      </c>
      <c r="G131" s="501">
        <f>G37-G41-G76-G93-G115-G129</f>
        <v>280931.63813783618</v>
      </c>
      <c r="H131" s="502">
        <f>G131/G12</f>
        <v>0.19174532627354737</v>
      </c>
      <c r="I131" s="501">
        <f>I37-I41-I76-I93-I115-I129</f>
        <v>237339.18009335783</v>
      </c>
      <c r="J131" s="502">
        <f>I131/I12</f>
        <v>0.18345756444358685</v>
      </c>
      <c r="K131" s="503">
        <f>K37-K41-K76-K93-K115-K129</f>
        <v>228713.55807998692</v>
      </c>
      <c r="L131" s="502">
        <f>K131/K12</f>
        <v>0.1932973991952254</v>
      </c>
      <c r="M131" s="503">
        <f>M37-M41-M76-M93-M115-M129</f>
        <v>356990.49906392919</v>
      </c>
      <c r="N131" s="502">
        <f>M131/M12</f>
        <v>0.21277410283234316</v>
      </c>
      <c r="O131" s="503">
        <f>O37-O41-O76-O93-O115-O129</f>
        <v>144060.25026760789</v>
      </c>
      <c r="P131" s="502">
        <f>O131/O12</f>
        <v>0.13562093813138068</v>
      </c>
      <c r="Q131" s="503">
        <f>Q37-Q41-Q76-Q93-Q115-Q129</f>
        <v>252197.90145289828</v>
      </c>
      <c r="R131" s="502">
        <f>Q131/Q12</f>
        <v>0.19120256437147537</v>
      </c>
      <c r="S131" s="503">
        <f>S37-S41-S76-S93-S115-S129</f>
        <v>196523.91488324871</v>
      </c>
      <c r="T131" s="502">
        <f>S131/S12</f>
        <v>0.14790220189814432</v>
      </c>
      <c r="U131" s="504">
        <f>U37-U41-U76-U93-U115-U129</f>
        <v>132930.93019490957</v>
      </c>
      <c r="V131" s="502">
        <f>U131/U12</f>
        <v>0.12612436577918176</v>
      </c>
      <c r="W131" s="504">
        <f>W37-W41-W76-W93-W115-W129</f>
        <v>26364.226578276415</v>
      </c>
      <c r="X131" s="502">
        <f>W131/W12</f>
        <v>2.4585470648544622E-2</v>
      </c>
      <c r="Y131" s="504">
        <f>Y37-Y41-Y76-Y93-Y115-Y129</f>
        <v>309578.93297342904</v>
      </c>
      <c r="Z131" s="502">
        <f>Y131/Y12</f>
        <v>0.19110284792448118</v>
      </c>
      <c r="AA131" s="505">
        <f>AA37-AA41-AA76-AA93-AA115-AA129</f>
        <v>2294249.3918509549</v>
      </c>
      <c r="AB131" s="502">
        <f>AA131/AA12</f>
        <v>0.15199093131049732</v>
      </c>
      <c r="AC131" s="506">
        <f>AC37-AC41-AC76-AC93-AC115-AC129</f>
        <v>191187.44932091289</v>
      </c>
      <c r="AD131" s="502">
        <f>AC131/AC12</f>
        <v>0.15199093131049729</v>
      </c>
      <c r="AE131" s="827"/>
      <c r="AF131" s="827"/>
      <c r="AG131" s="827"/>
    </row>
    <row r="132" spans="1:35" s="109" customFormat="1">
      <c r="A132" s="499"/>
      <c r="B132" s="499"/>
      <c r="C132" s="461"/>
      <c r="D132" s="500"/>
      <c r="E132" s="461"/>
      <c r="F132" s="500"/>
      <c r="G132" s="461"/>
      <c r="H132" s="500"/>
      <c r="I132" s="461"/>
      <c r="J132" s="500"/>
      <c r="K132" s="452"/>
      <c r="L132" s="500"/>
      <c r="M132" s="452"/>
      <c r="N132" s="500"/>
      <c r="O132" s="452"/>
      <c r="P132" s="500"/>
      <c r="Q132" s="452"/>
      <c r="R132" s="500"/>
      <c r="S132" s="452"/>
      <c r="T132" s="500"/>
      <c r="U132" s="461"/>
      <c r="V132" s="500"/>
      <c r="W132" s="461"/>
      <c r="X132" s="500"/>
      <c r="Y132" s="461"/>
      <c r="Z132" s="500"/>
      <c r="AA132" s="471"/>
      <c r="AB132" s="500"/>
      <c r="AC132" s="471"/>
      <c r="AD132" s="500"/>
      <c r="AE132" s="817"/>
      <c r="AF132" s="817"/>
      <c r="AG132" s="817"/>
    </row>
    <row r="133" spans="1:35" s="109" customFormat="1">
      <c r="A133" s="507"/>
      <c r="B133" s="495" t="s">
        <v>149</v>
      </c>
      <c r="C133" s="469"/>
      <c r="D133" s="508"/>
      <c r="E133" s="509"/>
      <c r="F133" s="508"/>
      <c r="G133" s="509"/>
      <c r="H133" s="508"/>
      <c r="I133" s="509"/>
      <c r="J133" s="508"/>
      <c r="K133" s="473"/>
      <c r="L133" s="508"/>
      <c r="M133" s="473"/>
      <c r="N133" s="508"/>
      <c r="O133" s="473"/>
      <c r="P133" s="508"/>
      <c r="Q133" s="473"/>
      <c r="R133" s="508"/>
      <c r="S133" s="473"/>
      <c r="T133" s="508"/>
      <c r="U133" s="473"/>
      <c r="V133" s="508"/>
      <c r="W133" s="473"/>
      <c r="X133" s="508"/>
      <c r="Y133" s="473"/>
      <c r="Z133" s="508"/>
      <c r="AA133" s="510">
        <f>C133+E133+G133+I133+K133+M133+O133+Q133+S133+U133+W133+Y133</f>
        <v>0</v>
      </c>
      <c r="AB133" s="508"/>
      <c r="AC133" s="511">
        <f>AA133/12</f>
        <v>0</v>
      </c>
      <c r="AD133" s="508"/>
      <c r="AE133" s="828"/>
      <c r="AF133" s="828"/>
      <c r="AG133" s="828"/>
    </row>
    <row r="134" spans="1:35" s="109" customFormat="1">
      <c r="A134" s="499"/>
      <c r="B134" s="499"/>
      <c r="C134" s="461"/>
      <c r="D134" s="500"/>
      <c r="E134" s="461"/>
      <c r="F134" s="500"/>
      <c r="G134" s="461"/>
      <c r="H134" s="500"/>
      <c r="I134" s="461"/>
      <c r="J134" s="500"/>
      <c r="K134" s="452"/>
      <c r="L134" s="500"/>
      <c r="M134" s="452"/>
      <c r="N134" s="500"/>
      <c r="O134" s="452"/>
      <c r="P134" s="500"/>
      <c r="Q134" s="452"/>
      <c r="R134" s="500"/>
      <c r="S134" s="452"/>
      <c r="T134" s="500"/>
      <c r="U134" s="461"/>
      <c r="V134" s="500"/>
      <c r="W134" s="461"/>
      <c r="X134" s="500"/>
      <c r="Y134" s="461"/>
      <c r="Z134" s="500"/>
      <c r="AA134" s="471"/>
      <c r="AB134" s="500"/>
      <c r="AC134" s="471"/>
      <c r="AD134" s="500"/>
      <c r="AE134" s="817"/>
      <c r="AF134" s="817"/>
      <c r="AG134" s="817"/>
    </row>
    <row r="135" spans="1:35" s="109" customFormat="1">
      <c r="A135" s="495"/>
      <c r="B135" s="495" t="s">
        <v>140</v>
      </c>
      <c r="C135" s="469">
        <f>C131-C133</f>
        <v>96589.97155609497</v>
      </c>
      <c r="D135" s="489">
        <f>C135/C12</f>
        <v>8.5079483195141137E-2</v>
      </c>
      <c r="E135" s="469">
        <f>E131-E133</f>
        <v>32028.388569377734</v>
      </c>
      <c r="F135" s="489">
        <f>E135/E12</f>
        <v>3.6261629704884994E-2</v>
      </c>
      <c r="G135" s="469">
        <f>G131-G133</f>
        <v>280931.63813783618</v>
      </c>
      <c r="H135" s="489">
        <f>G135/G12</f>
        <v>0.19174532627354737</v>
      </c>
      <c r="I135" s="469">
        <f>I131-I133</f>
        <v>237339.18009335783</v>
      </c>
      <c r="J135" s="489">
        <f>I135/I12</f>
        <v>0.18345756444358685</v>
      </c>
      <c r="K135" s="473">
        <f>K131-K133</f>
        <v>228713.55807998692</v>
      </c>
      <c r="L135" s="489">
        <f>K135/K12</f>
        <v>0.1932973991952254</v>
      </c>
      <c r="M135" s="473">
        <f>M131-M133</f>
        <v>356990.49906392919</v>
      </c>
      <c r="N135" s="489">
        <f>M135/M12</f>
        <v>0.21277410283234316</v>
      </c>
      <c r="O135" s="473">
        <f>O131-O133</f>
        <v>144060.25026760789</v>
      </c>
      <c r="P135" s="489">
        <f>O135/O12</f>
        <v>0.13562093813138068</v>
      </c>
      <c r="Q135" s="473">
        <f>Q131-Q133</f>
        <v>252197.90145289828</v>
      </c>
      <c r="R135" s="489">
        <f>Q135/Q12</f>
        <v>0.19120256437147537</v>
      </c>
      <c r="S135" s="473">
        <f>S131-S133</f>
        <v>196523.91488324871</v>
      </c>
      <c r="T135" s="489">
        <f>S135/S12</f>
        <v>0.14790220189814432</v>
      </c>
      <c r="U135" s="471">
        <f>U131-U133</f>
        <v>132930.93019490957</v>
      </c>
      <c r="V135" s="489">
        <f>U135/U12</f>
        <v>0.12612436577918176</v>
      </c>
      <c r="W135" s="471">
        <f>W131-W133</f>
        <v>26364.226578276415</v>
      </c>
      <c r="X135" s="489">
        <f>W135/W12</f>
        <v>2.4585470648544622E-2</v>
      </c>
      <c r="Y135" s="471">
        <f>Y131-Y133</f>
        <v>309578.93297342904</v>
      </c>
      <c r="Z135" s="489">
        <f>Y135/Y12</f>
        <v>0.19110284792448118</v>
      </c>
      <c r="AA135" s="471">
        <f>AA131-AA133</f>
        <v>2294249.3918509549</v>
      </c>
      <c r="AB135" s="489">
        <f>AA135/AA12</f>
        <v>0.15199093131049732</v>
      </c>
      <c r="AC135" s="471">
        <f>AC131-AC133</f>
        <v>191187.44932091289</v>
      </c>
      <c r="AD135" s="489">
        <f>AC135/AC12</f>
        <v>0.15199093131049729</v>
      </c>
      <c r="AE135" s="818"/>
      <c r="AF135" s="818"/>
      <c r="AG135" s="818"/>
    </row>
    <row r="136" spans="1:35" s="109" customFormat="1">
      <c r="A136" s="497">
        <v>6501</v>
      </c>
      <c r="B136" s="497" t="s">
        <v>148</v>
      </c>
      <c r="C136" s="461"/>
      <c r="D136" s="487">
        <f>C136/C12</f>
        <v>0</v>
      </c>
      <c r="E136" s="461"/>
      <c r="F136" s="487">
        <f>E136/E12</f>
        <v>0</v>
      </c>
      <c r="G136" s="461"/>
      <c r="H136" s="487">
        <f>G136/G12</f>
        <v>0</v>
      </c>
      <c r="I136" s="461"/>
      <c r="J136" s="487">
        <f>I136/I12</f>
        <v>0</v>
      </c>
      <c r="K136" s="452"/>
      <c r="L136" s="487">
        <f>K136/K12</f>
        <v>0</v>
      </c>
      <c r="M136" s="452"/>
      <c r="N136" s="487">
        <f>M136/M12</f>
        <v>0</v>
      </c>
      <c r="O136" s="452"/>
      <c r="P136" s="487">
        <f>O136/O12</f>
        <v>0</v>
      </c>
      <c r="Q136" s="452"/>
      <c r="R136" s="487">
        <f>Q136/Q12</f>
        <v>0</v>
      </c>
      <c r="S136" s="452"/>
      <c r="T136" s="487">
        <f>S136/S12</f>
        <v>0</v>
      </c>
      <c r="U136" s="461"/>
      <c r="V136" s="487">
        <f>U136/U12</f>
        <v>0</v>
      </c>
      <c r="W136" s="461"/>
      <c r="X136" s="487">
        <f>W136/W12</f>
        <v>0</v>
      </c>
      <c r="Y136" s="461"/>
      <c r="Z136" s="487">
        <f>Y136/Y12</f>
        <v>0</v>
      </c>
      <c r="AA136" s="464">
        <f t="shared" ref="AA136:AA143" si="84">C136+E136+G136+I136+K136+M136+O136+Q136+S136+U136+W136+Y136</f>
        <v>0</v>
      </c>
      <c r="AB136" s="487">
        <f>AA136/AA12</f>
        <v>0</v>
      </c>
      <c r="AC136" s="472">
        <f>AA136/12</f>
        <v>0</v>
      </c>
      <c r="AD136" s="487">
        <f>AC136/AC12</f>
        <v>0</v>
      </c>
      <c r="AE136" s="817"/>
      <c r="AF136" s="817"/>
      <c r="AG136" s="817"/>
    </row>
    <row r="137" spans="1:35" s="109" customFormat="1">
      <c r="A137" s="497">
        <v>6502</v>
      </c>
      <c r="B137" s="497" t="s">
        <v>136</v>
      </c>
      <c r="C137" s="110">
        <v>83019.070000000007</v>
      </c>
      <c r="D137" s="487">
        <f>C137/C12</f>
        <v>7.3125806511282129E-2</v>
      </c>
      <c r="E137" s="110">
        <v>83019.070000000007</v>
      </c>
      <c r="F137" s="487">
        <f>E137/E12</f>
        <v>9.399182753958997E-2</v>
      </c>
      <c r="G137" s="811">
        <v>80717.64</v>
      </c>
      <c r="H137" s="487">
        <f>G137/G12</f>
        <v>5.5092514038013032E-2</v>
      </c>
      <c r="I137" s="811">
        <v>80717.64</v>
      </c>
      <c r="J137" s="487">
        <f>I137/I12</f>
        <v>6.2392823790026516E-2</v>
      </c>
      <c r="K137" s="811">
        <v>80717.64</v>
      </c>
      <c r="L137" s="487">
        <f>K137/K12</f>
        <v>6.8218561296308905E-2</v>
      </c>
      <c r="M137" s="811">
        <v>80717.64</v>
      </c>
      <c r="N137" s="487">
        <f>M137/M12</f>
        <v>4.8109469240156043E-2</v>
      </c>
      <c r="O137" s="811">
        <v>80717.64</v>
      </c>
      <c r="P137" s="487">
        <f>O137/O12</f>
        <v>7.5989053470445794E-2</v>
      </c>
      <c r="Q137" s="811">
        <v>80717.64</v>
      </c>
      <c r="R137" s="487">
        <f>Q137/Q12</f>
        <v>6.1195670816856486E-2</v>
      </c>
      <c r="S137" s="811">
        <v>80717.64</v>
      </c>
      <c r="T137" s="487">
        <f>S137/S12</f>
        <v>6.0747399089388525E-2</v>
      </c>
      <c r="U137" s="811">
        <v>80717.64</v>
      </c>
      <c r="V137" s="487">
        <f>U137/U12</f>
        <v>7.6584592745008576E-2</v>
      </c>
      <c r="W137" s="811">
        <v>80717.64</v>
      </c>
      <c r="X137" s="487">
        <f>W137/W12</f>
        <v>7.5271738510810829E-2</v>
      </c>
      <c r="Y137" s="811">
        <v>80717.64</v>
      </c>
      <c r="Z137" s="487">
        <f>Y137/Y12</f>
        <v>4.9826939881167452E-2</v>
      </c>
      <c r="AA137" s="464">
        <f t="shared" si="84"/>
        <v>973214.54000000015</v>
      </c>
      <c r="AB137" s="487">
        <f>AA137/AA12</f>
        <v>6.4474152123531137E-2</v>
      </c>
      <c r="AC137" s="472">
        <f t="shared" ref="AC137:AC143" si="85">AA137/12</f>
        <v>81101.211666666684</v>
      </c>
      <c r="AD137" s="487">
        <f>AC137/AC12</f>
        <v>6.4474152123531137E-2</v>
      </c>
      <c r="AE137" s="817"/>
      <c r="AF137" s="817"/>
      <c r="AG137" s="817"/>
    </row>
    <row r="138" spans="1:35" s="109" customFormat="1">
      <c r="A138" s="497">
        <v>6503</v>
      </c>
      <c r="B138" s="497" t="s">
        <v>137</v>
      </c>
      <c r="C138" s="110"/>
      <c r="D138" s="487">
        <f>C138/C12</f>
        <v>0</v>
      </c>
      <c r="E138" s="110"/>
      <c r="F138" s="487">
        <f>E138/E12</f>
        <v>0</v>
      </c>
      <c r="G138" s="811"/>
      <c r="H138" s="487">
        <f>G138/G12</f>
        <v>0</v>
      </c>
      <c r="I138" s="811"/>
      <c r="J138" s="487">
        <f>I138/I12</f>
        <v>0</v>
      </c>
      <c r="K138" s="811"/>
      <c r="L138" s="487">
        <f>K138/K12</f>
        <v>0</v>
      </c>
      <c r="M138" s="811"/>
      <c r="N138" s="467">
        <f>M138/M12</f>
        <v>0</v>
      </c>
      <c r="O138" s="811"/>
      <c r="P138" s="487">
        <f>O138/O12</f>
        <v>0</v>
      </c>
      <c r="Q138" s="811"/>
      <c r="R138" s="487">
        <f>Q138/Q12</f>
        <v>0</v>
      </c>
      <c r="S138" s="811"/>
      <c r="T138" s="487">
        <f>S138/S12</f>
        <v>0</v>
      </c>
      <c r="U138" s="811"/>
      <c r="V138" s="487">
        <f>U138/U12</f>
        <v>0</v>
      </c>
      <c r="W138" s="811"/>
      <c r="X138" s="487">
        <f>W138/W12</f>
        <v>0</v>
      </c>
      <c r="Y138" s="811"/>
      <c r="Z138" s="487">
        <f>Y138/Y12</f>
        <v>0</v>
      </c>
      <c r="AA138" s="464">
        <f t="shared" si="84"/>
        <v>0</v>
      </c>
      <c r="AB138" s="512">
        <f>AA138/AA12</f>
        <v>0</v>
      </c>
      <c r="AC138" s="472">
        <f t="shared" si="85"/>
        <v>0</v>
      </c>
      <c r="AD138" s="512">
        <f>AC138/AC12</f>
        <v>0</v>
      </c>
      <c r="AE138" s="817"/>
      <c r="AF138" s="817"/>
      <c r="AG138" s="817"/>
      <c r="AI138" s="372" t="e">
        <f>#REF!+#REF!</f>
        <v>#REF!</v>
      </c>
    </row>
    <row r="139" spans="1:35" s="109" customFormat="1">
      <c r="A139" s="497">
        <v>6504</v>
      </c>
      <c r="B139" s="497" t="s">
        <v>138</v>
      </c>
      <c r="C139" s="513"/>
      <c r="D139" s="487">
        <f>C139/C12</f>
        <v>0</v>
      </c>
      <c r="E139" s="513"/>
      <c r="F139" s="487">
        <f>E139/E12</f>
        <v>0</v>
      </c>
      <c r="G139" s="513"/>
      <c r="H139" s="487">
        <f>G139/G12</f>
        <v>0</v>
      </c>
      <c r="I139" s="513"/>
      <c r="J139" s="487">
        <f>I139/I12</f>
        <v>0</v>
      </c>
      <c r="K139" s="110"/>
      <c r="L139" s="487">
        <f>K139/K12</f>
        <v>0</v>
      </c>
      <c r="M139" s="110"/>
      <c r="N139" s="487">
        <f>M139/M12</f>
        <v>0</v>
      </c>
      <c r="O139" s="110"/>
      <c r="P139" s="487">
        <f>O139/O12</f>
        <v>0</v>
      </c>
      <c r="Q139" s="110"/>
      <c r="R139" s="487">
        <f>Q139/Q12</f>
        <v>0</v>
      </c>
      <c r="S139" s="110"/>
      <c r="T139" s="487">
        <f>S139/S12</f>
        <v>0</v>
      </c>
      <c r="U139" s="513"/>
      <c r="V139" s="487">
        <f>U139/U12</f>
        <v>0</v>
      </c>
      <c r="W139" s="513"/>
      <c r="X139" s="487">
        <f>W139/W12</f>
        <v>0</v>
      </c>
      <c r="Y139" s="513"/>
      <c r="Z139" s="487">
        <f>Y139/Y12</f>
        <v>0</v>
      </c>
      <c r="AA139" s="464">
        <f t="shared" si="84"/>
        <v>0</v>
      </c>
      <c r="AB139" s="487">
        <f>AA139/AA12</f>
        <v>0</v>
      </c>
      <c r="AC139" s="472">
        <f t="shared" si="85"/>
        <v>0</v>
      </c>
      <c r="AD139" s="487">
        <f>AC139/AC12</f>
        <v>0</v>
      </c>
      <c r="AE139" s="817"/>
      <c r="AF139" s="817"/>
      <c r="AG139" s="817"/>
    </row>
    <row r="140" spans="1:35" s="109" customFormat="1">
      <c r="A140" s="497">
        <v>6505</v>
      </c>
      <c r="B140" s="497" t="s">
        <v>139</v>
      </c>
      <c r="C140" s="513"/>
      <c r="D140" s="487">
        <f>C140/C12</f>
        <v>0</v>
      </c>
      <c r="E140" s="513"/>
      <c r="F140" s="487">
        <f>E140/E12</f>
        <v>0</v>
      </c>
      <c r="G140" s="513"/>
      <c r="H140" s="487">
        <f>G140/G12</f>
        <v>0</v>
      </c>
      <c r="I140" s="513"/>
      <c r="J140" s="487">
        <f>I140/I12</f>
        <v>0</v>
      </c>
      <c r="K140" s="110"/>
      <c r="L140" s="487">
        <f>K140/K12</f>
        <v>0</v>
      </c>
      <c r="M140" s="110"/>
      <c r="N140" s="487">
        <f>M140/M12</f>
        <v>0</v>
      </c>
      <c r="O140" s="110"/>
      <c r="P140" s="487">
        <f>O140/O12</f>
        <v>0</v>
      </c>
      <c r="Q140" s="110"/>
      <c r="R140" s="487">
        <f>Q140/Q12</f>
        <v>0</v>
      </c>
      <c r="S140" s="110"/>
      <c r="T140" s="487">
        <f>S140/S12</f>
        <v>0</v>
      </c>
      <c r="U140" s="513"/>
      <c r="V140" s="487">
        <f>U140/U12</f>
        <v>0</v>
      </c>
      <c r="W140" s="513"/>
      <c r="X140" s="487">
        <f>W140/W12</f>
        <v>0</v>
      </c>
      <c r="Y140" s="513"/>
      <c r="Z140" s="487">
        <f>Y140/Y12</f>
        <v>0</v>
      </c>
      <c r="AA140" s="464">
        <f t="shared" si="84"/>
        <v>0</v>
      </c>
      <c r="AB140" s="487">
        <f>AA140/AA12</f>
        <v>0</v>
      </c>
      <c r="AC140" s="472">
        <f t="shared" si="85"/>
        <v>0</v>
      </c>
      <c r="AD140" s="487">
        <f>AC140/AC12</f>
        <v>0</v>
      </c>
      <c r="AE140" s="817"/>
      <c r="AF140" s="817"/>
      <c r="AG140" s="817"/>
    </row>
    <row r="141" spans="1:35" s="109" customFormat="1">
      <c r="A141" s="497">
        <v>6506</v>
      </c>
      <c r="B141" s="497" t="s">
        <v>229</v>
      </c>
      <c r="C141" s="110"/>
      <c r="D141" s="514">
        <f>C141/C12</f>
        <v>0</v>
      </c>
      <c r="E141" s="110">
        <v>0</v>
      </c>
      <c r="F141" s="514">
        <f>E141/E12</f>
        <v>0</v>
      </c>
      <c r="G141" s="110">
        <v>0</v>
      </c>
      <c r="H141" s="514">
        <f>G141/G12</f>
        <v>0</v>
      </c>
      <c r="I141" s="110">
        <v>0</v>
      </c>
      <c r="J141" s="514">
        <f>I141/I12</f>
        <v>0</v>
      </c>
      <c r="K141" s="110">
        <v>0</v>
      </c>
      <c r="L141" s="514">
        <f>K141/K12</f>
        <v>0</v>
      </c>
      <c r="M141" s="110">
        <v>0</v>
      </c>
      <c r="N141" s="514">
        <f>M141/M12</f>
        <v>0</v>
      </c>
      <c r="O141" s="110">
        <v>0</v>
      </c>
      <c r="P141" s="514">
        <f>O141/O12</f>
        <v>0</v>
      </c>
      <c r="Q141" s="110">
        <v>0</v>
      </c>
      <c r="R141" s="514">
        <f>Q141/Q12</f>
        <v>0</v>
      </c>
      <c r="S141" s="110">
        <v>0</v>
      </c>
      <c r="T141" s="514">
        <f>S141/S12</f>
        <v>0</v>
      </c>
      <c r="U141" s="110">
        <v>0</v>
      </c>
      <c r="V141" s="514">
        <f>U141/U12</f>
        <v>0</v>
      </c>
      <c r="W141" s="110">
        <v>0</v>
      </c>
      <c r="X141" s="514">
        <f>W141/W12</f>
        <v>0</v>
      </c>
      <c r="Y141" s="110">
        <v>0</v>
      </c>
      <c r="Z141" s="514">
        <f>Y141/Y12</f>
        <v>0</v>
      </c>
      <c r="AA141" s="464">
        <f t="shared" si="84"/>
        <v>0</v>
      </c>
      <c r="AB141" s="514">
        <f>AA141/AA12</f>
        <v>0</v>
      </c>
      <c r="AC141" s="472">
        <f t="shared" si="85"/>
        <v>0</v>
      </c>
      <c r="AD141" s="514">
        <f>AC141/AC12</f>
        <v>0</v>
      </c>
      <c r="AE141" s="829"/>
      <c r="AF141" s="829"/>
      <c r="AG141" s="829"/>
    </row>
    <row r="142" spans="1:35" s="109" customFormat="1">
      <c r="A142" s="497">
        <v>6604</v>
      </c>
      <c r="B142" s="497" t="s">
        <v>145</v>
      </c>
      <c r="C142" s="452">
        <v>67071</v>
      </c>
      <c r="D142" s="514">
        <f>C142/C12</f>
        <v>5.9078245137149855E-2</v>
      </c>
      <c r="E142" s="452">
        <v>67071</v>
      </c>
      <c r="F142" s="514">
        <f>E142/E12</f>
        <v>7.5935876719744499E-2</v>
      </c>
      <c r="G142" s="452">
        <v>67071</v>
      </c>
      <c r="H142" s="514">
        <f>G142/G12</f>
        <v>4.5778221576393614E-2</v>
      </c>
      <c r="I142" s="452">
        <v>67071</v>
      </c>
      <c r="J142" s="514">
        <f>I142/I12</f>
        <v>5.1844294313124969E-2</v>
      </c>
      <c r="K142" s="452">
        <v>67071</v>
      </c>
      <c r="L142" s="514">
        <f>K142/K12</f>
        <v>5.6685095410429917E-2</v>
      </c>
      <c r="M142" s="452">
        <v>67071</v>
      </c>
      <c r="N142" s="514">
        <f>M142/M12</f>
        <v>3.9975774953362186E-2</v>
      </c>
      <c r="O142" s="452">
        <v>67071</v>
      </c>
      <c r="P142" s="514">
        <f>O142/O12</f>
        <v>6.3141858524558822E-2</v>
      </c>
      <c r="Q142" s="452">
        <v>67071</v>
      </c>
      <c r="R142" s="514">
        <f>Q142/Q12</f>
        <v>5.0849539671345464E-2</v>
      </c>
      <c r="S142" s="452">
        <v>67071</v>
      </c>
      <c r="T142" s="514">
        <f>S142/S12</f>
        <v>5.0477055626556695E-2</v>
      </c>
      <c r="U142" s="452">
        <v>67071</v>
      </c>
      <c r="V142" s="514">
        <f>U142/U12</f>
        <v>6.3636712123898459E-2</v>
      </c>
      <c r="W142" s="452">
        <v>67071</v>
      </c>
      <c r="X142" s="514">
        <f>W142/W12</f>
        <v>6.254581741560572E-2</v>
      </c>
      <c r="Y142" s="452">
        <v>67071</v>
      </c>
      <c r="Z142" s="514">
        <f>Y142/Y12</f>
        <v>4.1402879033254472E-2</v>
      </c>
      <c r="AA142" s="464">
        <f t="shared" si="84"/>
        <v>804852</v>
      </c>
      <c r="AB142" s="514">
        <f>AA142/AA12</f>
        <v>5.3320360672918302E-2</v>
      </c>
      <c r="AC142" s="472">
        <f t="shared" si="85"/>
        <v>67071</v>
      </c>
      <c r="AD142" s="514">
        <f>AC142/AC12</f>
        <v>5.3320360672918302E-2</v>
      </c>
      <c r="AE142" s="829"/>
      <c r="AF142" s="829"/>
      <c r="AG142" s="829"/>
    </row>
    <row r="143" spans="1:35" s="109" customFormat="1">
      <c r="A143" s="494"/>
      <c r="B143" s="494"/>
      <c r="C143" s="461"/>
      <c r="D143" s="487">
        <f>C143/C12</f>
        <v>0</v>
      </c>
      <c r="E143" s="461"/>
      <c r="F143" s="487">
        <f>E143/E12</f>
        <v>0</v>
      </c>
      <c r="G143" s="461"/>
      <c r="H143" s="487">
        <f>G143/G12</f>
        <v>0</v>
      </c>
      <c r="I143" s="461"/>
      <c r="J143" s="487">
        <f>I143/I12</f>
        <v>0</v>
      </c>
      <c r="K143" s="452"/>
      <c r="L143" s="487">
        <f>K143/K12</f>
        <v>0</v>
      </c>
      <c r="M143" s="452"/>
      <c r="N143" s="487">
        <f>M143/M12</f>
        <v>0</v>
      </c>
      <c r="O143" s="452"/>
      <c r="P143" s="487">
        <f>O143/O12</f>
        <v>0</v>
      </c>
      <c r="Q143" s="452"/>
      <c r="R143" s="487">
        <f>Q143/Q12</f>
        <v>0</v>
      </c>
      <c r="S143" s="452"/>
      <c r="T143" s="487">
        <f>S143/S12</f>
        <v>0</v>
      </c>
      <c r="U143" s="461"/>
      <c r="V143" s="487">
        <f>U143/U12</f>
        <v>0</v>
      </c>
      <c r="W143" s="461"/>
      <c r="X143" s="487">
        <f>W143/W12</f>
        <v>0</v>
      </c>
      <c r="Y143" s="461"/>
      <c r="Z143" s="487">
        <f>Y143/Y12</f>
        <v>0</v>
      </c>
      <c r="AA143" s="464">
        <f t="shared" si="84"/>
        <v>0</v>
      </c>
      <c r="AB143" s="487">
        <f>AA143/AA12</f>
        <v>0</v>
      </c>
      <c r="AC143" s="472">
        <f t="shared" si="85"/>
        <v>0</v>
      </c>
      <c r="AD143" s="487">
        <f>AC143/AC12</f>
        <v>0</v>
      </c>
      <c r="AE143" s="817"/>
      <c r="AF143" s="817"/>
      <c r="AG143" s="817"/>
    </row>
    <row r="144" spans="1:35" s="109" customFormat="1" ht="15" customHeight="1">
      <c r="A144" s="495">
        <v>6798</v>
      </c>
      <c r="B144" s="495" t="s">
        <v>205</v>
      </c>
      <c r="C144" s="469">
        <f>SUM(C136:C143)</f>
        <v>150090.07</v>
      </c>
      <c r="D144" s="489">
        <f>C144/C12</f>
        <v>0.13220405164843199</v>
      </c>
      <c r="E144" s="469">
        <f>SUM(E136:E143)</f>
        <v>150090.07</v>
      </c>
      <c r="F144" s="489">
        <f>E144/E12</f>
        <v>0.16992770425933448</v>
      </c>
      <c r="G144" s="469">
        <f>SUM(G136:G143)</f>
        <v>147788.64000000001</v>
      </c>
      <c r="H144" s="489">
        <f>G144/G12</f>
        <v>0.10087073561440665</v>
      </c>
      <c r="I144" s="469">
        <f>SUM(I136:I143)</f>
        <v>147788.64000000001</v>
      </c>
      <c r="J144" s="489">
        <f>I144/I12</f>
        <v>0.11423711810315149</v>
      </c>
      <c r="K144" s="469">
        <f>SUM(K136:K143)</f>
        <v>147788.64000000001</v>
      </c>
      <c r="L144" s="489">
        <f>K144/K12</f>
        <v>0.12490365670673882</v>
      </c>
      <c r="M144" s="473">
        <f>SUM(M136:M143)</f>
        <v>147788.64000000001</v>
      </c>
      <c r="N144" s="489">
        <f>M144/M12</f>
        <v>8.8085244193518236E-2</v>
      </c>
      <c r="O144" s="469">
        <f>SUM(O136:O143)</f>
        <v>147788.64000000001</v>
      </c>
      <c r="P144" s="489">
        <f>O144/O12</f>
        <v>0.13913091199500463</v>
      </c>
      <c r="Q144" s="469">
        <f>SUM(Q136:Q143)</f>
        <v>147788.64000000001</v>
      </c>
      <c r="R144" s="489">
        <f>Q144/Q12</f>
        <v>0.11204521048820197</v>
      </c>
      <c r="S144" s="469">
        <f>SUM(S136:S143)</f>
        <v>147788.64000000001</v>
      </c>
      <c r="T144" s="489">
        <f t="shared" ref="T144" si="86">S144/S$12</f>
        <v>0.11122445471594523</v>
      </c>
      <c r="U144" s="469">
        <f>SUM(U136:U143)</f>
        <v>147788.64000000001</v>
      </c>
      <c r="V144" s="489">
        <f>U144/U12</f>
        <v>0.14022130486890705</v>
      </c>
      <c r="W144" s="469">
        <f>SUM(W136:W143)</f>
        <v>147788.64000000001</v>
      </c>
      <c r="X144" s="489">
        <f>W144/W12</f>
        <v>0.13781755592641656</v>
      </c>
      <c r="Y144" s="469">
        <f>SUM(Y136:Y143)</f>
        <v>147788.64000000001</v>
      </c>
      <c r="Z144" s="489">
        <f t="shared" ref="Z144" si="87">Y144/Y$12</f>
        <v>9.1229818914421931E-2</v>
      </c>
      <c r="AA144" s="490">
        <f>SUM(AA136:AA143)</f>
        <v>1778066.54</v>
      </c>
      <c r="AB144" s="515">
        <f t="shared" ref="AB144" si="88">AA144/AA$12</f>
        <v>0.11779451279644942</v>
      </c>
      <c r="AC144" s="491">
        <f>SUM(AC136:AC143)</f>
        <v>148172.21166666667</v>
      </c>
      <c r="AD144" s="516">
        <f t="shared" ref="AD144" si="89">AC144/AC$12</f>
        <v>0.11779451279644942</v>
      </c>
      <c r="AE144" s="830"/>
      <c r="AF144" s="830"/>
      <c r="AG144" s="830"/>
    </row>
    <row r="145" spans="1:35" s="109" customFormat="1">
      <c r="A145" s="495">
        <v>6799</v>
      </c>
      <c r="B145" s="495" t="s">
        <v>135</v>
      </c>
      <c r="C145" s="469">
        <f>C41+C76+C93+C115+C129+C144+C133</f>
        <v>593194.49804390501</v>
      </c>
      <c r="D145" s="470">
        <f>C145/C12</f>
        <v>0.52250436059468897</v>
      </c>
      <c r="E145" s="469">
        <f>E41+E76+E93+E115+E129+E144+E133</f>
        <v>600954.01921389834</v>
      </c>
      <c r="F145" s="470">
        <f>E145/E12</f>
        <v>0.68038303167183356</v>
      </c>
      <c r="G145" s="469">
        <f>G41+G76+G93+G115+G129+G144+G133</f>
        <v>594776.11486216378</v>
      </c>
      <c r="H145" s="470">
        <f>G145/G12</f>
        <v>0.40595477590175594</v>
      </c>
      <c r="I145" s="469">
        <f>I41+I76+I93+I115+I129+I144+I133</f>
        <v>602846.81629874243</v>
      </c>
      <c r="J145" s="470">
        <f>I145/I12</f>
        <v>0.46598630958122561</v>
      </c>
      <c r="K145" s="473">
        <f>K41+K76+K93+K115+K129+K144+K133</f>
        <v>611482.7040993988</v>
      </c>
      <c r="L145" s="470">
        <f>K145/K12</f>
        <v>0.51679496986331064</v>
      </c>
      <c r="M145" s="473">
        <f>M41+M76+M93+M115+M129+M144+M133</f>
        <v>584646.67528681259</v>
      </c>
      <c r="N145" s="470">
        <f>M145/M12</f>
        <v>0.34846213592308212</v>
      </c>
      <c r="O145" s="473">
        <f>O41+O76+O93+O115+O129+O144+O133</f>
        <v>584091.78085930727</v>
      </c>
      <c r="P145" s="470">
        <f>O145/O12</f>
        <v>0.54987461931946735</v>
      </c>
      <c r="Q145" s="473">
        <f>Q41+Q76+Q93+Q115+Q129+Q144+Q133</f>
        <v>611430.71960388659</v>
      </c>
      <c r="R145" s="470">
        <f>Q145/Q12</f>
        <v>0.46355310988023346</v>
      </c>
      <c r="S145" s="473">
        <f>S41+S76+S93+S115+S129+S144+S133</f>
        <v>598112.23495675134</v>
      </c>
      <c r="T145" s="470">
        <f>S145/S12</f>
        <v>0.45013410497586265</v>
      </c>
      <c r="U145" s="471">
        <f>U41+U76+U93+U115+U129+U144+U133</f>
        <v>605777.84799128294</v>
      </c>
      <c r="V145" s="470">
        <f>U145/U12</f>
        <v>0.57475974003154851</v>
      </c>
      <c r="W145" s="471">
        <f>W41+W76+W93+W115+W129+W144+W133</f>
        <v>703567.63498527033</v>
      </c>
      <c r="X145" s="470">
        <f>W145/W12</f>
        <v>0.65609895241338656</v>
      </c>
      <c r="Y145" s="471">
        <f>Y41+Y76+Y93+Y115+Y129+Y144+Y133</f>
        <v>595776.90555518516</v>
      </c>
      <c r="Z145" s="470">
        <f>Y145/Y12</f>
        <v>0.36777264617357736</v>
      </c>
      <c r="AA145" s="471">
        <f>AA41+AA76+AA93+AA115+AA129+AA144+AA133</f>
        <v>7286657.9517566049</v>
      </c>
      <c r="AB145" s="470">
        <f>AA145/AA12</f>
        <v>0.4827312724424494</v>
      </c>
      <c r="AC145" s="471">
        <f>AC41+AC76+AC93+AC115+AC129+AC144+AC133</f>
        <v>607221.495979717</v>
      </c>
      <c r="AD145" s="470">
        <f>AC145/AC12</f>
        <v>0.48273127244244934</v>
      </c>
      <c r="AE145" s="818"/>
      <c r="AF145" s="818"/>
      <c r="AG145" s="818"/>
      <c r="AI145" s="372" t="e">
        <f>#REF!-#REF!</f>
        <v>#REF!</v>
      </c>
    </row>
    <row r="146" spans="1:35" s="109" customFormat="1">
      <c r="A146" s="517">
        <v>6999</v>
      </c>
      <c r="B146" s="517" t="s">
        <v>144</v>
      </c>
      <c r="C146" s="475">
        <f>C135-C144</f>
        <v>-53500.098443905037</v>
      </c>
      <c r="D146" s="493">
        <f>C146/C12</f>
        <v>-4.7124568453290862E-2</v>
      </c>
      <c r="E146" s="475">
        <f>E135-E144</f>
        <v>-118061.68143062227</v>
      </c>
      <c r="F146" s="493">
        <f>E146/E12</f>
        <v>-0.13366607455444948</v>
      </c>
      <c r="G146" s="475">
        <f>G135-G144</f>
        <v>133142.99813783617</v>
      </c>
      <c r="H146" s="493">
        <f>G146/G12</f>
        <v>9.0874590659140705E-2</v>
      </c>
      <c r="I146" s="475">
        <f>I135-I144</f>
        <v>89550.54009335782</v>
      </c>
      <c r="J146" s="493">
        <f>I146/I12</f>
        <v>6.9220446340435365E-2</v>
      </c>
      <c r="K146" s="477">
        <f>K135-K144</f>
        <v>80924.918079986906</v>
      </c>
      <c r="L146" s="493">
        <f>K146/K12</f>
        <v>6.8393742488486564E-2</v>
      </c>
      <c r="M146" s="477">
        <f>M135-M144</f>
        <v>209201.85906392918</v>
      </c>
      <c r="N146" s="493">
        <f>M146/M12</f>
        <v>0.12468885863882492</v>
      </c>
      <c r="O146" s="477">
        <f>O135-O144</f>
        <v>-3728.3897323921265</v>
      </c>
      <c r="P146" s="493">
        <f>O146/O12</f>
        <v>-3.5099738636239415E-3</v>
      </c>
      <c r="Q146" s="518">
        <f>Q135-Q144</f>
        <v>104409.26145289827</v>
      </c>
      <c r="R146" s="493">
        <f>Q146/Q12</f>
        <v>7.9157353883273412E-2</v>
      </c>
      <c r="S146" s="477">
        <f>S135-S144</f>
        <v>48735.274883248698</v>
      </c>
      <c r="T146" s="493">
        <f>S146/S12</f>
        <v>3.66777471821991E-2</v>
      </c>
      <c r="U146" s="478">
        <f>U135-U144</f>
        <v>-14857.709805090446</v>
      </c>
      <c r="V146" s="493">
        <f>U146/U12</f>
        <v>-1.4096939089725277E-2</v>
      </c>
      <c r="W146" s="519">
        <f>W135-W144</f>
        <v>-121424.4134217236</v>
      </c>
      <c r="X146" s="493">
        <f>W146/W12</f>
        <v>-0.11323208527787194</v>
      </c>
      <c r="Y146" s="478">
        <f>Y135-Y144</f>
        <v>161790.29297342902</v>
      </c>
      <c r="Z146" s="493">
        <f>Y146/Y12</f>
        <v>9.9873029010059233E-2</v>
      </c>
      <c r="AA146" s="464">
        <f>AA135-AA144</f>
        <v>516182.85185095482</v>
      </c>
      <c r="AB146" s="493">
        <f>AA146/AA12</f>
        <v>3.419641851404788E-2</v>
      </c>
      <c r="AC146" s="491">
        <f>AC135-AC144</f>
        <v>43015.237654246215</v>
      </c>
      <c r="AD146" s="493">
        <f>AC146/AC12</f>
        <v>3.4196418514047866E-2</v>
      </c>
      <c r="AE146" s="821"/>
      <c r="AF146" s="821"/>
      <c r="AG146" s="821"/>
    </row>
    <row r="147" spans="1:35" s="109" customFormat="1">
      <c r="C147" s="513"/>
      <c r="D147" s="123"/>
      <c r="E147" s="513"/>
      <c r="F147" s="123"/>
      <c r="G147" s="513"/>
      <c r="H147" s="123"/>
      <c r="I147" s="513"/>
      <c r="J147" s="123"/>
      <c r="K147" s="110"/>
      <c r="L147" s="123"/>
      <c r="M147" s="110"/>
      <c r="N147" s="123"/>
      <c r="O147" s="110"/>
      <c r="P147" s="123"/>
      <c r="Q147" s="110"/>
      <c r="R147" s="123"/>
      <c r="S147" s="110"/>
      <c r="T147" s="123"/>
      <c r="U147" s="513"/>
      <c r="V147" s="123"/>
      <c r="W147" s="513"/>
      <c r="X147" s="123"/>
      <c r="Y147" s="513"/>
      <c r="Z147" s="123"/>
      <c r="AA147" s="471"/>
      <c r="AB147" s="123"/>
      <c r="AC147" s="491"/>
      <c r="AD147" s="123"/>
      <c r="AE147" s="831"/>
      <c r="AF147" s="831"/>
      <c r="AG147" s="831"/>
    </row>
    <row r="148" spans="1:35" s="109" customFormat="1">
      <c r="A148" s="520"/>
      <c r="B148" s="517" t="s">
        <v>233</v>
      </c>
      <c r="C148" s="521"/>
      <c r="D148" s="522">
        <f>C148/C12</f>
        <v>0</v>
      </c>
      <c r="E148" s="521"/>
      <c r="F148" s="522">
        <f>E148/E12</f>
        <v>0</v>
      </c>
      <c r="G148" s="521"/>
      <c r="H148" s="522">
        <f>G148/G12</f>
        <v>0</v>
      </c>
      <c r="I148" s="521"/>
      <c r="J148" s="522">
        <f>I148/I12</f>
        <v>0</v>
      </c>
      <c r="K148" s="521"/>
      <c r="L148" s="522">
        <f>K148/K12</f>
        <v>0</v>
      </c>
      <c r="M148" s="521"/>
      <c r="N148" s="522">
        <f>M148/M12</f>
        <v>0</v>
      </c>
      <c r="O148" s="521"/>
      <c r="P148" s="522">
        <f>O148/O12</f>
        <v>0</v>
      </c>
      <c r="Q148" s="521"/>
      <c r="R148" s="522">
        <f>Q148/Q12</f>
        <v>0</v>
      </c>
      <c r="S148" s="521"/>
      <c r="T148" s="522">
        <f>S148/S12</f>
        <v>0</v>
      </c>
      <c r="U148" s="521"/>
      <c r="V148" s="522">
        <f>U148/U12</f>
        <v>0</v>
      </c>
      <c r="W148" s="521"/>
      <c r="X148" s="522">
        <f>W148/W12</f>
        <v>0</v>
      </c>
      <c r="Y148" s="521"/>
      <c r="Z148" s="522">
        <f>Y148/Y12</f>
        <v>0</v>
      </c>
      <c r="AA148" s="523">
        <f>C148+E148+G148+I148+K148+M148+O148+Q148+S148+U148+W148+Y148</f>
        <v>0</v>
      </c>
      <c r="AB148" s="522">
        <f>AA148/AA12</f>
        <v>0</v>
      </c>
      <c r="AC148" s="524">
        <f t="shared" ref="AC148" si="90">AA148/12</f>
        <v>0</v>
      </c>
      <c r="AD148" s="522">
        <f>AC148/AC12</f>
        <v>0</v>
      </c>
      <c r="AE148" s="832"/>
      <c r="AF148" s="832"/>
      <c r="AG148" s="832"/>
    </row>
    <row r="149" spans="1:35" s="109" customFormat="1">
      <c r="B149" s="525"/>
      <c r="C149" s="513"/>
      <c r="D149" s="514"/>
      <c r="E149" s="513"/>
      <c r="F149" s="514"/>
      <c r="G149" s="513"/>
      <c r="H149" s="514"/>
      <c r="I149" s="513"/>
      <c r="J149" s="514"/>
      <c r="K149" s="110"/>
      <c r="L149" s="514"/>
      <c r="M149" s="110"/>
      <c r="N149" s="514"/>
      <c r="O149" s="110"/>
      <c r="P149" s="514"/>
      <c r="Q149" s="110"/>
      <c r="R149" s="514"/>
      <c r="S149" s="110"/>
      <c r="T149" s="514"/>
      <c r="U149" s="110"/>
      <c r="V149" s="514"/>
      <c r="W149" s="110"/>
      <c r="X149" s="514"/>
      <c r="Y149" s="110"/>
      <c r="Z149" s="514"/>
      <c r="AA149" s="454"/>
      <c r="AB149" s="514"/>
      <c r="AC149" s="456"/>
      <c r="AD149" s="514"/>
      <c r="AE149" s="829"/>
      <c r="AF149" s="829"/>
      <c r="AG149" s="829"/>
    </row>
    <row r="150" spans="1:35" s="109" customFormat="1" ht="15.75" customHeight="1" thickBot="1">
      <c r="A150" s="833"/>
      <c r="B150" s="834" t="s">
        <v>232</v>
      </c>
      <c r="C150" s="685">
        <f>C146*10%</f>
        <v>-5350.0098443905044</v>
      </c>
      <c r="D150" s="406"/>
      <c r="E150" s="685">
        <f>E146*10%</f>
        <v>-11806.168143062227</v>
      </c>
      <c r="F150" s="407"/>
      <c r="G150" s="685">
        <f>G146*10%</f>
        <v>13314.299813783618</v>
      </c>
      <c r="H150" s="407"/>
      <c r="I150" s="685">
        <f>I146*10%</f>
        <v>8955.0540093357831</v>
      </c>
      <c r="J150" s="407"/>
      <c r="K150" s="685">
        <f>K146*10%</f>
        <v>8092.491807998691</v>
      </c>
      <c r="L150" s="407"/>
      <c r="M150" s="685">
        <f>M146*10%</f>
        <v>20920.185906392919</v>
      </c>
      <c r="N150" s="407"/>
      <c r="O150" s="685">
        <f>O146*10%</f>
        <v>-372.83897323921269</v>
      </c>
      <c r="P150" s="407"/>
      <c r="Q150" s="685">
        <f>Q146*10%</f>
        <v>10440.926145289828</v>
      </c>
      <c r="R150" s="407"/>
      <c r="S150" s="685">
        <f>S146*10%</f>
        <v>4873.5274883248703</v>
      </c>
      <c r="T150" s="407"/>
      <c r="U150" s="685">
        <f>U146*10%</f>
        <v>-1485.7709805090446</v>
      </c>
      <c r="V150" s="407"/>
      <c r="W150" s="685">
        <f>W146*10%</f>
        <v>-12142.44134217236</v>
      </c>
      <c r="X150" s="407"/>
      <c r="Y150" s="685">
        <f>Y146*10%</f>
        <v>16179.029297342902</v>
      </c>
      <c r="Z150" s="407"/>
      <c r="AA150" s="836">
        <f>C150+E150+G150+I150+K150+M150+O150+Q150+S150+U150+W150+Y150</f>
        <v>51618.285185095272</v>
      </c>
      <c r="AB150" s="835"/>
      <c r="AC150" s="836">
        <f t="shared" ref="AC150" si="91">AA150/12</f>
        <v>4301.5237654246057</v>
      </c>
      <c r="AD150" s="835"/>
      <c r="AE150" s="837"/>
      <c r="AF150" s="453" t="s">
        <v>245</v>
      </c>
      <c r="AG150" s="453"/>
    </row>
    <row r="151" spans="1:35" s="109" customFormat="1" ht="15.75" thickTop="1">
      <c r="B151" s="525"/>
      <c r="C151" s="110"/>
      <c r="D151" s="514"/>
      <c r="E151" s="110"/>
      <c r="F151" s="514"/>
      <c r="G151" s="110"/>
      <c r="H151" s="514"/>
      <c r="I151" s="110"/>
      <c r="J151" s="514"/>
      <c r="K151" s="110"/>
      <c r="L151" s="514"/>
      <c r="M151" s="110"/>
      <c r="N151" s="514"/>
      <c r="O151" s="110"/>
      <c r="P151" s="514"/>
      <c r="Q151" s="110"/>
      <c r="R151" s="514"/>
      <c r="S151" s="110"/>
      <c r="T151" s="514"/>
      <c r="U151" s="110"/>
      <c r="V151" s="514"/>
      <c r="W151" s="110"/>
      <c r="X151" s="514"/>
      <c r="Y151" s="110"/>
      <c r="Z151" s="514"/>
      <c r="AA151" s="454"/>
      <c r="AB151" s="514"/>
      <c r="AC151" s="456"/>
      <c r="AD151" s="514"/>
      <c r="AE151" s="829"/>
      <c r="AF151" s="829"/>
      <c r="AG151" s="829"/>
    </row>
    <row r="152" spans="1:35" s="109" customFormat="1" ht="19.5" customHeight="1">
      <c r="A152" s="520"/>
      <c r="B152" s="526" t="s">
        <v>206</v>
      </c>
      <c r="C152" s="521">
        <f>C146-C148-C150</f>
        <v>-48150.088599514536</v>
      </c>
      <c r="D152" s="522">
        <f>C152/C12</f>
        <v>-4.241211160796178E-2</v>
      </c>
      <c r="E152" s="521">
        <f>E146-E148-E150</f>
        <v>-106255.51328756004</v>
      </c>
      <c r="F152" s="522">
        <f>E152/E12</f>
        <v>-0.12029946709900452</v>
      </c>
      <c r="G152" s="521">
        <f>G146-G148-G150</f>
        <v>119828.69832405256</v>
      </c>
      <c r="H152" s="522">
        <f>G152/G12</f>
        <v>8.1787131593226647E-2</v>
      </c>
      <c r="I152" s="521">
        <f>I146-I148-I150</f>
        <v>80595.486084022035</v>
      </c>
      <c r="J152" s="522">
        <f>I152/I12</f>
        <v>6.2298401706391823E-2</v>
      </c>
      <c r="K152" s="521">
        <f>K146-K148-K150</f>
        <v>72832.42627198821</v>
      </c>
      <c r="L152" s="522">
        <f>K152/K12</f>
        <v>6.1554368239637905E-2</v>
      </c>
      <c r="M152" s="521">
        <f>M146-M148-M150</f>
        <v>188281.67315753625</v>
      </c>
      <c r="N152" s="522">
        <f>M152/M12</f>
        <v>0.11221997277494243</v>
      </c>
      <c r="O152" s="521">
        <f>O146-O148-O150</f>
        <v>-3355.550759152914</v>
      </c>
      <c r="P152" s="522">
        <f>O152/O12</f>
        <v>-3.1589764772615471E-3</v>
      </c>
      <c r="Q152" s="521">
        <f>Q146-Q148-Q150</f>
        <v>93968.335307608446</v>
      </c>
      <c r="R152" s="522">
        <f>Q152/Q12</f>
        <v>7.1241618494946077E-2</v>
      </c>
      <c r="S152" s="521">
        <f>S146-S148-S150</f>
        <v>43861.747394923827</v>
      </c>
      <c r="T152" s="522">
        <f>S152/S12</f>
        <v>3.3009972463979187E-2</v>
      </c>
      <c r="U152" s="521">
        <f>U146-U148-U150</f>
        <v>-13371.938824581401</v>
      </c>
      <c r="V152" s="522">
        <f>U152/U12</f>
        <v>-1.2687245180752749E-2</v>
      </c>
      <c r="W152" s="521">
        <f>W146-W148-W150</f>
        <v>-109281.97207955124</v>
      </c>
      <c r="X152" s="522">
        <f>W152/W12</f>
        <v>-0.10190887675008475</v>
      </c>
      <c r="Y152" s="521">
        <f>Y146-Y148-Y150</f>
        <v>145611.26367608612</v>
      </c>
      <c r="Z152" s="522">
        <f>Y152/Y12</f>
        <v>8.9885726109053307E-2</v>
      </c>
      <c r="AA152" s="527">
        <f>AA146-AA148-AA150</f>
        <v>464564.56666585954</v>
      </c>
      <c r="AB152" s="522">
        <f>AA152/AA12</f>
        <v>3.0776776662643106E-2</v>
      </c>
      <c r="AC152" s="528">
        <f>AC146-AC148-AC150</f>
        <v>38713.713888821607</v>
      </c>
      <c r="AD152" s="522">
        <f>AC152/AC12</f>
        <v>3.0776776662643088E-2</v>
      </c>
      <c r="AE152" s="832"/>
      <c r="AF152" s="832"/>
      <c r="AG152" s="832"/>
    </row>
    <row r="153" spans="1:35" s="109" customFormat="1">
      <c r="C153" s="372"/>
      <c r="E153" s="372" t="s">
        <v>234</v>
      </c>
      <c r="G153" s="372"/>
      <c r="I153" s="372"/>
      <c r="K153" s="110"/>
      <c r="M153" s="110"/>
      <c r="O153" s="110"/>
      <c r="P153" s="529"/>
      <c r="Q153" s="110"/>
      <c r="R153" s="529"/>
      <c r="S153" s="110"/>
      <c r="T153" s="529"/>
      <c r="U153" s="372"/>
      <c r="V153" s="529"/>
      <c r="W153" s="372"/>
      <c r="X153" s="529"/>
      <c r="Y153" s="372"/>
      <c r="Z153" s="529"/>
      <c r="AA153" s="454"/>
      <c r="AB153" s="455"/>
      <c r="AC153" s="456"/>
      <c r="AD153" s="457"/>
      <c r="AE153" s="815"/>
      <c r="AF153" s="815"/>
      <c r="AG153" s="815"/>
    </row>
    <row r="154" spans="1:35" s="109" customFormat="1">
      <c r="B154" s="838" t="s">
        <v>214</v>
      </c>
      <c r="C154" s="372">
        <f>C152</f>
        <v>-48150.088599514536</v>
      </c>
      <c r="E154" s="372">
        <f>E152+C154</f>
        <v>-154405.60188707459</v>
      </c>
      <c r="F154" s="529"/>
      <c r="G154" s="372">
        <f>G152+E154</f>
        <v>-34576.903563022031</v>
      </c>
      <c r="H154" s="529"/>
      <c r="I154" s="372">
        <f>I152+G154</f>
        <v>46018.582521000004</v>
      </c>
      <c r="J154" s="529"/>
      <c r="K154" s="372">
        <f>K152+I154</f>
        <v>118851.00879298821</v>
      </c>
      <c r="L154" s="529"/>
      <c r="M154" s="110">
        <f>M152+K154</f>
        <v>307132.68195052445</v>
      </c>
      <c r="N154" s="529"/>
      <c r="O154" s="372">
        <f>O152+M154</f>
        <v>303777.13119137153</v>
      </c>
      <c r="P154" s="529"/>
      <c r="Q154" s="372">
        <f>Q152+O154</f>
        <v>397745.46649897995</v>
      </c>
      <c r="R154" s="529"/>
      <c r="S154" s="372">
        <f>S152+Q154</f>
        <v>441607.21389390377</v>
      </c>
      <c r="T154" s="529"/>
      <c r="U154" s="372">
        <f>U152+S154</f>
        <v>428235.27506932238</v>
      </c>
      <c r="V154" s="529"/>
      <c r="W154" s="372">
        <f>W152+U154</f>
        <v>318953.30298977112</v>
      </c>
      <c r="X154" s="529"/>
      <c r="Y154" s="372">
        <f>Y152+W154</f>
        <v>464564.56666585722</v>
      </c>
      <c r="Z154" s="529"/>
      <c r="AA154" s="454"/>
      <c r="AB154" s="455"/>
      <c r="AC154" s="456"/>
      <c r="AD154" s="457"/>
      <c r="AE154" s="815"/>
      <c r="AF154" s="815"/>
      <c r="AG154" s="815"/>
    </row>
    <row r="155" spans="1:35">
      <c r="I155" s="450">
        <f>I16*0.985</f>
        <v>1274295.1924658548</v>
      </c>
      <c r="AA155" s="450">
        <f>AA152/0.985</f>
        <v>471639.15397549194</v>
      </c>
    </row>
    <row r="156" spans="1:35">
      <c r="C156" s="450">
        <f>C152</f>
        <v>-48150.088599514536</v>
      </c>
      <c r="I156" s="452">
        <f>I36*0.985</f>
        <v>592283.79641963611</v>
      </c>
      <c r="K156" s="452">
        <f>K152</f>
        <v>72832.42627198821</v>
      </c>
      <c r="M156" s="452">
        <f>M152</f>
        <v>188281.67315753625</v>
      </c>
      <c r="O156" s="840">
        <f>O36*0.985</f>
        <v>474635.85823982628</v>
      </c>
      <c r="S156" s="452">
        <f>S152</f>
        <v>43861.747394923827</v>
      </c>
    </row>
    <row r="157" spans="1:35">
      <c r="C157" s="450">
        <f>C150</f>
        <v>-5350.0098443905044</v>
      </c>
      <c r="I157" s="452">
        <f>SUM(I145-I142)*0.985</f>
        <v>527739.1790542613</v>
      </c>
      <c r="K157" s="452">
        <f>K150+K90</f>
        <v>10012.491807998691</v>
      </c>
      <c r="M157" s="452">
        <f>M150+M87+M86+M85+M46</f>
        <v>39210.857183212043</v>
      </c>
      <c r="O157" s="450">
        <f>SUM(O145-O142+O150)*0.985</f>
        <v>508898.22275777702</v>
      </c>
      <c r="S157" s="452">
        <f>S87+S86+S85</f>
        <v>14263.972602739726</v>
      </c>
    </row>
    <row r="158" spans="1:35">
      <c r="C158" s="450">
        <f>C156+C157</f>
        <v>-53500.098443905037</v>
      </c>
      <c r="I158" s="452">
        <f>SUM(I152+I142)*0.985</f>
        <v>145451.48879276169</v>
      </c>
      <c r="K158" s="452">
        <f>K156+K157</f>
        <v>82844.918079986906</v>
      </c>
      <c r="M158" s="452">
        <f>M156+M157</f>
        <v>227492.53034074829</v>
      </c>
      <c r="O158" s="841">
        <f>SUM(O152+O142)*0.985</f>
        <v>62759.717502234373</v>
      </c>
      <c r="S158" s="452">
        <f>S156+S157</f>
        <v>58125.719997663553</v>
      </c>
    </row>
  </sheetData>
  <mergeCells count="1">
    <mergeCell ref="A1:AD1"/>
  </mergeCells>
  <conditionalFormatting sqref="W146 Q146">
    <cfRule type="cellIs" dxfId="6" priority="1" operator="lessThan">
      <formula>0</formula>
    </cfRule>
  </conditionalFormatting>
  <printOptions horizontalCentered="1" verticalCentered="1"/>
  <pageMargins left="0" right="0" top="0.75" bottom="0.75" header="0.3" footer="0.3"/>
  <pageSetup paperSize="8" scale="55" fitToWidth="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J158"/>
  <sheetViews>
    <sheetView zoomScale="85" zoomScaleNormal="85" workbookViewId="0">
      <pane xSplit="2" ySplit="3" topLeftCell="N113" activePane="bottomRight" state="frozen"/>
      <selection pane="topRight" activeCell="C1" sqref="C1"/>
      <selection pane="bottomLeft" activeCell="A4" sqref="A4"/>
      <selection pane="bottomRight" activeCell="Y142" sqref="Y142"/>
    </sheetView>
  </sheetViews>
  <sheetFormatPr defaultColWidth="9.140625" defaultRowHeight="15"/>
  <cols>
    <col min="1" max="1" width="6.42578125" style="213" bestFit="1" customWidth="1"/>
    <col min="2" max="2" width="38.42578125" style="213" bestFit="1" customWidth="1"/>
    <col min="3" max="3" width="15" style="269" customWidth="1"/>
    <col min="4" max="4" width="7.42578125" style="213" customWidth="1"/>
    <col min="5" max="5" width="15" style="269" bestFit="1" customWidth="1"/>
    <col min="6" max="6" width="7.85546875" style="213" bestFit="1" customWidth="1"/>
    <col min="7" max="7" width="15" style="269" bestFit="1" customWidth="1"/>
    <col min="8" max="8" width="7.85546875" style="213" bestFit="1" customWidth="1"/>
    <col min="9" max="9" width="15" style="269" bestFit="1" customWidth="1"/>
    <col min="10" max="10" width="7.5703125" style="213" customWidth="1"/>
    <col min="11" max="11" width="15" style="32" bestFit="1" customWidth="1"/>
    <col min="12" max="12" width="8.28515625" style="213" customWidth="1"/>
    <col min="13" max="13" width="14" style="32" bestFit="1" customWidth="1"/>
    <col min="14" max="14" width="8.140625" style="213" bestFit="1" customWidth="1"/>
    <col min="15" max="15" width="14" style="32" bestFit="1" customWidth="1"/>
    <col min="16" max="16" width="7.85546875" style="363" bestFit="1" customWidth="1"/>
    <col min="17" max="17" width="14" style="32" bestFit="1" customWidth="1"/>
    <col min="18" max="18" width="7.140625" style="363" bestFit="1" customWidth="1"/>
    <col min="19" max="19" width="14" style="32" bestFit="1" customWidth="1"/>
    <col min="20" max="20" width="7.5703125" style="363" customWidth="1"/>
    <col min="21" max="21" width="15" style="269" bestFit="1" customWidth="1"/>
    <col min="22" max="22" width="7.140625" style="363" bestFit="1" customWidth="1"/>
    <col min="23" max="23" width="15" style="269" bestFit="1" customWidth="1"/>
    <col min="24" max="24" width="7.140625" style="363" bestFit="1" customWidth="1"/>
    <col min="25" max="25" width="15" style="269" bestFit="1" customWidth="1"/>
    <col min="26" max="26" width="7.140625" style="363" bestFit="1" customWidth="1"/>
    <col min="27" max="27" width="11.5703125" style="213" bestFit="1" customWidth="1"/>
    <col min="28" max="28" width="7.140625" style="363" bestFit="1" customWidth="1"/>
    <col min="29" max="29" width="12.28515625" style="213" bestFit="1" customWidth="1"/>
    <col min="30" max="30" width="7.140625" style="363" bestFit="1" customWidth="1"/>
    <col min="31" max="31" width="23.28515625" style="213" customWidth="1"/>
    <col min="32" max="32" width="13.28515625" style="213" customWidth="1"/>
    <col min="33" max="33" width="57.42578125" style="213" customWidth="1"/>
    <col min="34" max="35" width="9.140625" style="213" customWidth="1"/>
    <col min="36" max="36" width="8.7109375" style="213" customWidth="1"/>
    <col min="37" max="61" width="9.140625" style="213" customWidth="1"/>
    <col min="62" max="62" width="11.7109375" style="213" bestFit="1" customWidth="1"/>
    <col min="63" max="16384" width="9.140625" style="213"/>
  </cols>
  <sheetData>
    <row r="1" spans="1:36" s="358" customFormat="1">
      <c r="A1" s="995" t="s">
        <v>368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189"/>
      <c r="AF1" s="190"/>
      <c r="AG1" s="190"/>
      <c r="AH1" s="190"/>
      <c r="AI1" s="190"/>
      <c r="AJ1" s="190"/>
    </row>
    <row r="2" spans="1:36" s="1" customFormat="1">
      <c r="A2" s="43"/>
      <c r="B2" s="988" t="s">
        <v>356</v>
      </c>
      <c r="C2" s="324" t="s">
        <v>64</v>
      </c>
      <c r="D2" s="325"/>
      <c r="E2" s="324" t="s">
        <v>65</v>
      </c>
      <c r="F2" s="325"/>
      <c r="G2" s="324" t="s">
        <v>81</v>
      </c>
      <c r="H2" s="325"/>
      <c r="I2" s="324" t="s">
        <v>82</v>
      </c>
      <c r="J2" s="325"/>
      <c r="K2" s="324" t="s">
        <v>83</v>
      </c>
      <c r="L2" s="325"/>
      <c r="M2" s="798" t="s">
        <v>84</v>
      </c>
      <c r="N2" s="729"/>
      <c r="O2" s="798" t="s">
        <v>85</v>
      </c>
      <c r="P2" s="325"/>
      <c r="Q2" s="324" t="s">
        <v>86</v>
      </c>
      <c r="R2" s="386"/>
      <c r="S2" s="807" t="s">
        <v>87</v>
      </c>
      <c r="T2" s="386"/>
      <c r="U2" s="324" t="s">
        <v>123</v>
      </c>
      <c r="V2" s="325"/>
      <c r="W2" s="324" t="s">
        <v>124</v>
      </c>
      <c r="X2" s="386"/>
      <c r="Y2" s="386" t="s">
        <v>125</v>
      </c>
      <c r="Z2" s="386"/>
      <c r="AA2" s="384" t="s">
        <v>120</v>
      </c>
      <c r="AB2" s="384"/>
      <c r="AC2" s="385" t="s">
        <v>121</v>
      </c>
      <c r="AD2" s="385"/>
    </row>
    <row r="3" spans="1:36" s="1" customFormat="1" ht="15.75" thickBot="1">
      <c r="A3" s="65"/>
      <c r="B3" s="42" t="s">
        <v>69</v>
      </c>
      <c r="C3" s="73" t="s">
        <v>115</v>
      </c>
      <c r="D3" s="67" t="s">
        <v>80</v>
      </c>
      <c r="E3" s="111" t="s">
        <v>115</v>
      </c>
      <c r="F3" s="67" t="s">
        <v>80</v>
      </c>
      <c r="G3" s="73" t="s">
        <v>115</v>
      </c>
      <c r="H3" s="67" t="s">
        <v>80</v>
      </c>
      <c r="I3" s="73" t="s">
        <v>115</v>
      </c>
      <c r="J3" s="67" t="s">
        <v>80</v>
      </c>
      <c r="K3" s="70" t="s">
        <v>115</v>
      </c>
      <c r="L3" s="67" t="s">
        <v>80</v>
      </c>
      <c r="M3" s="70" t="s">
        <v>115</v>
      </c>
      <c r="N3" s="67" t="s">
        <v>80</v>
      </c>
      <c r="O3" s="70" t="s">
        <v>115</v>
      </c>
      <c r="P3" s="99" t="s">
        <v>80</v>
      </c>
      <c r="Q3" s="70" t="s">
        <v>115</v>
      </c>
      <c r="R3" s="99" t="s">
        <v>80</v>
      </c>
      <c r="S3" s="70" t="s">
        <v>115</v>
      </c>
      <c r="T3" s="99" t="s">
        <v>80</v>
      </c>
      <c r="U3" s="73" t="s">
        <v>115</v>
      </c>
      <c r="V3" s="99" t="s">
        <v>80</v>
      </c>
      <c r="W3" s="73" t="s">
        <v>115</v>
      </c>
      <c r="X3" s="99" t="s">
        <v>80</v>
      </c>
      <c r="Y3" s="73" t="s">
        <v>115</v>
      </c>
      <c r="Z3" s="99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590" t="s">
        <v>183</v>
      </c>
      <c r="AF3" s="590" t="s">
        <v>181</v>
      </c>
      <c r="AG3" s="590" t="s">
        <v>225</v>
      </c>
    </row>
    <row r="4" spans="1:36" s="1" customFormat="1">
      <c r="A4" s="1" t="s">
        <v>234</v>
      </c>
      <c r="B4" s="20"/>
      <c r="C4" s="74"/>
      <c r="D4" s="17"/>
      <c r="E4" s="74" t="s">
        <v>234</v>
      </c>
      <c r="F4" s="17"/>
      <c r="G4" s="74" t="s">
        <v>234</v>
      </c>
      <c r="H4" s="17"/>
      <c r="I4" s="74" t="s">
        <v>234</v>
      </c>
      <c r="J4" s="17"/>
      <c r="K4" s="74" t="s">
        <v>234</v>
      </c>
      <c r="L4" s="17"/>
      <c r="M4" s="26" t="s">
        <v>234</v>
      </c>
      <c r="N4" s="17"/>
      <c r="O4" s="26" t="s">
        <v>234</v>
      </c>
      <c r="P4" s="91"/>
      <c r="Q4" s="74" t="s">
        <v>234</v>
      </c>
      <c r="R4" s="91"/>
      <c r="S4" s="74" t="s">
        <v>234</v>
      </c>
      <c r="T4" s="91"/>
      <c r="U4" s="74" t="s">
        <v>234</v>
      </c>
      <c r="V4" s="91"/>
      <c r="W4" s="74" t="s">
        <v>234</v>
      </c>
      <c r="X4" s="91"/>
      <c r="Y4" s="74" t="s">
        <v>234</v>
      </c>
      <c r="Z4" s="91"/>
      <c r="AA4" s="142"/>
      <c r="AB4" s="143"/>
      <c r="AC4" s="126"/>
      <c r="AD4" s="127"/>
      <c r="AE4" s="593"/>
      <c r="AF4" s="593"/>
      <c r="AG4" s="593"/>
    </row>
    <row r="5" spans="1:36" s="1" customFormat="1">
      <c r="A5" s="6">
        <v>5004</v>
      </c>
      <c r="B5" s="759" t="s">
        <v>71</v>
      </c>
      <c r="C5" s="926">
        <f>781289.101284186+C9</f>
        <v>1007862.9406565999</v>
      </c>
      <c r="D5" s="760"/>
      <c r="E5" s="927">
        <f>607844.064450005+E9</f>
        <v>711177.55540650582</v>
      </c>
      <c r="F5" s="702"/>
      <c r="G5" s="928">
        <f>1008278.11520475+G9</f>
        <v>1320844.3309182213</v>
      </c>
      <c r="H5" s="702"/>
      <c r="I5" s="929">
        <f>890303.794360237+I9</f>
        <v>1130685.8188375011</v>
      </c>
      <c r="J5" s="702"/>
      <c r="K5" s="930">
        <f>814273.515969264+K9</f>
        <v>960842.74884373136</v>
      </c>
      <c r="L5" s="760"/>
      <c r="M5" s="931">
        <f>1154628.57184766+M9</f>
        <v>1512563.4291204335</v>
      </c>
      <c r="N5" s="760"/>
      <c r="O5" s="932">
        <f>731007.496793138+O9</f>
        <v>950309.74583107932</v>
      </c>
      <c r="P5" s="760"/>
      <c r="Q5" s="933">
        <f>907720.546562087+Q9</f>
        <v>1161882.2995994713</v>
      </c>
      <c r="R5" s="760"/>
      <c r="S5" s="934">
        <f>914418.866808693+S9</f>
        <v>1124735.2061746924</v>
      </c>
      <c r="T5" s="760"/>
      <c r="U5" s="935">
        <f>725323.015636595+U9</f>
        <v>950173.15048393933</v>
      </c>
      <c r="V5" s="760"/>
      <c r="W5" s="936">
        <f>737973.758280238+W9</f>
        <v>863429.29718787852</v>
      </c>
      <c r="X5" s="760"/>
      <c r="Y5" s="937">
        <f>1114830.0074937+Y9</f>
        <v>1426982.409591937</v>
      </c>
      <c r="Z5" s="760"/>
      <c r="AA5" s="144">
        <f t="shared" ref="AA5" si="0">C5+E5+G5+I5+K5+M5+O5+Q5+S5+U5+W5+Y5</f>
        <v>13121488.932651989</v>
      </c>
      <c r="AB5" s="458">
        <v>0</v>
      </c>
      <c r="AC5" s="128">
        <f>AA5/12</f>
        <v>1093457.4110543325</v>
      </c>
      <c r="AD5" s="458">
        <v>0</v>
      </c>
      <c r="AE5" s="5"/>
      <c r="AF5" s="74"/>
      <c r="AG5" s="74"/>
    </row>
    <row r="6" spans="1:36" s="1" customFormat="1">
      <c r="A6" s="5">
        <v>5005</v>
      </c>
      <c r="B6" s="17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ref="AA6:AA11" si="1">C6+E6+G6+I6+K6+M6+O6+Q6+S6+U6+W6+Y6</f>
        <v>0</v>
      </c>
      <c r="AB6" s="22">
        <f>AA6/AA$5</f>
        <v>0</v>
      </c>
      <c r="AC6" s="128">
        <f t="shared" ref="AC6:AC69" si="2">AA6/12</f>
        <v>0</v>
      </c>
      <c r="AD6" s="22">
        <f>AC6/AC$5</f>
        <v>0</v>
      </c>
      <c r="AF6" s="84"/>
    </row>
    <row r="7" spans="1:36" s="1" customFormat="1">
      <c r="A7" s="14">
        <v>5051</v>
      </c>
      <c r="B7" s="241" t="s">
        <v>74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1"/>
        <v>0</v>
      </c>
      <c r="AB7" s="22">
        <f t="shared" ref="AB7:AB11" si="3">AA7/AA$5</f>
        <v>0</v>
      </c>
      <c r="AC7" s="128">
        <f t="shared" si="2"/>
        <v>0</v>
      </c>
      <c r="AD7" s="22">
        <f t="shared" ref="AD7:AD11" si="4">AC7/AC$5</f>
        <v>0</v>
      </c>
      <c r="AF7" s="84"/>
    </row>
    <row r="8" spans="1:36" s="1" customFormat="1">
      <c r="A8" s="1">
        <v>5052</v>
      </c>
      <c r="B8" s="1" t="s">
        <v>90</v>
      </c>
      <c r="C8" s="31"/>
      <c r="D8" s="702">
        <f t="shared" ref="D8:D11" si="5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6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7">Y8/Y$5</f>
        <v>0</v>
      </c>
      <c r="AA8" s="144">
        <f t="shared" si="1"/>
        <v>0</v>
      </c>
      <c r="AB8" s="22">
        <f t="shared" si="3"/>
        <v>0</v>
      </c>
      <c r="AC8" s="128">
        <f t="shared" si="2"/>
        <v>0</v>
      </c>
      <c r="AD8" s="22">
        <f t="shared" si="4"/>
        <v>0</v>
      </c>
      <c r="AF8" s="84"/>
    </row>
    <row r="9" spans="1:36" s="1" customFormat="1">
      <c r="A9" s="1">
        <v>5101</v>
      </c>
      <c r="B9" s="20" t="s">
        <v>46</v>
      </c>
      <c r="C9" s="1">
        <v>226573.83937241393</v>
      </c>
      <c r="D9" s="702">
        <v>0.22677937369465276</v>
      </c>
      <c r="E9" s="1">
        <v>103333.49095650091</v>
      </c>
      <c r="F9" s="702">
        <v>0.13293963285548616</v>
      </c>
      <c r="G9" s="1">
        <v>312566.21571347117</v>
      </c>
      <c r="H9" s="702">
        <v>0.24241933050118059</v>
      </c>
      <c r="I9" s="371">
        <v>240382.02447726409</v>
      </c>
      <c r="J9" s="702">
        <v>0.21113941688812499</v>
      </c>
      <c r="K9" s="371">
        <v>146569.23287446745</v>
      </c>
      <c r="L9" s="702">
        <v>0.14075961125875003</v>
      </c>
      <c r="M9" s="33">
        <v>357934.85727277352</v>
      </c>
      <c r="N9" s="702">
        <v>0.24241933050118056</v>
      </c>
      <c r="O9" s="371">
        <v>219302.24903794139</v>
      </c>
      <c r="P9" s="702">
        <v>0.23459935209791669</v>
      </c>
      <c r="Q9" s="371">
        <v>254161.75303738427</v>
      </c>
      <c r="R9" s="702">
        <v>0.21895939529138894</v>
      </c>
      <c r="S9" s="371">
        <v>210316.33936599936</v>
      </c>
      <c r="T9" s="22">
        <v>0.17985950327506953</v>
      </c>
      <c r="U9" s="1">
        <v>224850.13484734434</v>
      </c>
      <c r="V9" s="22">
        <v>0.24241933050118056</v>
      </c>
      <c r="W9" s="1">
        <v>125455.5389076405</v>
      </c>
      <c r="X9" s="22">
        <v>0.13293963285548616</v>
      </c>
      <c r="Y9" s="1">
        <v>312152.40209823719</v>
      </c>
      <c r="Z9" s="22">
        <v>0.21895939529138894</v>
      </c>
      <c r="AA9" s="144">
        <f t="shared" si="1"/>
        <v>2733598.0779614383</v>
      </c>
      <c r="AB9" s="677">
        <f t="shared" si="3"/>
        <v>0.20832986957440885</v>
      </c>
      <c r="AC9" s="128">
        <f t="shared" si="2"/>
        <v>227799.83983011986</v>
      </c>
      <c r="AD9" s="22">
        <f t="shared" si="4"/>
        <v>0.20832986957440885</v>
      </c>
      <c r="AF9" s="84"/>
    </row>
    <row r="10" spans="1:36" s="1" customFormat="1">
      <c r="A10" s="1">
        <v>5102</v>
      </c>
      <c r="B10" s="1" t="s">
        <v>220</v>
      </c>
      <c r="C10" s="31"/>
      <c r="D10" s="702">
        <f t="shared" si="5"/>
        <v>0</v>
      </c>
      <c r="E10" s="26"/>
      <c r="F10" s="702">
        <f t="shared" ref="F10:F11" si="8">E10/E$5</f>
        <v>0</v>
      </c>
      <c r="G10" s="26"/>
      <c r="H10" s="702">
        <f t="shared" ref="H10:H11" si="9">G10/G$5</f>
        <v>0</v>
      </c>
      <c r="I10" s="691"/>
      <c r="J10" s="702">
        <f t="shared" ref="J10:J11" si="10">I10/I$5</f>
        <v>0</v>
      </c>
      <c r="K10" s="26"/>
      <c r="L10" s="702">
        <f t="shared" si="6"/>
        <v>0</v>
      </c>
      <c r="M10" s="26"/>
      <c r="N10" s="702">
        <f t="shared" ref="N10:N11" si="11">M10/M$5</f>
        <v>0</v>
      </c>
      <c r="O10" s="26"/>
      <c r="P10" s="702">
        <f t="shared" ref="P10:P11" si="12">O10/O$5</f>
        <v>0</v>
      </c>
      <c r="Q10" s="26"/>
      <c r="R10" s="702">
        <f t="shared" ref="R10:R11" si="13">Q10/Q$5</f>
        <v>0</v>
      </c>
      <c r="S10" s="26"/>
      <c r="T10" s="702">
        <f t="shared" ref="T10:T11" si="14">S10/S$5</f>
        <v>0</v>
      </c>
      <c r="U10" s="26"/>
      <c r="V10" s="702">
        <f t="shared" ref="V10:V11" si="15">U10/U$5</f>
        <v>0</v>
      </c>
      <c r="W10" s="26"/>
      <c r="X10" s="702">
        <f t="shared" ref="X10:X11" si="16">W10/W$5</f>
        <v>0</v>
      </c>
      <c r="Y10" s="26"/>
      <c r="Z10" s="702">
        <f t="shared" si="7"/>
        <v>0</v>
      </c>
      <c r="AA10" s="144">
        <f t="shared" si="1"/>
        <v>0</v>
      </c>
      <c r="AB10" s="22">
        <f t="shared" si="3"/>
        <v>0</v>
      </c>
      <c r="AC10" s="128">
        <f t="shared" si="2"/>
        <v>0</v>
      </c>
      <c r="AD10" s="22">
        <f t="shared" si="4"/>
        <v>0</v>
      </c>
      <c r="AF10" s="84"/>
    </row>
    <row r="11" spans="1:36" s="1" customFormat="1">
      <c r="A11" s="1">
        <v>5103</v>
      </c>
      <c r="B11" s="1" t="s">
        <v>63</v>
      </c>
      <c r="C11" s="26"/>
      <c r="D11" s="702">
        <f t="shared" si="5"/>
        <v>0</v>
      </c>
      <c r="E11" s="27">
        <v>0</v>
      </c>
      <c r="F11" s="702">
        <f t="shared" si="8"/>
        <v>0</v>
      </c>
      <c r="G11" s="26"/>
      <c r="H11" s="702">
        <f t="shared" si="9"/>
        <v>0</v>
      </c>
      <c r="I11" s="26"/>
      <c r="J11" s="702">
        <f t="shared" si="10"/>
        <v>0</v>
      </c>
      <c r="K11" s="26"/>
      <c r="L11" s="702">
        <f t="shared" si="6"/>
        <v>0</v>
      </c>
      <c r="M11" s="26"/>
      <c r="N11" s="702">
        <f t="shared" si="11"/>
        <v>0</v>
      </c>
      <c r="O11" s="26"/>
      <c r="P11" s="702">
        <f t="shared" si="12"/>
        <v>0</v>
      </c>
      <c r="Q11" s="26"/>
      <c r="R11" s="702">
        <f t="shared" si="13"/>
        <v>0</v>
      </c>
      <c r="S11" s="26"/>
      <c r="T11" s="702">
        <f t="shared" si="14"/>
        <v>0</v>
      </c>
      <c r="U11" s="26"/>
      <c r="V11" s="702">
        <f t="shared" si="15"/>
        <v>0</v>
      </c>
      <c r="W11" s="26"/>
      <c r="X11" s="702">
        <f t="shared" si="16"/>
        <v>0</v>
      </c>
      <c r="Y11" s="26"/>
      <c r="Z11" s="702">
        <f t="shared" si="7"/>
        <v>0</v>
      </c>
      <c r="AA11" s="144">
        <f t="shared" si="1"/>
        <v>0</v>
      </c>
      <c r="AB11" s="22">
        <f t="shared" si="3"/>
        <v>0</v>
      </c>
      <c r="AC11" s="128">
        <f t="shared" si="2"/>
        <v>0</v>
      </c>
      <c r="AD11" s="22">
        <f t="shared" si="4"/>
        <v>0</v>
      </c>
      <c r="AF11" s="84"/>
    </row>
    <row r="12" spans="1:36" s="1" customFormat="1" ht="15.75" thickBot="1">
      <c r="A12" s="7">
        <v>5149</v>
      </c>
      <c r="B12" s="242" t="s">
        <v>66</v>
      </c>
      <c r="C12" s="116">
        <f>C5+C6-C7-C8-C9-C10+C11</f>
        <v>781289.10128418601</v>
      </c>
      <c r="D12" s="23">
        <v>1</v>
      </c>
      <c r="E12" s="116">
        <f>E5+E6-E7-E8-E9-E10+E11</f>
        <v>607844.06445000495</v>
      </c>
      <c r="F12" s="23">
        <v>1</v>
      </c>
      <c r="G12" s="76">
        <f>G5+G6-G7-G8-G9-G10+G11</f>
        <v>1008278.1152047501</v>
      </c>
      <c r="H12" s="23">
        <v>1</v>
      </c>
      <c r="I12" s="116">
        <f>I5+I6-I7-I8-I9-I10+I11</f>
        <v>890303.79436023696</v>
      </c>
      <c r="J12" s="23">
        <v>1</v>
      </c>
      <c r="K12" s="116">
        <f>K5+K6-K7-K8-K9-K10+K11</f>
        <v>814273.51596926386</v>
      </c>
      <c r="L12" s="23">
        <v>1</v>
      </c>
      <c r="M12" s="800">
        <f>M5+M6-M7-M8-M9-M10+M11</f>
        <v>1154628.57184766</v>
      </c>
      <c r="N12" s="23">
        <v>1</v>
      </c>
      <c r="O12" s="45">
        <f>O5+O6-O7-O8-O9-O10+O11</f>
        <v>731007.49679313786</v>
      </c>
      <c r="P12" s="23">
        <v>1</v>
      </c>
      <c r="Q12" s="116">
        <f>Q5+Q6-Q7-Q8-Q9-Q10+Q11</f>
        <v>907720.54656208702</v>
      </c>
      <c r="R12" s="23">
        <v>1</v>
      </c>
      <c r="S12" s="116">
        <f>S5+S6-S7-S8-S9-S10+S11</f>
        <v>914418.86680869304</v>
      </c>
      <c r="T12" s="23">
        <v>1</v>
      </c>
      <c r="U12" s="116">
        <f>U5+U6-U7-U8-U9-U10+U11</f>
        <v>725323.01563659497</v>
      </c>
      <c r="V12" s="23">
        <v>1</v>
      </c>
      <c r="W12" s="116">
        <f>W5+W6-W7-W8-W9-W10+W11</f>
        <v>737973.75828023802</v>
      </c>
      <c r="X12" s="23">
        <v>1</v>
      </c>
      <c r="Y12" s="116">
        <f>Y5+Y6-Y7-Y8-Y9-Y10+Y11</f>
        <v>1114830.0074936999</v>
      </c>
      <c r="Z12" s="23">
        <v>1</v>
      </c>
      <c r="AA12" s="52">
        <f>AA5+AA6-AA7-AA8-AA9-AA10+AA11</f>
        <v>10387890.854690552</v>
      </c>
      <c r="AB12" s="23">
        <v>1</v>
      </c>
      <c r="AC12" s="52">
        <f t="shared" si="2"/>
        <v>865657.57122421265</v>
      </c>
      <c r="AD12" s="23">
        <v>1</v>
      </c>
      <c r="AE12" s="320" t="s">
        <v>198</v>
      </c>
      <c r="AF12" s="321">
        <v>1577425</v>
      </c>
      <c r="AG12" s="320" t="s">
        <v>196</v>
      </c>
    </row>
    <row r="13" spans="1:36" s="1" customFormat="1" ht="15.75" thickTop="1">
      <c r="A13" s="1">
        <v>5151</v>
      </c>
      <c r="B13" s="20" t="s">
        <v>47</v>
      </c>
      <c r="C13" s="61"/>
      <c r="D13" s="18"/>
      <c r="E13" s="703"/>
      <c r="F13" s="18"/>
      <c r="G13" s="61"/>
      <c r="H13" s="18"/>
      <c r="I13" s="61"/>
      <c r="J13" s="18"/>
      <c r="K13" s="703"/>
      <c r="L13" s="18"/>
      <c r="M13" s="26"/>
      <c r="N13" s="18"/>
      <c r="O13" s="26"/>
      <c r="P13" s="18"/>
      <c r="Q13" s="26"/>
      <c r="R13" s="18"/>
      <c r="S13" s="26"/>
      <c r="T13" s="18"/>
      <c r="U13" s="61"/>
      <c r="V13" s="18"/>
      <c r="W13" s="61"/>
      <c r="X13" s="18"/>
      <c r="Y13" s="61"/>
      <c r="Z13" s="18"/>
      <c r="AA13" s="144">
        <f>C13+E13+G13+I13+K13+M13+O13+Q13+S13+U13+W13+Y13</f>
        <v>0</v>
      </c>
      <c r="AB13" s="18"/>
      <c r="AC13" s="128">
        <f t="shared" si="2"/>
        <v>0</v>
      </c>
      <c r="AD13" s="18"/>
      <c r="AF13" s="84"/>
    </row>
    <row r="14" spans="1:36" s="1" customFormat="1">
      <c r="A14" s="1">
        <v>5152</v>
      </c>
      <c r="B14" s="20" t="s">
        <v>48</v>
      </c>
      <c r="C14" s="61"/>
      <c r="D14" s="18"/>
      <c r="E14" s="703"/>
      <c r="F14" s="18"/>
      <c r="G14" s="61"/>
      <c r="H14" s="18"/>
      <c r="I14" s="61"/>
      <c r="J14" s="18"/>
      <c r="K14" s="703"/>
      <c r="L14" s="18"/>
      <c r="M14" s="26"/>
      <c r="N14" s="18"/>
      <c r="O14" s="26"/>
      <c r="P14" s="18"/>
      <c r="Q14" s="26"/>
      <c r="R14" s="18"/>
      <c r="S14" s="26"/>
      <c r="T14" s="18"/>
      <c r="U14" s="61"/>
      <c r="V14" s="18"/>
      <c r="W14" s="61"/>
      <c r="X14" s="18"/>
      <c r="Y14" s="61"/>
      <c r="Z14" s="18"/>
      <c r="AA14" s="144">
        <f>C14+E14+G14+I14+K14+M14+O14+Q14+S14+U14+W14+Y14</f>
        <v>0</v>
      </c>
      <c r="AB14" s="18"/>
      <c r="AC14" s="128">
        <f t="shared" si="2"/>
        <v>0</v>
      </c>
      <c r="AD14" s="18"/>
      <c r="AF14" s="84"/>
    </row>
    <row r="15" spans="1:36" s="1" customFormat="1">
      <c r="A15" s="198">
        <v>5198</v>
      </c>
      <c r="B15" s="247" t="s">
        <v>106</v>
      </c>
      <c r="C15" s="79">
        <f>C13+C14</f>
        <v>0</v>
      </c>
      <c r="D15" s="199"/>
      <c r="E15" s="119">
        <f>E13+E14</f>
        <v>0</v>
      </c>
      <c r="F15" s="199"/>
      <c r="G15" s="79">
        <f>G13+G14</f>
        <v>0</v>
      </c>
      <c r="H15" s="199"/>
      <c r="I15" s="79">
        <f>I13+I14</f>
        <v>0</v>
      </c>
      <c r="J15" s="199"/>
      <c r="K15" s="119">
        <f>K13+K14</f>
        <v>0</v>
      </c>
      <c r="L15" s="199"/>
      <c r="M15" s="29">
        <f>M13+M14</f>
        <v>0</v>
      </c>
      <c r="N15" s="199"/>
      <c r="O15" s="29">
        <f>O13+O14</f>
        <v>0</v>
      </c>
      <c r="P15" s="199"/>
      <c r="Q15" s="29">
        <f>Q13+Q14</f>
        <v>0</v>
      </c>
      <c r="R15" s="199"/>
      <c r="S15" s="29">
        <f>S13+S14</f>
        <v>0</v>
      </c>
      <c r="T15" s="199"/>
      <c r="U15" s="79">
        <f>U13+U14</f>
        <v>0</v>
      </c>
      <c r="V15" s="199"/>
      <c r="W15" s="79">
        <f>W13+W14</f>
        <v>0</v>
      </c>
      <c r="X15" s="199"/>
      <c r="Y15" s="79">
        <f>Y13+Y14</f>
        <v>0</v>
      </c>
      <c r="Z15" s="199"/>
      <c r="AA15" s="58">
        <f>AA13+AA14</f>
        <v>0</v>
      </c>
      <c r="AB15" s="199"/>
      <c r="AC15" s="58">
        <f t="shared" si="2"/>
        <v>0</v>
      </c>
      <c r="AD15" s="199"/>
      <c r="AE15" s="272"/>
      <c r="AF15" s="322"/>
      <c r="AG15" s="272"/>
    </row>
    <row r="16" spans="1:36" s="1" customFormat="1" ht="15.75" thickBot="1">
      <c r="A16" s="37">
        <v>5199</v>
      </c>
      <c r="B16" s="248" t="s">
        <v>70</v>
      </c>
      <c r="C16" s="80">
        <f>C12+C15</f>
        <v>781289.10128418601</v>
      </c>
      <c r="D16" s="25">
        <f>C16/C12</f>
        <v>1</v>
      </c>
      <c r="E16" s="120">
        <f>E12+E15</f>
        <v>607844.06445000495</v>
      </c>
      <c r="F16" s="25">
        <f>E16/E12</f>
        <v>1</v>
      </c>
      <c r="G16" s="80">
        <f>G12+G15</f>
        <v>1008278.1152047501</v>
      </c>
      <c r="H16" s="25">
        <f>G16/G12</f>
        <v>1</v>
      </c>
      <c r="I16" s="80">
        <f>I12+I15</f>
        <v>890303.79436023696</v>
      </c>
      <c r="J16" s="25">
        <f>I16/I12</f>
        <v>1</v>
      </c>
      <c r="K16" s="120">
        <f>K12+K15</f>
        <v>814273.51596926386</v>
      </c>
      <c r="L16" s="25">
        <f>K16/K12</f>
        <v>1</v>
      </c>
      <c r="M16" s="30">
        <f>M12+M15</f>
        <v>1154628.57184766</v>
      </c>
      <c r="N16" s="25">
        <f>M16/M12</f>
        <v>1</v>
      </c>
      <c r="O16" s="30">
        <f>O12+O15</f>
        <v>731007.49679313786</v>
      </c>
      <c r="P16" s="25">
        <f>O16/O12</f>
        <v>1</v>
      </c>
      <c r="Q16" s="30">
        <f>Q12+Q15</f>
        <v>907720.54656208702</v>
      </c>
      <c r="R16" s="25">
        <f>Q16/Q12</f>
        <v>1</v>
      </c>
      <c r="S16" s="30">
        <f>S12+S15</f>
        <v>914418.86680869304</v>
      </c>
      <c r="T16" s="25">
        <f>S16/S12</f>
        <v>1</v>
      </c>
      <c r="U16" s="80">
        <f>U12+U15</f>
        <v>725323.01563659497</v>
      </c>
      <c r="V16" s="25">
        <f>U16/U12</f>
        <v>1</v>
      </c>
      <c r="W16" s="80">
        <f>W12+W15</f>
        <v>737973.75828023802</v>
      </c>
      <c r="X16" s="25">
        <f>W16/W12</f>
        <v>1</v>
      </c>
      <c r="Y16" s="80">
        <f>Y12+Y15</f>
        <v>1114830.0074936999</v>
      </c>
      <c r="Z16" s="25">
        <f>Y16/Y12</f>
        <v>1</v>
      </c>
      <c r="AA16" s="195">
        <f>AA12+AA15</f>
        <v>10387890.854690552</v>
      </c>
      <c r="AB16" s="25">
        <f>AA16/AA12</f>
        <v>1</v>
      </c>
      <c r="AC16" s="59">
        <f t="shared" si="2"/>
        <v>865657.57122421265</v>
      </c>
      <c r="AD16" s="25">
        <f>AC16/AC12</f>
        <v>1</v>
      </c>
      <c r="AE16" s="320"/>
      <c r="AF16" s="321"/>
      <c r="AG16" s="320"/>
    </row>
    <row r="17" spans="1:33" s="1" customFormat="1" ht="15.75" thickTop="1">
      <c r="A17" s="13">
        <v>5502</v>
      </c>
      <c r="B17" s="17" t="s">
        <v>49</v>
      </c>
      <c r="C17" s="704">
        <f>C12*53%</f>
        <v>414083.22368061863</v>
      </c>
      <c r="D17" s="702">
        <f>C17/C12</f>
        <v>0.53</v>
      </c>
      <c r="E17" s="704">
        <f>E12*45%</f>
        <v>273529.82900250226</v>
      </c>
      <c r="F17" s="702">
        <f>E17/E12</f>
        <v>0.45000000000000007</v>
      </c>
      <c r="G17" s="704">
        <f>G12*51%</f>
        <v>514221.83875442256</v>
      </c>
      <c r="H17" s="702">
        <f>G17/G12</f>
        <v>0.51</v>
      </c>
      <c r="I17" s="704">
        <f>I12*44.84%</f>
        <v>399212.2213911303</v>
      </c>
      <c r="J17" s="702">
        <f>I17/I12</f>
        <v>0.44840000000000002</v>
      </c>
      <c r="K17" s="704">
        <f>K12*40.58%</f>
        <v>330432.19278032728</v>
      </c>
      <c r="L17" s="702">
        <f>K17/K12</f>
        <v>0.40579999999999999</v>
      </c>
      <c r="M17" s="704">
        <f>M12*51.51%</f>
        <v>594749.17735872965</v>
      </c>
      <c r="N17" s="702">
        <f>M17/M12</f>
        <v>0.5151</v>
      </c>
      <c r="O17" s="704">
        <f>O12*45.77%</f>
        <v>334582.13128221926</v>
      </c>
      <c r="P17" s="702">
        <f>O17/O12</f>
        <v>0.45770000000000005</v>
      </c>
      <c r="Q17" s="704">
        <f>Q12*47%</f>
        <v>426628.65688418091</v>
      </c>
      <c r="R17" s="702">
        <f>Q17/Q12</f>
        <v>0.47000000000000003</v>
      </c>
      <c r="S17" s="704">
        <f>S12*49.29%</f>
        <v>450717.05945000483</v>
      </c>
      <c r="T17" s="702">
        <f>S17/S12</f>
        <v>0.49290000000000006</v>
      </c>
      <c r="U17" s="704">
        <f>U12*43.95%</f>
        <v>318779.46537228348</v>
      </c>
      <c r="V17" s="702">
        <f>U17/U12</f>
        <v>0.4395</v>
      </c>
      <c r="W17" s="704">
        <f>W12*45.05%</f>
        <v>332457.17810524721</v>
      </c>
      <c r="X17" s="702">
        <f>W17/W12</f>
        <v>0.45049999999999996</v>
      </c>
      <c r="Y17" s="704">
        <f>Y12*52.66%</f>
        <v>587069.48194618232</v>
      </c>
      <c r="Z17" s="702">
        <f>Y17/Y12</f>
        <v>0.52659999999999996</v>
      </c>
      <c r="AA17" s="144">
        <f>C17+E17+G17+I17+K17+M17+O17+Q17+S17+U17+W17+Y17</f>
        <v>4976462.4560078485</v>
      </c>
      <c r="AB17" s="68">
        <f>AA17/AA12</f>
        <v>0.47906379895787748</v>
      </c>
      <c r="AC17" s="128">
        <f t="shared" si="2"/>
        <v>414705.20466732071</v>
      </c>
      <c r="AD17" s="68">
        <f>AC17/AC12</f>
        <v>0.47906379895787748</v>
      </c>
      <c r="AE17" s="1" t="s">
        <v>198</v>
      </c>
      <c r="AF17" s="194">
        <v>0.50380000000000003</v>
      </c>
      <c r="AG17" s="1" t="s">
        <v>195</v>
      </c>
    </row>
    <row r="18" spans="1:33" s="1" customFormat="1">
      <c r="A18" s="3">
        <v>5503</v>
      </c>
      <c r="B18" s="238" t="s">
        <v>50</v>
      </c>
      <c r="C18" s="704"/>
      <c r="D18" s="102"/>
      <c r="E18" s="61"/>
      <c r="F18" s="102"/>
      <c r="G18" s="703"/>
      <c r="H18" s="102"/>
      <c r="I18" s="26"/>
      <c r="J18" s="102"/>
      <c r="K18" s="61"/>
      <c r="L18" s="102"/>
      <c r="M18" s="26"/>
      <c r="N18" s="102"/>
      <c r="O18" s="33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2"/>
        <v>0</v>
      </c>
      <c r="AD18" s="102"/>
      <c r="AF18" s="84"/>
    </row>
    <row r="19" spans="1:33" s="1" customFormat="1">
      <c r="A19" s="187">
        <v>5504</v>
      </c>
      <c r="B19" s="758" t="s">
        <v>51</v>
      </c>
      <c r="C19" s="26"/>
      <c r="D19" s="702">
        <f>C19/C12</f>
        <v>0</v>
      </c>
      <c r="E19" s="26"/>
      <c r="F19" s="702">
        <f>E19/E12</f>
        <v>0</v>
      </c>
      <c r="H19" s="702">
        <f>G19/G12</f>
        <v>0</v>
      </c>
      <c r="I19" s="26"/>
      <c r="J19" s="702">
        <f>I19/I12</f>
        <v>0</v>
      </c>
      <c r="K19" s="26"/>
      <c r="L19" s="702">
        <f>K19/K12</f>
        <v>0</v>
      </c>
      <c r="M19" s="26"/>
      <c r="N19" s="702">
        <f>M19/M12</f>
        <v>0</v>
      </c>
      <c r="O19" s="33"/>
      <c r="P19" s="702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/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2"/>
        <v>0</v>
      </c>
      <c r="AD19" s="68">
        <f>AC19/AC12</f>
        <v>0</v>
      </c>
      <c r="AF19" s="84"/>
    </row>
    <row r="20" spans="1:33" s="1" customFormat="1">
      <c r="A20" s="3">
        <v>5505</v>
      </c>
      <c r="B20" s="238" t="s">
        <v>52</v>
      </c>
      <c r="C20" s="704"/>
      <c r="D20" s="102"/>
      <c r="E20" s="61"/>
      <c r="F20" s="102"/>
      <c r="G20" s="703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2"/>
        <v>0</v>
      </c>
      <c r="AD20" s="102"/>
      <c r="AF20" s="84"/>
    </row>
    <row r="21" spans="1:33" s="1" customFormat="1" ht="15.75" thickBot="1">
      <c r="A21" s="8">
        <v>5599</v>
      </c>
      <c r="B21" s="245" t="s">
        <v>107</v>
      </c>
      <c r="C21" s="76">
        <f>SUM(C17:C20)</f>
        <v>414083.22368061863</v>
      </c>
      <c r="D21" s="23">
        <f>C21/C12</f>
        <v>0.53</v>
      </c>
      <c r="E21" s="116">
        <f>SUM(E17:E20)</f>
        <v>273529.82900250226</v>
      </c>
      <c r="F21" s="23">
        <f>E21/E12</f>
        <v>0.45000000000000007</v>
      </c>
      <c r="G21" s="76">
        <f>SUM(G17:G20)</f>
        <v>514221.83875442256</v>
      </c>
      <c r="H21" s="23">
        <f>G21/G12</f>
        <v>0.51</v>
      </c>
      <c r="I21" s="76">
        <f>SUM(I17:I20)</f>
        <v>399212.2213911303</v>
      </c>
      <c r="J21" s="23">
        <f>I21/I12</f>
        <v>0.44840000000000002</v>
      </c>
      <c r="K21" s="116">
        <f>SUM(K17:K20)</f>
        <v>330432.19278032728</v>
      </c>
      <c r="L21" s="23">
        <f>K21/K12</f>
        <v>0.40579999999999999</v>
      </c>
      <c r="M21" s="376">
        <f>SUM(M17:M20)</f>
        <v>594749.17735872965</v>
      </c>
      <c r="N21" s="23">
        <f>M21/M12</f>
        <v>0.5151</v>
      </c>
      <c r="O21" s="28">
        <f>SUM(O17:O20)</f>
        <v>334582.13128221926</v>
      </c>
      <c r="P21" s="23">
        <f>O21/O12</f>
        <v>0.45770000000000005</v>
      </c>
      <c r="Q21" s="301">
        <f>SUM(Q17:Q20)</f>
        <v>426628.65688418091</v>
      </c>
      <c r="R21" s="23">
        <f>Q21/Q12</f>
        <v>0.47000000000000003</v>
      </c>
      <c r="S21" s="28">
        <f>SUM(S17:S20)</f>
        <v>450717.05945000483</v>
      </c>
      <c r="T21" s="23">
        <f>S21/S12</f>
        <v>0.49290000000000006</v>
      </c>
      <c r="U21" s="76">
        <f>SUM(U17:U20)</f>
        <v>318779.46537228348</v>
      </c>
      <c r="V21" s="23">
        <f>U21/U12</f>
        <v>0.4395</v>
      </c>
      <c r="W21" s="76">
        <f>SUM(W17:W20)</f>
        <v>332457.17810524721</v>
      </c>
      <c r="X21" s="23">
        <f>W21/W12</f>
        <v>0.45049999999999996</v>
      </c>
      <c r="Y21" s="76">
        <f>SUM(Y17:Y20)</f>
        <v>587069.48194618232</v>
      </c>
      <c r="Z21" s="23">
        <f>Y21/Y12</f>
        <v>0.52659999999999996</v>
      </c>
      <c r="AA21" s="196">
        <f>SUM(AA17:AA20)</f>
        <v>4976462.4560078485</v>
      </c>
      <c r="AB21" s="23">
        <f>AA21/AA12</f>
        <v>0.47906379895787748</v>
      </c>
      <c r="AC21" s="52">
        <f t="shared" si="2"/>
        <v>414705.20466732071</v>
      </c>
      <c r="AD21" s="23">
        <f>AC21/AC12</f>
        <v>0.47906379895787748</v>
      </c>
      <c r="AE21" s="320"/>
      <c r="AF21" s="321"/>
      <c r="AG21" s="320"/>
    </row>
    <row r="22" spans="1:33" s="1" customFormat="1" ht="15.75" thickTop="1">
      <c r="A22" s="187">
        <v>5601</v>
      </c>
      <c r="B22" s="3" t="s">
        <v>53</v>
      </c>
      <c r="C22" s="26"/>
      <c r="D22" s="702">
        <f>C22/C12</f>
        <v>0</v>
      </c>
      <c r="E22" s="26"/>
      <c r="F22" s="702">
        <f>E22/E12</f>
        <v>0</v>
      </c>
      <c r="G22" s="26"/>
      <c r="H22" s="702">
        <f>G22/G12</f>
        <v>0</v>
      </c>
      <c r="I22" s="26"/>
      <c r="J22" s="702">
        <f>I22/I12</f>
        <v>0</v>
      </c>
      <c r="K22" s="26"/>
      <c r="L22" s="702">
        <f>K22/K12</f>
        <v>0</v>
      </c>
      <c r="M22" s="26"/>
      <c r="N22" s="702">
        <f>M22/M12</f>
        <v>0</v>
      </c>
      <c r="O22" s="26"/>
      <c r="P22" s="702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17">C22+E22+G22+I22+K22+M22+O22+Q22+S22+U22+W22+Y22</f>
        <v>0</v>
      </c>
      <c r="AB22" s="68">
        <f>AA22/AA12</f>
        <v>0</v>
      </c>
      <c r="AC22" s="128">
        <f t="shared" si="2"/>
        <v>0</v>
      </c>
      <c r="AD22" s="68">
        <f>AC22/AC12</f>
        <v>0</v>
      </c>
      <c r="AF22" s="84"/>
    </row>
    <row r="23" spans="1:33" s="1" customFormat="1">
      <c r="A23" s="3">
        <v>5602</v>
      </c>
      <c r="B23" s="3" t="s">
        <v>54</v>
      </c>
      <c r="C23" s="26"/>
      <c r="D23" s="702">
        <f>C23/C12</f>
        <v>0</v>
      </c>
      <c r="E23" s="26"/>
      <c r="F23" s="702">
        <f>E23/E12</f>
        <v>0</v>
      </c>
      <c r="G23" s="26"/>
      <c r="H23" s="702">
        <f>G23/G12</f>
        <v>0</v>
      </c>
      <c r="I23" s="26"/>
      <c r="J23" s="702">
        <f>I23/I12</f>
        <v>0</v>
      </c>
      <c r="K23" s="26"/>
      <c r="L23" s="702">
        <f>K23/K12</f>
        <v>0</v>
      </c>
      <c r="M23" s="26"/>
      <c r="N23" s="702">
        <f>M23/M12</f>
        <v>0</v>
      </c>
      <c r="O23" s="26"/>
      <c r="P23" s="702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17"/>
        <v>0</v>
      </c>
      <c r="AB23" s="68">
        <f>AA23/AA12</f>
        <v>0</v>
      </c>
      <c r="AC23" s="128">
        <f t="shared" si="2"/>
        <v>0</v>
      </c>
      <c r="AD23" s="68">
        <f>AC23/AC12</f>
        <v>0</v>
      </c>
      <c r="AF23" s="84"/>
    </row>
    <row r="24" spans="1:33" s="1" customFormat="1">
      <c r="A24" s="3">
        <v>5603</v>
      </c>
      <c r="B24" s="3" t="s">
        <v>55</v>
      </c>
      <c r="C24" s="26"/>
      <c r="D24" s="702">
        <f>C24/C12</f>
        <v>0</v>
      </c>
      <c r="E24" s="26"/>
      <c r="F24" s="702">
        <f>E24/E12</f>
        <v>0</v>
      </c>
      <c r="G24" s="26"/>
      <c r="H24" s="702">
        <f>G24/G12</f>
        <v>0</v>
      </c>
      <c r="I24" s="26"/>
      <c r="J24" s="702">
        <f>I24/I12</f>
        <v>0</v>
      </c>
      <c r="K24" s="26"/>
      <c r="L24" s="702">
        <f>K24/K12</f>
        <v>0</v>
      </c>
      <c r="M24" s="26"/>
      <c r="N24" s="702">
        <f>M24/M12</f>
        <v>0</v>
      </c>
      <c r="O24" s="26"/>
      <c r="P24" s="702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17"/>
        <v>0</v>
      </c>
      <c r="AB24" s="68">
        <f>AA24/AA12</f>
        <v>0</v>
      </c>
      <c r="AC24" s="128">
        <f t="shared" si="2"/>
        <v>0</v>
      </c>
      <c r="AD24" s="68">
        <f>AC24/AC12</f>
        <v>0</v>
      </c>
      <c r="AF24" s="84"/>
    </row>
    <row r="25" spans="1:33" s="1" customFormat="1">
      <c r="A25" s="187">
        <v>5604</v>
      </c>
      <c r="B25" s="187" t="s">
        <v>56</v>
      </c>
      <c r="C25" s="26">
        <v>150</v>
      </c>
      <c r="D25" s="702">
        <f>C25/C12</f>
        <v>1.9199039094932802E-4</v>
      </c>
      <c r="E25" s="26">
        <v>150</v>
      </c>
      <c r="F25" s="702">
        <f>E25/E12</f>
        <v>2.4677381712318665E-4</v>
      </c>
      <c r="G25" s="26">
        <v>150</v>
      </c>
      <c r="H25" s="702">
        <f>G25/G12</f>
        <v>1.4876847740520445E-4</v>
      </c>
      <c r="I25" s="26">
        <v>150</v>
      </c>
      <c r="J25" s="702">
        <f>I25/I12</f>
        <v>1.6848181592642593E-4</v>
      </c>
      <c r="K25" s="26">
        <v>150</v>
      </c>
      <c r="L25" s="702">
        <f>K25/K12</f>
        <v>1.8421328590240187E-4</v>
      </c>
      <c r="M25" s="26">
        <v>150</v>
      </c>
      <c r="N25" s="702">
        <f>M25/M12</f>
        <v>1.2991190730709786E-4</v>
      </c>
      <c r="O25" s="26">
        <v>150</v>
      </c>
      <c r="P25" s="702">
        <f>O25/O12</f>
        <v>2.0519625401659505E-4</v>
      </c>
      <c r="Q25" s="26">
        <v>150</v>
      </c>
      <c r="R25" s="702">
        <f>Q25/Q12</f>
        <v>1.6524909628641988E-4</v>
      </c>
      <c r="S25" s="26">
        <v>150</v>
      </c>
      <c r="T25" s="702">
        <f>S25/S12</f>
        <v>1.640386101431804E-4</v>
      </c>
      <c r="U25" s="26">
        <v>150</v>
      </c>
      <c r="V25" s="702">
        <f>U25/U12</f>
        <v>2.0680441233255137E-4</v>
      </c>
      <c r="W25" s="26">
        <v>150</v>
      </c>
      <c r="X25" s="702">
        <f>W25/W12</f>
        <v>2.0325925998989117E-4</v>
      </c>
      <c r="Y25" s="26">
        <v>150</v>
      </c>
      <c r="Z25" s="702">
        <f>Y25/Y12</f>
        <v>1.3454966137592747E-4</v>
      </c>
      <c r="AA25" s="144">
        <f t="shared" si="17"/>
        <v>1800</v>
      </c>
      <c r="AB25" s="68">
        <f>AA25/AA12</f>
        <v>1.7327867852858961E-4</v>
      </c>
      <c r="AC25" s="128">
        <f t="shared" si="2"/>
        <v>150</v>
      </c>
      <c r="AD25" s="68">
        <f>AC25/AC12</f>
        <v>1.7327867852858961E-4</v>
      </c>
      <c r="AF25" s="84"/>
    </row>
    <row r="26" spans="1:33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7"/>
        <v>0</v>
      </c>
      <c r="AB26" s="68">
        <f>AA26/AA12</f>
        <v>0</v>
      </c>
      <c r="AC26" s="128">
        <f t="shared" si="2"/>
        <v>0</v>
      </c>
      <c r="AD26" s="68">
        <f>AC26/AC12</f>
        <v>0</v>
      </c>
      <c r="AF26" s="84"/>
    </row>
    <row r="27" spans="1:33" s="1" customFormat="1">
      <c r="A27" s="187">
        <v>5606</v>
      </c>
      <c r="B27" s="187" t="s">
        <v>77</v>
      </c>
      <c r="C27" s="26">
        <f>C16*0.3%</f>
        <v>2343.8673038525581</v>
      </c>
      <c r="D27" s="702">
        <f>C27/C12</f>
        <v>3.0000000000000001E-3</v>
      </c>
      <c r="E27" s="26">
        <f>E16*0.3%</f>
        <v>1823.5321933500149</v>
      </c>
      <c r="F27" s="702">
        <f>E27/E12</f>
        <v>3.0000000000000001E-3</v>
      </c>
      <c r="G27" s="26">
        <f>G16*0.3%</f>
        <v>3024.8343456142502</v>
      </c>
      <c r="H27" s="702">
        <f>G27/G12</f>
        <v>3.0000000000000001E-3</v>
      </c>
      <c r="I27" s="26">
        <f>I16*0.3%</f>
        <v>2670.9113830807109</v>
      </c>
      <c r="J27" s="702">
        <f>I27/I12</f>
        <v>3.0000000000000001E-3</v>
      </c>
      <c r="K27" s="26">
        <f>K16*0.3%</f>
        <v>2442.8205479077915</v>
      </c>
      <c r="L27" s="702">
        <f>K27/K12</f>
        <v>3.0000000000000001E-3</v>
      </c>
      <c r="M27" s="26">
        <f>M16*0.3%</f>
        <v>3463.8857155429801</v>
      </c>
      <c r="N27" s="702">
        <f>M27/M12</f>
        <v>3.0000000000000001E-3</v>
      </c>
      <c r="O27" s="26">
        <f>O16*0.3%</f>
        <v>2193.0224903794137</v>
      </c>
      <c r="P27" s="702">
        <f>O27/O12</f>
        <v>3.0000000000000001E-3</v>
      </c>
      <c r="Q27" s="26">
        <f>Q16*0.3%</f>
        <v>2723.161639686261</v>
      </c>
      <c r="R27" s="702">
        <f>Q27/Q12</f>
        <v>3.0000000000000001E-3</v>
      </c>
      <c r="S27" s="26">
        <f>S16*0.3%</f>
        <v>2743.2566004260793</v>
      </c>
      <c r="T27" s="702">
        <f>S27/S12</f>
        <v>3.0000000000000001E-3</v>
      </c>
      <c r="U27" s="26">
        <f>U16*0.3%</f>
        <v>2175.969046909785</v>
      </c>
      <c r="V27" s="702">
        <f>U27/U12</f>
        <v>3.0000000000000001E-3</v>
      </c>
      <c r="W27" s="26">
        <f>W16*0.3%</f>
        <v>2213.921274840714</v>
      </c>
      <c r="X27" s="702">
        <f>W27/W12</f>
        <v>3.0000000000000001E-3</v>
      </c>
      <c r="Y27" s="26">
        <f>Y16*0.3%</f>
        <v>3344.4900224810999</v>
      </c>
      <c r="Z27" s="702">
        <f>Y27/Y12</f>
        <v>3.0000000000000001E-3</v>
      </c>
      <c r="AA27" s="144">
        <f t="shared" si="17"/>
        <v>31163.672564071661</v>
      </c>
      <c r="AB27" s="702">
        <f>AA27/AA12</f>
        <v>3.0000000000000005E-3</v>
      </c>
      <c r="AC27" s="128">
        <f t="shared" si="2"/>
        <v>2596.9727136726383</v>
      </c>
      <c r="AD27" s="702">
        <f>AC27/AC12</f>
        <v>3.0000000000000005E-3</v>
      </c>
      <c r="AE27" s="645"/>
      <c r="AF27" s="226"/>
      <c r="AG27" s="226"/>
    </row>
    <row r="28" spans="1:33" s="1" customFormat="1">
      <c r="A28" s="3">
        <v>5607</v>
      </c>
      <c r="B28" s="238" t="s">
        <v>57</v>
      </c>
      <c r="C28" s="26"/>
      <c r="D28" s="24">
        <f>C28/C12</f>
        <v>0</v>
      </c>
      <c r="E28" s="26"/>
      <c r="F28" s="24">
        <f>E28/E12</f>
        <v>0</v>
      </c>
      <c r="G28" s="26"/>
      <c r="H28" s="24">
        <f>G28/G12</f>
        <v>0</v>
      </c>
      <c r="I28" s="26"/>
      <c r="J28" s="24">
        <f>I28/I12</f>
        <v>0</v>
      </c>
      <c r="K28" s="26"/>
      <c r="L28" s="24">
        <f>K28/K12</f>
        <v>0</v>
      </c>
      <c r="M28" s="26"/>
      <c r="N28" s="24">
        <f>M28/M12</f>
        <v>0</v>
      </c>
      <c r="O28" s="26"/>
      <c r="P28" s="24">
        <f>O28/O12</f>
        <v>0</v>
      </c>
      <c r="Q28" s="26"/>
      <c r="R28" s="24">
        <f>Q28/Q12</f>
        <v>0</v>
      </c>
      <c r="S28" s="26"/>
      <c r="T28" s="24">
        <f>S28/S12</f>
        <v>0</v>
      </c>
      <c r="U28" s="26"/>
      <c r="V28" s="24">
        <f>U28/U12</f>
        <v>0</v>
      </c>
      <c r="W28" s="26"/>
      <c r="X28" s="24">
        <f>W28/W12</f>
        <v>0</v>
      </c>
      <c r="Y28" s="26"/>
      <c r="Z28" s="24">
        <f>Y28/Y12</f>
        <v>0</v>
      </c>
      <c r="AA28" s="144">
        <f t="shared" si="17"/>
        <v>0</v>
      </c>
      <c r="AB28" s="24">
        <f>AA28/AA12</f>
        <v>0</v>
      </c>
      <c r="AC28" s="128">
        <f t="shared" si="2"/>
        <v>0</v>
      </c>
      <c r="AD28" s="24">
        <f>AC28/AC12</f>
        <v>0</v>
      </c>
      <c r="AF28" s="84"/>
    </row>
    <row r="29" spans="1:33" s="1" customFormat="1">
      <c r="A29" s="3">
        <v>5608</v>
      </c>
      <c r="B29" s="238" t="s">
        <v>58</v>
      </c>
      <c r="C29" s="26"/>
      <c r="D29" s="24">
        <f>C29/C12</f>
        <v>0</v>
      </c>
      <c r="E29" s="26"/>
      <c r="F29" s="24">
        <f>E29/E12</f>
        <v>0</v>
      </c>
      <c r="G29" s="26"/>
      <c r="H29" s="24">
        <f>G29/G12</f>
        <v>0</v>
      </c>
      <c r="I29" s="26"/>
      <c r="J29" s="24">
        <f>I29/I12</f>
        <v>0</v>
      </c>
      <c r="K29" s="26"/>
      <c r="L29" s="24">
        <f>K29/K12</f>
        <v>0</v>
      </c>
      <c r="M29" s="26"/>
      <c r="N29" s="24">
        <f>M29/M12</f>
        <v>0</v>
      </c>
      <c r="O29" s="26"/>
      <c r="P29" s="24">
        <f>O29/O12</f>
        <v>0</v>
      </c>
      <c r="Q29" s="26"/>
      <c r="R29" s="24">
        <f>Q29/Q12</f>
        <v>0</v>
      </c>
      <c r="S29" s="26"/>
      <c r="T29" s="24">
        <f>S29/S12</f>
        <v>0</v>
      </c>
      <c r="U29" s="26"/>
      <c r="V29" s="24">
        <f>U29/U12</f>
        <v>0</v>
      </c>
      <c r="W29" s="26"/>
      <c r="X29" s="24">
        <f>W29/W12</f>
        <v>0</v>
      </c>
      <c r="Y29" s="26"/>
      <c r="Z29" s="24">
        <f>Y29/Y12</f>
        <v>0</v>
      </c>
      <c r="AA29" s="144">
        <f t="shared" si="17"/>
        <v>0</v>
      </c>
      <c r="AB29" s="24">
        <f>AA29/AA12</f>
        <v>0</v>
      </c>
      <c r="AC29" s="128">
        <f t="shared" si="2"/>
        <v>0</v>
      </c>
      <c r="AD29" s="24">
        <f>AC29/AC12</f>
        <v>0</v>
      </c>
      <c r="AF29" s="84"/>
    </row>
    <row r="30" spans="1:33" s="1" customFormat="1">
      <c r="A30" s="3">
        <v>5609</v>
      </c>
      <c r="B30" s="238" t="s">
        <v>59</v>
      </c>
      <c r="C30" s="26"/>
      <c r="D30" s="24">
        <f>C30/C12</f>
        <v>0</v>
      </c>
      <c r="E30" s="26"/>
      <c r="F30" s="24">
        <f>E30/E12</f>
        <v>0</v>
      </c>
      <c r="G30" s="26"/>
      <c r="H30" s="24">
        <f>G30/G12</f>
        <v>0</v>
      </c>
      <c r="I30" s="26"/>
      <c r="J30" s="24">
        <f>I30/I12</f>
        <v>0</v>
      </c>
      <c r="K30" s="26"/>
      <c r="L30" s="24">
        <f>K30/K12</f>
        <v>0</v>
      </c>
      <c r="M30" s="26"/>
      <c r="N30" s="24">
        <f>M30/M12</f>
        <v>0</v>
      </c>
      <c r="O30" s="26"/>
      <c r="P30" s="24">
        <f>O30/O12</f>
        <v>0</v>
      </c>
      <c r="Q30" s="26"/>
      <c r="R30" s="24">
        <f>Q30/Q12</f>
        <v>0</v>
      </c>
      <c r="S30" s="26"/>
      <c r="T30" s="24">
        <f>S30/S12</f>
        <v>0</v>
      </c>
      <c r="U30" s="26"/>
      <c r="V30" s="24">
        <f>U30/U12</f>
        <v>0</v>
      </c>
      <c r="W30" s="26"/>
      <c r="X30" s="24">
        <f>W30/W12</f>
        <v>0</v>
      </c>
      <c r="Y30" s="26"/>
      <c r="Z30" s="24">
        <f>Y30/Y12</f>
        <v>0</v>
      </c>
      <c r="AA30" s="144">
        <f t="shared" si="17"/>
        <v>0</v>
      </c>
      <c r="AB30" s="24">
        <f>AA30/AA12</f>
        <v>0</v>
      </c>
      <c r="AC30" s="128">
        <f t="shared" si="2"/>
        <v>0</v>
      </c>
      <c r="AD30" s="24">
        <f>AC30/AC12</f>
        <v>0</v>
      </c>
      <c r="AF30" s="84"/>
    </row>
    <row r="31" spans="1:33" s="1" customFormat="1">
      <c r="A31" s="3">
        <v>5610</v>
      </c>
      <c r="B31" s="238" t="s">
        <v>60</v>
      </c>
      <c r="C31" s="26"/>
      <c r="D31" s="24">
        <f>C31/C12</f>
        <v>0</v>
      </c>
      <c r="E31" s="26"/>
      <c r="F31" s="24">
        <f>E31/E12</f>
        <v>0</v>
      </c>
      <c r="G31" s="26"/>
      <c r="H31" s="24">
        <f>G31/G12</f>
        <v>0</v>
      </c>
      <c r="I31" s="26"/>
      <c r="J31" s="24">
        <f>I31/I12</f>
        <v>0</v>
      </c>
      <c r="K31" s="26"/>
      <c r="L31" s="24">
        <f>K31/K12</f>
        <v>0</v>
      </c>
      <c r="M31" s="26"/>
      <c r="N31" s="24">
        <f>M31/M12</f>
        <v>0</v>
      </c>
      <c r="O31" s="26"/>
      <c r="P31" s="24">
        <f>O31/O12</f>
        <v>0</v>
      </c>
      <c r="Q31" s="26"/>
      <c r="R31" s="24">
        <f>Q31/Q12</f>
        <v>0</v>
      </c>
      <c r="S31" s="26"/>
      <c r="T31" s="24">
        <f>S31/S12</f>
        <v>0</v>
      </c>
      <c r="U31" s="26"/>
      <c r="V31" s="24">
        <f>U31/U12</f>
        <v>0</v>
      </c>
      <c r="W31" s="26"/>
      <c r="X31" s="24">
        <f>W31/W12</f>
        <v>0</v>
      </c>
      <c r="Y31" s="26"/>
      <c r="Z31" s="24">
        <f>Y31/Y12</f>
        <v>0</v>
      </c>
      <c r="AA31" s="144">
        <f t="shared" si="17"/>
        <v>0</v>
      </c>
      <c r="AB31" s="24">
        <f>AA31/AA12</f>
        <v>0</v>
      </c>
      <c r="AC31" s="128">
        <f t="shared" si="2"/>
        <v>0</v>
      </c>
      <c r="AD31" s="24">
        <f>AC31/AC12</f>
        <v>0</v>
      </c>
      <c r="AF31" s="84"/>
    </row>
    <row r="32" spans="1:33" s="1" customFormat="1">
      <c r="A32" s="3">
        <v>5611</v>
      </c>
      <c r="B32" s="238" t="s">
        <v>108</v>
      </c>
      <c r="C32" s="26"/>
      <c r="D32" s="24">
        <f>C32/C12</f>
        <v>0</v>
      </c>
      <c r="E32" s="26"/>
      <c r="F32" s="24">
        <f>E32/E12</f>
        <v>0</v>
      </c>
      <c r="G32" s="26"/>
      <c r="H32" s="24">
        <f>G32/G12</f>
        <v>0</v>
      </c>
      <c r="I32" s="26"/>
      <c r="J32" s="24">
        <f>I32/I12</f>
        <v>0</v>
      </c>
      <c r="K32" s="26"/>
      <c r="L32" s="24">
        <f>K32/K12</f>
        <v>0</v>
      </c>
      <c r="M32" s="26"/>
      <c r="N32" s="24">
        <f>M32/M12</f>
        <v>0</v>
      </c>
      <c r="O32" s="26"/>
      <c r="P32" s="24">
        <f>O32/O12</f>
        <v>0</v>
      </c>
      <c r="Q32" s="26"/>
      <c r="R32" s="24">
        <f>Q32/Q12</f>
        <v>0</v>
      </c>
      <c r="S32" s="26"/>
      <c r="T32" s="24">
        <f>S32/S12</f>
        <v>0</v>
      </c>
      <c r="U32" s="26"/>
      <c r="V32" s="24">
        <f>U32/U12</f>
        <v>0</v>
      </c>
      <c r="W32" s="26"/>
      <c r="X32" s="24">
        <f>W32/W12</f>
        <v>0</v>
      </c>
      <c r="Y32" s="26"/>
      <c r="Z32" s="24">
        <f>Y32/Y12</f>
        <v>0</v>
      </c>
      <c r="AA32" s="144">
        <f t="shared" si="17"/>
        <v>0</v>
      </c>
      <c r="AB32" s="24">
        <f>AA32/AA12</f>
        <v>0</v>
      </c>
      <c r="AC32" s="128">
        <f t="shared" si="2"/>
        <v>0</v>
      </c>
      <c r="AD32" s="24">
        <f>AC32/AC12</f>
        <v>0</v>
      </c>
      <c r="AF32" s="84"/>
    </row>
    <row r="33" spans="1:33" s="1" customFormat="1">
      <c r="A33" s="3">
        <v>5612</v>
      </c>
      <c r="B33" s="238" t="s">
        <v>61</v>
      </c>
      <c r="C33" s="26"/>
      <c r="D33" s="24">
        <f>C33/C12</f>
        <v>0</v>
      </c>
      <c r="E33" s="26"/>
      <c r="F33" s="24">
        <f>E33/E12</f>
        <v>0</v>
      </c>
      <c r="G33" s="26"/>
      <c r="H33" s="24">
        <f>G33/G12</f>
        <v>0</v>
      </c>
      <c r="I33" s="26"/>
      <c r="J33" s="24">
        <f>I33/I12</f>
        <v>0</v>
      </c>
      <c r="K33" s="26"/>
      <c r="L33" s="24">
        <f>K33/K12</f>
        <v>0</v>
      </c>
      <c r="M33" s="26"/>
      <c r="N33" s="24">
        <f>M33/M12</f>
        <v>0</v>
      </c>
      <c r="O33" s="26"/>
      <c r="P33" s="24">
        <f>O33/O12</f>
        <v>0</v>
      </c>
      <c r="Q33" s="26"/>
      <c r="R33" s="24">
        <f>Q33/Q12</f>
        <v>0</v>
      </c>
      <c r="S33" s="26"/>
      <c r="T33" s="24">
        <f>S33/S12</f>
        <v>0</v>
      </c>
      <c r="U33" s="26"/>
      <c r="V33" s="24">
        <f>U33/U12</f>
        <v>0</v>
      </c>
      <c r="W33" s="26"/>
      <c r="X33" s="24">
        <f>W33/W12</f>
        <v>0</v>
      </c>
      <c r="Y33" s="26"/>
      <c r="Z33" s="24">
        <f>Y33/Y12</f>
        <v>0</v>
      </c>
      <c r="AA33" s="144">
        <f t="shared" si="17"/>
        <v>0</v>
      </c>
      <c r="AB33" s="24">
        <f>AA33/AA12</f>
        <v>0</v>
      </c>
      <c r="AC33" s="128">
        <f t="shared" si="2"/>
        <v>0</v>
      </c>
      <c r="AD33" s="24">
        <f>AC33/AC12</f>
        <v>0</v>
      </c>
      <c r="AF33" s="84"/>
    </row>
    <row r="34" spans="1:33" s="1" customFormat="1">
      <c r="A34" s="211">
        <v>5613</v>
      </c>
      <c r="B34" s="249" t="s">
        <v>62</v>
      </c>
      <c r="C34" s="26"/>
      <c r="D34" s="212">
        <f>C34/C12</f>
        <v>0</v>
      </c>
      <c r="E34" s="26"/>
      <c r="F34" s="212">
        <f>E34/E12</f>
        <v>0</v>
      </c>
      <c r="G34" s="26"/>
      <c r="H34" s="212">
        <f>G34/G12</f>
        <v>0</v>
      </c>
      <c r="I34" s="26"/>
      <c r="J34" s="212">
        <f>I34/I12</f>
        <v>0</v>
      </c>
      <c r="K34" s="26"/>
      <c r="L34" s="212">
        <f>K34/K12</f>
        <v>0</v>
      </c>
      <c r="M34" s="26"/>
      <c r="N34" s="212">
        <f>M34/M12</f>
        <v>0</v>
      </c>
      <c r="O34" s="26"/>
      <c r="P34" s="212">
        <f>O34/O12</f>
        <v>0</v>
      </c>
      <c r="Q34" s="26"/>
      <c r="R34" s="212">
        <f>Q34/Q12</f>
        <v>0</v>
      </c>
      <c r="S34" s="26"/>
      <c r="T34" s="212">
        <f>S34/S12</f>
        <v>0</v>
      </c>
      <c r="U34" s="26"/>
      <c r="V34" s="212">
        <f>U34/U12</f>
        <v>0</v>
      </c>
      <c r="W34" s="26"/>
      <c r="X34" s="212">
        <f>W34/W12</f>
        <v>0</v>
      </c>
      <c r="Y34" s="26"/>
      <c r="Z34" s="212">
        <f>Y34/Y12</f>
        <v>0</v>
      </c>
      <c r="AA34" s="166">
        <f t="shared" si="17"/>
        <v>0</v>
      </c>
      <c r="AB34" s="212">
        <f>AA34/AA12</f>
        <v>0</v>
      </c>
      <c r="AC34" s="128">
        <f t="shared" si="2"/>
        <v>0</v>
      </c>
      <c r="AD34" s="212">
        <f>AC34/AC12</f>
        <v>0</v>
      </c>
      <c r="AF34" s="84"/>
    </row>
    <row r="35" spans="1:33" s="1" customFormat="1">
      <c r="A35" s="206">
        <v>5699</v>
      </c>
      <c r="B35" s="250" t="s">
        <v>109</v>
      </c>
      <c r="C35" s="303">
        <f>SUM(C22:C34)</f>
        <v>2493.8673038525581</v>
      </c>
      <c r="D35" s="207">
        <f>C35/C12</f>
        <v>3.1919903909493281E-3</v>
      </c>
      <c r="E35" s="280">
        <f>SUM(E22:E34)</f>
        <v>1973.5321933500149</v>
      </c>
      <c r="F35" s="207">
        <f>E35/E12</f>
        <v>3.2467738171231869E-3</v>
      </c>
      <c r="G35" s="208">
        <f>SUM(G22:G34)</f>
        <v>3174.8343456142502</v>
      </c>
      <c r="H35" s="207">
        <f>G35/G12</f>
        <v>3.1487684774052045E-3</v>
      </c>
      <c r="I35" s="208">
        <f>SUM(I22:I34)</f>
        <v>2820.9113830807109</v>
      </c>
      <c r="J35" s="207">
        <f>I35/I12</f>
        <v>3.1684818159264262E-3</v>
      </c>
      <c r="K35" s="280">
        <f>SUM(K22:K34)</f>
        <v>2592.8205479077915</v>
      </c>
      <c r="L35" s="207">
        <f>K35/K12</f>
        <v>3.1842132859024016E-3</v>
      </c>
      <c r="M35" s="297">
        <f>SUM(M22:M34)</f>
        <v>3613.8857155429801</v>
      </c>
      <c r="N35" s="207">
        <f>M35/M12</f>
        <v>3.1299119073070979E-3</v>
      </c>
      <c r="O35" s="297">
        <f>SUM(O22:O34)</f>
        <v>2343.0224903794137</v>
      </c>
      <c r="P35" s="207">
        <f>O35/O12</f>
        <v>3.2051962540165951E-3</v>
      </c>
      <c r="Q35" s="297">
        <f>SUM(Q22:Q34)</f>
        <v>2873.161639686261</v>
      </c>
      <c r="R35" s="207">
        <f>Q35/Q12</f>
        <v>3.1652490962864196E-3</v>
      </c>
      <c r="S35" s="297">
        <f>SUM(S22:S34)</f>
        <v>2893.2566004260793</v>
      </c>
      <c r="T35" s="207">
        <f>S35/S12</f>
        <v>3.1640386101431804E-3</v>
      </c>
      <c r="U35" s="208">
        <f>SUM(U22:U34)</f>
        <v>2325.969046909785</v>
      </c>
      <c r="V35" s="207">
        <f>U35/U12</f>
        <v>3.2068044123325515E-3</v>
      </c>
      <c r="W35" s="208">
        <f>SUM(W22:W34)</f>
        <v>2363.921274840714</v>
      </c>
      <c r="X35" s="207">
        <f>W35/W12</f>
        <v>3.2032592599898911E-3</v>
      </c>
      <c r="Y35" s="208">
        <f>SUM(Y22:Y34)</f>
        <v>3494.4900224810999</v>
      </c>
      <c r="Z35" s="207">
        <f>Y35/Y12</f>
        <v>3.1345496613759275E-3</v>
      </c>
      <c r="AA35" s="209">
        <f>SUM(AA22:AA34)</f>
        <v>32963.672564071661</v>
      </c>
      <c r="AB35" s="207">
        <f>AA35/AA12</f>
        <v>3.1732786785285904E-3</v>
      </c>
      <c r="AC35" s="210">
        <f t="shared" si="2"/>
        <v>2746.9727136726383</v>
      </c>
      <c r="AD35" s="207">
        <f>AC35/AC12</f>
        <v>3.1732786785285899E-3</v>
      </c>
      <c r="AE35" s="272"/>
      <c r="AF35" s="322"/>
      <c r="AG35" s="272"/>
    </row>
    <row r="36" spans="1:33" s="1" customFormat="1">
      <c r="A36" s="205">
        <v>5999</v>
      </c>
      <c r="B36" s="251" t="s">
        <v>110</v>
      </c>
      <c r="C36" s="203">
        <f>C21+C35</f>
        <v>416577.0909844712</v>
      </c>
      <c r="D36" s="204">
        <f>C36/C12</f>
        <v>0.53319199039094944</v>
      </c>
      <c r="E36" s="281">
        <f>E21+E35</f>
        <v>275503.36119585228</v>
      </c>
      <c r="F36" s="204">
        <f>E36/E12</f>
        <v>0.45324677381712325</v>
      </c>
      <c r="G36" s="203">
        <f>G21+G35</f>
        <v>517396.6731000368</v>
      </c>
      <c r="H36" s="204">
        <f>G36/G12</f>
        <v>0.5131487684774052</v>
      </c>
      <c r="I36" s="203">
        <f>I21+I35</f>
        <v>402033.132774211</v>
      </c>
      <c r="J36" s="204">
        <f>I36/I12</f>
        <v>0.45156848181592646</v>
      </c>
      <c r="K36" s="281">
        <f>K21+K35</f>
        <v>333025.01332823507</v>
      </c>
      <c r="L36" s="204">
        <f>K36/K12</f>
        <v>0.4089842132859024</v>
      </c>
      <c r="M36" s="298">
        <f>M21+M35</f>
        <v>598363.06307427259</v>
      </c>
      <c r="N36" s="204">
        <f>M36/M12</f>
        <v>0.51822991190730705</v>
      </c>
      <c r="O36" s="298">
        <f>O21+O35</f>
        <v>336925.15377259866</v>
      </c>
      <c r="P36" s="204">
        <f>O36/O12</f>
        <v>0.46090519625401666</v>
      </c>
      <c r="Q36" s="298">
        <f>Q21+Q35</f>
        <v>429501.81852386717</v>
      </c>
      <c r="R36" s="204">
        <f>Q36/Q12</f>
        <v>0.47316524909628643</v>
      </c>
      <c r="S36" s="298">
        <f>S21+S35</f>
        <v>453610.31605043093</v>
      </c>
      <c r="T36" s="204">
        <f>S36/S12</f>
        <v>0.49606403861014325</v>
      </c>
      <c r="U36" s="203">
        <f>U21+U35</f>
        <v>321105.43441919325</v>
      </c>
      <c r="V36" s="204">
        <f>U36/U12</f>
        <v>0.44270680441233251</v>
      </c>
      <c r="W36" s="203">
        <f>W21+W35</f>
        <v>334821.09938008792</v>
      </c>
      <c r="X36" s="204">
        <f>W36/W12</f>
        <v>0.45370325925998989</v>
      </c>
      <c r="Y36" s="203">
        <f>Y21+Y35</f>
        <v>590563.97196866339</v>
      </c>
      <c r="Z36" s="204">
        <f>Y36/Y12</f>
        <v>0.5297345496613759</v>
      </c>
      <c r="AA36" s="154">
        <f>AA21+AA35</f>
        <v>5009426.1285719201</v>
      </c>
      <c r="AB36" s="204">
        <f>AA36/AA12</f>
        <v>0.48223707763640605</v>
      </c>
      <c r="AC36" s="139">
        <f t="shared" si="2"/>
        <v>417452.17738099332</v>
      </c>
      <c r="AD36" s="204">
        <f>AC36/AC12</f>
        <v>0.48223707763640605</v>
      </c>
      <c r="AE36" s="272"/>
      <c r="AF36" s="322"/>
      <c r="AG36" s="272"/>
    </row>
    <row r="37" spans="1:33" s="1" customFormat="1" ht="15.75" thickBot="1">
      <c r="A37" s="10"/>
      <c r="B37" s="240" t="s">
        <v>68</v>
      </c>
      <c r="C37" s="80">
        <f>(C16-C36)</f>
        <v>364712.01029971481</v>
      </c>
      <c r="D37" s="88">
        <f>C37/C12</f>
        <v>0.46680800960905061</v>
      </c>
      <c r="E37" s="120">
        <f>(E16-E36)</f>
        <v>332340.70325415267</v>
      </c>
      <c r="F37" s="88">
        <f>E37/E12</f>
        <v>0.54675322618287681</v>
      </c>
      <c r="G37" s="80">
        <f>(G16-G36)</f>
        <v>490881.44210471329</v>
      </c>
      <c r="H37" s="88">
        <f>G37/G12</f>
        <v>0.4868512315225948</v>
      </c>
      <c r="I37" s="80">
        <f>(I16-I36)</f>
        <v>488270.66158602596</v>
      </c>
      <c r="J37" s="88">
        <f>I37/I12</f>
        <v>0.54843151818407354</v>
      </c>
      <c r="K37" s="120">
        <f>(K16-K36)</f>
        <v>481248.50264102878</v>
      </c>
      <c r="L37" s="88">
        <f>K37/K12</f>
        <v>0.5910157867140976</v>
      </c>
      <c r="M37" s="30">
        <f>(M16-M36)</f>
        <v>556265.50877338741</v>
      </c>
      <c r="N37" s="88">
        <f>M37/M12</f>
        <v>0.48177008809269295</v>
      </c>
      <c r="O37" s="30">
        <f>(O16-O36)</f>
        <v>394082.34302053921</v>
      </c>
      <c r="P37" s="88">
        <f>O37/O12</f>
        <v>0.5390948037459834</v>
      </c>
      <c r="Q37" s="30">
        <f>(Q16-Q36)</f>
        <v>478218.72803821985</v>
      </c>
      <c r="R37" s="88">
        <f>Q37/Q12</f>
        <v>0.52683475090371357</v>
      </c>
      <c r="S37" s="30">
        <f>(S16-S36)</f>
        <v>460808.55075826211</v>
      </c>
      <c r="T37" s="88">
        <f>S37/S12</f>
        <v>0.50393596138985675</v>
      </c>
      <c r="U37" s="80">
        <f>(U16-U36)</f>
        <v>404217.58121740172</v>
      </c>
      <c r="V37" s="88">
        <f>U37/U12</f>
        <v>0.55729319558766743</v>
      </c>
      <c r="W37" s="80">
        <f>(W16-W36)</f>
        <v>403152.6589001501</v>
      </c>
      <c r="X37" s="88">
        <f>W37/W12</f>
        <v>0.54629674074001011</v>
      </c>
      <c r="Y37" s="80">
        <f>(Y16-Y36)</f>
        <v>524266.03552503651</v>
      </c>
      <c r="Z37" s="88">
        <f>Y37/Y12</f>
        <v>0.47026545033862416</v>
      </c>
      <c r="AA37" s="195">
        <f>(AA16-AA36)</f>
        <v>5378464.7261186317</v>
      </c>
      <c r="AB37" s="88">
        <f>AA37/AA12</f>
        <v>0.51776292236359389</v>
      </c>
      <c r="AC37" s="59">
        <f t="shared" si="2"/>
        <v>448205.39384321932</v>
      </c>
      <c r="AD37" s="88">
        <f>AC37/AC12</f>
        <v>0.517762922363594</v>
      </c>
      <c r="AE37" s="320"/>
      <c r="AF37" s="321"/>
      <c r="AG37" s="320"/>
    </row>
    <row r="38" spans="1:33" s="1" customFormat="1" ht="15.75" thickTop="1">
      <c r="A38" s="2">
        <v>6002</v>
      </c>
      <c r="B38" s="228" t="s">
        <v>45</v>
      </c>
      <c r="C38" s="61"/>
      <c r="D38" s="24">
        <f>C38/C12</f>
        <v>0</v>
      </c>
      <c r="E38" s="703"/>
      <c r="F38" s="24">
        <f>E38/E12</f>
        <v>0</v>
      </c>
      <c r="G38" s="61"/>
      <c r="H38" s="24">
        <f>G38/G12</f>
        <v>0</v>
      </c>
      <c r="I38" s="61"/>
      <c r="J38" s="24">
        <f>I38/I12</f>
        <v>0</v>
      </c>
      <c r="K38" s="703"/>
      <c r="L38" s="24">
        <f>K38/K12</f>
        <v>0</v>
      </c>
      <c r="M38" s="26"/>
      <c r="N38" s="24">
        <f>M38/M12</f>
        <v>0</v>
      </c>
      <c r="O38" s="26"/>
      <c r="P38" s="24">
        <f>O38/O12</f>
        <v>0</v>
      </c>
      <c r="Q38" s="26"/>
      <c r="R38" s="24">
        <f>Q38/Q12</f>
        <v>0</v>
      </c>
      <c r="S38" s="26"/>
      <c r="T38" s="24">
        <f>S38/S12</f>
        <v>0</v>
      </c>
      <c r="U38" s="61"/>
      <c r="V38" s="24">
        <f>U38/U12</f>
        <v>0</v>
      </c>
      <c r="W38" s="61"/>
      <c r="X38" s="24">
        <f>W38/W12</f>
        <v>0</v>
      </c>
      <c r="Y38" s="61"/>
      <c r="Z38" s="24">
        <f>Y38/Y12</f>
        <v>0</v>
      </c>
      <c r="AA38" s="144">
        <f>C38+E38+G38+I38+K38+M38+O38+Q38+S38+U38+W38+Y38</f>
        <v>0</v>
      </c>
      <c r="AB38" s="24">
        <f>AA38/AA12</f>
        <v>0</v>
      </c>
      <c r="AC38" s="128">
        <f t="shared" si="2"/>
        <v>0</v>
      </c>
      <c r="AD38" s="24">
        <f>AC38/AC12</f>
        <v>0</v>
      </c>
      <c r="AF38" s="84"/>
    </row>
    <row r="39" spans="1:33" s="1" customFormat="1">
      <c r="A39" s="2">
        <v>6003</v>
      </c>
      <c r="B39" s="2" t="s">
        <v>0</v>
      </c>
      <c r="C39" s="61"/>
      <c r="D39" s="702">
        <f>C39/C12</f>
        <v>0</v>
      </c>
      <c r="E39" s="61"/>
      <c r="F39" s="702">
        <f>E39/E12</f>
        <v>0</v>
      </c>
      <c r="G39" s="61">
        <v>0</v>
      </c>
      <c r="H39" s="702">
        <f>G39/G12</f>
        <v>0</v>
      </c>
      <c r="I39" s="61"/>
      <c r="J39" s="702">
        <f>I39/I12</f>
        <v>0</v>
      </c>
      <c r="K39" s="61"/>
      <c r="L39" s="702">
        <f>K39/K12</f>
        <v>0</v>
      </c>
      <c r="M39" s="26">
        <v>0</v>
      </c>
      <c r="N39" s="702">
        <f>M39/M12</f>
        <v>0</v>
      </c>
      <c r="O39" s="26"/>
      <c r="P39" s="702">
        <f>O39/O12</f>
        <v>0</v>
      </c>
      <c r="Q39" s="26"/>
      <c r="R39" s="68">
        <f>Q39/Q12</f>
        <v>0</v>
      </c>
      <c r="S39" s="26">
        <v>0</v>
      </c>
      <c r="T39" s="68">
        <f>S39/S12</f>
        <v>0</v>
      </c>
      <c r="U39" s="26"/>
      <c r="V39" s="68">
        <f>U39/U12</f>
        <v>0</v>
      </c>
      <c r="W39" s="26"/>
      <c r="X39" s="68">
        <f>W39/W12</f>
        <v>0</v>
      </c>
      <c r="Y39" s="26"/>
      <c r="Z39" s="68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si="2"/>
        <v>0</v>
      </c>
      <c r="AD39" s="68">
        <f>AC39/AC12</f>
        <v>0</v>
      </c>
      <c r="AF39" s="84"/>
    </row>
    <row r="40" spans="1:33" s="1" customFormat="1">
      <c r="A40" s="2">
        <v>6004</v>
      </c>
      <c r="B40" s="228" t="s">
        <v>1</v>
      </c>
      <c r="C40" s="61"/>
      <c r="D40" s="24">
        <f>C40/C12</f>
        <v>0</v>
      </c>
      <c r="E40" s="703"/>
      <c r="F40" s="24">
        <f>E40/E12</f>
        <v>0</v>
      </c>
      <c r="G40" s="61"/>
      <c r="H40" s="24">
        <f>G40/G12</f>
        <v>0</v>
      </c>
      <c r="I40" s="61"/>
      <c r="J40" s="24">
        <f>I40/I12</f>
        <v>0</v>
      </c>
      <c r="K40" s="703"/>
      <c r="L40" s="24">
        <f>K40/K12</f>
        <v>0</v>
      </c>
      <c r="M40" s="26"/>
      <c r="N40" s="24">
        <f>M40/M12</f>
        <v>0</v>
      </c>
      <c r="O40" s="26"/>
      <c r="P40" s="24">
        <f>O40/O12</f>
        <v>0</v>
      </c>
      <c r="Q40" s="26"/>
      <c r="R40" s="24">
        <f>Q40/Q12</f>
        <v>0</v>
      </c>
      <c r="S40" s="26"/>
      <c r="T40" s="24">
        <f>S40/S12</f>
        <v>0</v>
      </c>
      <c r="U40" s="61"/>
      <c r="V40" s="24">
        <f>U40/U12</f>
        <v>0</v>
      </c>
      <c r="W40" s="61"/>
      <c r="X40" s="24">
        <f>W40/W12</f>
        <v>0</v>
      </c>
      <c r="Y40" s="61"/>
      <c r="Z40" s="24">
        <f>Y40/Y12</f>
        <v>0</v>
      </c>
      <c r="AA40" s="144">
        <f>C40+E40+G40+I40+K40+M40+O40+Q40+S40+U40+W40+Y40</f>
        <v>0</v>
      </c>
      <c r="AB40" s="24">
        <f>AA40/AA12</f>
        <v>0</v>
      </c>
      <c r="AC40" s="128">
        <f t="shared" si="2"/>
        <v>0</v>
      </c>
      <c r="AD40" s="24">
        <f>AC40/AC12</f>
        <v>0</v>
      </c>
      <c r="AF40" s="84"/>
    </row>
    <row r="41" spans="1:33" s="1" customFormat="1" ht="15.75" thickBot="1">
      <c r="A41" s="4">
        <v>6099</v>
      </c>
      <c r="B41" s="229" t="s">
        <v>111</v>
      </c>
      <c r="C41" s="76">
        <f>SUM(C38:C40)</f>
        <v>0</v>
      </c>
      <c r="D41" s="92">
        <f>C41/C12</f>
        <v>0</v>
      </c>
      <c r="E41" s="116">
        <f>SUM(E38:E40)</f>
        <v>0</v>
      </c>
      <c r="F41" s="92">
        <f>E41/E12</f>
        <v>0</v>
      </c>
      <c r="G41" s="76">
        <f>SUM(G38:G40)</f>
        <v>0</v>
      </c>
      <c r="H41" s="92">
        <f>G41/G12</f>
        <v>0</v>
      </c>
      <c r="I41" s="76">
        <f>SUM(I38:I40)</f>
        <v>0</v>
      </c>
      <c r="J41" s="92">
        <f>I41/I12</f>
        <v>0</v>
      </c>
      <c r="K41" s="116">
        <f>SUM(K38:K40)</f>
        <v>0</v>
      </c>
      <c r="L41" s="92">
        <f>K41/K12</f>
        <v>0</v>
      </c>
      <c r="M41" s="28">
        <f>SUM(M38:M40)</f>
        <v>0</v>
      </c>
      <c r="N41" s="92">
        <f>M41/M12</f>
        <v>0</v>
      </c>
      <c r="O41" s="28">
        <f>SUM(O38:O40)</f>
        <v>0</v>
      </c>
      <c r="P41" s="92">
        <f>O41/O12</f>
        <v>0</v>
      </c>
      <c r="Q41" s="28">
        <f>SUM(Q38:Q40)</f>
        <v>0</v>
      </c>
      <c r="R41" s="92">
        <f>Q41/Q12</f>
        <v>0</v>
      </c>
      <c r="S41" s="28">
        <f>SUM(S38:S40)</f>
        <v>0</v>
      </c>
      <c r="T41" s="92">
        <f>S41/S12</f>
        <v>0</v>
      </c>
      <c r="U41" s="76">
        <f>SUM(U38:U40)</f>
        <v>0</v>
      </c>
      <c r="V41" s="92">
        <f>U41/U12</f>
        <v>0</v>
      </c>
      <c r="W41" s="76">
        <f>SUM(W38:W40)</f>
        <v>0</v>
      </c>
      <c r="X41" s="92">
        <f>W41/W12</f>
        <v>0</v>
      </c>
      <c r="Y41" s="76">
        <f>SUM(Y38:Y40)</f>
        <v>0</v>
      </c>
      <c r="Z41" s="92">
        <f>Y41/Y12</f>
        <v>0</v>
      </c>
      <c r="AA41" s="196">
        <f>SUM(AA38:AA40)</f>
        <v>0</v>
      </c>
      <c r="AB41" s="92">
        <f>AA41/AA12</f>
        <v>0</v>
      </c>
      <c r="AC41" s="52">
        <f t="shared" si="2"/>
        <v>0</v>
      </c>
      <c r="AD41" s="92">
        <f>AC41/AC12</f>
        <v>0</v>
      </c>
      <c r="AE41" s="320"/>
      <c r="AF41" s="321"/>
      <c r="AG41" s="320"/>
    </row>
    <row r="42" spans="1:33" s="1" customFormat="1" ht="15.75" thickTop="1">
      <c r="A42" s="188">
        <v>6101</v>
      </c>
      <c r="B42" s="227" t="s">
        <v>2</v>
      </c>
      <c r="C42" s="26">
        <v>93431.42</v>
      </c>
      <c r="D42" s="24">
        <f>C42/C12</f>
        <v>0.11958623235167243</v>
      </c>
      <c r="E42" s="26">
        <v>93431.42</v>
      </c>
      <c r="F42" s="24">
        <f>E42/E12</f>
        <v>0.15370952101759761</v>
      </c>
      <c r="G42" s="26">
        <v>93431.42</v>
      </c>
      <c r="H42" s="24">
        <f>G42/G12</f>
        <v>9.2664333968041121E-2</v>
      </c>
      <c r="I42" s="26">
        <v>93431.42</v>
      </c>
      <c r="J42" s="24">
        <f>I42/I12</f>
        <v>0.10494330204123059</v>
      </c>
      <c r="K42" s="26">
        <v>93431.42</v>
      </c>
      <c r="L42" s="24">
        <f>K42/K12</f>
        <v>0.11474205923151592</v>
      </c>
      <c r="M42" s="26">
        <v>93431.42</v>
      </c>
      <c r="N42" s="24">
        <f>M42/M12</f>
        <v>8.0919026497403526E-2</v>
      </c>
      <c r="O42" s="26">
        <v>93431.42</v>
      </c>
      <c r="P42" s="24">
        <f>O42/O12</f>
        <v>0.12781184927634118</v>
      </c>
      <c r="Q42" s="26">
        <v>99765.75</v>
      </c>
      <c r="R42" s="24">
        <f>Q42/Q12</f>
        <v>0.10990800018557929</v>
      </c>
      <c r="S42" s="26">
        <v>99765.75</v>
      </c>
      <c r="T42" s="24">
        <f>S42/S12</f>
        <v>0.10910289979927999</v>
      </c>
      <c r="U42" s="26">
        <v>99765.75</v>
      </c>
      <c r="V42" s="24">
        <f>U42/U12</f>
        <v>0.13754664866444158</v>
      </c>
      <c r="W42" s="26">
        <v>99765.75</v>
      </c>
      <c r="X42" s="24">
        <f>W42/W12</f>
        <v>0.13518875011557657</v>
      </c>
      <c r="Y42" s="26">
        <v>99765.75</v>
      </c>
      <c r="Z42" s="24">
        <f>Y42/Y12</f>
        <v>8.9489652529436234E-2</v>
      </c>
      <c r="AA42" s="144">
        <f t="shared" ref="AA42" si="18">C42+E42+G42+I42+K42+M42+O42+Q42+S42+U42+W42+Y42</f>
        <v>1152848.69</v>
      </c>
      <c r="AB42" s="68">
        <f>AA42/AA12</f>
        <v>0.11098005419256425</v>
      </c>
      <c r="AC42" s="128">
        <f t="shared" si="2"/>
        <v>96070.724166666667</v>
      </c>
      <c r="AD42" s="68">
        <f>AC42/AC12</f>
        <v>0.11098005419256425</v>
      </c>
      <c r="AE42" s="1" t="s">
        <v>197</v>
      </c>
      <c r="AF42" s="84"/>
      <c r="AG42" s="1" t="s">
        <v>197</v>
      </c>
    </row>
    <row r="43" spans="1:33" s="1" customFormat="1">
      <c r="A43" s="188">
        <v>6102</v>
      </c>
      <c r="B43" s="227" t="s">
        <v>3</v>
      </c>
      <c r="C43" s="437">
        <v>14250</v>
      </c>
      <c r="D43" s="24">
        <f>C43/C12</f>
        <v>1.8239087140186162E-2</v>
      </c>
      <c r="E43" s="437">
        <v>14250</v>
      </c>
      <c r="F43" s="24">
        <f>E43/E12</f>
        <v>2.3443512626702731E-2</v>
      </c>
      <c r="G43" s="437">
        <v>14250</v>
      </c>
      <c r="H43" s="24">
        <f>G43/G12</f>
        <v>1.4133005353494424E-2</v>
      </c>
      <c r="I43" s="437">
        <v>14250</v>
      </c>
      <c r="J43" s="24">
        <f>I43/I12</f>
        <v>1.6005772513010462E-2</v>
      </c>
      <c r="K43" s="437">
        <v>14250</v>
      </c>
      <c r="L43" s="24">
        <f>K43/K12</f>
        <v>1.7500262160728176E-2</v>
      </c>
      <c r="M43" s="437">
        <v>14250</v>
      </c>
      <c r="N43" s="24">
        <f>M43/M12</f>
        <v>1.2341631194174297E-2</v>
      </c>
      <c r="O43" s="437">
        <v>14250</v>
      </c>
      <c r="P43" s="24">
        <f>O43/O12</f>
        <v>1.9493644131576528E-2</v>
      </c>
      <c r="Q43" s="437">
        <v>14250</v>
      </c>
      <c r="R43" s="24">
        <f>Q43/Q12</f>
        <v>1.5698664147209888E-2</v>
      </c>
      <c r="S43" s="437">
        <v>14250</v>
      </c>
      <c r="T43" s="24">
        <f>S43/S12</f>
        <v>1.5583667963602138E-2</v>
      </c>
      <c r="U43" s="437">
        <v>14250</v>
      </c>
      <c r="V43" s="24">
        <f>U43/U12</f>
        <v>1.9646419171592381E-2</v>
      </c>
      <c r="W43" s="437">
        <v>14250</v>
      </c>
      <c r="X43" s="24">
        <f>W43/W12</f>
        <v>1.9309629699039661E-2</v>
      </c>
      <c r="Y43" s="437">
        <v>14250</v>
      </c>
      <c r="Z43" s="24">
        <f>Y43/Y12</f>
        <v>1.278221783071311E-2</v>
      </c>
      <c r="AA43" s="144">
        <f t="shared" ref="AA43:AA75" si="19">C43+E43+G43+I43+K43+M43+O43+Q43+S43+U43+W43+Y43</f>
        <v>171000</v>
      </c>
      <c r="AB43" s="68">
        <f>AA43/AA12</f>
        <v>1.6461474460216011E-2</v>
      </c>
      <c r="AC43" s="128">
        <f t="shared" si="2"/>
        <v>14250</v>
      </c>
      <c r="AD43" s="68">
        <f>AC43/AC12</f>
        <v>1.6461474460216011E-2</v>
      </c>
      <c r="AE43" s="1" t="s">
        <v>310</v>
      </c>
      <c r="AF43" s="84"/>
      <c r="AG43" s="736" t="s">
        <v>312</v>
      </c>
    </row>
    <row r="44" spans="1:33" s="1" customFormat="1">
      <c r="A44" s="188">
        <v>6103</v>
      </c>
      <c r="B44" s="227" t="s">
        <v>4</v>
      </c>
      <c r="C44" s="61"/>
      <c r="D44" s="24">
        <f>C44/C12</f>
        <v>0</v>
      </c>
      <c r="E44" s="703"/>
      <c r="F44" s="24">
        <f>E44/E12</f>
        <v>0</v>
      </c>
      <c r="H44" s="24">
        <f>G44/G12</f>
        <v>0</v>
      </c>
      <c r="I44" s="61"/>
      <c r="J44" s="24">
        <f>I44/I12</f>
        <v>0</v>
      </c>
      <c r="K44" s="703"/>
      <c r="L44" s="24">
        <f>K44/K12</f>
        <v>0</v>
      </c>
      <c r="M44" s="26"/>
      <c r="N44" s="24">
        <f>M44/M12</f>
        <v>0</v>
      </c>
      <c r="O44" s="33"/>
      <c r="P44" s="24">
        <f>O44/O12</f>
        <v>0</v>
      </c>
      <c r="Q44" s="26">
        <v>0</v>
      </c>
      <c r="R44" s="24">
        <f>Q44/Q12</f>
        <v>0</v>
      </c>
      <c r="S44" s="26"/>
      <c r="T44" s="24">
        <f>S44/S12</f>
        <v>0</v>
      </c>
      <c r="U44" s="51">
        <v>0</v>
      </c>
      <c r="V44" s="24">
        <f>U44/U12</f>
        <v>0</v>
      </c>
      <c r="W44" s="51"/>
      <c r="X44" s="24">
        <f>W44/W12</f>
        <v>0</v>
      </c>
      <c r="Y44" s="51"/>
      <c r="Z44" s="24">
        <f>Y44/Y12</f>
        <v>0</v>
      </c>
      <c r="AA44" s="144">
        <f t="shared" si="19"/>
        <v>0</v>
      </c>
      <c r="AB44" s="68">
        <f>AA44/AA12</f>
        <v>0</v>
      </c>
      <c r="AC44" s="128">
        <f t="shared" si="2"/>
        <v>0</v>
      </c>
      <c r="AD44" s="68">
        <f>AC44/AC12</f>
        <v>0</v>
      </c>
      <c r="AF44" s="84"/>
    </row>
    <row r="45" spans="1:33" s="1" customFormat="1">
      <c r="A45" s="188">
        <v>6104</v>
      </c>
      <c r="B45" s="227" t="s">
        <v>5</v>
      </c>
      <c r="C45" s="295">
        <v>3000</v>
      </c>
      <c r="D45" s="702">
        <f>C45/C12</f>
        <v>3.8398078189865602E-3</v>
      </c>
      <c r="E45" s="295">
        <v>3000</v>
      </c>
      <c r="F45" s="702">
        <f>E45/E12</f>
        <v>4.935476342463733E-3</v>
      </c>
      <c r="G45" s="295">
        <v>3000</v>
      </c>
      <c r="H45" s="702">
        <f>G45/G12</f>
        <v>2.9753695481040893E-3</v>
      </c>
      <c r="I45" s="295">
        <v>3000</v>
      </c>
      <c r="J45" s="702">
        <f>I45/I12</f>
        <v>3.3696363185285183E-3</v>
      </c>
      <c r="K45" s="295">
        <v>3000</v>
      </c>
      <c r="L45" s="702">
        <f>K45/K12</f>
        <v>3.6842657180480376E-3</v>
      </c>
      <c r="M45" s="295">
        <v>3000</v>
      </c>
      <c r="N45" s="702">
        <f>M45/M12</f>
        <v>2.5982381461419576E-3</v>
      </c>
      <c r="O45" s="295">
        <v>3000</v>
      </c>
      <c r="P45" s="702">
        <f>O45/O12</f>
        <v>4.1039250803319004E-3</v>
      </c>
      <c r="Q45" s="295">
        <v>3000</v>
      </c>
      <c r="R45" s="68">
        <f>Q45/Q12</f>
        <v>3.3049819257283978E-3</v>
      </c>
      <c r="S45" s="295">
        <v>3000</v>
      </c>
      <c r="T45" s="68">
        <f>S45/S12</f>
        <v>3.2807722028636078E-3</v>
      </c>
      <c r="U45" s="295">
        <v>3000</v>
      </c>
      <c r="V45" s="68">
        <f>U45/U12</f>
        <v>4.1360882466510273E-3</v>
      </c>
      <c r="W45" s="295">
        <v>3000</v>
      </c>
      <c r="X45" s="68">
        <f>W45/W12</f>
        <v>4.0651851997978231E-3</v>
      </c>
      <c r="Y45" s="295">
        <v>3000</v>
      </c>
      <c r="Z45" s="68">
        <f>Y45/Y12</f>
        <v>2.6909932275185492E-3</v>
      </c>
      <c r="AA45" s="144">
        <f t="shared" si="19"/>
        <v>36000</v>
      </c>
      <c r="AB45" s="68">
        <f>AA45/AA12</f>
        <v>3.4655735705717921E-3</v>
      </c>
      <c r="AC45" s="128">
        <f t="shared" si="2"/>
        <v>3000</v>
      </c>
      <c r="AD45" s="68">
        <f>AC45/AC12</f>
        <v>3.4655735705717921E-3</v>
      </c>
      <c r="AF45" s="84"/>
    </row>
    <row r="46" spans="1:33" s="1" customFormat="1">
      <c r="A46" s="188">
        <v>6105</v>
      </c>
      <c r="B46" s="188" t="s">
        <v>39</v>
      </c>
      <c r="C46" s="436">
        <f>C12*0.24%</f>
        <v>1875.0938430820463</v>
      </c>
      <c r="D46" s="702">
        <f>C46/C$12</f>
        <v>2.3999999999999998E-3</v>
      </c>
      <c r="E46" s="436">
        <f>E12*0.24%</f>
        <v>1458.8257546800119</v>
      </c>
      <c r="F46" s="702">
        <f>E46/E$12</f>
        <v>2.3999999999999998E-3</v>
      </c>
      <c r="G46" s="436">
        <f>G12*0.24%</f>
        <v>2419.8674764913999</v>
      </c>
      <c r="H46" s="702">
        <f>G46/$G$12</f>
        <v>2.3999999999999998E-3</v>
      </c>
      <c r="I46" s="436">
        <f>I12*0.24%</f>
        <v>2136.7291064645683</v>
      </c>
      <c r="J46" s="226">
        <v>2.282921148507532E-3</v>
      </c>
      <c r="K46" s="436">
        <f>K12*0.24%</f>
        <v>1954.2564383262331</v>
      </c>
      <c r="L46" s="226">
        <v>1.4480363095715567E-3</v>
      </c>
      <c r="M46" s="436">
        <f>M12*0.24%</f>
        <v>2771.1085724343839</v>
      </c>
      <c r="N46" s="702">
        <v>1.4265472348621291E-3</v>
      </c>
      <c r="O46" s="436">
        <f>O12*0.24%</f>
        <v>1754.4179923035308</v>
      </c>
      <c r="P46" s="702">
        <f>O46/O$12</f>
        <v>2.3999999999999998E-3</v>
      </c>
      <c r="Q46" s="436">
        <f>Q12*0.24%</f>
        <v>2178.5293117490087</v>
      </c>
      <c r="R46" s="702">
        <f>Q46/Q$12</f>
        <v>2.3999999999999998E-3</v>
      </c>
      <c r="S46" s="436">
        <f>S12*0.24%</f>
        <v>2194.6052803408629</v>
      </c>
      <c r="T46" s="702">
        <f>S46/S$12</f>
        <v>2.3999999999999998E-3</v>
      </c>
      <c r="U46" s="436">
        <f>U12*0.24%</f>
        <v>1740.7752375278278</v>
      </c>
      <c r="V46" s="702">
        <f>U46/U12</f>
        <v>2.3999999999999998E-3</v>
      </c>
      <c r="W46" s="436">
        <f>W12*0.24%</f>
        <v>1771.137019872571</v>
      </c>
      <c r="X46" s="702">
        <f>W46/W12</f>
        <v>2.3999999999999998E-3</v>
      </c>
      <c r="Y46" s="436">
        <f>Y16*0.24%</f>
        <v>2675.5920179848795</v>
      </c>
      <c r="Z46" s="702">
        <f>Y46/Y12</f>
        <v>2.3999999999999998E-3</v>
      </c>
      <c r="AA46" s="144">
        <f t="shared" si="19"/>
        <v>24930.938051257323</v>
      </c>
      <c r="AB46" s="68">
        <f>AA46/AA12</f>
        <v>2.3999999999999998E-3</v>
      </c>
      <c r="AC46" s="128">
        <f t="shared" si="2"/>
        <v>2077.5781709381104</v>
      </c>
      <c r="AD46" s="68">
        <f>AC46/AC12</f>
        <v>2.4000000000000002E-3</v>
      </c>
      <c r="AF46" s="84"/>
    </row>
    <row r="47" spans="1:33" s="1" customFormat="1">
      <c r="A47" s="188">
        <v>6106</v>
      </c>
      <c r="B47" s="188" t="s">
        <v>6</v>
      </c>
      <c r="C47" s="432">
        <v>200</v>
      </c>
      <c r="D47" s="702">
        <f>C47/C12</f>
        <v>2.5598718793243735E-4</v>
      </c>
      <c r="E47" s="432">
        <v>200</v>
      </c>
      <c r="F47" s="702">
        <f>E47/E12</f>
        <v>3.2903175616424887E-4</v>
      </c>
      <c r="G47" s="432">
        <v>200</v>
      </c>
      <c r="H47" s="702">
        <f>G47/G12</f>
        <v>1.9835796987360593E-4</v>
      </c>
      <c r="I47" s="432">
        <v>200</v>
      </c>
      <c r="J47" s="702">
        <f>I47/I12</f>
        <v>2.2464242123523457E-4</v>
      </c>
      <c r="K47" s="432">
        <v>200</v>
      </c>
      <c r="L47" s="702">
        <f>K47/K12</f>
        <v>2.4561771453653585E-4</v>
      </c>
      <c r="M47" s="432">
        <v>200</v>
      </c>
      <c r="N47" s="702">
        <f>M47/M12</f>
        <v>1.7321587640946383E-4</v>
      </c>
      <c r="O47" s="432">
        <v>200</v>
      </c>
      <c r="P47" s="702">
        <f>O47/O12</f>
        <v>2.7359500535546007E-4</v>
      </c>
      <c r="Q47" s="432">
        <v>200</v>
      </c>
      <c r="R47" s="702">
        <f>Q47/Q12</f>
        <v>2.2033212838189317E-4</v>
      </c>
      <c r="S47" s="432">
        <v>200</v>
      </c>
      <c r="T47" s="702">
        <f>S47/S12</f>
        <v>2.1871814685757386E-4</v>
      </c>
      <c r="U47" s="432">
        <v>200</v>
      </c>
      <c r="V47" s="702">
        <f>U47/U12</f>
        <v>2.7573921644340183E-4</v>
      </c>
      <c r="W47" s="432">
        <v>200</v>
      </c>
      <c r="X47" s="702">
        <f>W47/W12</f>
        <v>2.7101234665318825E-4</v>
      </c>
      <c r="Y47" s="432">
        <v>200</v>
      </c>
      <c r="Z47" s="702">
        <f>Y47/Y12</f>
        <v>1.7939954850123663E-4</v>
      </c>
      <c r="AA47" s="144">
        <f t="shared" si="19"/>
        <v>2400</v>
      </c>
      <c r="AB47" s="702">
        <f>AA47/AA12</f>
        <v>2.3103823803811947E-4</v>
      </c>
      <c r="AC47" s="128">
        <f t="shared" si="2"/>
        <v>200</v>
      </c>
      <c r="AD47" s="702">
        <f>AC47/AC12</f>
        <v>2.3103823803811947E-4</v>
      </c>
      <c r="AE47" s="645"/>
      <c r="AF47" s="694"/>
      <c r="AG47" s="226"/>
    </row>
    <row r="48" spans="1:33" s="1" customFormat="1">
      <c r="A48" s="188">
        <v>6107</v>
      </c>
      <c r="B48" s="227" t="s">
        <v>7</v>
      </c>
      <c r="C48" s="75"/>
      <c r="D48" s="24">
        <f>C48/C12</f>
        <v>0</v>
      </c>
      <c r="E48" s="113"/>
      <c r="F48" s="24">
        <f>E48/E12</f>
        <v>0</v>
      </c>
      <c r="H48" s="24">
        <f>G48/G12</f>
        <v>0</v>
      </c>
      <c r="I48" s="75"/>
      <c r="J48" s="24">
        <f>I48/I12</f>
        <v>0</v>
      </c>
      <c r="K48" s="113"/>
      <c r="L48" s="24">
        <f>K48/K12</f>
        <v>0</v>
      </c>
      <c r="M48" s="31">
        <v>0</v>
      </c>
      <c r="N48" s="24">
        <f>M48/M12</f>
        <v>0</v>
      </c>
      <c r="O48" s="33"/>
      <c r="P48" s="24">
        <f>O48/O12</f>
        <v>0</v>
      </c>
      <c r="Q48" s="31"/>
      <c r="R48" s="24">
        <f>Q48/Q12</f>
        <v>0</v>
      </c>
      <c r="S48" s="31"/>
      <c r="T48" s="24">
        <f>S48/S12</f>
        <v>0</v>
      </c>
      <c r="U48" s="31"/>
      <c r="V48" s="24">
        <f>U48/U12</f>
        <v>0</v>
      </c>
      <c r="W48" s="31"/>
      <c r="X48" s="24">
        <f>W48/W12</f>
        <v>0</v>
      </c>
      <c r="Y48" s="31"/>
      <c r="Z48" s="24">
        <f>Y48/Y12</f>
        <v>0</v>
      </c>
      <c r="AA48" s="144">
        <f t="shared" si="19"/>
        <v>0</v>
      </c>
      <c r="AB48" s="68">
        <f>AA48/AA12</f>
        <v>0</v>
      </c>
      <c r="AC48" s="128">
        <f t="shared" si="2"/>
        <v>0</v>
      </c>
      <c r="AD48" s="68">
        <f>AC48/AC12</f>
        <v>0</v>
      </c>
      <c r="AF48" s="84"/>
    </row>
    <row r="49" spans="1:33" s="1" customFormat="1">
      <c r="A49" s="188">
        <v>6108</v>
      </c>
      <c r="B49" s="227" t="s">
        <v>8</v>
      </c>
      <c r="C49" s="75"/>
      <c r="D49" s="24">
        <f>C49/C12</f>
        <v>0</v>
      </c>
      <c r="E49" s="113"/>
      <c r="F49" s="24">
        <f>E49/E12</f>
        <v>0</v>
      </c>
      <c r="H49" s="24">
        <f>G49/G12</f>
        <v>0</v>
      </c>
      <c r="I49" s="75"/>
      <c r="J49" s="24">
        <f>I49/I12</f>
        <v>0</v>
      </c>
      <c r="K49" s="113"/>
      <c r="L49" s="24">
        <f>K49/K12</f>
        <v>0</v>
      </c>
      <c r="M49" s="31"/>
      <c r="N49" s="24">
        <f>M49/M12</f>
        <v>0</v>
      </c>
      <c r="O49" s="33"/>
      <c r="P49" s="24">
        <f>O49/O12</f>
        <v>0</v>
      </c>
      <c r="Q49" s="31">
        <v>0</v>
      </c>
      <c r="R49" s="24">
        <f>Q49/Q12</f>
        <v>0</v>
      </c>
      <c r="S49" s="31"/>
      <c r="T49" s="24">
        <f>S49/S12</f>
        <v>0</v>
      </c>
      <c r="U49" s="31"/>
      <c r="V49" s="24">
        <f>U49/U12</f>
        <v>0</v>
      </c>
      <c r="W49" s="31"/>
      <c r="X49" s="24">
        <f>W49/W12</f>
        <v>0</v>
      </c>
      <c r="Y49" s="31"/>
      <c r="Z49" s="24">
        <f>Y49/Y12</f>
        <v>0</v>
      </c>
      <c r="AA49" s="144">
        <f t="shared" si="19"/>
        <v>0</v>
      </c>
      <c r="AB49" s="68">
        <f>AA49/AA12</f>
        <v>0</v>
      </c>
      <c r="AC49" s="128">
        <f t="shared" si="2"/>
        <v>0</v>
      </c>
      <c r="AD49" s="68">
        <f>AC49/AC12</f>
        <v>0</v>
      </c>
      <c r="AF49" s="84"/>
    </row>
    <row r="50" spans="1:33" s="1" customFormat="1">
      <c r="A50" s="188">
        <v>6109</v>
      </c>
      <c r="B50" s="227" t="s">
        <v>79</v>
      </c>
      <c r="C50" s="113"/>
      <c r="D50" s="24">
        <f>C50/C12</f>
        <v>0</v>
      </c>
      <c r="E50" s="113"/>
      <c r="F50" s="24">
        <f>E50/E12</f>
        <v>0</v>
      </c>
      <c r="H50" s="24">
        <f>G50/G12</f>
        <v>0</v>
      </c>
      <c r="I50" s="113"/>
      <c r="J50" s="24">
        <f>I50/I12</f>
        <v>0</v>
      </c>
      <c r="K50" s="113"/>
      <c r="L50" s="24">
        <f>K50/K12</f>
        <v>0</v>
      </c>
      <c r="M50" s="295"/>
      <c r="N50" s="24">
        <f>M50/M12</f>
        <v>0</v>
      </c>
      <c r="O50" s="33"/>
      <c r="P50" s="24">
        <f>O50/O12</f>
        <v>0</v>
      </c>
      <c r="Q50" s="113"/>
      <c r="R50" s="24">
        <f>Q50/Q12</f>
        <v>0</v>
      </c>
      <c r="S50" s="113"/>
      <c r="T50" s="24">
        <f>S50/S12</f>
        <v>0</v>
      </c>
      <c r="U50" s="113"/>
      <c r="V50" s="24">
        <f>U50/U12</f>
        <v>0</v>
      </c>
      <c r="W50" s="113"/>
      <c r="X50" s="24">
        <f>W50/W12</f>
        <v>0</v>
      </c>
      <c r="Y50" s="113"/>
      <c r="Z50" s="24">
        <f>Y50/Y12</f>
        <v>0</v>
      </c>
      <c r="AA50" s="144">
        <f t="shared" si="19"/>
        <v>0</v>
      </c>
      <c r="AB50" s="68">
        <f>AA50/AA12</f>
        <v>0</v>
      </c>
      <c r="AC50" s="128">
        <f t="shared" si="2"/>
        <v>0</v>
      </c>
      <c r="AD50" s="68">
        <f>AC50/AC12</f>
        <v>0</v>
      </c>
      <c r="AF50" s="84"/>
    </row>
    <row r="51" spans="1:33" s="1" customFormat="1">
      <c r="A51" s="188">
        <v>6110</v>
      </c>
      <c r="B51" s="188" t="s">
        <v>9</v>
      </c>
      <c r="C51" s="432">
        <v>250</v>
      </c>
      <c r="D51" s="702">
        <f>C51/C12</f>
        <v>3.1998398491554666E-4</v>
      </c>
      <c r="E51" s="432">
        <v>250</v>
      </c>
      <c r="F51" s="702">
        <f>E51/E12</f>
        <v>4.1128969520531108E-4</v>
      </c>
      <c r="G51" s="432">
        <v>250</v>
      </c>
      <c r="H51" s="702">
        <f>G51/G12</f>
        <v>2.4794746234200744E-4</v>
      </c>
      <c r="I51" s="432">
        <v>250</v>
      </c>
      <c r="J51" s="702">
        <f>I51/I12</f>
        <v>2.8080302654404321E-4</v>
      </c>
      <c r="K51" s="432">
        <v>250</v>
      </c>
      <c r="L51" s="702">
        <f>K51/K12</f>
        <v>3.0702214317066977E-4</v>
      </c>
      <c r="M51" s="432">
        <v>250</v>
      </c>
      <c r="N51" s="702">
        <f>M51/M12</f>
        <v>2.1651984551182977E-4</v>
      </c>
      <c r="O51" s="432">
        <v>250</v>
      </c>
      <c r="P51" s="702">
        <f>O51/O12</f>
        <v>3.4199375669432505E-4</v>
      </c>
      <c r="Q51" s="432">
        <v>250</v>
      </c>
      <c r="R51" s="702">
        <f>Q51/Q12</f>
        <v>2.7541516047736647E-4</v>
      </c>
      <c r="S51" s="432">
        <v>250</v>
      </c>
      <c r="T51" s="702">
        <f>S51/S12</f>
        <v>2.7339768357196735E-4</v>
      </c>
      <c r="U51" s="432">
        <v>250</v>
      </c>
      <c r="V51" s="702">
        <f>U51/U12</f>
        <v>3.4467402055425231E-4</v>
      </c>
      <c r="W51" s="432">
        <v>250</v>
      </c>
      <c r="X51" s="702">
        <f>W51/W12</f>
        <v>3.3876543331648527E-4</v>
      </c>
      <c r="Y51" s="432">
        <v>250</v>
      </c>
      <c r="Z51" s="702">
        <f>Y51/Y12</f>
        <v>2.2424943562654578E-4</v>
      </c>
      <c r="AA51" s="144">
        <f t="shared" si="19"/>
        <v>3000</v>
      </c>
      <c r="AB51" s="702">
        <f>AA51/AA12</f>
        <v>2.8879779754764932E-4</v>
      </c>
      <c r="AC51" s="128">
        <f t="shared" si="2"/>
        <v>250</v>
      </c>
      <c r="AD51" s="702">
        <f>AC51/AC12</f>
        <v>2.8879779754764932E-4</v>
      </c>
      <c r="AE51" s="645"/>
      <c r="AF51" s="694"/>
      <c r="AG51" s="226"/>
    </row>
    <row r="52" spans="1:33" s="1" customFormat="1">
      <c r="A52" s="188">
        <v>6111</v>
      </c>
      <c r="B52" s="227" t="s">
        <v>10</v>
      </c>
      <c r="C52" s="61">
        <v>20586.669999999998</v>
      </c>
      <c r="D52" s="24">
        <f>C52/C12</f>
        <v>2.6349618810965349E-2</v>
      </c>
      <c r="E52" s="61">
        <v>20586.669999999998</v>
      </c>
      <c r="F52" s="24">
        <f>E52/E12</f>
        <v>3.386834091836928E-2</v>
      </c>
      <c r="G52" s="371">
        <v>20586.669999999998</v>
      </c>
      <c r="H52" s="24">
        <f>G52/G12</f>
        <v>2.0417650338289333E-2</v>
      </c>
      <c r="I52" s="61">
        <v>20586.669999999998</v>
      </c>
      <c r="J52" s="24">
        <f>I52/I12</f>
        <v>2.3123196969853828E-2</v>
      </c>
      <c r="K52" s="61">
        <v>20586.669999999998</v>
      </c>
      <c r="L52" s="24">
        <f>K52/K12</f>
        <v>2.5282254176589327E-2</v>
      </c>
      <c r="M52" s="33">
        <v>20586.669999999998</v>
      </c>
      <c r="N52" s="24">
        <f>M52/M12</f>
        <v>1.7829690432012081E-2</v>
      </c>
      <c r="O52" s="33">
        <v>20586.669999999998</v>
      </c>
      <c r="P52" s="24">
        <f>O52/O12</f>
        <v>2.816205044450544E-2</v>
      </c>
      <c r="Q52" s="61">
        <v>20586.68</v>
      </c>
      <c r="R52" s="24">
        <f>Q52/Q12</f>
        <v>2.2679535103584763E-2</v>
      </c>
      <c r="S52" s="61">
        <v>20586.68</v>
      </c>
      <c r="T52" s="24">
        <f>S52/S12</f>
        <v>2.2513402497749396E-2</v>
      </c>
      <c r="U52" s="61">
        <v>20586.583333333332</v>
      </c>
      <c r="V52" s="24">
        <f>U52/U12</f>
        <v>2.8382641787900644E-2</v>
      </c>
      <c r="W52" s="61">
        <v>20586.583333333332</v>
      </c>
      <c r="X52" s="24">
        <f>W52/W12</f>
        <v>2.78960912936904E-2</v>
      </c>
      <c r="Y52" s="61">
        <v>20586.583333333332</v>
      </c>
      <c r="Z52" s="24">
        <f>Y52/Y12</f>
        <v>1.8466118775915412E-2</v>
      </c>
      <c r="AA52" s="144">
        <f t="shared" si="19"/>
        <v>247039.80000000002</v>
      </c>
      <c r="AB52" s="68">
        <f>AA52/AA12</f>
        <v>2.3781516715537264E-2</v>
      </c>
      <c r="AC52" s="128">
        <f t="shared" si="2"/>
        <v>20586.650000000001</v>
      </c>
      <c r="AD52" s="68">
        <f>AC52/AC12</f>
        <v>2.3781516715537264E-2</v>
      </c>
      <c r="AF52" s="84"/>
    </row>
    <row r="53" spans="1:33" s="1" customFormat="1">
      <c r="A53" s="188">
        <v>6112</v>
      </c>
      <c r="B53" s="188" t="s">
        <v>11</v>
      </c>
      <c r="C53" s="705">
        <v>2650</v>
      </c>
      <c r="D53" s="702">
        <f>C53/C12</f>
        <v>3.3918302401047947E-3</v>
      </c>
      <c r="E53" s="705">
        <v>2650</v>
      </c>
      <c r="F53" s="702">
        <f>E53/E12</f>
        <v>4.3596707691762977E-3</v>
      </c>
      <c r="G53" s="705">
        <v>2650</v>
      </c>
      <c r="H53" s="702">
        <f>G53/G12</f>
        <v>2.6282431008252788E-3</v>
      </c>
      <c r="I53" s="705">
        <v>2650</v>
      </c>
      <c r="J53" s="702">
        <f>I53/I12</f>
        <v>2.9765120813668579E-3</v>
      </c>
      <c r="K53" s="705">
        <v>2650</v>
      </c>
      <c r="L53" s="702">
        <f>K53/K12</f>
        <v>3.2544347176090998E-3</v>
      </c>
      <c r="M53" s="705">
        <v>2650</v>
      </c>
      <c r="N53" s="702">
        <f>M53/M12</f>
        <v>2.2951103624253956E-3</v>
      </c>
      <c r="O53" s="705">
        <v>2650</v>
      </c>
      <c r="P53" s="702">
        <f>O53/O12</f>
        <v>3.6251338209598457E-3</v>
      </c>
      <c r="Q53" s="705">
        <v>2650</v>
      </c>
      <c r="R53" s="702">
        <f>Q53/Q12</f>
        <v>2.9194007010600845E-3</v>
      </c>
      <c r="S53" s="705">
        <v>2650</v>
      </c>
      <c r="T53" s="702">
        <f>S53/S12</f>
        <v>2.8980154458628539E-3</v>
      </c>
      <c r="U53" s="705">
        <v>2650</v>
      </c>
      <c r="V53" s="702">
        <f>U53/U12</f>
        <v>3.6535446178750743E-3</v>
      </c>
      <c r="W53" s="705">
        <v>2650</v>
      </c>
      <c r="X53" s="702">
        <f>W53/W12</f>
        <v>3.5909135931547439E-3</v>
      </c>
      <c r="Y53" s="705">
        <v>2650</v>
      </c>
      <c r="Z53" s="702">
        <f>Y53/Y12</f>
        <v>2.3770440176413853E-3</v>
      </c>
      <c r="AA53" s="144">
        <f t="shared" si="19"/>
        <v>31800</v>
      </c>
      <c r="AB53" s="702">
        <f>AA53/AA12</f>
        <v>3.0612566540050828E-3</v>
      </c>
      <c r="AC53" s="128">
        <f t="shared" si="2"/>
        <v>2650</v>
      </c>
      <c r="AD53" s="702">
        <f>AC53/AC12</f>
        <v>3.0612566540050828E-3</v>
      </c>
      <c r="AE53" s="645"/>
      <c r="AF53" s="694"/>
      <c r="AG53" s="226"/>
    </row>
    <row r="54" spans="1:33" s="1" customFormat="1">
      <c r="A54" s="188">
        <v>6113</v>
      </c>
      <c r="B54" s="227" t="s">
        <v>12</v>
      </c>
      <c r="C54" s="61"/>
      <c r="D54" s="24">
        <f>C54/C12</f>
        <v>0</v>
      </c>
      <c r="E54" s="703"/>
      <c r="F54" s="24">
        <f>E54/E12</f>
        <v>0</v>
      </c>
      <c r="H54" s="24">
        <f>G54/G12</f>
        <v>0</v>
      </c>
      <c r="I54" s="61"/>
      <c r="J54" s="24">
        <f>I54/I12</f>
        <v>0</v>
      </c>
      <c r="K54" s="703"/>
      <c r="L54" s="24">
        <f>K54/K12</f>
        <v>0</v>
      </c>
      <c r="M54" s="26"/>
      <c r="N54" s="24">
        <f>M54/M12</f>
        <v>0</v>
      </c>
      <c r="O54" s="33"/>
      <c r="P54" s="24">
        <f>O54/O12</f>
        <v>0</v>
      </c>
      <c r="Q54" s="26"/>
      <c r="R54" s="24">
        <f>Q54/Q12</f>
        <v>0</v>
      </c>
      <c r="S54" s="26"/>
      <c r="T54" s="24">
        <f>S54/S12</f>
        <v>0</v>
      </c>
      <c r="U54" s="61"/>
      <c r="V54" s="24">
        <f>U54/U12</f>
        <v>0</v>
      </c>
      <c r="W54" s="61"/>
      <c r="X54" s="24">
        <f>W54/W12</f>
        <v>0</v>
      </c>
      <c r="Y54" s="61"/>
      <c r="Z54" s="24">
        <f>Y54/Y12</f>
        <v>0</v>
      </c>
      <c r="AA54" s="144">
        <f t="shared" si="19"/>
        <v>0</v>
      </c>
      <c r="AB54" s="68">
        <f>AA54/AA12</f>
        <v>0</v>
      </c>
      <c r="AC54" s="128">
        <f t="shared" si="2"/>
        <v>0</v>
      </c>
      <c r="AD54" s="68">
        <f>AC54/AC12</f>
        <v>0</v>
      </c>
      <c r="AF54" s="84"/>
    </row>
    <row r="55" spans="1:33" s="1" customFormat="1">
      <c r="A55" s="188">
        <v>6114</v>
      </c>
      <c r="B55" s="227" t="s">
        <v>88</v>
      </c>
      <c r="C55" s="432">
        <v>1525</v>
      </c>
      <c r="D55" s="702">
        <f>C55/C12</f>
        <v>1.9519023079848348E-3</v>
      </c>
      <c r="E55" s="432">
        <v>902.25</v>
      </c>
      <c r="F55" s="702">
        <f>E55/E12</f>
        <v>1.4843445099959676E-3</v>
      </c>
      <c r="G55" s="1">
        <v>877.25</v>
      </c>
      <c r="H55" s="702">
        <f>G55/G12</f>
        <v>8.7004764535810407E-4</v>
      </c>
      <c r="I55" s="432">
        <v>851.65</v>
      </c>
      <c r="J55" s="702">
        <f>I55/I12</f>
        <v>9.565835902249375E-4</v>
      </c>
      <c r="K55" s="432">
        <v>877.4</v>
      </c>
      <c r="L55" s="702">
        <f>K55/K12</f>
        <v>1.0775249136717826E-3</v>
      </c>
      <c r="M55" s="33">
        <v>886.55</v>
      </c>
      <c r="N55" s="702">
        <f>M55/M12</f>
        <v>7.6782267615405075E-4</v>
      </c>
      <c r="O55" s="33">
        <v>825</v>
      </c>
      <c r="P55" s="702">
        <f>O55/O12</f>
        <v>1.1285793970912726E-3</v>
      </c>
      <c r="Q55" s="432">
        <v>857</v>
      </c>
      <c r="R55" s="702">
        <f>Q55/Q12</f>
        <v>9.4412317011641222E-4</v>
      </c>
      <c r="S55" s="432">
        <v>2856.62</v>
      </c>
      <c r="T55" s="702">
        <f>S55/S12</f>
        <v>3.1239731633814129E-3</v>
      </c>
      <c r="U55" s="432">
        <v>1200</v>
      </c>
      <c r="V55" s="702">
        <f>U55/U12</f>
        <v>1.654435298660411E-3</v>
      </c>
      <c r="W55" s="432">
        <v>1200</v>
      </c>
      <c r="X55" s="702">
        <f>W55/W12</f>
        <v>1.6260740799191294E-3</v>
      </c>
      <c r="Y55" s="432">
        <v>1200</v>
      </c>
      <c r="Z55" s="702">
        <f>Y55/Y12</f>
        <v>1.0763972910074198E-3</v>
      </c>
      <c r="AA55" s="144">
        <f t="shared" si="19"/>
        <v>14058.72</v>
      </c>
      <c r="AB55" s="702">
        <f>AA55/AA12</f>
        <v>1.3533757907796963E-3</v>
      </c>
      <c r="AC55" s="128">
        <f t="shared" si="2"/>
        <v>1171.56</v>
      </c>
      <c r="AD55" s="702">
        <f>AC55/AC12</f>
        <v>1.3533757907796963E-3</v>
      </c>
      <c r="AE55" s="595"/>
      <c r="AF55" s="74"/>
    </row>
    <row r="56" spans="1:33" s="1" customFormat="1">
      <c r="A56" s="188">
        <v>6115</v>
      </c>
      <c r="B56" s="227" t="s">
        <v>13</v>
      </c>
      <c r="C56" s="437">
        <v>250</v>
      </c>
      <c r="D56" s="702">
        <f>C56/C12</f>
        <v>3.1998398491554666E-4</v>
      </c>
      <c r="E56" s="437">
        <v>250</v>
      </c>
      <c r="F56" s="702">
        <f>E56/E12</f>
        <v>4.1128969520531108E-4</v>
      </c>
      <c r="G56" s="437">
        <v>250</v>
      </c>
      <c r="H56" s="702">
        <f>G56/G12</f>
        <v>2.4794746234200744E-4</v>
      </c>
      <c r="I56" s="437">
        <v>250</v>
      </c>
      <c r="J56" s="702">
        <f>I56/I12</f>
        <v>2.8080302654404321E-4</v>
      </c>
      <c r="K56" s="437">
        <v>250</v>
      </c>
      <c r="L56" s="702">
        <f>K56/K12</f>
        <v>3.0702214317066977E-4</v>
      </c>
      <c r="M56" s="437">
        <v>250</v>
      </c>
      <c r="N56" s="702">
        <f>M56/M12</f>
        <v>2.1651984551182977E-4</v>
      </c>
      <c r="O56" s="437">
        <v>250</v>
      </c>
      <c r="P56" s="702">
        <f>O56/O12</f>
        <v>3.4199375669432505E-4</v>
      </c>
      <c r="Q56" s="437">
        <v>250</v>
      </c>
      <c r="R56" s="702">
        <f>Q56/Q12</f>
        <v>2.7541516047736647E-4</v>
      </c>
      <c r="S56" s="437">
        <v>250</v>
      </c>
      <c r="T56" s="702">
        <f>S56/S12</f>
        <v>2.7339768357196735E-4</v>
      </c>
      <c r="U56" s="437">
        <v>250</v>
      </c>
      <c r="V56" s="702">
        <f>U56/U12</f>
        <v>3.4467402055425231E-4</v>
      </c>
      <c r="W56" s="437">
        <v>250</v>
      </c>
      <c r="X56" s="702">
        <f>W56/W12</f>
        <v>3.3876543331648527E-4</v>
      </c>
      <c r="Y56" s="437">
        <v>250</v>
      </c>
      <c r="Z56" s="702">
        <f>Y56/Y12</f>
        <v>2.2424943562654578E-4</v>
      </c>
      <c r="AA56" s="144">
        <f t="shared" si="19"/>
        <v>3000</v>
      </c>
      <c r="AB56" s="702">
        <f>AA56/AA12</f>
        <v>2.8879779754764932E-4</v>
      </c>
      <c r="AC56" s="128">
        <f t="shared" si="2"/>
        <v>250</v>
      </c>
      <c r="AD56" s="702">
        <f>AC56/AC12</f>
        <v>2.8879779754764932E-4</v>
      </c>
      <c r="AE56" s="595"/>
      <c r="AF56" s="595"/>
      <c r="AG56" s="555"/>
    </row>
    <row r="57" spans="1:33" s="1" customFormat="1">
      <c r="A57" s="188">
        <v>6116</v>
      </c>
      <c r="B57" s="227" t="s">
        <v>14</v>
      </c>
      <c r="C57" s="432">
        <v>1007.13</v>
      </c>
      <c r="D57" s="702">
        <f>C57/C12</f>
        <v>1.2890618829119781E-3</v>
      </c>
      <c r="E57" s="432">
        <v>1007.13</v>
      </c>
      <c r="F57" s="702">
        <f>E57/E12</f>
        <v>1.6568887629284997E-3</v>
      </c>
      <c r="G57" s="371">
        <v>1007.13</v>
      </c>
      <c r="H57" s="702">
        <f>G57/G12</f>
        <v>9.988613109940237E-4</v>
      </c>
      <c r="I57" s="432">
        <v>1007.13</v>
      </c>
      <c r="J57" s="702">
        <f>I57/I12</f>
        <v>1.131220608493209E-3</v>
      </c>
      <c r="K57" s="432">
        <v>1007.13</v>
      </c>
      <c r="L57" s="702">
        <f>K57/K12</f>
        <v>1.2368448442059068E-3</v>
      </c>
      <c r="M57" s="432">
        <v>761.6</v>
      </c>
      <c r="N57" s="702">
        <f>M57/M12</f>
        <v>6.5960605736723832E-4</v>
      </c>
      <c r="O57" s="33">
        <v>761.6</v>
      </c>
      <c r="P57" s="702">
        <f>O57/O12</f>
        <v>1.0418497803935918E-3</v>
      </c>
      <c r="Q57" s="31">
        <v>761.6</v>
      </c>
      <c r="R57" s="68">
        <f>Q57/Q12</f>
        <v>8.3902474487824921E-4</v>
      </c>
      <c r="S57" s="31">
        <v>761.6</v>
      </c>
      <c r="T57" s="68">
        <f>S57/S12</f>
        <v>8.3287870323364135E-4</v>
      </c>
      <c r="U57" s="31">
        <f>250+1007.13</f>
        <v>1257.1300000000001</v>
      </c>
      <c r="V57" s="68">
        <f>U57/U12</f>
        <v>1.7332002058374689E-3</v>
      </c>
      <c r="W57" s="31">
        <f>250+1007.13</f>
        <v>1257.1300000000001</v>
      </c>
      <c r="X57" s="68">
        <f>W57/W12</f>
        <v>1.7034887567406126E-3</v>
      </c>
      <c r="Y57" s="31">
        <f>250+1007.13</f>
        <v>1257.1300000000001</v>
      </c>
      <c r="Z57" s="68">
        <f>Y57/Y12</f>
        <v>1.1276427720367981E-3</v>
      </c>
      <c r="AA57" s="144">
        <f t="shared" si="19"/>
        <v>11853.440000000002</v>
      </c>
      <c r="AB57" s="68">
        <f>AA57/AA12</f>
        <v>1.1410824551210698E-3</v>
      </c>
      <c r="AC57" s="128">
        <f t="shared" si="2"/>
        <v>987.78666666666686</v>
      </c>
      <c r="AD57" s="68">
        <f>AC57/AC12</f>
        <v>1.1410824551210698E-3</v>
      </c>
      <c r="AF57" s="84"/>
    </row>
    <row r="58" spans="1:33" s="1" customFormat="1">
      <c r="A58" s="188">
        <v>6117</v>
      </c>
      <c r="B58" s="227" t="s">
        <v>15</v>
      </c>
      <c r="C58" s="61"/>
      <c r="D58" s="24">
        <f>C58/C12</f>
        <v>0</v>
      </c>
      <c r="E58" s="703"/>
      <c r="F58" s="24">
        <f>E58/E12</f>
        <v>0</v>
      </c>
      <c r="H58" s="24">
        <f>G58/G12</f>
        <v>0</v>
      </c>
      <c r="I58" s="61"/>
      <c r="J58" s="24">
        <f>I58/I12</f>
        <v>0</v>
      </c>
      <c r="K58" s="703"/>
      <c r="L58" s="24">
        <f>K58/K12</f>
        <v>0</v>
      </c>
      <c r="M58" s="26"/>
      <c r="N58" s="24">
        <f>M58/M12</f>
        <v>0</v>
      </c>
      <c r="O58" s="33"/>
      <c r="P58" s="24">
        <f>O58/O12</f>
        <v>0</v>
      </c>
      <c r="Q58" s="26"/>
      <c r="R58" s="24">
        <f>Q58/Q12</f>
        <v>0</v>
      </c>
      <c r="S58" s="26"/>
      <c r="T58" s="24">
        <f>S58/S12</f>
        <v>0</v>
      </c>
      <c r="U58" s="61"/>
      <c r="V58" s="24">
        <f>U58/U12</f>
        <v>0</v>
      </c>
      <c r="W58" s="61"/>
      <c r="X58" s="24">
        <f>W58/W12</f>
        <v>0</v>
      </c>
      <c r="Y58" s="61"/>
      <c r="Z58" s="24">
        <f>Y58/Y12</f>
        <v>0</v>
      </c>
      <c r="AA58" s="144">
        <f t="shared" si="19"/>
        <v>0</v>
      </c>
      <c r="AB58" s="68">
        <f>AA58/AA12</f>
        <v>0</v>
      </c>
      <c r="AC58" s="128">
        <f t="shared" si="2"/>
        <v>0</v>
      </c>
      <c r="AD58" s="68">
        <f>AC58/AC12</f>
        <v>0</v>
      </c>
      <c r="AF58" s="84"/>
    </row>
    <row r="59" spans="1:33" s="1" customFormat="1">
      <c r="A59" s="188">
        <v>6118</v>
      </c>
      <c r="B59" s="227" t="s">
        <v>16</v>
      </c>
      <c r="C59" s="437">
        <f>1000+12668.67</f>
        <v>13668.67</v>
      </c>
      <c r="D59" s="24">
        <f>C59/C12</f>
        <v>1.7495021980382341E-2</v>
      </c>
      <c r="E59" s="437">
        <f>1000+12668.67</f>
        <v>13668.67</v>
      </c>
      <c r="F59" s="24">
        <f>E59/E12</f>
        <v>2.2487132472647917E-2</v>
      </c>
      <c r="G59" s="437">
        <f>1000+12668.67</f>
        <v>13668.67</v>
      </c>
      <c r="H59" s="24">
        <f>G59/G12</f>
        <v>1.3556448160361306E-2</v>
      </c>
      <c r="I59" s="437">
        <f>1000+12668.67</f>
        <v>13668.67</v>
      </c>
      <c r="J59" s="24">
        <f>I59/I12</f>
        <v>1.5352815619327068E-2</v>
      </c>
      <c r="K59" s="437">
        <f>1000+12668.67</f>
        <v>13668.67</v>
      </c>
      <c r="L59" s="24">
        <f>K59/K12</f>
        <v>1.6786337430770557E-2</v>
      </c>
      <c r="M59" s="437">
        <f>1000+12668.67</f>
        <v>13668.67</v>
      </c>
      <c r="N59" s="24">
        <f>M59/M12</f>
        <v>1.183815326700873E-2</v>
      </c>
      <c r="O59" s="437">
        <f>1000+12668.67</f>
        <v>13668.67</v>
      </c>
      <c r="P59" s="24">
        <f>O59/O12</f>
        <v>1.8698399209260082E-2</v>
      </c>
      <c r="Q59" s="437">
        <f>1000+12668.67</f>
        <v>13668.67</v>
      </c>
      <c r="R59" s="24">
        <f>Q59/Q12</f>
        <v>1.505823576624866E-2</v>
      </c>
      <c r="S59" s="437">
        <f>1000+12668.67</f>
        <v>13668.67</v>
      </c>
      <c r="T59" s="24">
        <f>S59/S12</f>
        <v>1.4947930862038571E-2</v>
      </c>
      <c r="U59" s="437">
        <f>1000+12668.67</f>
        <v>13668.67</v>
      </c>
      <c r="V59" s="24">
        <f>U59/U12</f>
        <v>1.8844941778117168E-2</v>
      </c>
      <c r="W59" s="437">
        <f>1000+12668.67</f>
        <v>13668.67</v>
      </c>
      <c r="X59" s="24">
        <f>W59/W12</f>
        <v>1.8521891661640172E-2</v>
      </c>
      <c r="Y59" s="437">
        <f>1000+12668.67</f>
        <v>13668.67</v>
      </c>
      <c r="Z59" s="24">
        <f>Y59/Y12</f>
        <v>1.226076613306199E-2</v>
      </c>
      <c r="AA59" s="144">
        <f t="shared" si="19"/>
        <v>164024.04000000004</v>
      </c>
      <c r="AB59" s="68">
        <f>AA59/AA12</f>
        <v>1.5789927165622514E-2</v>
      </c>
      <c r="AC59" s="128">
        <f t="shared" si="2"/>
        <v>13668.670000000004</v>
      </c>
      <c r="AD59" s="68">
        <f>AC59/AC12</f>
        <v>1.5789927165622518E-2</v>
      </c>
      <c r="AF59" s="84"/>
      <c r="AG59" s="736"/>
    </row>
    <row r="60" spans="1:33" s="1" customFormat="1">
      <c r="A60" s="188">
        <v>6119</v>
      </c>
      <c r="B60" s="227" t="s">
        <v>17</v>
      </c>
      <c r="C60" s="61"/>
      <c r="D60" s="24">
        <f>C60/C12</f>
        <v>0</v>
      </c>
      <c r="E60" s="703"/>
      <c r="F60" s="24">
        <f>E60/E12</f>
        <v>0</v>
      </c>
      <c r="H60" s="24">
        <f>G60/G12</f>
        <v>0</v>
      </c>
      <c r="I60" s="61"/>
      <c r="J60" s="24">
        <f>I60/I12</f>
        <v>0</v>
      </c>
      <c r="K60" s="703"/>
      <c r="L60" s="24">
        <f>K60/K12</f>
        <v>0</v>
      </c>
      <c r="M60" s="26"/>
      <c r="N60" s="24">
        <f>M60/M12</f>
        <v>0</v>
      </c>
      <c r="O60" s="33"/>
      <c r="P60" s="24">
        <f>O60/O12</f>
        <v>0</v>
      </c>
      <c r="Q60" s="26"/>
      <c r="R60" s="24">
        <f>Q60/Q12</f>
        <v>0</v>
      </c>
      <c r="S60" s="26"/>
      <c r="T60" s="24">
        <f>S60/S12</f>
        <v>0</v>
      </c>
      <c r="U60" s="61"/>
      <c r="V60" s="24">
        <f>U60/U12</f>
        <v>0</v>
      </c>
      <c r="W60" s="61"/>
      <c r="X60" s="24">
        <f>W60/W12</f>
        <v>0</v>
      </c>
      <c r="Y60" s="61"/>
      <c r="Z60" s="24">
        <f>Y60/Y12</f>
        <v>0</v>
      </c>
      <c r="AA60" s="144">
        <f t="shared" si="19"/>
        <v>0</v>
      </c>
      <c r="AB60" s="68">
        <f>AA60/AA12</f>
        <v>0</v>
      </c>
      <c r="AC60" s="128">
        <f t="shared" si="2"/>
        <v>0</v>
      </c>
      <c r="AD60" s="68">
        <f>AC60/AC12</f>
        <v>0</v>
      </c>
      <c r="AF60" s="84"/>
    </row>
    <row r="61" spans="1:33" s="1" customFormat="1">
      <c r="A61" s="188">
        <v>6120</v>
      </c>
      <c r="B61" s="227" t="s">
        <v>18</v>
      </c>
      <c r="C61" s="61"/>
      <c r="D61" s="24">
        <f>C61/C12</f>
        <v>0</v>
      </c>
      <c r="E61" s="703"/>
      <c r="F61" s="24">
        <f>E61/E12</f>
        <v>0</v>
      </c>
      <c r="H61" s="24">
        <f>G61/G12</f>
        <v>0</v>
      </c>
      <c r="I61" s="61"/>
      <c r="J61" s="24">
        <f>I61/I12</f>
        <v>0</v>
      </c>
      <c r="K61" s="703"/>
      <c r="L61" s="24">
        <f>K61/K12</f>
        <v>0</v>
      </c>
      <c r="M61" s="26"/>
      <c r="N61" s="24">
        <f>M61/M12</f>
        <v>0</v>
      </c>
      <c r="O61" s="33"/>
      <c r="P61" s="24">
        <f>O61/O12</f>
        <v>0</v>
      </c>
      <c r="Q61" s="26"/>
      <c r="R61" s="24">
        <f>Q61/Q12</f>
        <v>0</v>
      </c>
      <c r="S61" s="26"/>
      <c r="T61" s="24">
        <f>S61/S12</f>
        <v>0</v>
      </c>
      <c r="U61" s="61"/>
      <c r="V61" s="24">
        <f>U61/U12</f>
        <v>0</v>
      </c>
      <c r="W61" s="61"/>
      <c r="X61" s="24">
        <f>W61/W12</f>
        <v>0</v>
      </c>
      <c r="Y61" s="61"/>
      <c r="Z61" s="24">
        <f>Y61/Y12</f>
        <v>0</v>
      </c>
      <c r="AA61" s="144">
        <f t="shared" si="19"/>
        <v>0</v>
      </c>
      <c r="AB61" s="68">
        <f>AA61/AA12</f>
        <v>0</v>
      </c>
      <c r="AC61" s="128">
        <f t="shared" si="2"/>
        <v>0</v>
      </c>
      <c r="AD61" s="68">
        <f>AC61/AC12</f>
        <v>0</v>
      </c>
      <c r="AF61" s="84"/>
    </row>
    <row r="62" spans="1:33" s="1" customFormat="1">
      <c r="A62" s="188">
        <v>6121</v>
      </c>
      <c r="B62" s="188" t="s">
        <v>19</v>
      </c>
      <c r="C62" s="705">
        <v>250</v>
      </c>
      <c r="D62" s="702">
        <f>C62/C12</f>
        <v>3.1998398491554666E-4</v>
      </c>
      <c r="E62" s="705">
        <v>250</v>
      </c>
      <c r="F62" s="702">
        <f>E62/E12</f>
        <v>4.1128969520531108E-4</v>
      </c>
      <c r="G62" s="705">
        <v>250</v>
      </c>
      <c r="H62" s="702">
        <f>G62/G12</f>
        <v>2.4794746234200744E-4</v>
      </c>
      <c r="I62" s="705">
        <v>250</v>
      </c>
      <c r="J62" s="702">
        <f>I62/I12</f>
        <v>2.8080302654404321E-4</v>
      </c>
      <c r="K62" s="705">
        <v>250</v>
      </c>
      <c r="L62" s="702">
        <f>K62/K12</f>
        <v>3.0702214317066977E-4</v>
      </c>
      <c r="M62" s="705">
        <v>500</v>
      </c>
      <c r="N62" s="702">
        <f>M62/M12</f>
        <v>4.3303969102365954E-4</v>
      </c>
      <c r="O62" s="705">
        <v>250</v>
      </c>
      <c r="P62" s="702">
        <f>O62/O12</f>
        <v>3.4199375669432505E-4</v>
      </c>
      <c r="Q62" s="705">
        <v>250</v>
      </c>
      <c r="R62" s="702">
        <f>Q62/Q12</f>
        <v>2.7541516047736647E-4</v>
      </c>
      <c r="S62" s="705">
        <v>500</v>
      </c>
      <c r="T62" s="702">
        <f>S62/S12</f>
        <v>5.4679536714393471E-4</v>
      </c>
      <c r="U62" s="705">
        <v>250</v>
      </c>
      <c r="V62" s="702">
        <f>U62/U12</f>
        <v>3.4467402055425231E-4</v>
      </c>
      <c r="W62" s="705">
        <v>250</v>
      </c>
      <c r="X62" s="702">
        <f>W62/W12</f>
        <v>3.3876543331648527E-4</v>
      </c>
      <c r="Y62" s="705">
        <f>250+250</f>
        <v>500</v>
      </c>
      <c r="Z62" s="702">
        <f>Y62/Y12</f>
        <v>4.4849887125309156E-4</v>
      </c>
      <c r="AA62" s="144">
        <f t="shared" si="19"/>
        <v>3750</v>
      </c>
      <c r="AB62" s="702">
        <f>AA62/AA12</f>
        <v>3.6099724693456167E-4</v>
      </c>
      <c r="AC62" s="128">
        <f t="shared" si="2"/>
        <v>312.5</v>
      </c>
      <c r="AD62" s="702">
        <f>AC62/AC12</f>
        <v>3.6099724693456167E-4</v>
      </c>
      <c r="AE62" s="645"/>
      <c r="AF62" s="226"/>
      <c r="AG62" s="226"/>
    </row>
    <row r="63" spans="1:33" s="1" customFormat="1">
      <c r="A63" s="188">
        <v>6122</v>
      </c>
      <c r="B63" s="227" t="s">
        <v>199</v>
      </c>
      <c r="C63" s="61"/>
      <c r="D63" s="24">
        <f>C63/C12</f>
        <v>0</v>
      </c>
      <c r="E63" s="61"/>
      <c r="F63" s="24">
        <f>E63/E12</f>
        <v>0</v>
      </c>
      <c r="H63" s="24">
        <f>G63/G12</f>
        <v>0</v>
      </c>
      <c r="I63" s="61"/>
      <c r="J63" s="24">
        <f>I63/I12</f>
        <v>0</v>
      </c>
      <c r="K63" s="61"/>
      <c r="L63" s="24">
        <f>K63/K12</f>
        <v>0</v>
      </c>
      <c r="M63" s="26"/>
      <c r="N63" s="24">
        <f>M63/M12</f>
        <v>0</v>
      </c>
      <c r="O63" s="33"/>
      <c r="P63" s="24">
        <f>O63/O12</f>
        <v>0</v>
      </c>
      <c r="Q63" s="61"/>
      <c r="R63" s="24">
        <f>Q63/Q12</f>
        <v>0</v>
      </c>
      <c r="S63" s="61"/>
      <c r="T63" s="24">
        <f>S63/S12</f>
        <v>0</v>
      </c>
      <c r="U63" s="61"/>
      <c r="V63" s="24">
        <f>U63/U12</f>
        <v>0</v>
      </c>
      <c r="W63" s="61"/>
      <c r="X63" s="24">
        <f>W63/W12</f>
        <v>0</v>
      </c>
      <c r="Y63" s="61"/>
      <c r="Z63" s="24">
        <f>Y63/Y12</f>
        <v>0</v>
      </c>
      <c r="AA63" s="144">
        <f t="shared" si="19"/>
        <v>0</v>
      </c>
      <c r="AB63" s="68">
        <f>AA63/AA12</f>
        <v>0</v>
      </c>
      <c r="AC63" s="128">
        <f t="shared" si="2"/>
        <v>0</v>
      </c>
      <c r="AD63" s="68">
        <f>AC63/AC12</f>
        <v>0</v>
      </c>
      <c r="AF63" s="84"/>
    </row>
    <row r="64" spans="1:33" s="1" customFormat="1">
      <c r="A64" s="188">
        <v>6123</v>
      </c>
      <c r="B64" s="227" t="s">
        <v>21</v>
      </c>
      <c r="C64" s="61"/>
      <c r="D64" s="24">
        <f>C64/C12</f>
        <v>0</v>
      </c>
      <c r="E64" s="703"/>
      <c r="F64" s="24">
        <f>E64/E12</f>
        <v>0</v>
      </c>
      <c r="H64" s="24">
        <f>G64/G12</f>
        <v>0</v>
      </c>
      <c r="I64" s="61"/>
      <c r="J64" s="24">
        <f>I64/I12</f>
        <v>0</v>
      </c>
      <c r="K64" s="703"/>
      <c r="L64" s="24">
        <f>K64/K12</f>
        <v>0</v>
      </c>
      <c r="M64" s="26"/>
      <c r="N64" s="24">
        <f>M64/M12</f>
        <v>0</v>
      </c>
      <c r="O64" s="33"/>
      <c r="P64" s="24">
        <f>O64/O12</f>
        <v>0</v>
      </c>
      <c r="Q64" s="26"/>
      <c r="R64" s="24">
        <f>Q64/Q12</f>
        <v>0</v>
      </c>
      <c r="S64" s="26"/>
      <c r="T64" s="24">
        <f>S64/S12</f>
        <v>0</v>
      </c>
      <c r="U64" s="61"/>
      <c r="V64" s="24">
        <f>U64/U12</f>
        <v>0</v>
      </c>
      <c r="W64" s="61"/>
      <c r="X64" s="24">
        <f>W64/W12</f>
        <v>0</v>
      </c>
      <c r="Y64" s="61"/>
      <c r="Z64" s="24">
        <f>Y64/Y12</f>
        <v>0</v>
      </c>
      <c r="AA64" s="144">
        <f t="shared" si="19"/>
        <v>0</v>
      </c>
      <c r="AB64" s="68">
        <f>AA64/AA12</f>
        <v>0</v>
      </c>
      <c r="AC64" s="128">
        <f t="shared" si="2"/>
        <v>0</v>
      </c>
      <c r="AD64" s="68">
        <f>AC64/AC12</f>
        <v>0</v>
      </c>
      <c r="AF64" s="84"/>
    </row>
    <row r="65" spans="1:33" s="1" customFormat="1">
      <c r="A65" s="188">
        <v>6124</v>
      </c>
      <c r="B65" s="227" t="s">
        <v>22</v>
      </c>
      <c r="C65" s="433">
        <v>14000</v>
      </c>
      <c r="D65" s="24">
        <f>C65/C12</f>
        <v>1.7919103155270615E-2</v>
      </c>
      <c r="E65" s="433">
        <v>14000</v>
      </c>
      <c r="F65" s="24">
        <f>E65/E12</f>
        <v>2.3032222931497419E-2</v>
      </c>
      <c r="G65" s="433">
        <v>14000</v>
      </c>
      <c r="H65" s="24">
        <f>G65/G12</f>
        <v>1.3885057891152417E-2</v>
      </c>
      <c r="I65" s="433">
        <v>14000</v>
      </c>
      <c r="J65" s="24">
        <f>I65/I12</f>
        <v>1.5724969486466418E-2</v>
      </c>
      <c r="K65" s="433">
        <v>14000</v>
      </c>
      <c r="L65" s="24">
        <f>K65/K12</f>
        <v>1.719324001755751E-2</v>
      </c>
      <c r="M65" s="433">
        <v>14000</v>
      </c>
      <c r="N65" s="24">
        <f>M65/M12</f>
        <v>1.2125111348662468E-2</v>
      </c>
      <c r="O65" s="433">
        <v>14000</v>
      </c>
      <c r="P65" s="24">
        <f>O65/O12</f>
        <v>1.9151650374882204E-2</v>
      </c>
      <c r="Q65" s="433">
        <v>14000</v>
      </c>
      <c r="R65" s="24">
        <f>Q65/Q12</f>
        <v>1.5423248986732523E-2</v>
      </c>
      <c r="S65" s="433">
        <v>14000</v>
      </c>
      <c r="T65" s="24">
        <f>S65/S12</f>
        <v>1.531027028003017E-2</v>
      </c>
      <c r="U65" s="433">
        <v>14000</v>
      </c>
      <c r="V65" s="24">
        <f>U65/U12</f>
        <v>1.9301745151038129E-2</v>
      </c>
      <c r="W65" s="433">
        <v>14000</v>
      </c>
      <c r="X65" s="24">
        <f>W65/W12</f>
        <v>1.8970864265723177E-2</v>
      </c>
      <c r="Y65" s="433">
        <v>14000</v>
      </c>
      <c r="Z65" s="24">
        <f>Y65/Y12</f>
        <v>1.2557968395086563E-2</v>
      </c>
      <c r="AA65" s="144">
        <f t="shared" si="19"/>
        <v>168000</v>
      </c>
      <c r="AB65" s="68">
        <f>AA65/AA12</f>
        <v>1.6172676662668362E-2</v>
      </c>
      <c r="AC65" s="128">
        <f t="shared" si="2"/>
        <v>14000</v>
      </c>
      <c r="AD65" s="68">
        <f>AC65/AC12</f>
        <v>1.6172676662668362E-2</v>
      </c>
      <c r="AE65" s="1" t="s">
        <v>347</v>
      </c>
      <c r="AF65" s="84">
        <v>10000</v>
      </c>
      <c r="AG65" s="1" t="s">
        <v>348</v>
      </c>
    </row>
    <row r="66" spans="1:33" s="1" customFormat="1">
      <c r="A66" s="188">
        <v>6125</v>
      </c>
      <c r="B66" s="227" t="s">
        <v>78</v>
      </c>
      <c r="C66" s="705">
        <v>1651.4</v>
      </c>
      <c r="D66" s="702">
        <f>C66/C12</f>
        <v>2.1136862107581354E-3</v>
      </c>
      <c r="E66" s="705">
        <v>451.4</v>
      </c>
      <c r="F66" s="702">
        <f>E66/E12</f>
        <v>7.426246736627096E-4</v>
      </c>
      <c r="G66" s="371">
        <v>4512.3100000000004</v>
      </c>
      <c r="H66" s="702">
        <f>G66/G12</f>
        <v>4.4752632552018546E-3</v>
      </c>
      <c r="I66" s="705">
        <v>201.4</v>
      </c>
      <c r="J66" s="702">
        <f>I66/I12</f>
        <v>2.2621491818388122E-4</v>
      </c>
      <c r="K66" s="705">
        <v>201.4</v>
      </c>
      <c r="L66" s="702">
        <f>K66/K12</f>
        <v>2.4733703853829157E-4</v>
      </c>
      <c r="M66" s="33">
        <v>201.4</v>
      </c>
      <c r="N66" s="702">
        <f>M66/M12</f>
        <v>1.7442838754433009E-4</v>
      </c>
      <c r="O66" s="33">
        <v>201.4</v>
      </c>
      <c r="P66" s="702">
        <f>O66/O12</f>
        <v>2.7551017039294826E-4</v>
      </c>
      <c r="Q66" s="705">
        <v>272.58999999999997</v>
      </c>
      <c r="R66" s="702">
        <f>Q66/Q12</f>
        <v>3.0030167437810126E-4</v>
      </c>
      <c r="S66" s="705">
        <v>272.58999999999997</v>
      </c>
      <c r="T66" s="702">
        <f>S66/S12</f>
        <v>2.9810189825953029E-4</v>
      </c>
      <c r="U66" s="705">
        <v>423.01184433164127</v>
      </c>
      <c r="V66" s="702">
        <f>U66/U12</f>
        <v>5.832047725114252E-4</v>
      </c>
      <c r="W66" s="705">
        <v>423.01184433164127</v>
      </c>
      <c r="X66" s="702">
        <f>W66/W12</f>
        <v>5.7320716297205626E-4</v>
      </c>
      <c r="Y66" s="705">
        <v>423.01184433164127</v>
      </c>
      <c r="Z66" s="702">
        <f>Y66/Y12</f>
        <v>3.7944066941885914E-4</v>
      </c>
      <c r="AA66" s="144">
        <f t="shared" si="19"/>
        <v>9234.925532994921</v>
      </c>
      <c r="AB66" s="677">
        <f>AA66/AA$12</f>
        <v>8.8900871814849493E-4</v>
      </c>
      <c r="AC66" s="128">
        <f t="shared" si="2"/>
        <v>769.57712774957679</v>
      </c>
      <c r="AD66" s="677">
        <f>AC66/AC$12</f>
        <v>8.8900871814849504E-4</v>
      </c>
      <c r="AF66" s="84"/>
    </row>
    <row r="67" spans="1:33" s="1" customFormat="1">
      <c r="A67" s="188">
        <v>6126</v>
      </c>
      <c r="B67" s="227" t="s">
        <v>116</v>
      </c>
      <c r="C67" s="26"/>
      <c r="D67" s="702" t="e">
        <f>C67/C13</f>
        <v>#DIV/0!</v>
      </c>
      <c r="E67" s="26"/>
      <c r="F67" s="702" t="e">
        <f>E67/E13</f>
        <v>#DIV/0!</v>
      </c>
      <c r="H67" s="702" t="e">
        <f>G67/G13</f>
        <v>#DIV/0!</v>
      </c>
      <c r="I67" s="26"/>
      <c r="J67" s="702" t="e">
        <f>I67/I13</f>
        <v>#DIV/0!</v>
      </c>
      <c r="K67" s="26"/>
      <c r="L67" s="702" t="e">
        <f>K67/K13</f>
        <v>#DIV/0!</v>
      </c>
      <c r="M67" s="26"/>
      <c r="N67" s="702" t="e">
        <f>M67/M13</f>
        <v>#DIV/0!</v>
      </c>
      <c r="O67" s="33"/>
      <c r="P67" s="702" t="e">
        <f>O67/O13</f>
        <v>#DIV/0!</v>
      </c>
      <c r="Q67" s="26"/>
      <c r="R67" s="702" t="e">
        <f>Q67/Q13</f>
        <v>#DIV/0!</v>
      </c>
      <c r="S67" s="26"/>
      <c r="T67" s="702" t="e">
        <f>S67/S13</f>
        <v>#DIV/0!</v>
      </c>
      <c r="U67" s="26"/>
      <c r="V67" s="702" t="e">
        <f>U67/U13</f>
        <v>#DIV/0!</v>
      </c>
      <c r="W67" s="26"/>
      <c r="X67" s="702" t="e">
        <f>W67/W13</f>
        <v>#DIV/0!</v>
      </c>
      <c r="Y67" s="26"/>
      <c r="Z67" s="702" t="e">
        <f>Y67/Y13</f>
        <v>#DIV/0!</v>
      </c>
      <c r="AA67" s="144">
        <f t="shared" si="19"/>
        <v>0</v>
      </c>
      <c r="AB67" s="677">
        <f t="shared" ref="AB67" si="20">AA67/AA$12</f>
        <v>0</v>
      </c>
      <c r="AC67" s="128">
        <f t="shared" si="2"/>
        <v>0</v>
      </c>
      <c r="AD67" s="677">
        <f t="shared" ref="AD67" si="21">AC67/AC$12</f>
        <v>0</v>
      </c>
      <c r="AF67" s="84"/>
    </row>
    <row r="68" spans="1:33" s="1" customFormat="1">
      <c r="A68" s="188">
        <v>6127</v>
      </c>
      <c r="B68" s="188" t="s">
        <v>76</v>
      </c>
      <c r="C68" s="705">
        <v>382</v>
      </c>
      <c r="D68" s="702">
        <f>C68/C$12</f>
        <v>4.8893552895095532E-4</v>
      </c>
      <c r="E68" s="705">
        <v>382</v>
      </c>
      <c r="F68" s="702">
        <f>E68/E$12</f>
        <v>6.284506542737153E-4</v>
      </c>
      <c r="G68" s="705">
        <v>382</v>
      </c>
      <c r="H68" s="702">
        <f>G68/G$12</f>
        <v>3.7886372245858737E-4</v>
      </c>
      <c r="I68" s="705">
        <v>382</v>
      </c>
      <c r="J68" s="702">
        <f>I68/I$12</f>
        <v>4.29067024559298E-4</v>
      </c>
      <c r="K68" s="705">
        <v>382</v>
      </c>
      <c r="L68" s="702">
        <f>K68/K$12</f>
        <v>4.6912983476478343E-4</v>
      </c>
      <c r="M68" s="705">
        <v>382</v>
      </c>
      <c r="N68" s="702">
        <f>M68/M$12</f>
        <v>3.3084232394207594E-4</v>
      </c>
      <c r="O68" s="705">
        <v>382</v>
      </c>
      <c r="P68" s="702">
        <f>O68/O$12</f>
        <v>5.2256646022892867E-4</v>
      </c>
      <c r="Q68" s="705">
        <v>382</v>
      </c>
      <c r="R68" s="702">
        <f>Q68/Q$12</f>
        <v>4.2083436520941596E-4</v>
      </c>
      <c r="S68" s="705">
        <v>382</v>
      </c>
      <c r="T68" s="702">
        <f>S68/S$12</f>
        <v>4.1775166049796606E-4</v>
      </c>
      <c r="U68" s="705">
        <v>382</v>
      </c>
      <c r="V68" s="702">
        <f>U68/U$12</f>
        <v>5.2666190340689757E-4</v>
      </c>
      <c r="W68" s="705">
        <v>382</v>
      </c>
      <c r="X68" s="702">
        <f>W68/W$12</f>
        <v>5.1763358210758954E-4</v>
      </c>
      <c r="Y68" s="705">
        <v>382</v>
      </c>
      <c r="Z68" s="702">
        <f>Y68/Y$12</f>
        <v>3.4265313763736196E-4</v>
      </c>
      <c r="AA68" s="144">
        <f t="shared" si="19"/>
        <v>4584</v>
      </c>
      <c r="AB68" s="702">
        <f>AA68/AA12</f>
        <v>4.4128303465280818E-4</v>
      </c>
      <c r="AC68" s="128">
        <f t="shared" si="2"/>
        <v>382</v>
      </c>
      <c r="AD68" s="702">
        <f>AC68/AC12</f>
        <v>4.4128303465280818E-4</v>
      </c>
      <c r="AE68" s="645"/>
      <c r="AF68" s="226"/>
      <c r="AG68" s="226"/>
    </row>
    <row r="69" spans="1:33" s="1" customFormat="1">
      <c r="A69" s="188">
        <v>6128</v>
      </c>
      <c r="B69" s="188" t="s">
        <v>232</v>
      </c>
      <c r="C69" s="678">
        <v>0</v>
      </c>
      <c r="D69" s="702">
        <f>C69/C$12</f>
        <v>0</v>
      </c>
      <c r="E69" s="678">
        <v>0</v>
      </c>
      <c r="F69" s="702">
        <f>E69/E$12</f>
        <v>0</v>
      </c>
      <c r="G69" s="678">
        <v>0</v>
      </c>
      <c r="H69" s="702">
        <f>G69/G$12</f>
        <v>0</v>
      </c>
      <c r="I69" s="678">
        <v>0</v>
      </c>
      <c r="J69" s="702">
        <f>I69/I$12</f>
        <v>0</v>
      </c>
      <c r="K69" s="678">
        <v>0</v>
      </c>
      <c r="L69" s="702">
        <f>K69/K$12</f>
        <v>0</v>
      </c>
      <c r="M69" s="48">
        <v>0</v>
      </c>
      <c r="N69" s="702">
        <f>M69/M$12</f>
        <v>0</v>
      </c>
      <c r="O69" s="48">
        <v>0</v>
      </c>
      <c r="P69" s="702">
        <f>O69/O$12</f>
        <v>0</v>
      </c>
      <c r="Q69" s="678">
        <v>0</v>
      </c>
      <c r="R69" s="702">
        <f>Q69/Q$12</f>
        <v>0</v>
      </c>
      <c r="S69" s="678">
        <v>0</v>
      </c>
      <c r="T69" s="702">
        <f>S69/S$12</f>
        <v>0</v>
      </c>
      <c r="U69" s="678">
        <v>0</v>
      </c>
      <c r="V69" s="702">
        <f>U69/U$12</f>
        <v>0</v>
      </c>
      <c r="W69" s="678">
        <v>0</v>
      </c>
      <c r="X69" s="702">
        <f>W69/W$12</f>
        <v>0</v>
      </c>
      <c r="Y69" s="678">
        <v>0</v>
      </c>
      <c r="Z69" s="702">
        <f>Y69/Y$12</f>
        <v>0</v>
      </c>
      <c r="AA69" s="144">
        <f t="shared" si="19"/>
        <v>0</v>
      </c>
      <c r="AB69" s="677">
        <f t="shared" ref="AB69:AB74" si="22">AA69/AA$12</f>
        <v>0</v>
      </c>
      <c r="AC69" s="128">
        <f t="shared" si="2"/>
        <v>0</v>
      </c>
      <c r="AD69" s="677">
        <f t="shared" ref="AD69:AD74" si="23">AC69/AC$12</f>
        <v>0</v>
      </c>
      <c r="AF69" s="84"/>
    </row>
    <row r="70" spans="1:33" s="1" customFormat="1">
      <c r="A70" s="2">
        <v>6131</v>
      </c>
      <c r="B70" s="188" t="s">
        <v>314</v>
      </c>
      <c r="C70" s="676">
        <v>803.72250423011849</v>
      </c>
      <c r="D70" s="702">
        <f t="shared" ref="D70:D75" si="24">C70/C$12</f>
        <v>1.0287133186794226E-3</v>
      </c>
      <c r="E70" s="676">
        <v>803.72250423011849</v>
      </c>
      <c r="F70" s="702">
        <f t="shared" ref="F70:F75" si="25">E70/E$12</f>
        <v>1.322251135177819E-3</v>
      </c>
      <c r="G70" s="676">
        <v>803.72250423011849</v>
      </c>
      <c r="H70" s="702">
        <f t="shared" ref="H70:H75" si="26">G70/G$12</f>
        <v>7.9712382140408478E-4</v>
      </c>
      <c r="I70" s="676">
        <v>803.72250423011849</v>
      </c>
      <c r="J70" s="702">
        <f t="shared" ref="J70:J75" si="27">I70/I$12</f>
        <v>9.0275084675749931E-4</v>
      </c>
      <c r="K70" s="676">
        <v>803.72250423011849</v>
      </c>
      <c r="L70" s="702">
        <f t="shared" ref="L70:L75" si="28">K70/K$12</f>
        <v>9.8704242305291479E-4</v>
      </c>
      <c r="M70" s="676">
        <v>803.72250423011849</v>
      </c>
      <c r="N70" s="702">
        <f t="shared" ref="N70:N75" si="29">M70/M$12</f>
        <v>6.9608748980114481E-4</v>
      </c>
      <c r="O70" s="676">
        <v>803.72250423011849</v>
      </c>
      <c r="P70" s="702">
        <f t="shared" ref="P70:P75" si="30">O70/O$12</f>
        <v>1.0994723142457152E-3</v>
      </c>
      <c r="Q70" s="676">
        <v>803.72250423011849</v>
      </c>
      <c r="R70" s="702">
        <f t="shared" ref="R70:R75" si="31">Q70/Q$12</f>
        <v>8.8542944992723574E-4</v>
      </c>
      <c r="S70" s="676">
        <v>803.72250423011849</v>
      </c>
      <c r="T70" s="702">
        <f t="shared" ref="T70:T75" si="32">S70/S$12</f>
        <v>8.7894348356470041E-4</v>
      </c>
      <c r="U70" s="676">
        <v>803.72250423011849</v>
      </c>
      <c r="V70" s="702">
        <f t="shared" ref="V70:V75" si="33">U70/U$12</f>
        <v>1.108089067771708E-3</v>
      </c>
      <c r="W70" s="676">
        <v>803.72250423011849</v>
      </c>
      <c r="X70" s="702">
        <f t="shared" ref="X70:X75" si="34">W70/W$12</f>
        <v>1.0890936096469071E-3</v>
      </c>
      <c r="Y70" s="676">
        <v>803.72250423011849</v>
      </c>
      <c r="Z70" s="702">
        <f t="shared" ref="Z70:Z75" si="35">Y70/Y$12</f>
        <v>7.2093727189583251E-4</v>
      </c>
      <c r="AA70" s="144">
        <f t="shared" si="19"/>
        <v>9644.6700507614223</v>
      </c>
      <c r="AB70" s="702">
        <f t="shared" si="22"/>
        <v>9.2845315624455807E-4</v>
      </c>
      <c r="AC70" s="128">
        <f t="shared" ref="AC70:AC75" si="36">AA70/12</f>
        <v>803.72250423011849</v>
      </c>
      <c r="AD70" s="702">
        <f t="shared" si="23"/>
        <v>9.2845315624455796E-4</v>
      </c>
      <c r="AE70" s="645"/>
      <c r="AF70" s="226"/>
      <c r="AG70" s="226"/>
    </row>
    <row r="71" spans="1:33" s="1" customFormat="1">
      <c r="A71" s="2">
        <v>6132</v>
      </c>
      <c r="B71" s="188" t="s">
        <v>315</v>
      </c>
      <c r="C71" s="676">
        <v>46.531302876480538</v>
      </c>
      <c r="D71" s="702">
        <f t="shared" si="24"/>
        <v>5.9557086870913931E-5</v>
      </c>
      <c r="E71" s="676">
        <v>46.531302876480538</v>
      </c>
      <c r="F71" s="702">
        <f t="shared" si="25"/>
        <v>7.6551381510294784E-5</v>
      </c>
      <c r="G71" s="676">
        <v>46.531302876480538</v>
      </c>
      <c r="H71" s="702">
        <f t="shared" si="26"/>
        <v>4.6149273870762801E-5</v>
      </c>
      <c r="I71" s="676">
        <v>46.531302876480538</v>
      </c>
      <c r="J71" s="702">
        <f t="shared" si="27"/>
        <v>5.2264522707013117E-5</v>
      </c>
      <c r="K71" s="676">
        <v>46.531302876480538</v>
      </c>
      <c r="L71" s="702">
        <f t="shared" si="28"/>
        <v>5.7144561334642424E-5</v>
      </c>
      <c r="M71" s="676">
        <v>46.531302876480538</v>
      </c>
      <c r="N71" s="702">
        <f t="shared" si="29"/>
        <v>4.0299802041118905E-5</v>
      </c>
      <c r="O71" s="676">
        <v>46.531302876480538</v>
      </c>
      <c r="P71" s="702">
        <f t="shared" si="30"/>
        <v>6.3653660298436135E-5</v>
      </c>
      <c r="Q71" s="676">
        <v>46.531302876480538</v>
      </c>
      <c r="R71" s="702">
        <f t="shared" si="31"/>
        <v>5.1261704995787323E-5</v>
      </c>
      <c r="S71" s="676">
        <v>46.531302876480538</v>
      </c>
      <c r="T71" s="702">
        <f t="shared" si="32"/>
        <v>5.0886201680061595E-5</v>
      </c>
      <c r="U71" s="676">
        <v>46.531302876480538</v>
      </c>
      <c r="V71" s="702">
        <f t="shared" si="33"/>
        <v>6.4152524976256766E-5</v>
      </c>
      <c r="W71" s="676">
        <v>46.531302876480538</v>
      </c>
      <c r="X71" s="702">
        <f t="shared" si="34"/>
        <v>6.3052787926926184E-5</v>
      </c>
      <c r="Y71" s="676">
        <v>46.531302876480538</v>
      </c>
      <c r="Z71" s="702">
        <f t="shared" si="35"/>
        <v>4.1738473636074506E-5</v>
      </c>
      <c r="AA71" s="144">
        <f t="shared" si="19"/>
        <v>558.37563451776646</v>
      </c>
      <c r="AB71" s="702">
        <f t="shared" si="22"/>
        <v>5.3752551151000716E-5</v>
      </c>
      <c r="AC71" s="128">
        <f t="shared" si="36"/>
        <v>46.531302876480538</v>
      </c>
      <c r="AD71" s="702">
        <f t="shared" si="23"/>
        <v>5.3752551151000716E-5</v>
      </c>
      <c r="AE71" s="645"/>
      <c r="AF71" s="226"/>
      <c r="AG71" s="226"/>
    </row>
    <row r="72" spans="1:33" s="1" customFormat="1">
      <c r="A72" s="2">
        <v>6133</v>
      </c>
      <c r="B72" s="188" t="s">
        <v>316</v>
      </c>
      <c r="C72" s="676">
        <v>100</v>
      </c>
      <c r="D72" s="702">
        <f t="shared" si="24"/>
        <v>1.2799359396621868E-4</v>
      </c>
      <c r="E72" s="676">
        <v>100</v>
      </c>
      <c r="F72" s="702">
        <f t="shared" si="25"/>
        <v>1.6451587808212443E-4</v>
      </c>
      <c r="G72" s="676">
        <v>100</v>
      </c>
      <c r="H72" s="702">
        <f t="shared" si="26"/>
        <v>9.9178984936802966E-5</v>
      </c>
      <c r="I72" s="676">
        <v>100</v>
      </c>
      <c r="J72" s="702">
        <f t="shared" si="27"/>
        <v>1.1232121061761728E-4</v>
      </c>
      <c r="K72" s="676">
        <v>100</v>
      </c>
      <c r="L72" s="702">
        <f t="shared" si="28"/>
        <v>1.2280885726826792E-4</v>
      </c>
      <c r="M72" s="676">
        <v>100</v>
      </c>
      <c r="N72" s="702">
        <f t="shared" si="29"/>
        <v>8.6607938204731914E-5</v>
      </c>
      <c r="O72" s="676">
        <v>100</v>
      </c>
      <c r="P72" s="702">
        <f t="shared" si="30"/>
        <v>1.3679750267773003E-4</v>
      </c>
      <c r="Q72" s="676">
        <v>100</v>
      </c>
      <c r="R72" s="702">
        <f t="shared" si="31"/>
        <v>1.1016606419094659E-4</v>
      </c>
      <c r="S72" s="676">
        <v>100</v>
      </c>
      <c r="T72" s="702">
        <f t="shared" si="32"/>
        <v>1.0935907342878693E-4</v>
      </c>
      <c r="U72" s="676">
        <v>100</v>
      </c>
      <c r="V72" s="702">
        <f t="shared" si="33"/>
        <v>1.3786960822170091E-4</v>
      </c>
      <c r="W72" s="676">
        <v>100</v>
      </c>
      <c r="X72" s="702">
        <f t="shared" si="34"/>
        <v>1.3550617332659413E-4</v>
      </c>
      <c r="Y72" s="676">
        <v>100</v>
      </c>
      <c r="Z72" s="702">
        <f t="shared" si="35"/>
        <v>8.9699774250618313E-5</v>
      </c>
      <c r="AA72" s="144">
        <f t="shared" si="19"/>
        <v>1200</v>
      </c>
      <c r="AB72" s="702">
        <f t="shared" si="22"/>
        <v>1.1551911901905973E-4</v>
      </c>
      <c r="AC72" s="128">
        <f t="shared" si="36"/>
        <v>100</v>
      </c>
      <c r="AD72" s="702">
        <f t="shared" si="23"/>
        <v>1.1551911901905973E-4</v>
      </c>
      <c r="AE72" s="645"/>
      <c r="AF72" s="226"/>
      <c r="AG72" s="226"/>
    </row>
    <row r="73" spans="1:33" s="1" customFormat="1">
      <c r="A73" s="2">
        <v>6134</v>
      </c>
      <c r="B73" s="188" t="s">
        <v>317</v>
      </c>
      <c r="C73" s="676">
        <v>118.44331641285957</v>
      </c>
      <c r="D73" s="702">
        <f t="shared" si="24"/>
        <v>1.5159985748959911E-4</v>
      </c>
      <c r="E73" s="676">
        <v>118.44331641285957</v>
      </c>
      <c r="F73" s="702">
        <f t="shared" si="25"/>
        <v>1.9485806202620493E-4</v>
      </c>
      <c r="G73" s="676">
        <v>118.44331641285957</v>
      </c>
      <c r="H73" s="702">
        <f t="shared" si="26"/>
        <v>1.1747087894375988E-4</v>
      </c>
      <c r="I73" s="676">
        <v>118.44331641285957</v>
      </c>
      <c r="J73" s="702">
        <f t="shared" si="27"/>
        <v>1.3303696689057886E-4</v>
      </c>
      <c r="K73" s="676">
        <v>118.44331641285957</v>
      </c>
      <c r="L73" s="702">
        <f t="shared" si="28"/>
        <v>1.4545888339727165E-4</v>
      </c>
      <c r="M73" s="676">
        <v>118.44331641285957</v>
      </c>
      <c r="N73" s="702">
        <f t="shared" si="29"/>
        <v>1.0258131428648452E-4</v>
      </c>
      <c r="O73" s="676">
        <v>118.44331641285957</v>
      </c>
      <c r="P73" s="702">
        <f t="shared" si="30"/>
        <v>1.6202749894147383E-4</v>
      </c>
      <c r="Q73" s="676">
        <v>118.44331641285957</v>
      </c>
      <c r="R73" s="702">
        <f t="shared" si="31"/>
        <v>1.3048433998927685E-4</v>
      </c>
      <c r="S73" s="676">
        <v>118.44331641285957</v>
      </c>
      <c r="T73" s="702">
        <f t="shared" si="32"/>
        <v>1.2952851336742955E-4</v>
      </c>
      <c r="U73" s="676">
        <v>118.44331641285957</v>
      </c>
      <c r="V73" s="702">
        <f t="shared" si="33"/>
        <v>1.6329733630319909E-4</v>
      </c>
      <c r="W73" s="676">
        <v>118.44331641285957</v>
      </c>
      <c r="X73" s="702">
        <f t="shared" si="34"/>
        <v>1.6049800563217579E-4</v>
      </c>
      <c r="Y73" s="676">
        <v>118.44331641285957</v>
      </c>
      <c r="Z73" s="702">
        <f t="shared" si="35"/>
        <v>1.0624338743728059E-4</v>
      </c>
      <c r="AA73" s="144">
        <f t="shared" si="19"/>
        <v>1421.3197969543146</v>
      </c>
      <c r="AB73" s="702">
        <f t="shared" si="22"/>
        <v>1.3682467565709274E-4</v>
      </c>
      <c r="AC73" s="128">
        <f t="shared" si="36"/>
        <v>118.44331641285955</v>
      </c>
      <c r="AD73" s="702">
        <f t="shared" si="23"/>
        <v>1.3682467565709274E-4</v>
      </c>
      <c r="AE73" s="645"/>
      <c r="AF73" s="226"/>
      <c r="AG73" s="226"/>
    </row>
    <row r="74" spans="1:33" s="1" customFormat="1">
      <c r="A74" s="2">
        <v>6135</v>
      </c>
      <c r="B74" s="188" t="s">
        <v>318</v>
      </c>
      <c r="C74" s="676">
        <v>0</v>
      </c>
      <c r="D74" s="702">
        <f t="shared" si="24"/>
        <v>0</v>
      </c>
      <c r="E74" s="676">
        <v>0</v>
      </c>
      <c r="F74" s="702">
        <f t="shared" si="25"/>
        <v>0</v>
      </c>
      <c r="G74" s="676">
        <v>0</v>
      </c>
      <c r="H74" s="702">
        <f t="shared" si="26"/>
        <v>0</v>
      </c>
      <c r="I74" s="676">
        <v>0</v>
      </c>
      <c r="J74" s="702">
        <f t="shared" si="27"/>
        <v>0</v>
      </c>
      <c r="K74" s="676">
        <v>0</v>
      </c>
      <c r="L74" s="702">
        <f t="shared" si="28"/>
        <v>0</v>
      </c>
      <c r="M74" s="676">
        <v>0</v>
      </c>
      <c r="N74" s="702">
        <f t="shared" si="29"/>
        <v>0</v>
      </c>
      <c r="O74" s="676">
        <v>0</v>
      </c>
      <c r="P74" s="702">
        <f t="shared" si="30"/>
        <v>0</v>
      </c>
      <c r="Q74" s="676">
        <v>0</v>
      </c>
      <c r="R74" s="702">
        <f t="shared" si="31"/>
        <v>0</v>
      </c>
      <c r="S74" s="676">
        <v>0</v>
      </c>
      <c r="T74" s="702">
        <f t="shared" si="32"/>
        <v>0</v>
      </c>
      <c r="U74" s="676">
        <v>0</v>
      </c>
      <c r="V74" s="702">
        <f t="shared" si="33"/>
        <v>0</v>
      </c>
      <c r="W74" s="676">
        <v>0</v>
      </c>
      <c r="X74" s="702">
        <f t="shared" si="34"/>
        <v>0</v>
      </c>
      <c r="Y74" s="676">
        <v>0</v>
      </c>
      <c r="Z74" s="702">
        <f t="shared" si="35"/>
        <v>0</v>
      </c>
      <c r="AA74" s="144">
        <f t="shared" si="19"/>
        <v>0</v>
      </c>
      <c r="AB74" s="702">
        <f t="shared" si="22"/>
        <v>0</v>
      </c>
      <c r="AC74" s="128">
        <f t="shared" si="36"/>
        <v>0</v>
      </c>
      <c r="AD74" s="702">
        <f t="shared" si="23"/>
        <v>0</v>
      </c>
      <c r="AE74" s="645"/>
      <c r="AF74" s="226"/>
      <c r="AG74" s="226"/>
    </row>
    <row r="75" spans="1:33" s="1" customFormat="1">
      <c r="A75" s="2">
        <v>6136</v>
      </c>
      <c r="B75" s="188" t="s">
        <v>330</v>
      </c>
      <c r="C75" s="676">
        <v>152.28426395939087</v>
      </c>
      <c r="D75" s="702">
        <f t="shared" si="24"/>
        <v>1.9491410248662742E-4</v>
      </c>
      <c r="E75" s="676">
        <v>152.28426395939087</v>
      </c>
      <c r="F75" s="702">
        <f t="shared" si="25"/>
        <v>2.5053179403369206E-4</v>
      </c>
      <c r="G75" s="676">
        <v>152.28426395939087</v>
      </c>
      <c r="H75" s="702">
        <f t="shared" si="26"/>
        <v>1.5103398721340555E-4</v>
      </c>
      <c r="I75" s="676">
        <v>152.28426395939087</v>
      </c>
      <c r="J75" s="702">
        <f t="shared" si="27"/>
        <v>1.7104752885931565E-4</v>
      </c>
      <c r="K75" s="676">
        <v>152.28426395939087</v>
      </c>
      <c r="L75" s="702">
        <f t="shared" si="28"/>
        <v>1.870185643679207E-4</v>
      </c>
      <c r="M75" s="676">
        <v>152.28426395939087</v>
      </c>
      <c r="N75" s="702">
        <f t="shared" si="29"/>
        <v>1.3189026122548009E-4</v>
      </c>
      <c r="O75" s="676">
        <v>152.28426395939087</v>
      </c>
      <c r="P75" s="702">
        <f t="shared" si="30"/>
        <v>2.0832107006760919E-4</v>
      </c>
      <c r="Q75" s="676">
        <v>152.28426395939087</v>
      </c>
      <c r="R75" s="702">
        <f t="shared" si="31"/>
        <v>1.6776557998621309E-4</v>
      </c>
      <c r="S75" s="676">
        <v>152.28426395939087</v>
      </c>
      <c r="T75" s="702">
        <f t="shared" si="32"/>
        <v>1.6653666004383798E-4</v>
      </c>
      <c r="U75" s="676">
        <v>152.28426395939087</v>
      </c>
      <c r="V75" s="702">
        <f t="shared" si="33"/>
        <v>2.0995371810411309E-4</v>
      </c>
      <c r="W75" s="676">
        <v>152.28426395939087</v>
      </c>
      <c r="X75" s="702">
        <f t="shared" si="34"/>
        <v>2.0635457866994029E-4</v>
      </c>
      <c r="Y75" s="676">
        <v>152.28426395939087</v>
      </c>
      <c r="Z75" s="702">
        <f t="shared" si="35"/>
        <v>1.3659864099078932E-4</v>
      </c>
      <c r="AA75" s="144">
        <f t="shared" si="19"/>
        <v>1827.4111675126908</v>
      </c>
      <c r="AB75" s="702">
        <f t="shared" ref="AB75:AD75" si="37">AA75/AA$12</f>
        <v>1.7591744013054786E-4</v>
      </c>
      <c r="AC75" s="128">
        <f t="shared" si="36"/>
        <v>152.2842639593909</v>
      </c>
      <c r="AD75" s="702">
        <f t="shared" si="37"/>
        <v>1.7591744013054786E-4</v>
      </c>
      <c r="AE75" s="645"/>
      <c r="AF75" s="226"/>
      <c r="AG75" s="226"/>
    </row>
    <row r="76" spans="1:33" s="1" customFormat="1" ht="15.75" thickBot="1">
      <c r="A76" s="4">
        <v>6199</v>
      </c>
      <c r="B76" s="229" t="s">
        <v>23</v>
      </c>
      <c r="C76" s="116">
        <f>SUM(C42:C75)</f>
        <v>170198.36523056091</v>
      </c>
      <c r="D76" s="89">
        <f>C76/C12</f>
        <v>0.21784300453034602</v>
      </c>
      <c r="E76" s="116">
        <f>SUM(E42:E75)</f>
        <v>167959.34714215886</v>
      </c>
      <c r="F76" s="89">
        <f>E76/E12</f>
        <v>0.2763197947719262</v>
      </c>
      <c r="G76" s="116">
        <f>SUM(G42:G75)</f>
        <v>172956.29886397027</v>
      </c>
      <c r="H76" s="89">
        <f>G76/G12</f>
        <v>0.17153630159754901</v>
      </c>
      <c r="I76" s="116">
        <f>SUM(I42:I75)</f>
        <v>168336.65049394342</v>
      </c>
      <c r="J76" s="89">
        <f>I76/I12</f>
        <v>0.18907776374794447</v>
      </c>
      <c r="K76" s="116">
        <f>SUM(K42:K75)</f>
        <v>168179.92782580509</v>
      </c>
      <c r="L76" s="89">
        <f>K76/K12</f>
        <v>0.20653984751746898</v>
      </c>
      <c r="M76" s="45">
        <f>SUM(M42:M75)</f>
        <v>169010.39995991322</v>
      </c>
      <c r="N76" s="89">
        <f>M76/M12</f>
        <v>0.14637642275685189</v>
      </c>
      <c r="O76" s="45">
        <f>SUM(O42:O75)</f>
        <v>167682.15937978239</v>
      </c>
      <c r="P76" s="89">
        <f>O76/O12</f>
        <v>0.22938500646763335</v>
      </c>
      <c r="Q76" s="116">
        <f>SUM(Q42:Q75)</f>
        <v>174543.80069922787</v>
      </c>
      <c r="R76" s="89">
        <f>Q76/Q12</f>
        <v>0.19228803551962925</v>
      </c>
      <c r="S76" s="116">
        <f>SUM(S42:S75)</f>
        <v>176809.49666781974</v>
      </c>
      <c r="T76" s="89">
        <f>S76/S12</f>
        <v>0.19335722729002958</v>
      </c>
      <c r="U76" s="116">
        <f>SUM(U42:U75)</f>
        <v>175094.90180267167</v>
      </c>
      <c r="V76" s="89">
        <f>U76/U12</f>
        <v>0.24140265513151538</v>
      </c>
      <c r="W76" s="116">
        <f>SUM(W42:W75)</f>
        <v>175125.26358501642</v>
      </c>
      <c r="X76" s="89">
        <f>W76/W12</f>
        <v>0.23730554321216715</v>
      </c>
      <c r="Y76" s="116">
        <f>SUM(Y42:Y75)</f>
        <v>176279.71858312871</v>
      </c>
      <c r="Z76" s="89">
        <f>Y76/Y12</f>
        <v>0.1581225096186917</v>
      </c>
      <c r="AA76" s="148">
        <f>SUM(AA42:AA75)</f>
        <v>2062176.3302339984</v>
      </c>
      <c r="AB76" s="89">
        <f>AA76/AA12</f>
        <v>0.19851732744215758</v>
      </c>
      <c r="AC76" s="132">
        <f>SUM(AC42:AC75)</f>
        <v>171848.02751949988</v>
      </c>
      <c r="AD76" s="89">
        <f>AC76/AC12</f>
        <v>0.19851732744215761</v>
      </c>
      <c r="AE76" s="320"/>
      <c r="AF76" s="321"/>
      <c r="AG76" s="320"/>
    </row>
    <row r="77" spans="1:33" s="1" customFormat="1" ht="15.75" thickTop="1">
      <c r="A77" s="2">
        <v>6201</v>
      </c>
      <c r="B77" s="228" t="s">
        <v>24</v>
      </c>
      <c r="C77" s="61">
        <v>50100</v>
      </c>
      <c r="D77" s="24">
        <f>C77/C12</f>
        <v>6.4124790577075555E-2</v>
      </c>
      <c r="E77" s="61">
        <v>50100</v>
      </c>
      <c r="F77" s="24">
        <f>E77/E12</f>
        <v>8.2422454919144336E-2</v>
      </c>
      <c r="G77" s="61">
        <v>50100</v>
      </c>
      <c r="H77" s="24">
        <f>G77/G12</f>
        <v>4.9688671453338287E-2</v>
      </c>
      <c r="I77" s="61">
        <v>50100</v>
      </c>
      <c r="J77" s="24">
        <f>I77/I12</f>
        <v>5.627292651942626E-2</v>
      </c>
      <c r="K77" s="61">
        <v>50100</v>
      </c>
      <c r="L77" s="403">
        <f>K77/K12</f>
        <v>6.1527237491402223E-2</v>
      </c>
      <c r="M77" s="61">
        <v>50100</v>
      </c>
      <c r="N77" s="24">
        <f>M77/M12</f>
        <v>4.3390577040570685E-2</v>
      </c>
      <c r="O77" s="61">
        <v>50100</v>
      </c>
      <c r="P77" s="24">
        <f>O77/O12</f>
        <v>6.853554884154274E-2</v>
      </c>
      <c r="Q77" s="61">
        <v>50100</v>
      </c>
      <c r="R77" s="24">
        <f>Q77/Q12</f>
        <v>5.5193198159664239E-2</v>
      </c>
      <c r="S77" s="61">
        <v>50100</v>
      </c>
      <c r="T77" s="24">
        <f>S77/S12</f>
        <v>5.4788895787822256E-2</v>
      </c>
      <c r="U77" s="61">
        <v>50100</v>
      </c>
      <c r="V77" s="24">
        <f>U77/U12</f>
        <v>6.9072673719072164E-2</v>
      </c>
      <c r="W77" s="61">
        <v>50100</v>
      </c>
      <c r="X77" s="24">
        <f>W77/W12</f>
        <v>6.7888592836623657E-2</v>
      </c>
      <c r="Y77" s="61">
        <v>50100</v>
      </c>
      <c r="Z77" s="24">
        <f>Y77/Y12</f>
        <v>4.4939586899559771E-2</v>
      </c>
      <c r="AA77" s="144">
        <f t="shared" ref="AA77:AA92" si="38">C77+E77+G77+I77+K77+M77+O77+Q77+S77+U77+W77+Y77</f>
        <v>601200</v>
      </c>
      <c r="AB77" s="24">
        <f>AA77/AA12</f>
        <v>5.7875078628548925E-2</v>
      </c>
      <c r="AC77" s="128">
        <f t="shared" ref="AC77:AC149" si="39">AA77/12</f>
        <v>50100</v>
      </c>
      <c r="AD77" s="24">
        <f>AC77/AC12</f>
        <v>5.7875078628548925E-2</v>
      </c>
      <c r="AF77" s="84"/>
    </row>
    <row r="78" spans="1:33" s="1" customFormat="1">
      <c r="A78" s="2">
        <v>6202</v>
      </c>
      <c r="B78" s="228" t="s">
        <v>25</v>
      </c>
      <c r="C78" s="61">
        <v>25050</v>
      </c>
      <c r="D78" s="24">
        <f>C78/C12</f>
        <v>3.2062395288537777E-2</v>
      </c>
      <c r="E78" s="61">
        <v>25050</v>
      </c>
      <c r="F78" s="24">
        <f>E78/E12</f>
        <v>4.1211227459572168E-2</v>
      </c>
      <c r="G78" s="61">
        <v>25050</v>
      </c>
      <c r="H78" s="24">
        <f>G78/G12</f>
        <v>2.4844335726669144E-2</v>
      </c>
      <c r="I78" s="61">
        <v>25050</v>
      </c>
      <c r="J78" s="24">
        <f>I78/I12</f>
        <v>2.813646325971313E-2</v>
      </c>
      <c r="K78" s="61">
        <v>25050</v>
      </c>
      <c r="L78" s="403">
        <f>K78/K12</f>
        <v>3.0763618745701111E-2</v>
      </c>
      <c r="M78" s="61">
        <v>25050</v>
      </c>
      <c r="N78" s="24">
        <f>M78/M12</f>
        <v>2.1695288520285343E-2</v>
      </c>
      <c r="O78" s="61">
        <v>25050</v>
      </c>
      <c r="P78" s="24">
        <f>O78/O12</f>
        <v>3.426777442077137E-2</v>
      </c>
      <c r="Q78" s="61">
        <v>25050</v>
      </c>
      <c r="R78" s="24">
        <f>Q78/Q12</f>
        <v>2.759659907983212E-2</v>
      </c>
      <c r="S78" s="61">
        <v>25050</v>
      </c>
      <c r="T78" s="24">
        <f>S78/S12</f>
        <v>2.7394447893911128E-2</v>
      </c>
      <c r="U78" s="61">
        <v>25050</v>
      </c>
      <c r="V78" s="24">
        <f>U78/U12</f>
        <v>3.4536336859536082E-2</v>
      </c>
      <c r="W78" s="61">
        <v>25050</v>
      </c>
      <c r="X78" s="24">
        <f>W78/W12</f>
        <v>3.3944296418311828E-2</v>
      </c>
      <c r="Y78" s="61">
        <v>25050</v>
      </c>
      <c r="Z78" s="24">
        <f>Y78/Y12</f>
        <v>2.2469793449779885E-2</v>
      </c>
      <c r="AA78" s="144">
        <f t="shared" si="38"/>
        <v>300600</v>
      </c>
      <c r="AB78" s="24">
        <f>AA78/AA12</f>
        <v>2.8937539314274462E-2</v>
      </c>
      <c r="AC78" s="128">
        <f t="shared" si="39"/>
        <v>25050</v>
      </c>
      <c r="AD78" s="24">
        <f>AC78/AC12</f>
        <v>2.8937539314274462E-2</v>
      </c>
      <c r="AF78" s="84"/>
    </row>
    <row r="79" spans="1:33" s="1" customFormat="1">
      <c r="A79" s="2">
        <v>6203</v>
      </c>
      <c r="B79" s="228" t="s">
        <v>26</v>
      </c>
      <c r="C79" s="61">
        <v>8350</v>
      </c>
      <c r="D79" s="24">
        <f>C79/C12</f>
        <v>1.0687465096179259E-2</v>
      </c>
      <c r="E79" s="61">
        <v>8350</v>
      </c>
      <c r="F79" s="24">
        <f>E79/E12</f>
        <v>1.373707581985739E-2</v>
      </c>
      <c r="G79" s="61">
        <v>8350</v>
      </c>
      <c r="H79" s="24">
        <f>G79/G12</f>
        <v>8.2814452422230473E-3</v>
      </c>
      <c r="I79" s="61">
        <v>8350</v>
      </c>
      <c r="J79" s="24">
        <f>I79/I12</f>
        <v>9.3788210865710427E-3</v>
      </c>
      <c r="K79" s="61">
        <v>8350</v>
      </c>
      <c r="L79" s="403">
        <f>K79/K12</f>
        <v>1.0254539581900372E-2</v>
      </c>
      <c r="M79" s="61">
        <v>8350</v>
      </c>
      <c r="N79" s="24">
        <f>M79/M12</f>
        <v>7.2317628400951151E-3</v>
      </c>
      <c r="O79" s="61">
        <v>8350</v>
      </c>
      <c r="P79" s="24">
        <f>O79/O12</f>
        <v>1.1422591473590458E-2</v>
      </c>
      <c r="Q79" s="61">
        <v>8350</v>
      </c>
      <c r="R79" s="24">
        <f>Q79/Q12</f>
        <v>9.1988663599440398E-3</v>
      </c>
      <c r="S79" s="61">
        <v>8350</v>
      </c>
      <c r="T79" s="24">
        <f>S79/S12</f>
        <v>9.1314826313037088E-3</v>
      </c>
      <c r="U79" s="61">
        <v>8350</v>
      </c>
      <c r="V79" s="24">
        <f>U79/U12</f>
        <v>1.1512112286512027E-2</v>
      </c>
      <c r="W79" s="61">
        <v>8350</v>
      </c>
      <c r="X79" s="24">
        <f>W79/W12</f>
        <v>1.1314765472770608E-2</v>
      </c>
      <c r="Y79" s="61">
        <v>8350</v>
      </c>
      <c r="Z79" s="24">
        <f>Y79/Y12</f>
        <v>7.4899311499266293E-3</v>
      </c>
      <c r="AA79" s="144">
        <f t="shared" si="38"/>
        <v>100200</v>
      </c>
      <c r="AB79" s="24">
        <f>AA79/AA12</f>
        <v>9.645846438091488E-3</v>
      </c>
      <c r="AC79" s="128">
        <f t="shared" si="39"/>
        <v>8350</v>
      </c>
      <c r="AD79" s="24">
        <f>AC79/AC12</f>
        <v>9.645846438091488E-3</v>
      </c>
      <c r="AF79" s="84"/>
    </row>
    <row r="80" spans="1:33" s="1" customFormat="1">
      <c r="A80" s="2">
        <v>6204</v>
      </c>
      <c r="B80" s="228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403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38"/>
        <v>0</v>
      </c>
      <c r="AB80" s="24">
        <f>AA80/AA12</f>
        <v>0</v>
      </c>
      <c r="AC80" s="128">
        <f t="shared" si="39"/>
        <v>0</v>
      </c>
      <c r="AD80" s="24">
        <f>AC80/AC12</f>
        <v>0</v>
      </c>
      <c r="AF80" s="84"/>
    </row>
    <row r="81" spans="1:33" s="1" customFormat="1">
      <c r="A81" s="2">
        <v>6205</v>
      </c>
      <c r="B81" s="228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403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38"/>
        <v>0</v>
      </c>
      <c r="AB81" s="24">
        <f>AA81/AA12</f>
        <v>0</v>
      </c>
      <c r="AC81" s="128">
        <f t="shared" si="39"/>
        <v>0</v>
      </c>
      <c r="AD81" s="24">
        <f>AC81/AC12</f>
        <v>0</v>
      </c>
      <c r="AF81" s="84"/>
    </row>
    <row r="82" spans="1:33" s="1" customFormat="1">
      <c r="A82" s="2">
        <v>6206</v>
      </c>
      <c r="B82" s="2" t="s">
        <v>217</v>
      </c>
      <c r="C82" s="61">
        <v>1408.6166666666668</v>
      </c>
      <c r="D82" s="24">
        <f>C82/C12</f>
        <v>1.8029390968738175E-3</v>
      </c>
      <c r="E82" s="61">
        <v>1408.6166666666668</v>
      </c>
      <c r="F82" s="24">
        <f>E82/E12</f>
        <v>2.3173980779778187E-3</v>
      </c>
      <c r="G82" s="61">
        <v>1408.6166666666668</v>
      </c>
      <c r="H82" s="24">
        <f>G82/G12</f>
        <v>1.3970517116506296E-3</v>
      </c>
      <c r="I82" s="61">
        <v>1408.6166666666668</v>
      </c>
      <c r="J82" s="24">
        <f>I82/I12</f>
        <v>1.5821752929615267E-3</v>
      </c>
      <c r="K82" s="61">
        <v>1408.6166666666668</v>
      </c>
      <c r="L82" s="403">
        <f>K82/K12</f>
        <v>1.7299060316237E-3</v>
      </c>
      <c r="M82" s="61">
        <v>1408.6166666666668</v>
      </c>
      <c r="N82" s="24">
        <f>M82/M12</f>
        <v>1.2199738522082214E-3</v>
      </c>
      <c r="O82" s="61">
        <v>1408.6166666666668</v>
      </c>
      <c r="P82" s="24">
        <f>O82/O12</f>
        <v>1.9269524223022849E-3</v>
      </c>
      <c r="Q82" s="61">
        <v>1408.6166666666668</v>
      </c>
      <c r="R82" s="24">
        <f>Q82/Q12</f>
        <v>1.5518175412043722E-3</v>
      </c>
      <c r="S82" s="61">
        <v>1408.6166666666668</v>
      </c>
      <c r="T82" s="24">
        <f>S82/S12</f>
        <v>1.5404501348301311E-3</v>
      </c>
      <c r="U82" s="61">
        <v>1408.6166666666668</v>
      </c>
      <c r="V82" s="24">
        <f>U82/U12</f>
        <v>1.9420542796789162E-3</v>
      </c>
      <c r="W82" s="61">
        <v>1408.6166666666668</v>
      </c>
      <c r="X82" s="24">
        <f>W82/W12</f>
        <v>1.908762541840626E-3</v>
      </c>
      <c r="Y82" s="61">
        <v>1408.6166666666668</v>
      </c>
      <c r="Z82" s="24">
        <f>Y82/Y12</f>
        <v>1.2635259700565847E-3</v>
      </c>
      <c r="AA82" s="144">
        <f t="shared" si="38"/>
        <v>16903.400000000001</v>
      </c>
      <c r="AB82" s="24">
        <f>AA82/AA12</f>
        <v>1.6272215636889788E-3</v>
      </c>
      <c r="AC82" s="128">
        <f t="shared" si="39"/>
        <v>1408.6166666666668</v>
      </c>
      <c r="AD82" s="24">
        <f>AC82/AC12</f>
        <v>1.6272215636889788E-3</v>
      </c>
      <c r="AF82" s="84"/>
    </row>
    <row r="83" spans="1:33" s="1" customFormat="1">
      <c r="A83" s="2">
        <v>6207</v>
      </c>
      <c r="B83" s="2" t="s">
        <v>218</v>
      </c>
      <c r="C83" s="113">
        <v>4591.666666666667</v>
      </c>
      <c r="D83" s="24">
        <f>C83/C$12</f>
        <v>5.8770391896155409E-3</v>
      </c>
      <c r="E83" s="113">
        <v>4591.666666666667</v>
      </c>
      <c r="F83" s="24">
        <f>E83/E$12</f>
        <v>7.5540207352708805E-3</v>
      </c>
      <c r="G83" s="113">
        <v>4591.666666666667</v>
      </c>
      <c r="H83" s="24">
        <f>G83/G$12</f>
        <v>4.5539683916815364E-3</v>
      </c>
      <c r="I83" s="113">
        <v>4591.666666666667</v>
      </c>
      <c r="J83" s="24">
        <f>I83/I$12</f>
        <v>5.1574155875255935E-3</v>
      </c>
      <c r="K83" s="113">
        <v>4591.666666666667</v>
      </c>
      <c r="L83" s="403">
        <f>K83/K$12</f>
        <v>5.6389733629013021E-3</v>
      </c>
      <c r="M83" s="113">
        <v>4591.666666666667</v>
      </c>
      <c r="N83" s="24">
        <f>M83/M$12</f>
        <v>3.9767478292339403E-3</v>
      </c>
      <c r="O83" s="113">
        <v>4591.666666666667</v>
      </c>
      <c r="P83" s="24">
        <f>O83/O$12</f>
        <v>6.2812853312857707E-3</v>
      </c>
      <c r="Q83" s="113">
        <v>4591.666666666667</v>
      </c>
      <c r="R83" s="24">
        <f>Q83/Q$12</f>
        <v>5.058458447434298E-3</v>
      </c>
      <c r="S83" s="113">
        <v>4591.666666666667</v>
      </c>
      <c r="T83" s="24">
        <f>S83/S$12</f>
        <v>5.0214041216051332E-3</v>
      </c>
      <c r="U83" s="113">
        <v>4591.666666666667</v>
      </c>
      <c r="V83" s="24">
        <f>U83/U$12</f>
        <v>6.3305128441797677E-3</v>
      </c>
      <c r="W83" s="113">
        <v>4591.666666666667</v>
      </c>
      <c r="X83" s="24">
        <f>W83/W$12</f>
        <v>6.2219917919127798E-3</v>
      </c>
      <c r="Y83" s="113">
        <v>4591.666666666667</v>
      </c>
      <c r="Z83" s="24">
        <f>Y83/Y$12</f>
        <v>4.1187146343408913E-3</v>
      </c>
      <c r="AA83" s="144">
        <f t="shared" si="38"/>
        <v>55099.999999999993</v>
      </c>
      <c r="AB83" s="68">
        <f>AA83/AA$12</f>
        <v>5.3042528816251589E-3</v>
      </c>
      <c r="AC83" s="128">
        <f t="shared" si="39"/>
        <v>4591.6666666666661</v>
      </c>
      <c r="AD83" s="68">
        <f>AC83/AC$12</f>
        <v>5.3042528816251589E-3</v>
      </c>
      <c r="AF83" s="84"/>
    </row>
    <row r="84" spans="1:33" s="1" customFormat="1">
      <c r="A84" s="2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403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38"/>
        <v>0</v>
      </c>
      <c r="AB84" s="24">
        <f>AA84/AA12</f>
        <v>0</v>
      </c>
      <c r="AC84" s="128">
        <f t="shared" si="39"/>
        <v>0</v>
      </c>
      <c r="AD84" s="24">
        <f>AC84/AC12</f>
        <v>0</v>
      </c>
      <c r="AF84" s="84"/>
    </row>
    <row r="85" spans="1:33" s="1" customFormat="1">
      <c r="A85" s="2">
        <v>6209</v>
      </c>
      <c r="B85" s="228" t="s">
        <v>29</v>
      </c>
      <c r="C85" s="61">
        <v>6262.5</v>
      </c>
      <c r="D85" s="702">
        <f>C85/C12</f>
        <v>8.0155988221344444E-3</v>
      </c>
      <c r="E85" s="61">
        <v>6262.5</v>
      </c>
      <c r="F85" s="702">
        <f>E85/E12</f>
        <v>1.0302806864893042E-2</v>
      </c>
      <c r="G85" s="61">
        <v>6262.5</v>
      </c>
      <c r="H85" s="702">
        <f>G85/G12</f>
        <v>6.2110839316672859E-3</v>
      </c>
      <c r="I85" s="61">
        <v>6262.5</v>
      </c>
      <c r="J85" s="702">
        <f>I85/I12</f>
        <v>7.0341158149282825E-3</v>
      </c>
      <c r="K85" s="61">
        <v>6262.5</v>
      </c>
      <c r="L85" s="226">
        <f>K85/K12</f>
        <v>7.6909046864252779E-3</v>
      </c>
      <c r="M85" s="61">
        <v>6262.5</v>
      </c>
      <c r="N85" s="702">
        <f>M85/M12</f>
        <v>5.4238221300713357E-3</v>
      </c>
      <c r="O85" s="61">
        <v>6262.5</v>
      </c>
      <c r="P85" s="702">
        <f>O85/O12</f>
        <v>8.5669436051928425E-3</v>
      </c>
      <c r="Q85" s="61">
        <v>6262.5</v>
      </c>
      <c r="R85" s="68">
        <f>Q85/Q12</f>
        <v>6.8991497699580299E-3</v>
      </c>
      <c r="S85" s="61">
        <v>6262.5</v>
      </c>
      <c r="T85" s="68">
        <f>S85/S12</f>
        <v>6.848611973477782E-3</v>
      </c>
      <c r="U85" s="61">
        <v>6262.5</v>
      </c>
      <c r="V85" s="68">
        <f>U85/U12</f>
        <v>8.6340842148840205E-3</v>
      </c>
      <c r="W85" s="61">
        <v>6262.5</v>
      </c>
      <c r="X85" s="68">
        <f>W85/W12</f>
        <v>8.4860741045779571E-3</v>
      </c>
      <c r="Y85" s="61">
        <v>6262.5</v>
      </c>
      <c r="Z85" s="68">
        <f>Y85/Y12</f>
        <v>5.6174483624449713E-3</v>
      </c>
      <c r="AA85" s="144">
        <f t="shared" si="38"/>
        <v>75150</v>
      </c>
      <c r="AB85" s="68">
        <f>AA85/AA12</f>
        <v>7.2343848285686156E-3</v>
      </c>
      <c r="AC85" s="128">
        <f t="shared" si="39"/>
        <v>6262.5</v>
      </c>
      <c r="AD85" s="68">
        <f>AC85/AC12</f>
        <v>7.2343848285686156E-3</v>
      </c>
      <c r="AF85" s="84"/>
    </row>
    <row r="86" spans="1:33" s="1" customFormat="1">
      <c r="A86" s="2">
        <v>6210</v>
      </c>
      <c r="B86" s="228" t="s">
        <v>30</v>
      </c>
      <c r="C86" s="61">
        <v>2882.4657534246571</v>
      </c>
      <c r="D86" s="24">
        <f>C86/C12</f>
        <v>3.6893715126536616E-3</v>
      </c>
      <c r="E86" s="61">
        <v>2882.4657534246571</v>
      </c>
      <c r="F86" s="24">
        <f>E86/E12</f>
        <v>4.7421138446630982E-3</v>
      </c>
      <c r="G86" s="61">
        <v>2882.4657534246571</v>
      </c>
      <c r="H86" s="24">
        <f>G86/G12</f>
        <v>2.8588002753975449E-3</v>
      </c>
      <c r="I86" s="61">
        <v>2882.4657534246571</v>
      </c>
      <c r="J86" s="24">
        <f>I86/I12</f>
        <v>3.237620429884798E-3</v>
      </c>
      <c r="K86" s="61">
        <v>2882.4657534246571</v>
      </c>
      <c r="L86" s="403">
        <f>K86/K12</f>
        <v>3.5399232529299907E-3</v>
      </c>
      <c r="M86" s="61">
        <v>2882.4657534246571</v>
      </c>
      <c r="N86" s="24">
        <f>M86/M12</f>
        <v>2.4964441584985871E-3</v>
      </c>
      <c r="O86" s="61">
        <v>2882.4657534246571</v>
      </c>
      <c r="P86" s="24">
        <f>O86/O12</f>
        <v>3.9431411662257465E-3</v>
      </c>
      <c r="Q86" s="61">
        <v>2882.4657534246571</v>
      </c>
      <c r="R86" s="24">
        <f>Q86/Q12</f>
        <v>3.1754990721998598E-3</v>
      </c>
      <c r="S86" s="61">
        <v>2882.4657534246571</v>
      </c>
      <c r="T86" s="24">
        <f>S86/S12</f>
        <v>3.1522378398473072E-3</v>
      </c>
      <c r="U86" s="61">
        <v>2882.4657534246571</v>
      </c>
      <c r="V86" s="24">
        <f>U86/U12</f>
        <v>3.9740442413712749E-3</v>
      </c>
      <c r="W86" s="61">
        <v>2882.4657534246571</v>
      </c>
      <c r="X86" s="24">
        <f>W86/W12</f>
        <v>3.9059190399153326E-3</v>
      </c>
      <c r="Y86" s="61">
        <v>2882.4657534246571</v>
      </c>
      <c r="Z86" s="24">
        <f>Y86/Y12</f>
        <v>2.5855652736733016E-3</v>
      </c>
      <c r="AA86" s="144">
        <f t="shared" si="38"/>
        <v>34589.589041095889</v>
      </c>
      <c r="AB86" s="24">
        <f>AA86/AA12</f>
        <v>3.329799044382267E-3</v>
      </c>
      <c r="AC86" s="128">
        <f t="shared" si="39"/>
        <v>2882.4657534246576</v>
      </c>
      <c r="AD86" s="24">
        <f>AC86/AC12</f>
        <v>3.329799044382267E-3</v>
      </c>
      <c r="AF86" s="84"/>
    </row>
    <row r="87" spans="1:33" s="1" customFormat="1">
      <c r="A87" s="2">
        <v>6211</v>
      </c>
      <c r="B87" s="228" t="s">
        <v>31</v>
      </c>
      <c r="C87" s="61">
        <v>3250</v>
      </c>
      <c r="D87" s="24">
        <f>C87/C12</f>
        <v>4.1597918039021067E-3</v>
      </c>
      <c r="E87" s="61">
        <v>3250</v>
      </c>
      <c r="F87" s="24">
        <f>E87/E12</f>
        <v>5.3467660376690443E-3</v>
      </c>
      <c r="G87" s="61">
        <v>3250</v>
      </c>
      <c r="H87" s="24">
        <f>G87/G12</f>
        <v>3.2233170104460965E-3</v>
      </c>
      <c r="I87" s="61">
        <v>3250</v>
      </c>
      <c r="J87" s="24">
        <f>I87/I12</f>
        <v>3.6504393450725618E-3</v>
      </c>
      <c r="K87" s="61">
        <v>3250</v>
      </c>
      <c r="L87" s="403">
        <f>K87/K12</f>
        <v>3.9912878612187071E-3</v>
      </c>
      <c r="M87" s="61">
        <v>3250</v>
      </c>
      <c r="N87" s="24">
        <f>M87/M12</f>
        <v>2.8147579916537871E-3</v>
      </c>
      <c r="O87" s="61">
        <v>3250</v>
      </c>
      <c r="P87" s="24">
        <f>O87/O12</f>
        <v>4.4459188370262262E-3</v>
      </c>
      <c r="Q87" s="61">
        <v>3250</v>
      </c>
      <c r="R87" s="24">
        <f>Q87/Q12</f>
        <v>3.5803970862057642E-3</v>
      </c>
      <c r="S87" s="61">
        <v>3250</v>
      </c>
      <c r="T87" s="24">
        <f>S87/S12</f>
        <v>3.5541698864355754E-3</v>
      </c>
      <c r="U87" s="61">
        <v>3250</v>
      </c>
      <c r="V87" s="24">
        <f>U87/U12</f>
        <v>4.4807622672052797E-3</v>
      </c>
      <c r="W87" s="61">
        <v>3250</v>
      </c>
      <c r="X87" s="24">
        <f>W87/W12</f>
        <v>4.4039506331143086E-3</v>
      </c>
      <c r="Y87" s="61">
        <v>3250</v>
      </c>
      <c r="Z87" s="24">
        <f>Y87/Y12</f>
        <v>2.915242663145095E-3</v>
      </c>
      <c r="AA87" s="144">
        <f t="shared" si="38"/>
        <v>39000</v>
      </c>
      <c r="AB87" s="24">
        <f>AA87/AA12</f>
        <v>3.7543713681194415E-3</v>
      </c>
      <c r="AC87" s="128">
        <f t="shared" si="39"/>
        <v>3250</v>
      </c>
      <c r="AD87" s="24">
        <f>AC87/AC12</f>
        <v>3.7543713681194415E-3</v>
      </c>
      <c r="AF87" s="84"/>
    </row>
    <row r="88" spans="1:33" s="1" customFormat="1">
      <c r="A88" s="2">
        <v>6212</v>
      </c>
      <c r="B88" s="228" t="s">
        <v>32</v>
      </c>
      <c r="C88" s="75">
        <v>100</v>
      </c>
      <c r="D88" s="702">
        <f>C88/C12</f>
        <v>1.2799359396621868E-4</v>
      </c>
      <c r="E88" s="75">
        <v>100</v>
      </c>
      <c r="F88" s="702">
        <f>E88/E12</f>
        <v>1.6451587808212443E-4</v>
      </c>
      <c r="G88" s="75">
        <v>100</v>
      </c>
      <c r="H88" s="702">
        <f>G88/G12</f>
        <v>9.9178984936802966E-5</v>
      </c>
      <c r="I88" s="75">
        <v>100</v>
      </c>
      <c r="J88" s="702">
        <f>I88/I12</f>
        <v>1.1232121061761728E-4</v>
      </c>
      <c r="K88" s="75">
        <v>100</v>
      </c>
      <c r="L88" s="702">
        <f>K88/K12</f>
        <v>1.2280885726826792E-4</v>
      </c>
      <c r="M88" s="75">
        <v>100</v>
      </c>
      <c r="N88" s="702">
        <f>M88/M12</f>
        <v>8.6607938204731914E-5</v>
      </c>
      <c r="O88" s="75">
        <v>100</v>
      </c>
      <c r="P88" s="702">
        <f>O88/O12</f>
        <v>1.3679750267773003E-4</v>
      </c>
      <c r="Q88" s="75">
        <v>100</v>
      </c>
      <c r="R88" s="702">
        <f>Q88/Q12</f>
        <v>1.1016606419094659E-4</v>
      </c>
      <c r="S88" s="75">
        <v>100</v>
      </c>
      <c r="T88" s="702">
        <f>S88/S12</f>
        <v>1.0935907342878693E-4</v>
      </c>
      <c r="U88" s="75">
        <v>100</v>
      </c>
      <c r="V88" s="702">
        <f>U88/U12</f>
        <v>1.3786960822170091E-4</v>
      </c>
      <c r="W88" s="75">
        <v>100</v>
      </c>
      <c r="X88" s="702">
        <f>W88/W12</f>
        <v>1.3550617332659413E-4</v>
      </c>
      <c r="Y88" s="75">
        <v>100</v>
      </c>
      <c r="Z88" s="702">
        <f>Y88/Y12</f>
        <v>8.9699774250618313E-5</v>
      </c>
      <c r="AA88" s="144">
        <f t="shared" si="38"/>
        <v>1200</v>
      </c>
      <c r="AB88" s="68">
        <f>AA88/AA12</f>
        <v>1.1551911901905973E-4</v>
      </c>
      <c r="AC88" s="128">
        <f t="shared" si="39"/>
        <v>100</v>
      </c>
      <c r="AD88" s="68">
        <f>AC88/AC12</f>
        <v>1.1551911901905973E-4</v>
      </c>
      <c r="AF88" s="84"/>
    </row>
    <row r="89" spans="1:33" s="1" customFormat="1">
      <c r="A89" s="2">
        <v>6213</v>
      </c>
      <c r="B89" s="228" t="s">
        <v>33</v>
      </c>
      <c r="C89" s="113"/>
      <c r="D89" s="702">
        <f>C89/C12</f>
        <v>0</v>
      </c>
      <c r="E89" s="113"/>
      <c r="F89" s="702">
        <f>E89/E12</f>
        <v>0</v>
      </c>
      <c r="G89" s="113"/>
      <c r="H89" s="702">
        <f>G89/G12</f>
        <v>0</v>
      </c>
      <c r="I89" s="113"/>
      <c r="J89" s="702">
        <f>I89/I12</f>
        <v>0</v>
      </c>
      <c r="K89" s="113"/>
      <c r="L89" s="226">
        <f>K89/K12</f>
        <v>0</v>
      </c>
      <c r="M89" s="113"/>
      <c r="N89" s="702">
        <f>M89/M12</f>
        <v>0</v>
      </c>
      <c r="O89" s="113"/>
      <c r="P89" s="702">
        <f>O89/O12</f>
        <v>0</v>
      </c>
      <c r="Q89" s="113"/>
      <c r="R89" s="68">
        <f>Q89/Q12</f>
        <v>0</v>
      </c>
      <c r="S89" s="113"/>
      <c r="T89" s="68">
        <f>S89/S12</f>
        <v>0</v>
      </c>
      <c r="U89" s="113"/>
      <c r="V89" s="68">
        <f>U89/U12</f>
        <v>0</v>
      </c>
      <c r="W89" s="113"/>
      <c r="X89" s="68">
        <f>W89/W12</f>
        <v>0</v>
      </c>
      <c r="Y89" s="113"/>
      <c r="Z89" s="68">
        <f>Y89/Y12</f>
        <v>0</v>
      </c>
      <c r="AA89" s="144">
        <f t="shared" si="38"/>
        <v>0</v>
      </c>
      <c r="AB89" s="68">
        <f>AA89/AA12</f>
        <v>0</v>
      </c>
      <c r="AC89" s="128">
        <f t="shared" si="39"/>
        <v>0</v>
      </c>
      <c r="AD89" s="68">
        <f>AC89/AC12</f>
        <v>0</v>
      </c>
      <c r="AF89" s="84"/>
    </row>
    <row r="90" spans="1:33" s="1" customFormat="1">
      <c r="A90" s="2">
        <v>6214</v>
      </c>
      <c r="B90" s="228" t="s">
        <v>34</v>
      </c>
      <c r="C90" s="75">
        <v>3340</v>
      </c>
      <c r="D90" s="702">
        <f>C90/C12</f>
        <v>4.2749860384717038E-3</v>
      </c>
      <c r="E90" s="75">
        <v>3340</v>
      </c>
      <c r="F90" s="702">
        <f>E90/E12</f>
        <v>5.4948303279429558E-3</v>
      </c>
      <c r="G90" s="75">
        <v>3340</v>
      </c>
      <c r="H90" s="702">
        <f>G90/G12</f>
        <v>3.3125780968892194E-3</v>
      </c>
      <c r="I90" s="75">
        <v>3340</v>
      </c>
      <c r="J90" s="702">
        <f>I90/I12</f>
        <v>3.7515284346284171E-3</v>
      </c>
      <c r="K90" s="75">
        <v>3340</v>
      </c>
      <c r="L90" s="226">
        <f>K90/K12</f>
        <v>4.1018158327601481E-3</v>
      </c>
      <c r="M90" s="75">
        <v>3340</v>
      </c>
      <c r="N90" s="702">
        <f>M90/M12</f>
        <v>2.892705136038046E-3</v>
      </c>
      <c r="O90" s="75">
        <v>3340</v>
      </c>
      <c r="P90" s="702">
        <f>O90/O12</f>
        <v>4.5690365894361824E-3</v>
      </c>
      <c r="Q90" s="75">
        <v>3340</v>
      </c>
      <c r="R90" s="68">
        <f>Q90/Q12</f>
        <v>3.6795465439776161E-3</v>
      </c>
      <c r="S90" s="75">
        <v>3340</v>
      </c>
      <c r="T90" s="68">
        <f>S90/S12</f>
        <v>3.6525930525214837E-3</v>
      </c>
      <c r="U90" s="75">
        <v>3340</v>
      </c>
      <c r="V90" s="68">
        <f>U90/U12</f>
        <v>4.6048449146048106E-3</v>
      </c>
      <c r="W90" s="75">
        <v>3340</v>
      </c>
      <c r="X90" s="68">
        <f>W90/W12</f>
        <v>4.5259061891082435E-3</v>
      </c>
      <c r="Y90" s="75">
        <v>3340</v>
      </c>
      <c r="Z90" s="68">
        <f>Y90/Y12</f>
        <v>2.9959724599706514E-3</v>
      </c>
      <c r="AA90" s="144">
        <f t="shared" si="38"/>
        <v>40080</v>
      </c>
      <c r="AB90" s="68">
        <f>AA90/AA12</f>
        <v>3.8583385752365951E-3</v>
      </c>
      <c r="AC90" s="128">
        <f t="shared" si="39"/>
        <v>3340</v>
      </c>
      <c r="AD90" s="68">
        <f>AC90/AC12</f>
        <v>3.8583385752365951E-3</v>
      </c>
      <c r="AE90" s="1" t="s">
        <v>185</v>
      </c>
      <c r="AF90" s="84">
        <v>3513</v>
      </c>
      <c r="AG90" s="1" t="s">
        <v>200</v>
      </c>
    </row>
    <row r="91" spans="1:33" s="1" customFormat="1">
      <c r="A91" s="2">
        <v>6215</v>
      </c>
      <c r="B91" s="228" t="s">
        <v>35</v>
      </c>
      <c r="C91" s="61"/>
      <c r="D91" s="24">
        <f>C91/C12</f>
        <v>0</v>
      </c>
      <c r="E91" s="61"/>
      <c r="F91" s="24">
        <f>E91/E12</f>
        <v>0</v>
      </c>
      <c r="G91" s="61"/>
      <c r="H91" s="24">
        <f>G91/G12</f>
        <v>0</v>
      </c>
      <c r="I91" s="61"/>
      <c r="J91" s="24">
        <f>I91/I12</f>
        <v>0</v>
      </c>
      <c r="K91" s="61"/>
      <c r="L91" s="403">
        <f>K91/K12</f>
        <v>0</v>
      </c>
      <c r="M91" s="26"/>
      <c r="N91" s="24">
        <f>M91/M12</f>
        <v>0</v>
      </c>
      <c r="O91" s="26"/>
      <c r="P91" s="24">
        <f>O91/O12</f>
        <v>0</v>
      </c>
      <c r="Q91" s="61"/>
      <c r="R91" s="24">
        <f>Q91/Q12</f>
        <v>0</v>
      </c>
      <c r="S91" s="61"/>
      <c r="T91" s="24">
        <f>S91/S12</f>
        <v>0</v>
      </c>
      <c r="U91" s="61"/>
      <c r="V91" s="24">
        <f>U91/U12</f>
        <v>0</v>
      </c>
      <c r="W91" s="61"/>
      <c r="X91" s="24">
        <f>W91/W12</f>
        <v>0</v>
      </c>
      <c r="Y91" s="61"/>
      <c r="Z91" s="24">
        <f>Y91/Y12</f>
        <v>0</v>
      </c>
      <c r="AA91" s="144">
        <f t="shared" si="38"/>
        <v>0</v>
      </c>
      <c r="AB91" s="24">
        <f>AA91/AA12</f>
        <v>0</v>
      </c>
      <c r="AC91" s="128">
        <f t="shared" si="39"/>
        <v>0</v>
      </c>
      <c r="AD91" s="24">
        <f>AC91/AC12</f>
        <v>0</v>
      </c>
      <c r="AF91" s="84"/>
    </row>
    <row r="92" spans="1:33" s="1" customFormat="1">
      <c r="A92" s="2">
        <v>6216</v>
      </c>
      <c r="B92" s="228" t="s">
        <v>91</v>
      </c>
      <c r="C92" s="61"/>
      <c r="D92" s="24">
        <f>C92/C12</f>
        <v>0</v>
      </c>
      <c r="E92" s="61"/>
      <c r="F92" s="24">
        <f>E92/E12</f>
        <v>0</v>
      </c>
      <c r="G92" s="61"/>
      <c r="H92" s="24">
        <f>G92/G12</f>
        <v>0</v>
      </c>
      <c r="I92" s="61"/>
      <c r="J92" s="24">
        <f>I92/I12</f>
        <v>0</v>
      </c>
      <c r="K92" s="61"/>
      <c r="L92" s="403">
        <f>K92/K12</f>
        <v>0</v>
      </c>
      <c r="M92" s="26"/>
      <c r="N92" s="24">
        <f>M92/M12</f>
        <v>0</v>
      </c>
      <c r="O92" s="26"/>
      <c r="P92" s="24">
        <f>O92/O12</f>
        <v>0</v>
      </c>
      <c r="Q92" s="61"/>
      <c r="R92" s="24">
        <f>Q92/Q12</f>
        <v>0</v>
      </c>
      <c r="S92" s="61"/>
      <c r="T92" s="24">
        <f>S92/S12</f>
        <v>0</v>
      </c>
      <c r="U92" s="61"/>
      <c r="V92" s="24">
        <f>U92/U12</f>
        <v>0</v>
      </c>
      <c r="W92" s="61"/>
      <c r="X92" s="24">
        <f>W92/W12</f>
        <v>0</v>
      </c>
      <c r="Y92" s="61"/>
      <c r="Z92" s="24">
        <f>Y92/Y12</f>
        <v>0</v>
      </c>
      <c r="AA92" s="144">
        <f t="shared" si="38"/>
        <v>0</v>
      </c>
      <c r="AB92" s="24">
        <f>AA92/AA12</f>
        <v>0</v>
      </c>
      <c r="AC92" s="128">
        <f t="shared" si="39"/>
        <v>0</v>
      </c>
      <c r="AD92" s="24">
        <f>AC92/AC12</f>
        <v>0</v>
      </c>
      <c r="AF92" s="84"/>
    </row>
    <row r="93" spans="1:33" s="1" customFormat="1" ht="15.75" thickBot="1">
      <c r="A93" s="4">
        <v>6299</v>
      </c>
      <c r="B93" s="229" t="s">
        <v>112</v>
      </c>
      <c r="C93" s="76">
        <f>SUM(C77:C91)</f>
        <v>105335.24908675799</v>
      </c>
      <c r="D93" s="23">
        <f>C93/C12</f>
        <v>0.13482237101941008</v>
      </c>
      <c r="E93" s="116">
        <f>SUM(E77:E91)</f>
        <v>105335.24908675799</v>
      </c>
      <c r="F93" s="23">
        <f>E93/E12</f>
        <v>0.17329320996507286</v>
      </c>
      <c r="G93" s="76">
        <f>SUM(G77:G92)</f>
        <v>105335.24908675799</v>
      </c>
      <c r="H93" s="23">
        <f>G93/G12</f>
        <v>0.1044704308248996</v>
      </c>
      <c r="I93" s="76">
        <f>SUM(I77:I92)</f>
        <v>105335.24908675799</v>
      </c>
      <c r="J93" s="23">
        <f>I93/I12</f>
        <v>0.11831382698132922</v>
      </c>
      <c r="K93" s="116">
        <f>SUM(K77:K91)</f>
        <v>105335.24908675799</v>
      </c>
      <c r="L93" s="23">
        <f>K93/K12</f>
        <v>0.12936101570413111</v>
      </c>
      <c r="M93" s="391">
        <f>SUM(M77:M91)</f>
        <v>105335.24908675799</v>
      </c>
      <c r="N93" s="23">
        <f>M93/M12</f>
        <v>9.1228687436859801E-2</v>
      </c>
      <c r="O93" s="28">
        <f>SUM(O77:O92)</f>
        <v>105335.24908675799</v>
      </c>
      <c r="P93" s="23">
        <f>O93/O12</f>
        <v>0.14409599019005134</v>
      </c>
      <c r="Q93" s="28">
        <f>SUM(Q77:Q91)</f>
        <v>105335.24908675799</v>
      </c>
      <c r="R93" s="23">
        <f>Q93/Q12</f>
        <v>0.11604369812461129</v>
      </c>
      <c r="S93" s="28">
        <f>SUM(S77:S92)</f>
        <v>105335.24908675799</v>
      </c>
      <c r="T93" s="23">
        <f>S93/S12</f>
        <v>0.11519365239518328</v>
      </c>
      <c r="U93" s="76">
        <f>SUM(U77:U91)</f>
        <v>105335.24908675799</v>
      </c>
      <c r="V93" s="23">
        <f>U93/U12</f>
        <v>0.14522529523526603</v>
      </c>
      <c r="W93" s="76">
        <f>SUM(W77:W91)</f>
        <v>105335.24908675799</v>
      </c>
      <c r="X93" s="23">
        <f>W93/W12</f>
        <v>0.14273576520150191</v>
      </c>
      <c r="Y93" s="76">
        <f>SUM(Y77:Y91)</f>
        <v>105335.24908675799</v>
      </c>
      <c r="Z93" s="23">
        <f>Y93/Y12</f>
        <v>9.44854806371484E-2</v>
      </c>
      <c r="AA93" s="196">
        <f>SUM(AA77:AA92)</f>
        <v>1264022.9890410958</v>
      </c>
      <c r="AB93" s="89">
        <f>AA93/AA12</f>
        <v>0.12168235176155499</v>
      </c>
      <c r="AC93" s="52">
        <f t="shared" si="39"/>
        <v>105335.24908675799</v>
      </c>
      <c r="AD93" s="89">
        <f>AC93/AC12</f>
        <v>0.12168235176155499</v>
      </c>
      <c r="AE93" s="320" t="s">
        <v>184</v>
      </c>
      <c r="AF93" s="319">
        <v>146226</v>
      </c>
      <c r="AG93" s="320" t="s">
        <v>182</v>
      </c>
    </row>
    <row r="94" spans="1:33" s="1" customFormat="1" ht="15.75" thickTop="1">
      <c r="A94" s="2">
        <v>6301</v>
      </c>
      <c r="B94" s="228" t="s">
        <v>36</v>
      </c>
      <c r="C94" s="678"/>
      <c r="D94" s="702">
        <f t="shared" ref="D94:D101" si="40">C94/C$12</f>
        <v>0</v>
      </c>
      <c r="E94" s="678"/>
      <c r="F94" s="702">
        <f t="shared" ref="F94:F101" si="41">E94/E$12</f>
        <v>0</v>
      </c>
      <c r="G94" s="678"/>
      <c r="H94" s="702">
        <f t="shared" ref="H94:H101" si="42">G94/G$12</f>
        <v>0</v>
      </c>
      <c r="I94" s="678"/>
      <c r="J94" s="702">
        <f t="shared" ref="J94:J101" si="43">I94/I$12</f>
        <v>0</v>
      </c>
      <c r="K94" s="678"/>
      <c r="L94" s="702">
        <f t="shared" ref="L94:L101" si="44">K94/K$12</f>
        <v>0</v>
      </c>
      <c r="M94" s="678"/>
      <c r="N94" s="702">
        <f t="shared" ref="N94:N101" si="45">M94/M$12</f>
        <v>0</v>
      </c>
      <c r="O94" s="678"/>
      <c r="P94" s="702">
        <f t="shared" ref="P94:P101" si="46">O94/O$12</f>
        <v>0</v>
      </c>
      <c r="Q94" s="678"/>
      <c r="R94" s="702">
        <f t="shared" ref="R94:R101" si="47">Q94/Q$12</f>
        <v>0</v>
      </c>
      <c r="S94" s="678"/>
      <c r="T94" s="702">
        <f t="shared" ref="T94:T101" si="48">S94/S$12</f>
        <v>0</v>
      </c>
      <c r="U94" s="678"/>
      <c r="V94" s="702">
        <f t="shared" ref="V94:V101" si="49">U94/U$12</f>
        <v>0</v>
      </c>
      <c r="W94" s="678"/>
      <c r="X94" s="702">
        <f t="shared" ref="X94:X101" si="50">W94/W$12</f>
        <v>0</v>
      </c>
      <c r="Y94" s="678"/>
      <c r="Z94" s="702">
        <f t="shared" ref="Z94:Z101" si="51">Y94/Y$12</f>
        <v>0</v>
      </c>
      <c r="AA94" s="144">
        <f t="shared" ref="AA94:AA114" si="52">C94+E94+G94+I94+K94+M94+O94+Q94+S94+U94+W94+Y94</f>
        <v>0</v>
      </c>
      <c r="AB94" s="702">
        <f>AA94/AA$12</f>
        <v>0</v>
      </c>
      <c r="AC94" s="128">
        <f t="shared" si="39"/>
        <v>0</v>
      </c>
      <c r="AD94" s="702">
        <f>AC94/AC$12</f>
        <v>0</v>
      </c>
      <c r="AF94" s="84"/>
    </row>
    <row r="95" spans="1:33" s="1" customFormat="1">
      <c r="A95" s="2">
        <v>6302</v>
      </c>
      <c r="B95" s="228" t="s">
        <v>37</v>
      </c>
      <c r="C95" s="678"/>
      <c r="D95" s="702">
        <f t="shared" si="40"/>
        <v>0</v>
      </c>
      <c r="E95" s="678"/>
      <c r="F95" s="702">
        <f t="shared" si="41"/>
        <v>0</v>
      </c>
      <c r="G95" s="678"/>
      <c r="H95" s="702">
        <f t="shared" si="42"/>
        <v>0</v>
      </c>
      <c r="I95" s="678"/>
      <c r="J95" s="702">
        <f t="shared" si="43"/>
        <v>0</v>
      </c>
      <c r="K95" s="678"/>
      <c r="L95" s="702">
        <f t="shared" si="44"/>
        <v>0</v>
      </c>
      <c r="M95" s="678"/>
      <c r="N95" s="702">
        <f t="shared" si="45"/>
        <v>0</v>
      </c>
      <c r="O95" s="678"/>
      <c r="P95" s="702">
        <f t="shared" si="46"/>
        <v>0</v>
      </c>
      <c r="Q95" s="678"/>
      <c r="R95" s="702">
        <f t="shared" si="47"/>
        <v>0</v>
      </c>
      <c r="S95" s="678"/>
      <c r="T95" s="702">
        <f t="shared" si="48"/>
        <v>0</v>
      </c>
      <c r="U95" s="678"/>
      <c r="V95" s="702">
        <f t="shared" si="49"/>
        <v>0</v>
      </c>
      <c r="W95" s="678"/>
      <c r="X95" s="702">
        <f t="shared" si="50"/>
        <v>0</v>
      </c>
      <c r="Y95" s="678"/>
      <c r="Z95" s="702">
        <f t="shared" si="51"/>
        <v>0</v>
      </c>
      <c r="AA95" s="144">
        <f t="shared" si="52"/>
        <v>0</v>
      </c>
      <c r="AB95" s="702">
        <f t="shared" ref="AB95:AB99" si="53">AA95/AA$12</f>
        <v>0</v>
      </c>
      <c r="AC95" s="128">
        <f t="shared" si="39"/>
        <v>0</v>
      </c>
      <c r="AD95" s="702">
        <f t="shared" ref="AD95:AD99" si="54">AC95/AC$12</f>
        <v>0</v>
      </c>
      <c r="AE95" s="1" t="s">
        <v>197</v>
      </c>
      <c r="AF95" s="84"/>
      <c r="AG95" s="1" t="s">
        <v>204</v>
      </c>
    </row>
    <row r="96" spans="1:33" s="1" customFormat="1">
      <c r="A96" s="2">
        <v>6303</v>
      </c>
      <c r="B96" s="2" t="s">
        <v>132</v>
      </c>
      <c r="C96" s="678"/>
      <c r="D96" s="702">
        <f t="shared" si="40"/>
        <v>0</v>
      </c>
      <c r="E96" s="678"/>
      <c r="F96" s="702">
        <f t="shared" si="41"/>
        <v>0</v>
      </c>
      <c r="G96" s="678"/>
      <c r="H96" s="702">
        <f t="shared" si="42"/>
        <v>0</v>
      </c>
      <c r="I96" s="678"/>
      <c r="J96" s="702">
        <f t="shared" si="43"/>
        <v>0</v>
      </c>
      <c r="K96" s="678"/>
      <c r="L96" s="702">
        <f t="shared" si="44"/>
        <v>0</v>
      </c>
      <c r="M96" s="678"/>
      <c r="N96" s="702">
        <f t="shared" si="45"/>
        <v>0</v>
      </c>
      <c r="O96" s="678"/>
      <c r="P96" s="702">
        <f t="shared" si="46"/>
        <v>0</v>
      </c>
      <c r="Q96" s="678"/>
      <c r="R96" s="702">
        <f t="shared" si="47"/>
        <v>0</v>
      </c>
      <c r="S96" s="678"/>
      <c r="T96" s="702">
        <f t="shared" si="48"/>
        <v>0</v>
      </c>
      <c r="U96" s="678"/>
      <c r="V96" s="702">
        <f t="shared" si="49"/>
        <v>0</v>
      </c>
      <c r="W96" s="678"/>
      <c r="X96" s="702">
        <f t="shared" si="50"/>
        <v>0</v>
      </c>
      <c r="Y96" s="678"/>
      <c r="Z96" s="702">
        <f t="shared" si="51"/>
        <v>0</v>
      </c>
      <c r="AA96" s="144">
        <f t="shared" si="52"/>
        <v>0</v>
      </c>
      <c r="AB96" s="702">
        <f t="shared" si="53"/>
        <v>0</v>
      </c>
      <c r="AC96" s="128">
        <f t="shared" si="39"/>
        <v>0</v>
      </c>
      <c r="AD96" s="702">
        <f t="shared" si="54"/>
        <v>0</v>
      </c>
      <c r="AF96" s="84"/>
    </row>
    <row r="97" spans="1:32" s="1" customFormat="1">
      <c r="A97" s="2">
        <v>6304</v>
      </c>
      <c r="B97" s="2" t="s">
        <v>38</v>
      </c>
      <c r="C97" s="753"/>
      <c r="D97" s="702">
        <f t="shared" si="40"/>
        <v>0</v>
      </c>
      <c r="E97" s="753"/>
      <c r="F97" s="702">
        <f t="shared" si="41"/>
        <v>0</v>
      </c>
      <c r="G97" s="753"/>
      <c r="H97" s="702">
        <f t="shared" si="42"/>
        <v>0</v>
      </c>
      <c r="I97" s="753"/>
      <c r="J97" s="702">
        <f t="shared" si="43"/>
        <v>0</v>
      </c>
      <c r="K97" s="753"/>
      <c r="L97" s="702">
        <f t="shared" si="44"/>
        <v>0</v>
      </c>
      <c r="M97" s="753"/>
      <c r="N97" s="702">
        <f t="shared" si="45"/>
        <v>0</v>
      </c>
      <c r="O97" s="753"/>
      <c r="P97" s="702">
        <f t="shared" si="46"/>
        <v>0</v>
      </c>
      <c r="Q97" s="753"/>
      <c r="R97" s="702">
        <f t="shared" si="47"/>
        <v>0</v>
      </c>
      <c r="S97" s="753"/>
      <c r="T97" s="702">
        <f t="shared" si="48"/>
        <v>0</v>
      </c>
      <c r="U97" s="753"/>
      <c r="V97" s="702">
        <f t="shared" si="49"/>
        <v>0</v>
      </c>
      <c r="W97" s="753"/>
      <c r="X97" s="702">
        <f t="shared" si="50"/>
        <v>0</v>
      </c>
      <c r="Y97" s="753"/>
      <c r="Z97" s="702">
        <f t="shared" si="51"/>
        <v>0</v>
      </c>
      <c r="AA97" s="144">
        <f t="shared" si="52"/>
        <v>0</v>
      </c>
      <c r="AB97" s="702">
        <f t="shared" si="53"/>
        <v>0</v>
      </c>
      <c r="AC97" s="128">
        <f t="shared" si="39"/>
        <v>0</v>
      </c>
      <c r="AD97" s="702">
        <f t="shared" si="54"/>
        <v>0</v>
      </c>
      <c r="AE97" s="1" t="s">
        <v>184</v>
      </c>
      <c r="AF97" s="84">
        <v>5716</v>
      </c>
    </row>
    <row r="98" spans="1:32" s="1" customFormat="1">
      <c r="A98" s="188">
        <v>6305</v>
      </c>
      <c r="B98" s="2" t="s">
        <v>39</v>
      </c>
      <c r="C98" s="678"/>
      <c r="D98" s="702">
        <f t="shared" si="40"/>
        <v>0</v>
      </c>
      <c r="E98" s="678"/>
      <c r="F98" s="702">
        <f t="shared" si="41"/>
        <v>0</v>
      </c>
      <c r="G98" s="678"/>
      <c r="H98" s="702">
        <f t="shared" si="42"/>
        <v>0</v>
      </c>
      <c r="I98" s="678"/>
      <c r="J98" s="702">
        <f t="shared" si="43"/>
        <v>0</v>
      </c>
      <c r="K98" s="678"/>
      <c r="L98" s="702">
        <f t="shared" si="44"/>
        <v>0</v>
      </c>
      <c r="M98" s="678"/>
      <c r="N98" s="702">
        <f t="shared" si="45"/>
        <v>0</v>
      </c>
      <c r="O98" s="678"/>
      <c r="P98" s="702">
        <f t="shared" si="46"/>
        <v>0</v>
      </c>
      <c r="Q98" s="678"/>
      <c r="R98" s="702">
        <f t="shared" si="47"/>
        <v>0</v>
      </c>
      <c r="S98" s="678"/>
      <c r="T98" s="702">
        <f t="shared" si="48"/>
        <v>0</v>
      </c>
      <c r="U98" s="678"/>
      <c r="V98" s="702">
        <f t="shared" si="49"/>
        <v>0</v>
      </c>
      <c r="W98" s="678"/>
      <c r="X98" s="702">
        <f t="shared" si="50"/>
        <v>0</v>
      </c>
      <c r="Y98" s="678"/>
      <c r="Z98" s="702">
        <f t="shared" si="51"/>
        <v>0</v>
      </c>
      <c r="AA98" s="144">
        <f t="shared" si="52"/>
        <v>0</v>
      </c>
      <c r="AB98" s="702">
        <f t="shared" si="53"/>
        <v>0</v>
      </c>
      <c r="AC98" s="128">
        <f t="shared" si="39"/>
        <v>0</v>
      </c>
      <c r="AD98" s="702">
        <f t="shared" si="54"/>
        <v>0</v>
      </c>
      <c r="AE98" s="213" t="s">
        <v>203</v>
      </c>
      <c r="AF98" s="84">
        <v>3554</v>
      </c>
    </row>
    <row r="99" spans="1:32" s="1" customFormat="1">
      <c r="A99" s="2">
        <v>6306</v>
      </c>
      <c r="B99" s="2" t="s">
        <v>40</v>
      </c>
      <c r="C99" s="678"/>
      <c r="D99" s="702">
        <f t="shared" si="40"/>
        <v>0</v>
      </c>
      <c r="E99" s="678"/>
      <c r="F99" s="702">
        <f t="shared" si="41"/>
        <v>0</v>
      </c>
      <c r="G99" s="678"/>
      <c r="H99" s="702">
        <f t="shared" si="42"/>
        <v>0</v>
      </c>
      <c r="I99" s="678"/>
      <c r="J99" s="702">
        <f t="shared" si="43"/>
        <v>0</v>
      </c>
      <c r="K99" s="678"/>
      <c r="L99" s="702">
        <f t="shared" si="44"/>
        <v>0</v>
      </c>
      <c r="M99" s="678"/>
      <c r="N99" s="702">
        <f t="shared" si="45"/>
        <v>0</v>
      </c>
      <c r="O99" s="678"/>
      <c r="P99" s="702">
        <f t="shared" si="46"/>
        <v>0</v>
      </c>
      <c r="Q99" s="678"/>
      <c r="R99" s="702">
        <f t="shared" si="47"/>
        <v>0</v>
      </c>
      <c r="S99" s="678"/>
      <c r="T99" s="702">
        <f t="shared" si="48"/>
        <v>0</v>
      </c>
      <c r="U99" s="678"/>
      <c r="V99" s="702">
        <f t="shared" si="49"/>
        <v>0</v>
      </c>
      <c r="W99" s="678"/>
      <c r="X99" s="702">
        <f t="shared" si="50"/>
        <v>0</v>
      </c>
      <c r="Y99" s="678"/>
      <c r="Z99" s="702">
        <f t="shared" si="51"/>
        <v>0</v>
      </c>
      <c r="AA99" s="144">
        <f t="shared" si="52"/>
        <v>0</v>
      </c>
      <c r="AB99" s="702">
        <f t="shared" si="53"/>
        <v>0</v>
      </c>
      <c r="AC99" s="128">
        <f t="shared" si="39"/>
        <v>0</v>
      </c>
      <c r="AD99" s="702">
        <f t="shared" si="54"/>
        <v>0</v>
      </c>
      <c r="AF99" s="84"/>
    </row>
    <row r="100" spans="1:32" s="1" customFormat="1">
      <c r="A100" s="2">
        <v>6307</v>
      </c>
      <c r="B100" s="2" t="s">
        <v>322</v>
      </c>
      <c r="C100" s="678"/>
      <c r="D100" s="702">
        <f t="shared" si="40"/>
        <v>0</v>
      </c>
      <c r="E100" s="678">
        <v>350</v>
      </c>
      <c r="F100" s="702">
        <f t="shared" si="41"/>
        <v>5.7580557328743552E-4</v>
      </c>
      <c r="G100" s="678">
        <v>350</v>
      </c>
      <c r="H100" s="702">
        <f t="shared" si="42"/>
        <v>3.4712644727881041E-4</v>
      </c>
      <c r="I100" s="678">
        <v>890</v>
      </c>
      <c r="J100" s="702">
        <f t="shared" si="43"/>
        <v>9.996587744967938E-4</v>
      </c>
      <c r="K100" s="678">
        <v>350</v>
      </c>
      <c r="L100" s="702">
        <f t="shared" si="44"/>
        <v>4.2983100043893772E-4</v>
      </c>
      <c r="M100" s="678"/>
      <c r="N100" s="702">
        <f t="shared" si="45"/>
        <v>0</v>
      </c>
      <c r="O100" s="678">
        <v>350</v>
      </c>
      <c r="P100" s="702">
        <f t="shared" si="46"/>
        <v>4.7879125937205509E-4</v>
      </c>
      <c r="Q100" s="678">
        <v>350</v>
      </c>
      <c r="R100" s="702">
        <f t="shared" si="47"/>
        <v>3.8558122466831305E-4</v>
      </c>
      <c r="S100" s="678">
        <v>350</v>
      </c>
      <c r="T100" s="702">
        <f t="shared" si="48"/>
        <v>3.8275675700075428E-4</v>
      </c>
      <c r="U100" s="678">
        <v>350</v>
      </c>
      <c r="V100" s="702">
        <f t="shared" si="49"/>
        <v>4.8254362877595322E-4</v>
      </c>
      <c r="W100" s="678">
        <v>350</v>
      </c>
      <c r="X100" s="702">
        <f t="shared" si="50"/>
        <v>4.7427160664307937E-4</v>
      </c>
      <c r="Y100" s="678">
        <v>350</v>
      </c>
      <c r="Z100" s="702">
        <f t="shared" si="51"/>
        <v>3.139492098771641E-4</v>
      </c>
      <c r="AA100" s="144">
        <f t="shared" si="52"/>
        <v>4040</v>
      </c>
      <c r="AB100" s="226">
        <f>AA100/AA$12</f>
        <v>3.8891436736416776E-4</v>
      </c>
      <c r="AC100" s="128">
        <f t="shared" si="39"/>
        <v>336.66666666666669</v>
      </c>
      <c r="AD100" s="226">
        <f>AC100/AC$12</f>
        <v>3.8891436736416781E-4</v>
      </c>
      <c r="AF100" s="686"/>
    </row>
    <row r="101" spans="1:32" s="1" customFormat="1">
      <c r="A101" s="2">
        <v>6308</v>
      </c>
      <c r="B101" s="2" t="s">
        <v>151</v>
      </c>
      <c r="C101" s="678"/>
      <c r="D101" s="702">
        <f t="shared" si="40"/>
        <v>0</v>
      </c>
      <c r="E101" s="678"/>
      <c r="F101" s="702">
        <f t="shared" si="41"/>
        <v>0</v>
      </c>
      <c r="G101" s="678"/>
      <c r="H101" s="702">
        <f t="shared" si="42"/>
        <v>0</v>
      </c>
      <c r="I101" s="678"/>
      <c r="J101" s="702">
        <f t="shared" si="43"/>
        <v>0</v>
      </c>
      <c r="K101" s="678"/>
      <c r="L101" s="702">
        <f t="shared" si="44"/>
        <v>0</v>
      </c>
      <c r="M101" s="678"/>
      <c r="N101" s="702">
        <f t="shared" si="45"/>
        <v>0</v>
      </c>
      <c r="O101" s="678"/>
      <c r="P101" s="702">
        <f t="shared" si="46"/>
        <v>0</v>
      </c>
      <c r="Q101" s="678"/>
      <c r="R101" s="702">
        <f t="shared" si="47"/>
        <v>0</v>
      </c>
      <c r="S101" s="678"/>
      <c r="T101" s="702">
        <f t="shared" si="48"/>
        <v>0</v>
      </c>
      <c r="U101" s="678"/>
      <c r="V101" s="702">
        <f t="shared" si="49"/>
        <v>0</v>
      </c>
      <c r="W101" s="678"/>
      <c r="X101" s="702">
        <f t="shared" si="50"/>
        <v>0</v>
      </c>
      <c r="Y101" s="678"/>
      <c r="Z101" s="702">
        <f t="shared" si="51"/>
        <v>0</v>
      </c>
      <c r="AA101" s="144">
        <f t="shared" si="52"/>
        <v>0</v>
      </c>
      <c r="AB101" s="226">
        <f>AA101/AA$12</f>
        <v>0</v>
      </c>
      <c r="AC101" s="128">
        <f t="shared" si="39"/>
        <v>0</v>
      </c>
      <c r="AD101" s="226">
        <f>AC101/AC$12</f>
        <v>0</v>
      </c>
      <c r="AE101" s="1" t="s">
        <v>203</v>
      </c>
      <c r="AF101" s="84">
        <v>6538</v>
      </c>
    </row>
    <row r="102" spans="1:32" s="1" customFormat="1">
      <c r="A102" s="2">
        <v>6309</v>
      </c>
      <c r="B102" s="2" t="s">
        <v>152</v>
      </c>
      <c r="C102" s="753">
        <f>(15945.92736496/5)*2</f>
        <v>6378.3709459840002</v>
      </c>
      <c r="D102" s="702">
        <f>C102/C$12</f>
        <v>8.1639062102620216E-3</v>
      </c>
      <c r="E102" s="678">
        <f>(16105.3866386096/5)*2</f>
        <v>6442.1546554438401</v>
      </c>
      <c r="F102" s="702">
        <f>E102/E$12</f>
        <v>1.0598367298811891E-2</v>
      </c>
      <c r="G102" s="678">
        <f>16266.4405049957/5</f>
        <v>3253.2881009991402</v>
      </c>
      <c r="H102" s="702">
        <f>G102/G$12</f>
        <v>3.2265781156407408E-3</v>
      </c>
      <c r="I102" s="678">
        <f>16429.1049100457/5</f>
        <v>3285.8209820091397</v>
      </c>
      <c r="J102" s="702">
        <f>I102/I$12</f>
        <v>3.6906739057203462E-3</v>
      </c>
      <c r="K102" s="753">
        <f>(16593.3959591461/5)*2</f>
        <v>6637.3583836584394</v>
      </c>
      <c r="L102" s="702">
        <f>K102/K$12</f>
        <v>8.1512639837705066E-3</v>
      </c>
      <c r="M102" s="678">
        <f>16759.3299187376/5</f>
        <v>3351.8659837475197</v>
      </c>
      <c r="N102" s="702">
        <f>M102/M$12</f>
        <v>2.9029820199094813E-3</v>
      </c>
      <c r="O102" s="993">
        <f>16926.9232179249/5</f>
        <v>3385.38464358498</v>
      </c>
      <c r="P102" s="702">
        <f>O102/O$12</f>
        <v>4.6311216484596239E-3</v>
      </c>
      <c r="Q102" s="678">
        <f>17096.1924501042/5</f>
        <v>3419.2384900208403</v>
      </c>
      <c r="R102" s="702">
        <f>Q102/Q$12</f>
        <v>3.7668404697579119E-3</v>
      </c>
      <c r="S102" s="753">
        <f>(17267.1543746052/5)*2</f>
        <v>6906.8617498420808</v>
      </c>
      <c r="T102" s="702">
        <f>S102/S$12</f>
        <v>7.553280012634599E-3</v>
      </c>
      <c r="U102" s="678">
        <f>(17439.8259183513/5)*2</f>
        <v>6975.9303673405202</v>
      </c>
      <c r="V102" s="702">
        <f>U102/U$12</f>
        <v>9.6176878672710377E-3</v>
      </c>
      <c r="W102" s="753">
        <f>17614.2241775348/5</f>
        <v>3522.8448355069604</v>
      </c>
      <c r="X102" s="702">
        <f>W102/W$12</f>
        <v>4.7736722288290309E-3</v>
      </c>
      <c r="Y102" s="678">
        <f>17790.3664193102/5</f>
        <v>3558.0732838620402</v>
      </c>
      <c r="Z102" s="702">
        <f>Y102/Y$12</f>
        <v>3.1915837032958118E-3</v>
      </c>
      <c r="AA102" s="144">
        <f t="shared" si="52"/>
        <v>57117.192421999505</v>
      </c>
      <c r="AB102" s="226">
        <f>AA102/AA$12</f>
        <v>5.4984397911929149E-3</v>
      </c>
      <c r="AC102" s="128">
        <f t="shared" si="39"/>
        <v>4759.7660351666254</v>
      </c>
      <c r="AD102" s="226">
        <f>AC102/AC$12</f>
        <v>5.4984397911929149E-3</v>
      </c>
      <c r="AE102" s="1" t="s">
        <v>203</v>
      </c>
      <c r="AF102" s="84">
        <v>2614</v>
      </c>
    </row>
    <row r="103" spans="1:32" s="1" customFormat="1">
      <c r="A103" s="2">
        <v>6310</v>
      </c>
      <c r="B103" s="2" t="s">
        <v>153</v>
      </c>
      <c r="C103" s="678"/>
      <c r="D103" s="702">
        <f t="shared" ref="D103:D114" si="55">C103/C$12</f>
        <v>0</v>
      </c>
      <c r="E103" s="678">
        <v>14000</v>
      </c>
      <c r="F103" s="702">
        <f t="shared" ref="F103:F114" si="56">E103/E$12</f>
        <v>2.3032222931497419E-2</v>
      </c>
      <c r="G103" s="678">
        <v>12800</v>
      </c>
      <c r="H103" s="702">
        <f t="shared" ref="H103:H114" si="57">G103/G$12</f>
        <v>1.269491007191078E-2</v>
      </c>
      <c r="I103" s="678">
        <v>6000</v>
      </c>
      <c r="J103" s="702">
        <f t="shared" ref="J103:J114" si="58">I103/I$12</f>
        <v>6.7392726370570366E-3</v>
      </c>
      <c r="K103" s="678">
        <v>7400</v>
      </c>
      <c r="L103" s="702">
        <f t="shared" ref="L103:L114" si="59">K103/K$12</f>
        <v>9.0878554378518266E-3</v>
      </c>
      <c r="M103" s="48"/>
      <c r="N103" s="702">
        <f t="shared" ref="N103:P114" si="60">M103/M$12</f>
        <v>0</v>
      </c>
      <c r="O103" s="678">
        <v>1500</v>
      </c>
      <c r="P103" s="702">
        <f t="shared" ref="P103:P114" si="61">O103/O$12</f>
        <v>2.0519625401659502E-3</v>
      </c>
      <c r="Q103" s="678">
        <v>12000</v>
      </c>
      <c r="R103" s="702">
        <f t="shared" ref="R103:R114" si="62">Q103/Q$12</f>
        <v>1.3219927702913591E-2</v>
      </c>
      <c r="S103" s="678">
        <v>12300</v>
      </c>
      <c r="T103" s="702">
        <f t="shared" ref="T103:T114" si="63">S103/S$12</f>
        <v>1.3451166031740793E-2</v>
      </c>
      <c r="U103" s="678">
        <v>7000</v>
      </c>
      <c r="V103" s="702">
        <f t="shared" ref="V103:V114" si="64">U103/U$12</f>
        <v>9.6508725755190643E-3</v>
      </c>
      <c r="W103" s="678"/>
      <c r="X103" s="702">
        <f t="shared" ref="X103:X114" si="65">W103/W$12</f>
        <v>0</v>
      </c>
      <c r="Y103" s="678">
        <v>13000</v>
      </c>
      <c r="Z103" s="702">
        <f t="shared" ref="Z103:Z114" si="66">Y103/Y$12</f>
        <v>1.166097065258038E-2</v>
      </c>
      <c r="AA103" s="144">
        <f t="shared" si="52"/>
        <v>86000</v>
      </c>
      <c r="AB103" s="226">
        <f t="shared" ref="AB103:AB114" si="67">AA103/AA$12</f>
        <v>8.2788701963659485E-3</v>
      </c>
      <c r="AC103" s="128">
        <f t="shared" si="39"/>
        <v>7166.666666666667</v>
      </c>
      <c r="AD103" s="226">
        <f t="shared" ref="AD103:AD114" si="68">AC103/AC$12</f>
        <v>8.2788701963659485E-3</v>
      </c>
      <c r="AE103" s="1" t="s">
        <v>203</v>
      </c>
      <c r="AF103" s="84">
        <v>2618</v>
      </c>
    </row>
    <row r="104" spans="1:32" s="1" customFormat="1">
      <c r="A104" s="2">
        <v>6311</v>
      </c>
      <c r="B104" s="2" t="s">
        <v>154</v>
      </c>
      <c r="C104" s="678">
        <v>9018.2093305873077</v>
      </c>
      <c r="D104" s="702">
        <f t="shared" si="55"/>
        <v>1.1542730233615565E-2</v>
      </c>
      <c r="E104" s="678"/>
      <c r="F104" s="702">
        <f t="shared" si="56"/>
        <v>0</v>
      </c>
      <c r="G104" s="678"/>
      <c r="H104" s="702">
        <f t="shared" si="57"/>
        <v>0</v>
      </c>
      <c r="I104" s="678"/>
      <c r="J104" s="702">
        <f t="shared" si="58"/>
        <v>0</v>
      </c>
      <c r="K104" s="678"/>
      <c r="L104" s="702">
        <f t="shared" si="59"/>
        <v>0</v>
      </c>
      <c r="M104" s="678"/>
      <c r="N104" s="702">
        <f t="shared" si="60"/>
        <v>0</v>
      </c>
      <c r="O104" s="678"/>
      <c r="P104" s="702">
        <f t="shared" si="61"/>
        <v>0</v>
      </c>
      <c r="Q104" s="678"/>
      <c r="R104" s="702">
        <f t="shared" si="62"/>
        <v>0</v>
      </c>
      <c r="S104" s="678"/>
      <c r="T104" s="702">
        <f t="shared" si="63"/>
        <v>0</v>
      </c>
      <c r="U104" s="678"/>
      <c r="V104" s="702">
        <f t="shared" si="64"/>
        <v>0</v>
      </c>
      <c r="W104" s="678"/>
      <c r="X104" s="702">
        <f t="shared" si="65"/>
        <v>0</v>
      </c>
      <c r="Y104" s="678"/>
      <c r="Z104" s="702">
        <f t="shared" si="66"/>
        <v>0</v>
      </c>
      <c r="AA104" s="144">
        <f t="shared" si="52"/>
        <v>9018.2093305873077</v>
      </c>
      <c r="AB104" s="226">
        <f t="shared" si="67"/>
        <v>8.6814633083242513E-4</v>
      </c>
      <c r="AC104" s="128">
        <f t="shared" si="39"/>
        <v>751.51744421560898</v>
      </c>
      <c r="AD104" s="226">
        <f t="shared" si="68"/>
        <v>8.6814633083242513E-4</v>
      </c>
      <c r="AE104" s="1" t="s">
        <v>203</v>
      </c>
      <c r="AF104" s="84">
        <v>5038</v>
      </c>
    </row>
    <row r="105" spans="1:32" s="1" customFormat="1">
      <c r="A105" s="2">
        <v>6312</v>
      </c>
      <c r="B105" s="2" t="s">
        <v>155</v>
      </c>
      <c r="C105" s="678"/>
      <c r="D105" s="702">
        <f t="shared" si="55"/>
        <v>0</v>
      </c>
      <c r="E105" s="678"/>
      <c r="F105" s="702">
        <f t="shared" si="56"/>
        <v>0</v>
      </c>
      <c r="G105" s="678"/>
      <c r="H105" s="702">
        <f t="shared" si="57"/>
        <v>0</v>
      </c>
      <c r="I105" s="678"/>
      <c r="J105" s="702">
        <f t="shared" si="58"/>
        <v>0</v>
      </c>
      <c r="K105" s="678"/>
      <c r="L105" s="702">
        <f t="shared" si="59"/>
        <v>0</v>
      </c>
      <c r="M105" s="678"/>
      <c r="N105" s="702">
        <f t="shared" si="60"/>
        <v>0</v>
      </c>
      <c r="O105" s="678"/>
      <c r="P105" s="702">
        <f t="shared" si="61"/>
        <v>0</v>
      </c>
      <c r="Q105" s="678"/>
      <c r="R105" s="702">
        <f t="shared" si="62"/>
        <v>0</v>
      </c>
      <c r="S105" s="678"/>
      <c r="T105" s="702">
        <f t="shared" si="63"/>
        <v>0</v>
      </c>
      <c r="U105" s="678"/>
      <c r="V105" s="702">
        <f t="shared" si="64"/>
        <v>0</v>
      </c>
      <c r="W105" s="678"/>
      <c r="X105" s="702">
        <f t="shared" si="65"/>
        <v>0</v>
      </c>
      <c r="Y105" s="678"/>
      <c r="Z105" s="702">
        <f t="shared" si="66"/>
        <v>0</v>
      </c>
      <c r="AA105" s="144">
        <f t="shared" si="52"/>
        <v>0</v>
      </c>
      <c r="AB105" s="226">
        <f t="shared" si="67"/>
        <v>0</v>
      </c>
      <c r="AC105" s="128">
        <f t="shared" si="39"/>
        <v>0</v>
      </c>
      <c r="AD105" s="226">
        <f t="shared" si="68"/>
        <v>0</v>
      </c>
      <c r="AF105" s="84"/>
    </row>
    <row r="106" spans="1:32" s="1" customFormat="1">
      <c r="A106" s="2">
        <v>6313</v>
      </c>
      <c r="B106" s="2" t="s">
        <v>156</v>
      </c>
      <c r="C106" s="753"/>
      <c r="D106" s="702">
        <f t="shared" si="55"/>
        <v>0</v>
      </c>
      <c r="E106" s="753"/>
      <c r="F106" s="702">
        <f t="shared" si="56"/>
        <v>0</v>
      </c>
      <c r="G106" s="753">
        <f>(27272.7272727273/0.985)/12</f>
        <v>2307.3373327180457</v>
      </c>
      <c r="H106" s="702">
        <f t="shared" si="57"/>
        <v>2.288393745657662E-3</v>
      </c>
      <c r="I106" s="753"/>
      <c r="J106" s="702">
        <f t="shared" si="58"/>
        <v>0</v>
      </c>
      <c r="K106" s="753">
        <f>(27272.7272727273/0.985)/12</f>
        <v>2307.3373327180457</v>
      </c>
      <c r="L106" s="702">
        <f t="shared" si="59"/>
        <v>2.8336146116351647E-3</v>
      </c>
      <c r="M106" s="753"/>
      <c r="N106" s="702">
        <f t="shared" si="60"/>
        <v>0</v>
      </c>
      <c r="O106" s="753"/>
      <c r="P106" s="702">
        <f t="shared" si="60"/>
        <v>0</v>
      </c>
      <c r="Q106" s="753">
        <f>(27272.7272727273/0.985)/12</f>
        <v>2307.3373327180457</v>
      </c>
      <c r="R106" s="702">
        <f t="shared" si="62"/>
        <v>2.5419027270638371E-3</v>
      </c>
      <c r="S106" s="753"/>
      <c r="T106" s="702">
        <f t="shared" si="63"/>
        <v>0</v>
      </c>
      <c r="U106" s="753"/>
      <c r="V106" s="702">
        <f t="shared" si="64"/>
        <v>0</v>
      </c>
      <c r="W106" s="753"/>
      <c r="X106" s="702">
        <f t="shared" si="65"/>
        <v>0</v>
      </c>
      <c r="Y106" s="753">
        <f>(27272.7272727273/0.985)/12</f>
        <v>2307.3373327180457</v>
      </c>
      <c r="Z106" s="702">
        <f t="shared" si="66"/>
        <v>2.0696763786483248E-3</v>
      </c>
      <c r="AA106" s="144">
        <f t="shared" si="52"/>
        <v>9229.3493308721827</v>
      </c>
      <c r="AB106" s="226">
        <f t="shared" si="67"/>
        <v>8.8847191985125251E-4</v>
      </c>
      <c r="AC106" s="128">
        <f t="shared" si="39"/>
        <v>769.11244423934852</v>
      </c>
      <c r="AD106" s="226">
        <f t="shared" si="68"/>
        <v>8.884719198512524E-4</v>
      </c>
      <c r="AF106" s="84"/>
    </row>
    <row r="107" spans="1:32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55"/>
        <v>1.5999199245777335E-2</v>
      </c>
      <c r="E107" s="678">
        <f>(206850/12)/0.985</f>
        <v>17500</v>
      </c>
      <c r="F107" s="702">
        <f t="shared" si="56"/>
        <v>2.8790278664371775E-2</v>
      </c>
      <c r="G107" s="678">
        <f>(159570/12)/0.985</f>
        <v>13500</v>
      </c>
      <c r="H107" s="702">
        <f t="shared" si="57"/>
        <v>1.3389162966468401E-2</v>
      </c>
      <c r="I107" s="678">
        <f>(159570/12)/0.985</f>
        <v>13500</v>
      </c>
      <c r="J107" s="702">
        <f t="shared" si="58"/>
        <v>1.5163363433378332E-2</v>
      </c>
      <c r="K107" s="678">
        <f>(206850/12)/0.985</f>
        <v>17500</v>
      </c>
      <c r="L107" s="702">
        <f t="shared" si="59"/>
        <v>2.1491550021946887E-2</v>
      </c>
      <c r="M107" s="678">
        <f>(159570/12)/0.985</f>
        <v>13500</v>
      </c>
      <c r="N107" s="702">
        <f t="shared" si="60"/>
        <v>1.1692071657638808E-2</v>
      </c>
      <c r="O107" s="678">
        <f>(159570/12)/0.985</f>
        <v>13500</v>
      </c>
      <c r="P107" s="702">
        <f t="shared" si="60"/>
        <v>1.8467662861493553E-2</v>
      </c>
      <c r="Q107" s="678">
        <f>(206850/12)/0.985</f>
        <v>17500</v>
      </c>
      <c r="R107" s="702">
        <f t="shared" si="62"/>
        <v>1.9279061233415652E-2</v>
      </c>
      <c r="S107" s="678">
        <f>(159570/12)/0.985</f>
        <v>13500</v>
      </c>
      <c r="T107" s="702">
        <f t="shared" si="63"/>
        <v>1.4763474912886236E-2</v>
      </c>
      <c r="U107" s="678">
        <f>(159570/12)/0.985</f>
        <v>13500</v>
      </c>
      <c r="V107" s="702">
        <f t="shared" si="64"/>
        <v>1.8612397109929624E-2</v>
      </c>
      <c r="W107" s="678">
        <f>(206850/12)/0.985</f>
        <v>17500</v>
      </c>
      <c r="X107" s="702">
        <f t="shared" si="65"/>
        <v>2.3713580332153969E-2</v>
      </c>
      <c r="Y107" s="678">
        <f>(159570/12)/0.985</f>
        <v>13500</v>
      </c>
      <c r="Z107" s="702">
        <f t="shared" si="66"/>
        <v>1.2109469523833473E-2</v>
      </c>
      <c r="AA107" s="144">
        <f t="shared" si="52"/>
        <v>177000</v>
      </c>
      <c r="AB107" s="226">
        <f t="shared" si="67"/>
        <v>1.7039070055311311E-2</v>
      </c>
      <c r="AC107" s="128">
        <f t="shared" si="39"/>
        <v>14750</v>
      </c>
      <c r="AD107" s="226">
        <f t="shared" si="68"/>
        <v>1.7039070055311311E-2</v>
      </c>
      <c r="AF107" s="84"/>
    </row>
    <row r="108" spans="1:32" s="1" customFormat="1">
      <c r="A108" s="2">
        <v>6315</v>
      </c>
      <c r="B108" s="2" t="s">
        <v>323</v>
      </c>
      <c r="C108" s="678"/>
      <c r="D108" s="702">
        <f t="shared" si="55"/>
        <v>0</v>
      </c>
      <c r="E108" s="678">
        <v>3980</v>
      </c>
      <c r="F108" s="702">
        <f t="shared" si="56"/>
        <v>6.5477319476685523E-3</v>
      </c>
      <c r="G108" s="678">
        <v>5230</v>
      </c>
      <c r="H108" s="702">
        <f t="shared" si="57"/>
        <v>5.1870609121947957E-3</v>
      </c>
      <c r="I108" s="678">
        <v>3980</v>
      </c>
      <c r="J108" s="702">
        <f t="shared" si="58"/>
        <v>4.4703841825811681E-3</v>
      </c>
      <c r="K108" s="678">
        <v>1250</v>
      </c>
      <c r="L108" s="702">
        <f t="shared" si="59"/>
        <v>1.5351107158533489E-3</v>
      </c>
      <c r="M108" s="678"/>
      <c r="N108" s="702">
        <f t="shared" si="60"/>
        <v>0</v>
      </c>
      <c r="O108" s="678">
        <v>875</v>
      </c>
      <c r="P108" s="702">
        <f t="shared" si="61"/>
        <v>1.1969781484301378E-3</v>
      </c>
      <c r="Q108" s="678">
        <v>1250</v>
      </c>
      <c r="R108" s="702">
        <f t="shared" si="62"/>
        <v>1.3770758023868323E-3</v>
      </c>
      <c r="S108" s="678"/>
      <c r="T108" s="702">
        <f t="shared" si="63"/>
        <v>0</v>
      </c>
      <c r="U108" s="678">
        <v>875</v>
      </c>
      <c r="V108" s="702">
        <f t="shared" si="64"/>
        <v>1.206359071939883E-3</v>
      </c>
      <c r="W108" s="678"/>
      <c r="X108" s="702">
        <f t="shared" si="65"/>
        <v>0</v>
      </c>
      <c r="Y108" s="678">
        <v>1250</v>
      </c>
      <c r="Z108" s="702">
        <f t="shared" si="66"/>
        <v>1.121247178132729E-3</v>
      </c>
      <c r="AA108" s="144">
        <f t="shared" si="52"/>
        <v>18690</v>
      </c>
      <c r="AB108" s="226">
        <f t="shared" si="67"/>
        <v>1.7992102787218554E-3</v>
      </c>
      <c r="AC108" s="128">
        <f t="shared" si="39"/>
        <v>1557.5</v>
      </c>
      <c r="AD108" s="226">
        <f t="shared" si="68"/>
        <v>1.7992102787218554E-3</v>
      </c>
      <c r="AF108" s="686"/>
    </row>
    <row r="109" spans="1:32" s="1" customFormat="1">
      <c r="A109" s="2">
        <v>6316</v>
      </c>
      <c r="B109" s="2" t="s">
        <v>324</v>
      </c>
      <c r="C109" s="678"/>
      <c r="D109" s="702">
        <f t="shared" si="55"/>
        <v>0</v>
      </c>
      <c r="E109" s="678">
        <v>3322.2222222222222</v>
      </c>
      <c r="F109" s="702">
        <f t="shared" si="56"/>
        <v>5.4655830607283559E-3</v>
      </c>
      <c r="G109" s="678"/>
      <c r="H109" s="702">
        <f t="shared" si="57"/>
        <v>0</v>
      </c>
      <c r="I109" s="678"/>
      <c r="J109" s="702">
        <f t="shared" si="58"/>
        <v>0</v>
      </c>
      <c r="K109" s="678">
        <v>2500</v>
      </c>
      <c r="L109" s="702">
        <f t="shared" si="59"/>
        <v>3.0702214317066979E-3</v>
      </c>
      <c r="M109" s="678">
        <v>950</v>
      </c>
      <c r="N109" s="702">
        <f t="shared" si="60"/>
        <v>8.2277541294495317E-4</v>
      </c>
      <c r="O109" s="678"/>
      <c r="P109" s="702">
        <f t="shared" si="61"/>
        <v>0</v>
      </c>
      <c r="Q109" s="678">
        <v>4022.2222222222222</v>
      </c>
      <c r="R109" s="702">
        <f t="shared" si="62"/>
        <v>4.4311239152358519E-3</v>
      </c>
      <c r="S109" s="678">
        <v>950</v>
      </c>
      <c r="T109" s="702">
        <f t="shared" si="63"/>
        <v>1.0389111975734758E-3</v>
      </c>
      <c r="U109" s="678">
        <v>2500</v>
      </c>
      <c r="V109" s="702">
        <f t="shared" si="64"/>
        <v>3.4467402055425229E-3</v>
      </c>
      <c r="W109" s="678"/>
      <c r="X109" s="702">
        <f t="shared" si="65"/>
        <v>0</v>
      </c>
      <c r="Y109" s="678"/>
      <c r="Z109" s="702">
        <f t="shared" si="66"/>
        <v>0</v>
      </c>
      <c r="AA109" s="144">
        <f t="shared" si="52"/>
        <v>14244.444444444445</v>
      </c>
      <c r="AB109" s="226">
        <f t="shared" si="67"/>
        <v>1.3712547276151352E-3</v>
      </c>
      <c r="AC109" s="128">
        <f t="shared" si="39"/>
        <v>1187.0370370370372</v>
      </c>
      <c r="AD109" s="226">
        <f t="shared" si="68"/>
        <v>1.3712547276151352E-3</v>
      </c>
      <c r="AF109" s="686"/>
    </row>
    <row r="110" spans="1:32" s="1" customFormat="1">
      <c r="A110" s="2">
        <v>6317</v>
      </c>
      <c r="B110" s="2" t="s">
        <v>325</v>
      </c>
      <c r="C110" s="678"/>
      <c r="D110" s="702">
        <f t="shared" si="55"/>
        <v>0</v>
      </c>
      <c r="E110" s="678">
        <v>2250</v>
      </c>
      <c r="F110" s="702">
        <f t="shared" si="56"/>
        <v>3.7016072568477995E-3</v>
      </c>
      <c r="G110" s="678"/>
      <c r="H110" s="702">
        <f t="shared" si="57"/>
        <v>0</v>
      </c>
      <c r="I110" s="678">
        <v>15830.5</v>
      </c>
      <c r="J110" s="702">
        <f t="shared" si="58"/>
        <v>1.7781009246821904E-2</v>
      </c>
      <c r="K110" s="678">
        <v>2587.5</v>
      </c>
      <c r="L110" s="702">
        <f t="shared" si="59"/>
        <v>3.1776791818164322E-3</v>
      </c>
      <c r="M110" s="678"/>
      <c r="N110" s="702">
        <f t="shared" si="60"/>
        <v>0</v>
      </c>
      <c r="O110" s="678"/>
      <c r="P110" s="702">
        <f t="shared" si="60"/>
        <v>0</v>
      </c>
      <c r="Q110" s="678">
        <v>9176.5</v>
      </c>
      <c r="R110" s="702">
        <f t="shared" si="62"/>
        <v>1.0109388880482214E-2</v>
      </c>
      <c r="S110" s="678"/>
      <c r="T110" s="702">
        <f t="shared" si="63"/>
        <v>0</v>
      </c>
      <c r="U110" s="678">
        <v>2250</v>
      </c>
      <c r="V110" s="702">
        <f t="shared" si="64"/>
        <v>3.1020661849882709E-3</v>
      </c>
      <c r="W110" s="678"/>
      <c r="X110" s="702">
        <f t="shared" si="65"/>
        <v>0</v>
      </c>
      <c r="Y110" s="678"/>
      <c r="Z110" s="702">
        <f t="shared" si="66"/>
        <v>0</v>
      </c>
      <c r="AA110" s="144">
        <f t="shared" si="52"/>
        <v>32094.5</v>
      </c>
      <c r="AB110" s="226">
        <f t="shared" si="67"/>
        <v>3.0896069711310106E-3</v>
      </c>
      <c r="AC110" s="128">
        <f t="shared" si="39"/>
        <v>2674.5416666666665</v>
      </c>
      <c r="AD110" s="226">
        <f t="shared" si="68"/>
        <v>3.0896069711310102E-3</v>
      </c>
      <c r="AF110" s="686"/>
    </row>
    <row r="111" spans="1:32" s="1" customFormat="1">
      <c r="A111" s="2">
        <v>6318</v>
      </c>
      <c r="B111" s="2" t="s">
        <v>326</v>
      </c>
      <c r="C111" s="678">
        <f>(6660/12)</f>
        <v>555</v>
      </c>
      <c r="D111" s="702">
        <f t="shared" si="55"/>
        <v>7.103644465125136E-4</v>
      </c>
      <c r="E111" s="678">
        <f>(6660/12)</f>
        <v>555</v>
      </c>
      <c r="F111" s="702">
        <f t="shared" si="56"/>
        <v>9.1306312335579063E-4</v>
      </c>
      <c r="G111" s="678">
        <f>(6660/12)</f>
        <v>555</v>
      </c>
      <c r="H111" s="702">
        <f t="shared" si="57"/>
        <v>5.5044336639925649E-4</v>
      </c>
      <c r="I111" s="678">
        <f>(6660/12)</f>
        <v>555</v>
      </c>
      <c r="J111" s="702">
        <f t="shared" si="58"/>
        <v>6.2338271892777594E-4</v>
      </c>
      <c r="K111" s="678">
        <f>(6660/12)</f>
        <v>555</v>
      </c>
      <c r="L111" s="702">
        <f t="shared" si="59"/>
        <v>6.8158915783888695E-4</v>
      </c>
      <c r="M111" s="678">
        <f>(6660/12)</f>
        <v>555</v>
      </c>
      <c r="N111" s="702">
        <f t="shared" si="60"/>
        <v>4.8067405703626211E-4</v>
      </c>
      <c r="O111" s="678">
        <f>(6660/12)</f>
        <v>555</v>
      </c>
      <c r="P111" s="702">
        <f t="shared" si="60"/>
        <v>7.5922613986140165E-4</v>
      </c>
      <c r="Q111" s="678">
        <f>(6660/12)</f>
        <v>555</v>
      </c>
      <c r="R111" s="702">
        <f t="shared" si="62"/>
        <v>6.1142165625975358E-4</v>
      </c>
      <c r="S111" s="678">
        <f>(6660/12)</f>
        <v>555</v>
      </c>
      <c r="T111" s="702">
        <f t="shared" si="63"/>
        <v>6.0694285752976743E-4</v>
      </c>
      <c r="U111" s="678">
        <f>(6660/12)</f>
        <v>555</v>
      </c>
      <c r="V111" s="702">
        <f t="shared" si="64"/>
        <v>7.6517632563044015E-4</v>
      </c>
      <c r="W111" s="678">
        <f>(6660/12)</f>
        <v>555</v>
      </c>
      <c r="X111" s="702">
        <f t="shared" si="65"/>
        <v>7.5205926196259736E-4</v>
      </c>
      <c r="Y111" s="678">
        <f>(6660/12)</f>
        <v>555</v>
      </c>
      <c r="Z111" s="702">
        <f t="shared" si="66"/>
        <v>4.9783374709093159E-4</v>
      </c>
      <c r="AA111" s="144">
        <f t="shared" si="52"/>
        <v>6660</v>
      </c>
      <c r="AB111" s="226">
        <f t="shared" si="67"/>
        <v>6.4113111055578151E-4</v>
      </c>
      <c r="AC111" s="128">
        <f t="shared" si="39"/>
        <v>555</v>
      </c>
      <c r="AD111" s="226">
        <f t="shared" si="68"/>
        <v>6.4113111055578151E-4</v>
      </c>
      <c r="AF111" s="686"/>
    </row>
    <row r="112" spans="1:32" s="1" customFormat="1">
      <c r="A112" s="2">
        <v>6319</v>
      </c>
      <c r="B112" s="2" t="s">
        <v>327</v>
      </c>
      <c r="C112" s="678"/>
      <c r="D112" s="702">
        <f t="shared" si="55"/>
        <v>0</v>
      </c>
      <c r="E112" s="678">
        <f>(43504.1666666667/12)/0.985</f>
        <v>3680.5555555555584</v>
      </c>
      <c r="F112" s="702">
        <f t="shared" si="56"/>
        <v>6.0550982905226399E-3</v>
      </c>
      <c r="G112" s="678">
        <f>(43504.1666666667/12)/0.985</f>
        <v>3680.5555555555584</v>
      </c>
      <c r="H112" s="702">
        <f t="shared" si="57"/>
        <v>3.6503376400351122E-3</v>
      </c>
      <c r="I112" s="678">
        <f>(43504.1666666667/12)/0.985</f>
        <v>3680.5555555555584</v>
      </c>
      <c r="J112" s="702">
        <f t="shared" si="58"/>
        <v>4.1340445574539727E-3</v>
      </c>
      <c r="K112" s="678">
        <f>(43504.1666666667/12)/0.985</f>
        <v>3680.5555555555584</v>
      </c>
      <c r="L112" s="702">
        <f t="shared" si="59"/>
        <v>4.5200482189015311E-3</v>
      </c>
      <c r="M112" s="678"/>
      <c r="N112" s="702">
        <f t="shared" si="60"/>
        <v>0</v>
      </c>
      <c r="O112" s="678">
        <f>(43504.1666666667/12)/0.985</f>
        <v>3680.5555555555584</v>
      </c>
      <c r="P112" s="702">
        <f t="shared" si="60"/>
        <v>5.0349080846664564E-3</v>
      </c>
      <c r="Q112" s="678">
        <f>(43504.1666666667/12)/0.985</f>
        <v>3680.5555555555584</v>
      </c>
      <c r="R112" s="702">
        <f t="shared" si="62"/>
        <v>4.0547231959167877E-3</v>
      </c>
      <c r="S112" s="678">
        <f>(43504.1666666667/12)/0.985</f>
        <v>3680.5555555555584</v>
      </c>
      <c r="T112" s="702">
        <f t="shared" si="63"/>
        <v>4.0250214525873003E-3</v>
      </c>
      <c r="U112" s="678">
        <f>(43504.1666666667/12)/0.985</f>
        <v>3680.5555555555584</v>
      </c>
      <c r="V112" s="702">
        <f t="shared" si="64"/>
        <v>5.0743675248264963E-3</v>
      </c>
      <c r="W112" s="678">
        <f>(43504.1666666667/12)/0.985</f>
        <v>3680.5555555555584</v>
      </c>
      <c r="X112" s="702">
        <f t="shared" si="65"/>
        <v>4.9873799904927036E-3</v>
      </c>
      <c r="Y112" s="678">
        <f>(43504.1666666667/12)/0.985</f>
        <v>3680.5555555555584</v>
      </c>
      <c r="Z112" s="702">
        <f t="shared" si="66"/>
        <v>3.3014500245019266E-3</v>
      </c>
      <c r="AA112" s="144">
        <f t="shared" si="52"/>
        <v>36805.555555555591</v>
      </c>
      <c r="AB112" s="226">
        <f t="shared" si="67"/>
        <v>3.5431211273207015E-3</v>
      </c>
      <c r="AC112" s="128">
        <f t="shared" si="39"/>
        <v>3067.1296296296327</v>
      </c>
      <c r="AD112" s="226">
        <f t="shared" si="68"/>
        <v>3.5431211273207015E-3</v>
      </c>
      <c r="AF112" s="686"/>
    </row>
    <row r="113" spans="1:33" s="1" customFormat="1">
      <c r="A113" s="2">
        <v>6320</v>
      </c>
      <c r="B113" s="2" t="s">
        <v>328</v>
      </c>
      <c r="C113" s="678"/>
      <c r="D113" s="702">
        <f t="shared" si="55"/>
        <v>0</v>
      </c>
      <c r="E113" s="678"/>
      <c r="F113" s="702">
        <f t="shared" si="56"/>
        <v>0</v>
      </c>
      <c r="G113" s="678"/>
      <c r="H113" s="702">
        <f t="shared" si="57"/>
        <v>0</v>
      </c>
      <c r="I113" s="678"/>
      <c r="J113" s="702">
        <f t="shared" si="58"/>
        <v>0</v>
      </c>
      <c r="K113" s="678"/>
      <c r="L113" s="702">
        <f t="shared" si="59"/>
        <v>0</v>
      </c>
      <c r="M113" s="678"/>
      <c r="N113" s="702">
        <f t="shared" si="60"/>
        <v>0</v>
      </c>
      <c r="O113" s="678"/>
      <c r="P113" s="702">
        <f t="shared" si="61"/>
        <v>0</v>
      </c>
      <c r="Q113" s="678"/>
      <c r="R113" s="702">
        <f t="shared" si="62"/>
        <v>0</v>
      </c>
      <c r="S113" s="678"/>
      <c r="T113" s="702">
        <f t="shared" si="63"/>
        <v>0</v>
      </c>
      <c r="U113" s="678"/>
      <c r="V113" s="702">
        <f t="shared" si="64"/>
        <v>0</v>
      </c>
      <c r="W113" s="678"/>
      <c r="X113" s="702">
        <f t="shared" si="65"/>
        <v>0</v>
      </c>
      <c r="Y113" s="678"/>
      <c r="Z113" s="702">
        <f t="shared" si="66"/>
        <v>0</v>
      </c>
      <c r="AA113" s="144">
        <f t="shared" si="52"/>
        <v>0</v>
      </c>
      <c r="AB113" s="226">
        <f t="shared" si="67"/>
        <v>0</v>
      </c>
      <c r="AC113" s="128">
        <f t="shared" si="39"/>
        <v>0</v>
      </c>
      <c r="AD113" s="226">
        <f t="shared" si="68"/>
        <v>0</v>
      </c>
      <c r="AF113" s="686"/>
    </row>
    <row r="114" spans="1:33" s="1" customFormat="1">
      <c r="A114" s="2">
        <v>6321</v>
      </c>
      <c r="B114" s="2" t="s">
        <v>329</v>
      </c>
      <c r="C114" s="754"/>
      <c r="D114" s="684">
        <f t="shared" si="55"/>
        <v>0</v>
      </c>
      <c r="E114" s="754"/>
      <c r="F114" s="684">
        <f t="shared" si="56"/>
        <v>0</v>
      </c>
      <c r="G114" s="754"/>
      <c r="H114" s="684">
        <f t="shared" si="57"/>
        <v>0</v>
      </c>
      <c r="I114" s="754"/>
      <c r="J114" s="684">
        <f t="shared" si="58"/>
        <v>0</v>
      </c>
      <c r="K114" s="754"/>
      <c r="L114" s="684">
        <f t="shared" si="59"/>
        <v>0</v>
      </c>
      <c r="M114" s="754"/>
      <c r="N114" s="684">
        <f t="shared" si="60"/>
        <v>0</v>
      </c>
      <c r="O114" s="754"/>
      <c r="P114" s="684">
        <f t="shared" si="61"/>
        <v>0</v>
      </c>
      <c r="Q114" s="754"/>
      <c r="R114" s="684">
        <f t="shared" si="62"/>
        <v>0</v>
      </c>
      <c r="S114" s="754"/>
      <c r="T114" s="684">
        <f t="shared" si="63"/>
        <v>0</v>
      </c>
      <c r="U114" s="754"/>
      <c r="V114" s="684">
        <f t="shared" si="64"/>
        <v>0</v>
      </c>
      <c r="W114" s="754">
        <f>100000/12</f>
        <v>8333.3333333333339</v>
      </c>
      <c r="X114" s="684">
        <f t="shared" si="65"/>
        <v>1.1292181110549511E-2</v>
      </c>
      <c r="Y114" s="754"/>
      <c r="Z114" s="702">
        <f t="shared" si="66"/>
        <v>0</v>
      </c>
      <c r="AA114" s="144">
        <f t="shared" si="52"/>
        <v>8333.3333333333339</v>
      </c>
      <c r="AB114" s="226">
        <f t="shared" si="67"/>
        <v>8.0221610429902603E-4</v>
      </c>
      <c r="AC114" s="128">
        <f t="shared" si="39"/>
        <v>694.44444444444446</v>
      </c>
      <c r="AD114" s="226">
        <f t="shared" si="68"/>
        <v>8.0221610429902592E-4</v>
      </c>
      <c r="AF114" s="686"/>
    </row>
    <row r="115" spans="1:33" s="1" customFormat="1" ht="15.75" thickBot="1">
      <c r="A115" s="4">
        <v>6399</v>
      </c>
      <c r="B115" s="229" t="s">
        <v>113</v>
      </c>
      <c r="C115" s="391">
        <f>SUM(C94:C114)</f>
        <v>28451.580276571309</v>
      </c>
      <c r="D115" s="392">
        <f>C115/C12</f>
        <v>3.6416200136167434E-2</v>
      </c>
      <c r="E115" s="391">
        <f>SUM(E94:E114)</f>
        <v>52079.93243322162</v>
      </c>
      <c r="F115" s="392">
        <f>E115/E12</f>
        <v>8.5679758147091667E-2</v>
      </c>
      <c r="G115" s="391">
        <f>SUM(G94:G114)</f>
        <v>41676.180989272747</v>
      </c>
      <c r="H115" s="392">
        <f>G115/G12</f>
        <v>4.1334013265585563E-2</v>
      </c>
      <c r="I115" s="391">
        <f>SUM(I94:I114)</f>
        <v>47721.876537564705</v>
      </c>
      <c r="J115" s="392">
        <f>I115/I12</f>
        <v>5.3601789456437336E-2</v>
      </c>
      <c r="K115" s="391">
        <f>SUM(K94:K114)</f>
        <v>44767.751271932051</v>
      </c>
      <c r="L115" s="392">
        <f>K115/K12</f>
        <v>5.4978763761760224E-2</v>
      </c>
      <c r="M115" s="391">
        <f>SUM(M94:M114)</f>
        <v>18356.865983747521</v>
      </c>
      <c r="N115" s="392">
        <f>M115/M12</f>
        <v>1.5898503147529507E-2</v>
      </c>
      <c r="O115" s="391">
        <f>SUM(O94:O114)</f>
        <v>23845.940199140539</v>
      </c>
      <c r="P115" s="392">
        <f>O115/O12</f>
        <v>3.2620650682449182E-2</v>
      </c>
      <c r="Q115" s="391">
        <f>SUM(Q94:Q114)</f>
        <v>54260.853600516668</v>
      </c>
      <c r="R115" s="395">
        <f>Q115/Q12</f>
        <v>5.9777046808100746E-2</v>
      </c>
      <c r="S115" s="391">
        <f>SUM(S94:S114)</f>
        <v>38242.417305397641</v>
      </c>
      <c r="T115" s="392">
        <f>S115/S12</f>
        <v>4.1821553221952926E-2</v>
      </c>
      <c r="U115" s="391">
        <f>SUM(U94:U114)</f>
        <v>37686.485922896085</v>
      </c>
      <c r="V115" s="392">
        <f>U115/U12</f>
        <v>5.1958210494423299E-2</v>
      </c>
      <c r="W115" s="391">
        <f>SUM(W94:W114)</f>
        <v>33941.733724395854</v>
      </c>
      <c r="X115" s="392">
        <f>W115/W12</f>
        <v>4.5993144530630893E-2</v>
      </c>
      <c r="Y115" s="391">
        <f>SUM(Y94:Y114)</f>
        <v>38200.966172135639</v>
      </c>
      <c r="Z115" s="392">
        <f>Y115/Y12</f>
        <v>3.4266180417960736E-2</v>
      </c>
      <c r="AA115" s="391">
        <f>SUM(AA94:AA114)</f>
        <v>459232.58441679232</v>
      </c>
      <c r="AB115" s="96">
        <f>AA115/AA12</f>
        <v>4.4208452980561523E-2</v>
      </c>
      <c r="AC115" s="132">
        <f t="shared" si="39"/>
        <v>38269.382034732691</v>
      </c>
      <c r="AD115" s="96">
        <f>AC115/AC12</f>
        <v>4.4208452980561523E-2</v>
      </c>
      <c r="AE115" s="320"/>
      <c r="AF115" s="321"/>
      <c r="AG115" s="320"/>
    </row>
    <row r="116" spans="1:33" s="1" customFormat="1" ht="15.75" thickTop="1">
      <c r="A116" s="21">
        <v>6401</v>
      </c>
      <c r="B116" s="227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144">
        <f t="shared" ref="AA116:AA128" si="69">C116+E116+G116+I116+K116+M116+O116+Q116+S116+U116+W116+Y116</f>
        <v>0</v>
      </c>
      <c r="AB116" s="24">
        <f>AA116/AA12</f>
        <v>0</v>
      </c>
      <c r="AC116" s="128">
        <f t="shared" si="39"/>
        <v>0</v>
      </c>
      <c r="AD116" s="24">
        <f>AC116/AC12</f>
        <v>0</v>
      </c>
      <c r="AF116" s="84"/>
    </row>
    <row r="117" spans="1:33" s="1" customFormat="1">
      <c r="A117" s="188">
        <v>6402</v>
      </c>
      <c r="B117" s="2" t="s">
        <v>75</v>
      </c>
      <c r="C117" s="452">
        <v>500</v>
      </c>
      <c r="D117" s="467">
        <f>C117/C12</f>
        <v>6.3996796983109333E-4</v>
      </c>
      <c r="E117" s="452">
        <v>500</v>
      </c>
      <c r="F117" s="467">
        <f>E117/E12</f>
        <v>8.2257939041062217E-4</v>
      </c>
      <c r="G117" s="452">
        <v>500</v>
      </c>
      <c r="H117" s="467">
        <f>G117/G12</f>
        <v>4.9589492468401488E-4</v>
      </c>
      <c r="I117" s="452">
        <v>500</v>
      </c>
      <c r="J117" s="467">
        <f>I117/I12</f>
        <v>5.6160605308808642E-4</v>
      </c>
      <c r="K117" s="452">
        <v>500</v>
      </c>
      <c r="L117" s="467">
        <f>K117/K12</f>
        <v>6.1404428634133953E-4</v>
      </c>
      <c r="M117" s="452">
        <v>500</v>
      </c>
      <c r="N117" s="467">
        <f>M117/M12</f>
        <v>4.3303969102365954E-4</v>
      </c>
      <c r="O117" s="452">
        <v>500</v>
      </c>
      <c r="P117" s="467">
        <f>O117/O12</f>
        <v>6.8398751338865011E-4</v>
      </c>
      <c r="Q117" s="452">
        <v>500</v>
      </c>
      <c r="R117" s="467">
        <f>Q117/Q12</f>
        <v>5.5083032095473293E-4</v>
      </c>
      <c r="S117" s="452">
        <v>500</v>
      </c>
      <c r="T117" s="467">
        <f>S117/S12</f>
        <v>5.4679536714393471E-4</v>
      </c>
      <c r="U117" s="452">
        <v>500</v>
      </c>
      <c r="V117" s="467">
        <f>U117/U12</f>
        <v>6.8934804110850462E-4</v>
      </c>
      <c r="W117" s="452">
        <v>500</v>
      </c>
      <c r="X117" s="467">
        <f>W117/W12</f>
        <v>6.7753086663297055E-4</v>
      </c>
      <c r="Y117" s="452">
        <v>500</v>
      </c>
      <c r="Z117" s="467">
        <f>Y117/Y12</f>
        <v>4.4849887125309156E-4</v>
      </c>
      <c r="AA117" s="144">
        <f t="shared" si="69"/>
        <v>6000</v>
      </c>
      <c r="AB117" s="68">
        <f>AA117/AA12</f>
        <v>5.7759559509529864E-4</v>
      </c>
      <c r="AC117" s="128">
        <f t="shared" si="39"/>
        <v>500</v>
      </c>
      <c r="AD117" s="68">
        <f>AC117/AC12</f>
        <v>5.7759559509529864E-4</v>
      </c>
      <c r="AE117" s="5" t="s">
        <v>186</v>
      </c>
      <c r="AF117" s="74">
        <v>-681</v>
      </c>
      <c r="AG117" s="1" t="s">
        <v>187</v>
      </c>
    </row>
    <row r="118" spans="1:33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144">
        <f t="shared" si="69"/>
        <v>0</v>
      </c>
      <c r="AB118" s="702">
        <f>AA118/AA12</f>
        <v>0</v>
      </c>
      <c r="AC118" s="128">
        <f t="shared" si="39"/>
        <v>0</v>
      </c>
      <c r="AD118" s="702">
        <f>AC118/AC12</f>
        <v>0</v>
      </c>
      <c r="AE118" s="5"/>
      <c r="AF118" s="74"/>
    </row>
    <row r="119" spans="1:33" s="1" customFormat="1">
      <c r="A119" s="188">
        <v>6404</v>
      </c>
      <c r="B119" s="188" t="s">
        <v>92</v>
      </c>
      <c r="C119" s="707">
        <v>2000</v>
      </c>
      <c r="D119" s="467">
        <f>C119/C12</f>
        <v>2.5598718793243733E-3</v>
      </c>
      <c r="E119" s="707">
        <v>2000</v>
      </c>
      <c r="F119" s="467">
        <f>E119/E12</f>
        <v>3.2903175616424887E-3</v>
      </c>
      <c r="G119" s="707">
        <v>2000</v>
      </c>
      <c r="H119" s="467">
        <f>G119/G12</f>
        <v>1.9835796987360595E-3</v>
      </c>
      <c r="I119" s="707">
        <v>2000</v>
      </c>
      <c r="J119" s="467">
        <f>I119/I12</f>
        <v>2.2464242123523457E-3</v>
      </c>
      <c r="K119" s="707">
        <v>2000</v>
      </c>
      <c r="L119" s="467">
        <f>K119/K12</f>
        <v>2.4561771453653581E-3</v>
      </c>
      <c r="M119" s="707">
        <v>2000</v>
      </c>
      <c r="N119" s="467">
        <f>M119/M12</f>
        <v>1.7321587640946382E-3</v>
      </c>
      <c r="O119" s="707">
        <v>2000</v>
      </c>
      <c r="P119" s="467">
        <f>O119/O12</f>
        <v>2.7359500535546004E-3</v>
      </c>
      <c r="Q119" s="707">
        <v>2000</v>
      </c>
      <c r="R119" s="467">
        <f>Q119/Q12</f>
        <v>2.2033212838189317E-3</v>
      </c>
      <c r="S119" s="707">
        <v>2000</v>
      </c>
      <c r="T119" s="467">
        <f>S119/S12</f>
        <v>2.1871814685757388E-3</v>
      </c>
      <c r="U119" s="707">
        <v>2000</v>
      </c>
      <c r="V119" s="467">
        <f>U119/U12</f>
        <v>2.7573921644340185E-3</v>
      </c>
      <c r="W119" s="707">
        <v>2000</v>
      </c>
      <c r="X119" s="467">
        <f>W119/W12</f>
        <v>2.7101234665318822E-3</v>
      </c>
      <c r="Y119" s="707">
        <v>2000</v>
      </c>
      <c r="Z119" s="467">
        <f>Y119/Y12</f>
        <v>1.7939954850123663E-3</v>
      </c>
      <c r="AA119" s="144">
        <f t="shared" si="69"/>
        <v>24000</v>
      </c>
      <c r="AB119" s="702">
        <f>AA119/AA12</f>
        <v>2.3103823803811946E-3</v>
      </c>
      <c r="AC119" s="128">
        <f t="shared" si="39"/>
        <v>2000</v>
      </c>
      <c r="AD119" s="702">
        <f>AC119/AC12</f>
        <v>2.3103823803811946E-3</v>
      </c>
      <c r="AE119" s="645"/>
      <c r="AF119" s="226"/>
      <c r="AG119" s="226"/>
    </row>
    <row r="120" spans="1:33" s="1" customFormat="1">
      <c r="A120" s="188">
        <v>6406</v>
      </c>
      <c r="B120" s="2" t="s">
        <v>72</v>
      </c>
      <c r="C120" s="452">
        <v>750</v>
      </c>
      <c r="D120" s="467">
        <f>C120/C12</f>
        <v>9.5995195474664005E-4</v>
      </c>
      <c r="E120" s="452">
        <v>750</v>
      </c>
      <c r="F120" s="467">
        <f>E120/E12</f>
        <v>1.2338690856159332E-3</v>
      </c>
      <c r="G120" s="452">
        <v>750</v>
      </c>
      <c r="H120" s="467">
        <f>G120/G12</f>
        <v>7.4384238702602233E-4</v>
      </c>
      <c r="I120" s="452">
        <v>750</v>
      </c>
      <c r="J120" s="467">
        <f>I120/I12</f>
        <v>8.4240907963212958E-4</v>
      </c>
      <c r="K120" s="452">
        <v>750</v>
      </c>
      <c r="L120" s="467">
        <f>K120/K12</f>
        <v>9.2106642951200941E-4</v>
      </c>
      <c r="M120" s="452">
        <v>750</v>
      </c>
      <c r="N120" s="467">
        <f>M120/M12</f>
        <v>6.495595365354894E-4</v>
      </c>
      <c r="O120" s="452">
        <v>750</v>
      </c>
      <c r="P120" s="467">
        <f>O120/O12</f>
        <v>1.0259812700829751E-3</v>
      </c>
      <c r="Q120" s="452">
        <v>750</v>
      </c>
      <c r="R120" s="467">
        <f>Q120/Q12</f>
        <v>8.2624548143209946E-4</v>
      </c>
      <c r="S120" s="452">
        <v>750</v>
      </c>
      <c r="T120" s="467">
        <f>S120/S12</f>
        <v>8.2019305071590195E-4</v>
      </c>
      <c r="U120" s="452">
        <v>750</v>
      </c>
      <c r="V120" s="467">
        <f>U120/U12</f>
        <v>1.0340220616627568E-3</v>
      </c>
      <c r="W120" s="452">
        <v>750</v>
      </c>
      <c r="X120" s="467">
        <f>W120/W12</f>
        <v>1.0162962999494558E-3</v>
      </c>
      <c r="Y120" s="452">
        <v>750</v>
      </c>
      <c r="Z120" s="467">
        <f>Y120/Y12</f>
        <v>6.7274830687963729E-4</v>
      </c>
      <c r="AA120" s="144">
        <f t="shared" si="69"/>
        <v>9000</v>
      </c>
      <c r="AB120" s="68">
        <f>AA120/AA12</f>
        <v>8.6639339264294802E-4</v>
      </c>
      <c r="AC120" s="128">
        <f t="shared" si="39"/>
        <v>750</v>
      </c>
      <c r="AD120" s="68">
        <f>AC120/AC12</f>
        <v>8.6639339264294802E-4</v>
      </c>
      <c r="AE120" s="5" t="s">
        <v>186</v>
      </c>
      <c r="AF120" s="74">
        <v>18</v>
      </c>
      <c r="AG120" s="1" t="s">
        <v>189</v>
      </c>
    </row>
    <row r="121" spans="1:33" s="1" customFormat="1">
      <c r="A121" s="2">
        <v>6407</v>
      </c>
      <c r="B121" s="228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144">
        <f t="shared" si="69"/>
        <v>0</v>
      </c>
      <c r="AB121" s="68">
        <f>AA121/AA12</f>
        <v>0</v>
      </c>
      <c r="AC121" s="128">
        <f t="shared" si="39"/>
        <v>0</v>
      </c>
      <c r="AD121" s="68">
        <f>AC121/AC12</f>
        <v>0</v>
      </c>
      <c r="AE121" s="5" t="s">
        <v>186</v>
      </c>
      <c r="AF121" s="74">
        <v>20</v>
      </c>
      <c r="AG121" s="1" t="s">
        <v>190</v>
      </c>
    </row>
    <row r="122" spans="1:33" s="1" customFormat="1">
      <c r="A122" s="2">
        <v>6408</v>
      </c>
      <c r="B122" s="228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144">
        <f t="shared" si="69"/>
        <v>0</v>
      </c>
      <c r="AB122" s="68">
        <f>AA122/AA12</f>
        <v>0</v>
      </c>
      <c r="AC122" s="128">
        <f t="shared" si="39"/>
        <v>0</v>
      </c>
      <c r="AD122" s="68">
        <f>AC122/AC12</f>
        <v>0</v>
      </c>
      <c r="AE122" s="5"/>
      <c r="AF122" s="74"/>
    </row>
    <row r="123" spans="1:33" s="1" customFormat="1">
      <c r="A123" s="2">
        <v>6410</v>
      </c>
      <c r="B123" s="228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144">
        <f t="shared" si="69"/>
        <v>0</v>
      </c>
      <c r="AB123" s="24"/>
      <c r="AC123" s="128">
        <f t="shared" si="39"/>
        <v>0</v>
      </c>
      <c r="AD123" s="24"/>
      <c r="AE123" s="5"/>
      <c r="AF123" s="74"/>
    </row>
    <row r="124" spans="1:33" s="1" customFormat="1">
      <c r="A124" s="2">
        <v>6411</v>
      </c>
      <c r="B124" s="228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144">
        <f t="shared" si="69"/>
        <v>0</v>
      </c>
      <c r="AB124" s="24"/>
      <c r="AC124" s="128">
        <f t="shared" si="39"/>
        <v>0</v>
      </c>
      <c r="AD124" s="24"/>
      <c r="AE124" s="5"/>
      <c r="AF124" s="74"/>
    </row>
    <row r="125" spans="1:33" s="1" customFormat="1">
      <c r="A125" s="2">
        <v>6412</v>
      </c>
      <c r="B125" s="228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144">
        <f t="shared" si="69"/>
        <v>0</v>
      </c>
      <c r="AB125" s="24">
        <f>AA125/AA12</f>
        <v>0</v>
      </c>
      <c r="AC125" s="128">
        <f t="shared" si="39"/>
        <v>0</v>
      </c>
      <c r="AD125" s="24">
        <f>AC125/AC12</f>
        <v>0</v>
      </c>
      <c r="AE125" s="5"/>
      <c r="AF125" s="74"/>
    </row>
    <row r="126" spans="1:33" s="1" customFormat="1">
      <c r="A126" s="188">
        <v>6413</v>
      </c>
      <c r="B126" s="188" t="s">
        <v>41</v>
      </c>
      <c r="C126" s="452">
        <f>C12*1%</f>
        <v>7812.8910128418602</v>
      </c>
      <c r="D126" s="467">
        <f>C126/C12</f>
        <v>0.01</v>
      </c>
      <c r="E126" s="452">
        <f>E12*1%</f>
        <v>6078.4406445000495</v>
      </c>
      <c r="F126" s="467">
        <f>E126/E12</f>
        <v>0.01</v>
      </c>
      <c r="G126" s="452">
        <f>G12*1%</f>
        <v>10082.781152047501</v>
      </c>
      <c r="H126" s="467">
        <f>G126/G12</f>
        <v>0.01</v>
      </c>
      <c r="I126" s="452">
        <f>I12*1%</f>
        <v>8903.0379436023704</v>
      </c>
      <c r="J126" s="467">
        <f>I126/I12</f>
        <v>0.01</v>
      </c>
      <c r="K126" s="452">
        <f>K12*1%</f>
        <v>8142.7351596926392</v>
      </c>
      <c r="L126" s="467">
        <f>K126/K12</f>
        <v>0.01</v>
      </c>
      <c r="M126" s="452">
        <f>M12*1%</f>
        <v>11546.2857184766</v>
      </c>
      <c r="N126" s="467">
        <f>M126/M12</f>
        <v>0.01</v>
      </c>
      <c r="O126" s="452">
        <f>O12*1%</f>
        <v>7310.0749679313785</v>
      </c>
      <c r="P126" s="467">
        <f>O126/O12</f>
        <v>0.01</v>
      </c>
      <c r="Q126" s="452">
        <f>Q12*1%</f>
        <v>9077.2054656208711</v>
      </c>
      <c r="R126" s="467">
        <f>Q126/Q12</f>
        <v>0.01</v>
      </c>
      <c r="S126" s="452">
        <f>S12*1%</f>
        <v>9144.1886680869302</v>
      </c>
      <c r="T126" s="467">
        <f>S126/S12</f>
        <v>0.01</v>
      </c>
      <c r="U126" s="452">
        <f>U12*1%</f>
        <v>7253.2301563659494</v>
      </c>
      <c r="V126" s="467">
        <f>U126/U12</f>
        <v>0.01</v>
      </c>
      <c r="W126" s="452">
        <f>W12*1%</f>
        <v>7379.7375828023805</v>
      </c>
      <c r="X126" s="467">
        <f>W126/W12</f>
        <v>0.01</v>
      </c>
      <c r="Y126" s="452">
        <f>Y12*1%</f>
        <v>11148.300074936998</v>
      </c>
      <c r="Z126" s="467">
        <f>Y126/Y12</f>
        <v>0.01</v>
      </c>
      <c r="AA126" s="144">
        <f t="shared" si="69"/>
        <v>103878.90854690554</v>
      </c>
      <c r="AB126" s="68">
        <f>AA126/AA12</f>
        <v>1.0000000000000002E-2</v>
      </c>
      <c r="AC126" s="128">
        <f t="shared" si="39"/>
        <v>8656.5757122421292</v>
      </c>
      <c r="AD126" s="68">
        <f>AC126/AC12</f>
        <v>1.0000000000000004E-2</v>
      </c>
      <c r="AE126" s="5" t="s">
        <v>191</v>
      </c>
      <c r="AF126" s="318">
        <v>7.1999999999999998E-3</v>
      </c>
      <c r="AG126" s="1" t="s">
        <v>201</v>
      </c>
    </row>
    <row r="127" spans="1:33" s="1" customFormat="1">
      <c r="A127" s="188">
        <v>6414</v>
      </c>
      <c r="B127" s="188" t="s">
        <v>43</v>
      </c>
      <c r="C127" s="486">
        <v>250</v>
      </c>
      <c r="D127" s="467">
        <f>C127/C12</f>
        <v>3.1998398491554666E-4</v>
      </c>
      <c r="E127" s="486">
        <v>250</v>
      </c>
      <c r="F127" s="467">
        <f>E127/E12</f>
        <v>4.1128969520531108E-4</v>
      </c>
      <c r="G127" s="486">
        <v>250</v>
      </c>
      <c r="H127" s="467">
        <f>G127/G12</f>
        <v>2.4794746234200744E-4</v>
      </c>
      <c r="I127" s="486">
        <v>250</v>
      </c>
      <c r="J127" s="467">
        <f>I127/I12</f>
        <v>2.8080302654404321E-4</v>
      </c>
      <c r="K127" s="486">
        <v>250</v>
      </c>
      <c r="L127" s="467">
        <f>K127/K12</f>
        <v>3.0702214317066977E-4</v>
      </c>
      <c r="M127" s="486">
        <v>250</v>
      </c>
      <c r="N127" s="467">
        <f>M127/M12</f>
        <v>2.1651984551182977E-4</v>
      </c>
      <c r="O127" s="486">
        <v>250</v>
      </c>
      <c r="P127" s="467">
        <f>O127/O12</f>
        <v>3.4199375669432505E-4</v>
      </c>
      <c r="Q127" s="486">
        <v>250</v>
      </c>
      <c r="R127" s="467">
        <f>Q127/Q12</f>
        <v>2.7541516047736647E-4</v>
      </c>
      <c r="S127" s="486">
        <v>250</v>
      </c>
      <c r="T127" s="467">
        <f>S127/S12</f>
        <v>2.7339768357196735E-4</v>
      </c>
      <c r="U127" s="486">
        <v>250</v>
      </c>
      <c r="V127" s="467">
        <f>U127/U12</f>
        <v>3.4467402055425231E-4</v>
      </c>
      <c r="W127" s="486">
        <v>250</v>
      </c>
      <c r="X127" s="467">
        <f>W127/W12</f>
        <v>3.3876543331648527E-4</v>
      </c>
      <c r="Y127" s="486">
        <v>250</v>
      </c>
      <c r="Z127" s="467">
        <f>Y127/Y12</f>
        <v>2.2424943562654578E-4</v>
      </c>
      <c r="AA127" s="144">
        <f t="shared" si="69"/>
        <v>3000</v>
      </c>
      <c r="AB127" s="68">
        <f>AA127/AA12</f>
        <v>2.8879779754764932E-4</v>
      </c>
      <c r="AC127" s="128">
        <f t="shared" si="39"/>
        <v>250</v>
      </c>
      <c r="AD127" s="68">
        <f>AC127/AC12</f>
        <v>2.8879779754764932E-4</v>
      </c>
      <c r="AE127" s="5" t="s">
        <v>186</v>
      </c>
      <c r="AF127" s="74">
        <v>300</v>
      </c>
      <c r="AG127" s="1" t="s">
        <v>202</v>
      </c>
    </row>
    <row r="128" spans="1:33" s="1" customFormat="1">
      <c r="A128" s="2">
        <v>6415</v>
      </c>
      <c r="B128" s="228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144">
        <f t="shared" si="69"/>
        <v>0</v>
      </c>
      <c r="AB128" s="68">
        <f>AA128/AA12</f>
        <v>0</v>
      </c>
      <c r="AC128" s="128">
        <f t="shared" si="39"/>
        <v>0</v>
      </c>
      <c r="AD128" s="68">
        <f>AC128/AC12</f>
        <v>0</v>
      </c>
      <c r="AE128" s="5" t="s">
        <v>192</v>
      </c>
      <c r="AF128" s="74"/>
      <c r="AG128" s="5" t="s">
        <v>192</v>
      </c>
    </row>
    <row r="129" spans="1:62" s="1" customFormat="1" ht="15.75" thickBot="1">
      <c r="A129" s="4">
        <v>6499</v>
      </c>
      <c r="B129" s="229" t="s">
        <v>114</v>
      </c>
      <c r="C129" s="76">
        <f>SUM(C116:C128)</f>
        <v>11312.891012841861</v>
      </c>
      <c r="D129" s="23">
        <f>C129/C12</f>
        <v>1.4479775788817656E-2</v>
      </c>
      <c r="E129" s="116">
        <f>SUM(E116:E128)</f>
        <v>9578.4406445000495</v>
      </c>
      <c r="F129" s="23">
        <f>E129/E12</f>
        <v>1.5758055732874355E-2</v>
      </c>
      <c r="G129" s="76">
        <f>SUM(G116:G128)</f>
        <v>13582.781152047501</v>
      </c>
      <c r="H129" s="23">
        <f>G129/G12</f>
        <v>1.3471264472788104E-2</v>
      </c>
      <c r="I129" s="76">
        <f>SUM(I116:I128)</f>
        <v>12403.03794360237</v>
      </c>
      <c r="J129" s="23">
        <f>I129/I12</f>
        <v>1.3931242371616605E-2</v>
      </c>
      <c r="K129" s="116">
        <f>SUM(K116:K128)</f>
        <v>11642.735159692638</v>
      </c>
      <c r="L129" s="23">
        <f>K129/K12</f>
        <v>1.4298310004389376E-2</v>
      </c>
      <c r="M129" s="28">
        <f>SUM(M116:M128)</f>
        <v>15046.2857184766</v>
      </c>
      <c r="N129" s="23">
        <f>M129/M12</f>
        <v>1.3031277837165617E-2</v>
      </c>
      <c r="O129" s="28">
        <f>SUM(O116:O128)</f>
        <v>10810.074967931378</v>
      </c>
      <c r="P129" s="23">
        <f>O129/O12</f>
        <v>1.4787912593720549E-2</v>
      </c>
      <c r="Q129" s="28">
        <f>SUM(Q116:Q128)</f>
        <v>12577.205465620871</v>
      </c>
      <c r="R129" s="23">
        <f>Q129/Q12</f>
        <v>1.3855812246683131E-2</v>
      </c>
      <c r="S129" s="28">
        <f>SUM(S116:S128)</f>
        <v>12644.18866808693</v>
      </c>
      <c r="T129" s="23">
        <f>S129/S12</f>
        <v>1.3827567570007542E-2</v>
      </c>
      <c r="U129" s="76">
        <f>SUM(U116:U128)</f>
        <v>10753.230156365949</v>
      </c>
      <c r="V129" s="23">
        <f>U129/U12</f>
        <v>1.4825436287759532E-2</v>
      </c>
      <c r="W129" s="76">
        <f>SUM(W116:W128)</f>
        <v>10879.73758280238</v>
      </c>
      <c r="X129" s="23">
        <f>W129/W12</f>
        <v>1.4742716066430793E-2</v>
      </c>
      <c r="Y129" s="76">
        <f>SUM(Y116:Y128)</f>
        <v>14648.300074936998</v>
      </c>
      <c r="Z129" s="23">
        <f>Y129/Y12</f>
        <v>1.3139492098771641E-2</v>
      </c>
      <c r="AA129" s="196">
        <f>SUM(AA116:AA128)</f>
        <v>145878.90854690556</v>
      </c>
      <c r="AB129" s="23">
        <f>AA129/AA12</f>
        <v>1.4043169165667094E-2</v>
      </c>
      <c r="AC129" s="52">
        <f t="shared" si="39"/>
        <v>12156.575712242129</v>
      </c>
      <c r="AD129" s="23">
        <f>AC129/AC12</f>
        <v>1.4043169165667094E-2</v>
      </c>
      <c r="AE129" s="320"/>
      <c r="AF129" s="279"/>
      <c r="AG129" s="320"/>
    </row>
    <row r="130" spans="1:62" s="1" customFormat="1" ht="15.75" thickTop="1">
      <c r="A130" s="222"/>
      <c r="B130" s="230"/>
      <c r="C130" s="82"/>
      <c r="D130" s="233"/>
      <c r="E130" s="703"/>
      <c r="F130" s="233"/>
      <c r="G130" s="82"/>
      <c r="H130" s="233"/>
      <c r="I130" s="82"/>
      <c r="J130" s="233"/>
      <c r="K130" s="703"/>
      <c r="L130" s="233"/>
      <c r="M130" s="32"/>
      <c r="N130" s="233"/>
      <c r="O130" s="32"/>
      <c r="P130" s="233"/>
      <c r="Q130" s="32"/>
      <c r="R130" s="233"/>
      <c r="S130" s="32"/>
      <c r="T130" s="233"/>
      <c r="U130" s="82"/>
      <c r="V130" s="233"/>
      <c r="W130" s="82"/>
      <c r="X130" s="233"/>
      <c r="Y130" s="82"/>
      <c r="Z130" s="233"/>
      <c r="AA130" s="201"/>
      <c r="AB130" s="233"/>
      <c r="AC130" s="201">
        <f t="shared" si="39"/>
        <v>0</v>
      </c>
      <c r="AD130" s="233"/>
      <c r="AF130" s="84"/>
    </row>
    <row r="131" spans="1:62" s="1" customFormat="1" ht="15.75" thickBot="1">
      <c r="A131" s="4"/>
      <c r="B131" s="229" t="s">
        <v>133</v>
      </c>
      <c r="C131" s="278">
        <f>C37-C41-C76-C93-C115-C129</f>
        <v>49413.924692982735</v>
      </c>
      <c r="D131" s="259">
        <f>C131/C12</f>
        <v>6.3246658134309394E-2</v>
      </c>
      <c r="E131" s="278">
        <f>E37-E41-E76-E93-E115-E129</f>
        <v>-2612.2660524858511</v>
      </c>
      <c r="F131" s="259">
        <f>E131/E12</f>
        <v>-4.2975924340883471E-3</v>
      </c>
      <c r="G131" s="278">
        <f>G37-G41-G76-G93-G115-G129</f>
        <v>157330.93201266477</v>
      </c>
      <c r="H131" s="259">
        <f>G131/G12</f>
        <v>0.15603922136177251</v>
      </c>
      <c r="I131" s="278">
        <f>I37-I41-I76-I93-I115-I129</f>
        <v>154473.84752415746</v>
      </c>
      <c r="J131" s="259">
        <f>I131/I12</f>
        <v>0.17350689562674587</v>
      </c>
      <c r="K131" s="278">
        <f>K37-K41-K76-K93-K115-K129</f>
        <v>151322.839296841</v>
      </c>
      <c r="L131" s="259">
        <f>K131/K12</f>
        <v>0.1858378497263479</v>
      </c>
      <c r="M131" s="287">
        <f>M37-M41-M76-M93-M115-M129</f>
        <v>248516.70802449205</v>
      </c>
      <c r="N131" s="259">
        <f>M131/M12</f>
        <v>0.21523519691428611</v>
      </c>
      <c r="O131" s="287">
        <f>O37-O41-O76-O93-O115-O129</f>
        <v>86408.919386926922</v>
      </c>
      <c r="P131" s="259">
        <f>O131/O12</f>
        <v>0.11820524381212894</v>
      </c>
      <c r="Q131" s="287">
        <f>Q37-Q41-Q76-Q93-Q115-Q129</f>
        <v>131501.61918609645</v>
      </c>
      <c r="R131" s="259">
        <f>Q131/Q12</f>
        <v>0.14487015820468915</v>
      </c>
      <c r="S131" s="287">
        <f>S37-S41-S76-S93-S115-S129</f>
        <v>127777.1990301998</v>
      </c>
      <c r="T131" s="259">
        <f>S131/S12</f>
        <v>0.13973596091268342</v>
      </c>
      <c r="U131" s="252">
        <f>U37-U41-U76-U93-U115-U129</f>
        <v>75347.714248710021</v>
      </c>
      <c r="V131" s="259">
        <f>U131/U12</f>
        <v>0.10388159843870323</v>
      </c>
      <c r="W131" s="252">
        <f>W37-W41-W76-W93-W115-W129</f>
        <v>77870.674921177459</v>
      </c>
      <c r="X131" s="259">
        <f>W131/W12</f>
        <v>0.10551957172927938</v>
      </c>
      <c r="Y131" s="252">
        <f>Y37-Y41-Y76-Y93-Y115-Y129</f>
        <v>189801.80160807716</v>
      </c>
      <c r="Z131" s="259">
        <f>Y131/Y12</f>
        <v>0.17025178756605164</v>
      </c>
      <c r="AA131" s="256">
        <f>AA37-AA41-AA76-AA93-AA115-AA129</f>
        <v>1447153.9138798395</v>
      </c>
      <c r="AB131" s="259">
        <f>AA131/AA12</f>
        <v>0.13931162101365274</v>
      </c>
      <c r="AC131" s="254">
        <f t="shared" si="39"/>
        <v>120596.15948998662</v>
      </c>
      <c r="AD131" s="259">
        <f>AC131/AC12</f>
        <v>0.13931162101365274</v>
      </c>
      <c r="AE131" s="320"/>
      <c r="AF131" s="279"/>
      <c r="AG131" s="320"/>
    </row>
    <row r="132" spans="1:62" s="1" customFormat="1" ht="15.75" thickTop="1">
      <c r="A132" s="222"/>
      <c r="B132" s="230"/>
      <c r="C132" s="82"/>
      <c r="D132" s="233"/>
      <c r="E132" s="703"/>
      <c r="F132" s="233"/>
      <c r="G132" s="82"/>
      <c r="H132" s="233"/>
      <c r="I132" s="82"/>
      <c r="J132" s="233"/>
      <c r="K132" s="703"/>
      <c r="L132" s="233"/>
      <c r="M132" s="32"/>
      <c r="N132" s="233"/>
      <c r="O132" s="32"/>
      <c r="P132" s="233"/>
      <c r="Q132" s="32"/>
      <c r="R132" s="233"/>
      <c r="S132" s="32"/>
      <c r="T132" s="233"/>
      <c r="U132" s="82"/>
      <c r="V132" s="233"/>
      <c r="W132" s="82"/>
      <c r="X132" s="233"/>
      <c r="Y132" s="82"/>
      <c r="Z132" s="233"/>
      <c r="AA132" s="201"/>
      <c r="AB132" s="233"/>
      <c r="AC132" s="201">
        <f t="shared" si="39"/>
        <v>0</v>
      </c>
      <c r="AD132" s="233"/>
      <c r="AF132" s="84"/>
    </row>
    <row r="133" spans="1:62" s="1" customFormat="1" ht="15.75" thickBot="1">
      <c r="A133" s="72"/>
      <c r="B133" s="4" t="s">
        <v>149</v>
      </c>
      <c r="C133" s="76"/>
      <c r="D133" s="107"/>
      <c r="E133" s="274"/>
      <c r="F133" s="107"/>
      <c r="G133" s="274"/>
      <c r="H133" s="107"/>
      <c r="I133" s="274"/>
      <c r="J133" s="107"/>
      <c r="K133" s="274"/>
      <c r="L133" s="107"/>
      <c r="M133" s="28"/>
      <c r="N133" s="107"/>
      <c r="O133" s="28"/>
      <c r="P133" s="107"/>
      <c r="Q133" s="28"/>
      <c r="R133" s="107"/>
      <c r="S133" s="28"/>
      <c r="T133" s="107"/>
      <c r="U133" s="28"/>
      <c r="V133" s="107"/>
      <c r="W133" s="28"/>
      <c r="X133" s="107"/>
      <c r="Y133" s="28"/>
      <c r="Z133" s="107"/>
      <c r="AA133" s="197">
        <f>C133+E133+G133+I133+K133+M133+O133+Q133+S133+U133+W133+Y133</f>
        <v>0</v>
      </c>
      <c r="AB133" s="107"/>
      <c r="AC133" s="264">
        <f t="shared" si="39"/>
        <v>0</v>
      </c>
      <c r="AD133" s="107"/>
      <c r="AE133" s="320"/>
      <c r="AF133" s="279"/>
      <c r="AG133" s="320"/>
    </row>
    <row r="134" spans="1:62" s="1" customFormat="1" ht="15.75" thickTop="1">
      <c r="A134" s="222"/>
      <c r="B134" s="222"/>
      <c r="C134" s="82"/>
      <c r="D134" s="233"/>
      <c r="E134" s="703"/>
      <c r="F134" s="233"/>
      <c r="G134" s="82"/>
      <c r="H134" s="233"/>
      <c r="I134" s="82"/>
      <c r="J134" s="233"/>
      <c r="K134" s="703"/>
      <c r="L134" s="233"/>
      <c r="M134" s="32"/>
      <c r="N134" s="233"/>
      <c r="O134" s="32"/>
      <c r="P134" s="233"/>
      <c r="Q134" s="32"/>
      <c r="R134" s="233"/>
      <c r="S134" s="32"/>
      <c r="T134" s="233"/>
      <c r="U134" s="82"/>
      <c r="V134" s="233"/>
      <c r="W134" s="82"/>
      <c r="X134" s="233"/>
      <c r="Y134" s="82"/>
      <c r="Z134" s="233"/>
      <c r="AA134" s="201"/>
      <c r="AB134" s="233"/>
      <c r="AC134" s="201">
        <f t="shared" si="39"/>
        <v>0</v>
      </c>
      <c r="AD134" s="233"/>
      <c r="AF134" s="84"/>
    </row>
    <row r="135" spans="1:62" s="1" customFormat="1" ht="15.75" thickBot="1">
      <c r="A135" s="4"/>
      <c r="B135" s="4" t="s">
        <v>140</v>
      </c>
      <c r="C135" s="76">
        <f>C131-C133</f>
        <v>49413.924692982735</v>
      </c>
      <c r="D135" s="89">
        <f>C135/C12</f>
        <v>6.3246658134309394E-2</v>
      </c>
      <c r="E135" s="76">
        <f>E131-E133</f>
        <v>-2612.2660524858511</v>
      </c>
      <c r="F135" s="89">
        <f>E135/E12</f>
        <v>-4.2975924340883471E-3</v>
      </c>
      <c r="G135" s="76">
        <f>G131-G133</f>
        <v>157330.93201266477</v>
      </c>
      <c r="H135" s="89">
        <f>G135/G12</f>
        <v>0.15603922136177251</v>
      </c>
      <c r="I135" s="76">
        <f>I131-I133</f>
        <v>154473.84752415746</v>
      </c>
      <c r="J135" s="89">
        <f>I135/I12</f>
        <v>0.17350689562674587</v>
      </c>
      <c r="K135" s="76">
        <f>K131-K133</f>
        <v>151322.839296841</v>
      </c>
      <c r="L135" s="89">
        <f>K135/K12</f>
        <v>0.1858378497263479</v>
      </c>
      <c r="M135" s="28">
        <f>M131-M133</f>
        <v>248516.70802449205</v>
      </c>
      <c r="N135" s="89">
        <f>M135/M12</f>
        <v>0.21523519691428611</v>
      </c>
      <c r="O135" s="28">
        <f>O131-O133</f>
        <v>86408.919386926922</v>
      </c>
      <c r="P135" s="89">
        <f>O135/O12</f>
        <v>0.11820524381212894</v>
      </c>
      <c r="Q135" s="28">
        <f>Q131-Q133</f>
        <v>131501.61918609645</v>
      </c>
      <c r="R135" s="89">
        <f>Q135/Q12</f>
        <v>0.14487015820468915</v>
      </c>
      <c r="S135" s="28">
        <f>S131-S133</f>
        <v>127777.1990301998</v>
      </c>
      <c r="T135" s="89">
        <f>S135/S12</f>
        <v>0.13973596091268342</v>
      </c>
      <c r="U135" s="52">
        <f>U131-U133</f>
        <v>75347.714248710021</v>
      </c>
      <c r="V135" s="89">
        <f>U135/U12</f>
        <v>0.10388159843870323</v>
      </c>
      <c r="W135" s="52">
        <f>W131-W133</f>
        <v>77870.674921177459</v>
      </c>
      <c r="X135" s="89">
        <f>W135/W12</f>
        <v>0.10551957172927938</v>
      </c>
      <c r="Y135" s="52">
        <f>Y131-Y133</f>
        <v>189801.80160807716</v>
      </c>
      <c r="Z135" s="89">
        <f>Y135/Y12</f>
        <v>0.17025178756605164</v>
      </c>
      <c r="AA135" s="52">
        <f>AA131-AA133</f>
        <v>1447153.9138798395</v>
      </c>
      <c r="AB135" s="89">
        <f>AA135/AA12</f>
        <v>0.13931162101365274</v>
      </c>
      <c r="AC135" s="52">
        <f t="shared" si="39"/>
        <v>120596.15948998662</v>
      </c>
      <c r="AD135" s="89">
        <f>AC135/AC12</f>
        <v>0.13931162101365274</v>
      </c>
      <c r="AE135" s="320"/>
      <c r="AF135" s="321"/>
      <c r="AG135" s="320"/>
    </row>
    <row r="136" spans="1:62" s="1" customFormat="1" ht="15.75" thickTop="1">
      <c r="A136" s="21">
        <v>6501</v>
      </c>
      <c r="B136" s="21" t="s">
        <v>148</v>
      </c>
      <c r="C136" s="82"/>
      <c r="D136" s="24">
        <f>C136/C12</f>
        <v>0</v>
      </c>
      <c r="E136" s="703"/>
      <c r="F136" s="24">
        <f>E136/E12</f>
        <v>0</v>
      </c>
      <c r="G136" s="82"/>
      <c r="H136" s="24">
        <f>G136/G12</f>
        <v>0</v>
      </c>
      <c r="I136" s="82"/>
      <c r="J136" s="24">
        <f>I136/I12</f>
        <v>0</v>
      </c>
      <c r="K136" s="703"/>
      <c r="L136" s="24">
        <f>K136/K12</f>
        <v>0</v>
      </c>
      <c r="M136" s="32"/>
      <c r="N136" s="24">
        <f>M136/M12</f>
        <v>0</v>
      </c>
      <c r="O136" s="32"/>
      <c r="P136" s="24">
        <f>O136/O12</f>
        <v>0</v>
      </c>
      <c r="Q136" s="32"/>
      <c r="R136" s="24">
        <f>Q136/Q12</f>
        <v>0</v>
      </c>
      <c r="S136" s="32"/>
      <c r="T136" s="24">
        <f>S136/S12</f>
        <v>0</v>
      </c>
      <c r="U136" s="82"/>
      <c r="V136" s="24">
        <f>U136/U12</f>
        <v>0</v>
      </c>
      <c r="W136" s="82"/>
      <c r="X136" s="24">
        <f>W136/W12</f>
        <v>0</v>
      </c>
      <c r="Y136" s="82"/>
      <c r="Z136" s="24">
        <f>Y136/Y12</f>
        <v>0</v>
      </c>
      <c r="AA136" s="144">
        <f t="shared" ref="AA136:AA143" si="70">C136+E136+G136+I136+K136+M136+O136+Q136+S136+U136+W136+Y136</f>
        <v>0</v>
      </c>
      <c r="AB136" s="24">
        <f>AA136/AA12</f>
        <v>0</v>
      </c>
      <c r="AC136" s="128">
        <f t="shared" si="39"/>
        <v>0</v>
      </c>
      <c r="AD136" s="24">
        <f>AC136/AC12</f>
        <v>0</v>
      </c>
      <c r="AF136" s="84"/>
    </row>
    <row r="137" spans="1:62" s="1" customFormat="1">
      <c r="A137" s="188">
        <v>6502</v>
      </c>
      <c r="B137" s="21" t="s">
        <v>136</v>
      </c>
      <c r="C137" s="33">
        <v>68694</v>
      </c>
      <c r="D137" s="24">
        <f>C137/C12</f>
        <v>8.7923919439154258E-2</v>
      </c>
      <c r="E137" s="33">
        <v>68694</v>
      </c>
      <c r="F137" s="24">
        <f>E137/E12</f>
        <v>0.11301253728973455</v>
      </c>
      <c r="G137" s="33">
        <v>68694</v>
      </c>
      <c r="H137" s="24">
        <f>G137/G12</f>
        <v>6.8130011912487437E-2</v>
      </c>
      <c r="I137" s="33">
        <v>68694</v>
      </c>
      <c r="J137" s="24">
        <f>I137/I12</f>
        <v>7.715793242166602E-2</v>
      </c>
      <c r="K137" s="33">
        <v>68694</v>
      </c>
      <c r="L137" s="24">
        <f>K137/K12</f>
        <v>8.4362316411863966E-2</v>
      </c>
      <c r="M137" s="33">
        <v>68694</v>
      </c>
      <c r="N137" s="24">
        <f>M137/M12</f>
        <v>5.9494457070358539E-2</v>
      </c>
      <c r="O137" s="33">
        <v>68694</v>
      </c>
      <c r="P137" s="24">
        <f>O137/O12</f>
        <v>9.3971676489439868E-2</v>
      </c>
      <c r="Q137" s="33">
        <v>68694</v>
      </c>
      <c r="R137" s="24">
        <f>Q137/Q12</f>
        <v>7.5677476135328853E-2</v>
      </c>
      <c r="S137" s="33">
        <v>68694</v>
      </c>
      <c r="T137" s="24">
        <f>S137/S12</f>
        <v>7.5123121901170889E-2</v>
      </c>
      <c r="U137" s="33">
        <v>68694</v>
      </c>
      <c r="V137" s="24">
        <f>U137/U12</f>
        <v>9.4708148671815234E-2</v>
      </c>
      <c r="W137" s="33">
        <v>68694</v>
      </c>
      <c r="X137" s="24">
        <f>W137/W12</f>
        <v>9.3084610704970566E-2</v>
      </c>
      <c r="Y137" s="33">
        <v>68694</v>
      </c>
      <c r="Z137" s="24">
        <f>Y137/Y12</f>
        <v>6.1618362923719742E-2</v>
      </c>
      <c r="AA137" s="144">
        <f t="shared" si="70"/>
        <v>824328</v>
      </c>
      <c r="AB137" s="24">
        <f>AA137/AA12</f>
        <v>7.9354703618952888E-2</v>
      </c>
      <c r="AC137" s="128">
        <f t="shared" si="39"/>
        <v>68694</v>
      </c>
      <c r="AD137" s="24">
        <f>AC137/AC12</f>
        <v>7.9354703618952888E-2</v>
      </c>
      <c r="AF137" s="84"/>
      <c r="AG137" s="1" t="s">
        <v>193</v>
      </c>
    </row>
    <row r="138" spans="1:62" s="1" customFormat="1">
      <c r="A138" s="188">
        <v>6503</v>
      </c>
      <c r="B138" s="21" t="s">
        <v>137</v>
      </c>
      <c r="C138" s="33"/>
      <c r="D138" s="24">
        <f>C138/C12</f>
        <v>0</v>
      </c>
      <c r="E138" s="33"/>
      <c r="F138" s="24">
        <f>E138/E12</f>
        <v>0</v>
      </c>
      <c r="G138" s="33"/>
      <c r="H138" s="24">
        <f>G138/G12</f>
        <v>0</v>
      </c>
      <c r="I138" s="33"/>
      <c r="J138" s="24">
        <f>I138/I12</f>
        <v>0</v>
      </c>
      <c r="K138" s="33"/>
      <c r="L138" s="24">
        <f>K138/K12</f>
        <v>0</v>
      </c>
      <c r="M138" s="33"/>
      <c r="N138" s="702">
        <f>M138/M12</f>
        <v>0</v>
      </c>
      <c r="O138" s="33"/>
      <c r="P138" s="24">
        <f>O138/O12</f>
        <v>0</v>
      </c>
      <c r="Q138" s="33"/>
      <c r="R138" s="24">
        <f>Q138/Q12</f>
        <v>0</v>
      </c>
      <c r="S138" s="33"/>
      <c r="T138" s="24">
        <f>S138/S12</f>
        <v>0</v>
      </c>
      <c r="U138" s="33"/>
      <c r="V138" s="24">
        <f>U138/U12</f>
        <v>0</v>
      </c>
      <c r="W138" s="33"/>
      <c r="X138" s="24">
        <f>W138/W12</f>
        <v>0</v>
      </c>
      <c r="Y138" s="33"/>
      <c r="Z138" s="24">
        <f>Y138/Y12</f>
        <v>0</v>
      </c>
      <c r="AA138" s="144">
        <f t="shared" si="70"/>
        <v>0</v>
      </c>
      <c r="AB138" s="326">
        <f>AA138/AA12</f>
        <v>0</v>
      </c>
      <c r="AC138" s="128">
        <f t="shared" si="39"/>
        <v>0</v>
      </c>
      <c r="AD138" s="326">
        <f>AC138/AC12</f>
        <v>0</v>
      </c>
      <c r="AF138" s="84"/>
      <c r="AG138" s="1" t="s">
        <v>194</v>
      </c>
      <c r="BJ138" s="686" t="e">
        <f>#REF!+#REF!</f>
        <v>#REF!</v>
      </c>
    </row>
    <row r="139" spans="1:62" s="1" customFormat="1">
      <c r="A139" s="188">
        <v>6504</v>
      </c>
      <c r="B139" s="21" t="s">
        <v>138</v>
      </c>
      <c r="C139" s="83"/>
      <c r="D139" s="24">
        <f>C139/C12</f>
        <v>0</v>
      </c>
      <c r="E139" s="121"/>
      <c r="F139" s="24">
        <f>E139/E12</f>
        <v>0</v>
      </c>
      <c r="G139" s="83"/>
      <c r="H139" s="24">
        <f>G139/G12</f>
        <v>0</v>
      </c>
      <c r="I139" s="83"/>
      <c r="J139" s="24">
        <f>I139/I12</f>
        <v>0</v>
      </c>
      <c r="K139" s="121"/>
      <c r="L139" s="24">
        <f>K139/K12</f>
        <v>0</v>
      </c>
      <c r="M139" s="33"/>
      <c r="N139" s="24">
        <f>M139/M12</f>
        <v>0</v>
      </c>
      <c r="O139" s="33"/>
      <c r="P139" s="24">
        <f>O139/O12</f>
        <v>0</v>
      </c>
      <c r="Q139" s="33"/>
      <c r="R139" s="24">
        <f>Q139/Q12</f>
        <v>0</v>
      </c>
      <c r="S139" s="33"/>
      <c r="T139" s="24">
        <f>S139/S12</f>
        <v>0</v>
      </c>
      <c r="U139" s="83"/>
      <c r="V139" s="24">
        <f>U139/U12</f>
        <v>0</v>
      </c>
      <c r="W139" s="83"/>
      <c r="X139" s="24">
        <f>W139/W12</f>
        <v>0</v>
      </c>
      <c r="Y139" s="83"/>
      <c r="Z139" s="24">
        <f>Y139/Y12</f>
        <v>0</v>
      </c>
      <c r="AA139" s="144">
        <f t="shared" si="70"/>
        <v>0</v>
      </c>
      <c r="AB139" s="24">
        <f>AA139/AA12</f>
        <v>0</v>
      </c>
      <c r="AC139" s="128">
        <f t="shared" si="39"/>
        <v>0</v>
      </c>
      <c r="AD139" s="24">
        <f>AC139/AC12</f>
        <v>0</v>
      </c>
      <c r="AF139" s="84"/>
    </row>
    <row r="140" spans="1:62" s="1" customFormat="1">
      <c r="A140" s="188">
        <v>6505</v>
      </c>
      <c r="B140" s="188" t="s">
        <v>139</v>
      </c>
      <c r="C140" s="83"/>
      <c r="D140" s="24">
        <f>C140/C12</f>
        <v>0</v>
      </c>
      <c r="E140" s="121"/>
      <c r="F140" s="24">
        <f>E140/E12</f>
        <v>0</v>
      </c>
      <c r="G140" s="83"/>
      <c r="H140" s="24">
        <f>G140/G12</f>
        <v>0</v>
      </c>
      <c r="I140" s="83"/>
      <c r="J140" s="24">
        <f>I140/I12</f>
        <v>0</v>
      </c>
      <c r="K140" s="121"/>
      <c r="L140" s="24">
        <f>K140/K12</f>
        <v>0</v>
      </c>
      <c r="M140" s="33"/>
      <c r="N140" s="24">
        <f>M140/M12</f>
        <v>0</v>
      </c>
      <c r="O140" s="33"/>
      <c r="P140" s="24">
        <f>O140/O12</f>
        <v>0</v>
      </c>
      <c r="Q140" s="33"/>
      <c r="R140" s="24">
        <f>Q140/Q12</f>
        <v>0</v>
      </c>
      <c r="S140" s="33"/>
      <c r="T140" s="24">
        <f>S140/S12</f>
        <v>0</v>
      </c>
      <c r="U140" s="83"/>
      <c r="V140" s="24">
        <f>U140/U12</f>
        <v>0</v>
      </c>
      <c r="W140" s="83"/>
      <c r="X140" s="24">
        <f>W140/W12</f>
        <v>0</v>
      </c>
      <c r="Y140" s="83"/>
      <c r="Z140" s="24">
        <f>Y140/Y12</f>
        <v>0</v>
      </c>
      <c r="AA140" s="144">
        <f t="shared" si="70"/>
        <v>0</v>
      </c>
      <c r="AB140" s="24">
        <f>AA140/AA12</f>
        <v>0</v>
      </c>
      <c r="AC140" s="128">
        <f t="shared" si="39"/>
        <v>0</v>
      </c>
      <c r="AD140" s="24">
        <f>AC140/AC12</f>
        <v>0</v>
      </c>
      <c r="AF140" s="84"/>
    </row>
    <row r="141" spans="1:62" s="1" customFormat="1">
      <c r="A141" s="188">
        <v>6506</v>
      </c>
      <c r="B141" s="188" t="s">
        <v>229</v>
      </c>
      <c r="C141" s="33"/>
      <c r="D141" s="106">
        <f>C141/C12</f>
        <v>0</v>
      </c>
      <c r="E141" s="33"/>
      <c r="F141" s="106">
        <f>E141/E12</f>
        <v>0</v>
      </c>
      <c r="G141" s="33"/>
      <c r="H141" s="106">
        <f>G141/G12</f>
        <v>0</v>
      </c>
      <c r="I141" s="33"/>
      <c r="J141" s="106">
        <f>I141/I12</f>
        <v>0</v>
      </c>
      <c r="K141" s="33">
        <v>0</v>
      </c>
      <c r="L141" s="106">
        <f>K141/K12</f>
        <v>0</v>
      </c>
      <c r="M141" s="33">
        <v>0</v>
      </c>
      <c r="N141" s="106">
        <f>M141/M12</f>
        <v>0</v>
      </c>
      <c r="O141" s="33">
        <v>0</v>
      </c>
      <c r="P141" s="106">
        <f>O141/O12</f>
        <v>0</v>
      </c>
      <c r="Q141" s="33">
        <v>0</v>
      </c>
      <c r="R141" s="106">
        <f>Q141/Q12</f>
        <v>0</v>
      </c>
      <c r="S141" s="33">
        <v>0</v>
      </c>
      <c r="T141" s="106">
        <f>S141/S12</f>
        <v>0</v>
      </c>
      <c r="U141" s="33">
        <v>0</v>
      </c>
      <c r="V141" s="106">
        <f>U141/U12</f>
        <v>0</v>
      </c>
      <c r="W141" s="33">
        <v>0</v>
      </c>
      <c r="X141" s="106">
        <f>W141/W12</f>
        <v>0</v>
      </c>
      <c r="Y141" s="33">
        <v>0</v>
      </c>
      <c r="Z141" s="106">
        <f>Y141/Y12</f>
        <v>0</v>
      </c>
      <c r="AA141" s="144">
        <f t="shared" si="70"/>
        <v>0</v>
      </c>
      <c r="AB141" s="106">
        <f>AA141/AA12</f>
        <v>0</v>
      </c>
      <c r="AC141" s="128">
        <f t="shared" si="39"/>
        <v>0</v>
      </c>
      <c r="AD141" s="106">
        <f>AC141/AC12</f>
        <v>0</v>
      </c>
      <c r="AF141" s="84"/>
    </row>
    <row r="142" spans="1:62" s="1" customFormat="1">
      <c r="A142" s="188">
        <v>6604</v>
      </c>
      <c r="B142" s="188" t="s">
        <v>145</v>
      </c>
      <c r="C142" s="26">
        <v>46157</v>
      </c>
      <c r="D142" s="106">
        <f>C142/C12</f>
        <v>5.9078003166987553E-2</v>
      </c>
      <c r="E142" s="26">
        <v>46157</v>
      </c>
      <c r="F142" s="106">
        <f>E142/E12</f>
        <v>7.5935593846366167E-2</v>
      </c>
      <c r="G142" s="26">
        <v>46157</v>
      </c>
      <c r="H142" s="106">
        <f>G142/G12</f>
        <v>4.5778044077280144E-2</v>
      </c>
      <c r="I142" s="26">
        <v>46157</v>
      </c>
      <c r="J142" s="106">
        <f>I142/I12</f>
        <v>5.184410118477361E-2</v>
      </c>
      <c r="K142" s="26">
        <v>46157</v>
      </c>
      <c r="L142" s="106">
        <f>K142/K12</f>
        <v>5.6684884249314421E-2</v>
      </c>
      <c r="M142" s="26">
        <v>46157</v>
      </c>
      <c r="N142" s="106">
        <f>M142/M12</f>
        <v>3.997562603715811E-2</v>
      </c>
      <c r="O142" s="26">
        <v>46157</v>
      </c>
      <c r="P142" s="106">
        <f>O142/O12</f>
        <v>6.3141623310959849E-2</v>
      </c>
      <c r="Q142" s="26">
        <v>46157</v>
      </c>
      <c r="R142" s="106">
        <f>Q142/Q12</f>
        <v>5.0849350248615213E-2</v>
      </c>
      <c r="S142" s="26">
        <v>46157</v>
      </c>
      <c r="T142" s="106">
        <f>S142/S12</f>
        <v>5.0476867522525184E-2</v>
      </c>
      <c r="U142" s="26">
        <v>46157</v>
      </c>
      <c r="V142" s="106">
        <f>U142/U12</f>
        <v>6.3636475066890491E-2</v>
      </c>
      <c r="W142" s="26">
        <v>46157</v>
      </c>
      <c r="X142" s="106">
        <f>W142/W12</f>
        <v>6.254558442235604E-2</v>
      </c>
      <c r="Y142" s="26">
        <v>46157</v>
      </c>
      <c r="Z142" s="106">
        <f>Y142/Y12</f>
        <v>4.1402724800857896E-2</v>
      </c>
      <c r="AA142" s="144">
        <f t="shared" si="70"/>
        <v>553884</v>
      </c>
      <c r="AB142" s="106">
        <f>AA142/AA12</f>
        <v>5.3320159765627401E-2</v>
      </c>
      <c r="AC142" s="128">
        <f t="shared" si="39"/>
        <v>46157</v>
      </c>
      <c r="AD142" s="106">
        <f>AC142/AC12</f>
        <v>5.3320159765627401E-2</v>
      </c>
      <c r="AF142" s="84"/>
    </row>
    <row r="143" spans="1:62" s="1" customFormat="1">
      <c r="A143" s="2"/>
      <c r="B143" s="2"/>
      <c r="C143" s="61"/>
      <c r="D143" s="24">
        <f>C143/C12</f>
        <v>0</v>
      </c>
      <c r="E143" s="703"/>
      <c r="F143" s="24">
        <f>E143/E12</f>
        <v>0</v>
      </c>
      <c r="G143" s="61"/>
      <c r="H143" s="24">
        <f>G143/G12</f>
        <v>0</v>
      </c>
      <c r="I143" s="61"/>
      <c r="J143" s="24">
        <f>I143/I12</f>
        <v>0</v>
      </c>
      <c r="K143" s="703"/>
      <c r="L143" s="24">
        <f>K143/K12</f>
        <v>0</v>
      </c>
      <c r="M143" s="26"/>
      <c r="N143" s="24">
        <f>M143/M12</f>
        <v>0</v>
      </c>
      <c r="O143" s="26"/>
      <c r="P143" s="24">
        <f>O143/O12</f>
        <v>0</v>
      </c>
      <c r="Q143" s="26"/>
      <c r="R143" s="24">
        <f>Q143/Q12</f>
        <v>0</v>
      </c>
      <c r="S143" s="26"/>
      <c r="T143" s="24">
        <f>S143/S12</f>
        <v>0</v>
      </c>
      <c r="U143" s="61"/>
      <c r="V143" s="24">
        <f>U143/U12</f>
        <v>0</v>
      </c>
      <c r="W143" s="61"/>
      <c r="X143" s="24">
        <f>W143/W12</f>
        <v>0</v>
      </c>
      <c r="Y143" s="61"/>
      <c r="Z143" s="24">
        <f>Y143/Y12</f>
        <v>0</v>
      </c>
      <c r="AA143" s="144">
        <f t="shared" si="70"/>
        <v>0</v>
      </c>
      <c r="AB143" s="24">
        <f>AA143/AA12</f>
        <v>0</v>
      </c>
      <c r="AC143" s="128">
        <f t="shared" si="39"/>
        <v>0</v>
      </c>
      <c r="AD143" s="24">
        <f>AC143/AC12</f>
        <v>0</v>
      </c>
      <c r="AF143" s="84"/>
    </row>
    <row r="144" spans="1:62" s="1" customFormat="1" ht="15" customHeight="1">
      <c r="A144" s="63">
        <v>6798</v>
      </c>
      <c r="B144" s="63" t="s">
        <v>205</v>
      </c>
      <c r="C144" s="79">
        <f>SUM(C136:C143)</f>
        <v>114851</v>
      </c>
      <c r="D144" s="87">
        <f>C144/C12</f>
        <v>0.14700192260614181</v>
      </c>
      <c r="E144" s="79">
        <f>SUM(E136:E143)</f>
        <v>114851</v>
      </c>
      <c r="F144" s="87">
        <f>E144/E12</f>
        <v>0.18894813113610073</v>
      </c>
      <c r="G144" s="79">
        <f>SUM(G136:G143)</f>
        <v>114851</v>
      </c>
      <c r="H144" s="87">
        <f>G144/G12</f>
        <v>0.11390805598976758</v>
      </c>
      <c r="I144" s="79">
        <f>SUM(I136:I143)</f>
        <v>114851</v>
      </c>
      <c r="J144" s="87">
        <f>I144/I12</f>
        <v>0.12900203360643964</v>
      </c>
      <c r="K144" s="79">
        <f>SUM(K136:K143)</f>
        <v>114851</v>
      </c>
      <c r="L144" s="87">
        <f>K144/K12</f>
        <v>0.14104720066117837</v>
      </c>
      <c r="M144" s="29">
        <f>SUM(M136:M143)</f>
        <v>114851</v>
      </c>
      <c r="N144" s="87">
        <f>M144/M12</f>
        <v>9.9470083107516649E-2</v>
      </c>
      <c r="O144" s="29">
        <f>SUM(O136:O143)</f>
        <v>114851</v>
      </c>
      <c r="P144" s="87">
        <f>O144/O12</f>
        <v>0.1571132998003997</v>
      </c>
      <c r="Q144" s="79">
        <f>SUM(Q136:Q143)</f>
        <v>114851</v>
      </c>
      <c r="R144" s="87">
        <f>Q144/Q12</f>
        <v>0.12652682638394405</v>
      </c>
      <c r="S144" s="79">
        <f>SUM(S136:S143)</f>
        <v>114851</v>
      </c>
      <c r="T144" s="87">
        <f t="shared" ref="T144" si="71">S144/S$12</f>
        <v>0.12559998942369607</v>
      </c>
      <c r="U144" s="79">
        <f>SUM(U136:U143)</f>
        <v>114851</v>
      </c>
      <c r="V144" s="87">
        <f>U144/U12</f>
        <v>0.15834462373870573</v>
      </c>
      <c r="W144" s="79">
        <f>SUM(W136:W143)</f>
        <v>114851</v>
      </c>
      <c r="X144" s="87">
        <f>W144/W12</f>
        <v>0.15563019512732659</v>
      </c>
      <c r="Y144" s="79">
        <f>SUM(Y136:Y143)</f>
        <v>114851</v>
      </c>
      <c r="Z144" s="87">
        <f t="shared" ref="Z144" si="72">Y144/Y$12</f>
        <v>0.10302108772457763</v>
      </c>
      <c r="AA144" s="152">
        <f>SUM(AA136:AA143)</f>
        <v>1378212</v>
      </c>
      <c r="AB144" s="153">
        <f t="shared" ref="AB144" si="73">AA144/AA$12</f>
        <v>0.13267486338458029</v>
      </c>
      <c r="AC144" s="137">
        <f t="shared" si="39"/>
        <v>114851</v>
      </c>
      <c r="AD144" s="138">
        <f t="shared" ref="AD144" si="74">AC144/AC$12</f>
        <v>0.13267486338458029</v>
      </c>
      <c r="AE144" s="327"/>
      <c r="AF144" s="74"/>
    </row>
    <row r="145" spans="1:62" s="1" customFormat="1">
      <c r="A145" s="200">
        <v>6799</v>
      </c>
      <c r="B145" s="63" t="s">
        <v>135</v>
      </c>
      <c r="C145" s="203">
        <f>C41+C76+C93+C115+C129+C144+C133</f>
        <v>430149.08560673206</v>
      </c>
      <c r="D145" s="202">
        <f>C145/C12</f>
        <v>0.55056327408088301</v>
      </c>
      <c r="E145" s="203">
        <f>E41+E76+E93+E115+E129+E144+E133</f>
        <v>449803.96930663846</v>
      </c>
      <c r="F145" s="202">
        <f>E145/E12</f>
        <v>0.73999894975306568</v>
      </c>
      <c r="G145" s="203">
        <f>G41+G76+G93+G115+G129+G144+G133</f>
        <v>448401.5100920485</v>
      </c>
      <c r="H145" s="202">
        <f>G145/G12</f>
        <v>0.44472006615058984</v>
      </c>
      <c r="I145" s="203">
        <f>I41+I76+I93+I115+I129+I144+I133</f>
        <v>448647.81406186853</v>
      </c>
      <c r="J145" s="202">
        <f>I145/I12</f>
        <v>0.50392665616376731</v>
      </c>
      <c r="K145" s="203">
        <f>K41+K76+K93+K115+K129+K144+K133</f>
        <v>444776.66334418778</v>
      </c>
      <c r="L145" s="202">
        <f>K145/K12</f>
        <v>0.54622513764892811</v>
      </c>
      <c r="M145" s="298">
        <f>M41+M76+M93+M115+M129+M144+M133</f>
        <v>422599.80074889533</v>
      </c>
      <c r="N145" s="202">
        <f>M145/M12</f>
        <v>0.36600497428592349</v>
      </c>
      <c r="O145" s="298">
        <f>O41+O76+O93+O115+O129+O144+O133</f>
        <v>422524.42363361228</v>
      </c>
      <c r="P145" s="202">
        <f>O145/O12</f>
        <v>0.57800285973425414</v>
      </c>
      <c r="Q145" s="298">
        <f>Q41+Q76+Q93+Q115+Q129+Q144+Q133</f>
        <v>461568.10885212338</v>
      </c>
      <c r="R145" s="202">
        <f>Q145/Q12</f>
        <v>0.50849141908296847</v>
      </c>
      <c r="S145" s="298">
        <f>S41+S76+S93+S115+S129+S144+S133</f>
        <v>447882.35172806232</v>
      </c>
      <c r="T145" s="202">
        <f>S145/S12</f>
        <v>0.48979998990086943</v>
      </c>
      <c r="U145" s="201">
        <f>U41+U76+U93+U115+U129+U144+U133</f>
        <v>443720.8669686917</v>
      </c>
      <c r="V145" s="202">
        <f>U145/U12</f>
        <v>0.61175622088767001</v>
      </c>
      <c r="W145" s="201">
        <f>W41+W76+W93+W115+W129+W144+W133</f>
        <v>440132.98397897265</v>
      </c>
      <c r="X145" s="202">
        <f>W145/W12</f>
        <v>0.59640736413805739</v>
      </c>
      <c r="Y145" s="201">
        <f>Y41+Y76+Y93+Y115+Y129+Y144+Y133</f>
        <v>449315.23391695932</v>
      </c>
      <c r="Z145" s="202">
        <f>Y145/Y12</f>
        <v>0.4030347504971501</v>
      </c>
      <c r="AA145" s="201">
        <f>AA41+AA76+AA93+AA115+AA129+AA144+AA133</f>
        <v>5309522.812238792</v>
      </c>
      <c r="AB145" s="202">
        <f>AA145/AA12</f>
        <v>0.51112616473452144</v>
      </c>
      <c r="AC145" s="201">
        <f t="shared" si="39"/>
        <v>442460.23435323266</v>
      </c>
      <c r="AD145" s="202">
        <f>AC145/AC12</f>
        <v>0.51112616473452144</v>
      </c>
      <c r="AE145" s="272"/>
      <c r="AF145" s="322"/>
      <c r="AG145" s="272"/>
      <c r="BJ145" s="686" t="e">
        <f>#REF!-#REF!</f>
        <v>#REF!</v>
      </c>
    </row>
    <row r="146" spans="1:62" s="1" customFormat="1" ht="15.75" thickBot="1">
      <c r="A146" s="11">
        <v>6999</v>
      </c>
      <c r="B146" s="11" t="s">
        <v>144</v>
      </c>
      <c r="C146" s="80">
        <f>C135-C144</f>
        <v>-65437.075307017265</v>
      </c>
      <c r="D146" s="88">
        <f>C146/C12</f>
        <v>-8.3755264471832416E-2</v>
      </c>
      <c r="E146" s="80">
        <f>E135-E144</f>
        <v>-117463.26605248585</v>
      </c>
      <c r="F146" s="88">
        <f>E146/E12</f>
        <v>-0.19324572357018907</v>
      </c>
      <c r="G146" s="80">
        <f>G135-G144</f>
        <v>42479.932012664765</v>
      </c>
      <c r="H146" s="88">
        <f>G146/G12</f>
        <v>4.2131165372004932E-2</v>
      </c>
      <c r="I146" s="80">
        <f>I135-I144</f>
        <v>39622.847524157463</v>
      </c>
      <c r="J146" s="88">
        <f>I146/I12</f>
        <v>4.4504862020306256E-2</v>
      </c>
      <c r="K146" s="80">
        <f>K135-K144</f>
        <v>36471.839296841004</v>
      </c>
      <c r="L146" s="88">
        <f>K146/K12</f>
        <v>4.4790649065169517E-2</v>
      </c>
      <c r="M146" s="30">
        <f>M135-M144</f>
        <v>133665.70802449205</v>
      </c>
      <c r="N146" s="88">
        <f>M146/M12</f>
        <v>0.11576511380676946</v>
      </c>
      <c r="O146" s="30">
        <f>O135-O144</f>
        <v>-28442.080613073078</v>
      </c>
      <c r="P146" s="88">
        <f>O146/O12</f>
        <v>-3.8908055988270775E-2</v>
      </c>
      <c r="Q146" s="300">
        <f>Q135-Q144</f>
        <v>16650.619186096446</v>
      </c>
      <c r="R146" s="88">
        <f>Q146/Q12</f>
        <v>1.834333182074508E-2</v>
      </c>
      <c r="S146" s="30">
        <f>S135-S144</f>
        <v>12926.199030199801</v>
      </c>
      <c r="T146" s="88">
        <f>S146/S12</f>
        <v>1.4135971488987344E-2</v>
      </c>
      <c r="U146" s="59">
        <f>U135-U144</f>
        <v>-39503.285751289979</v>
      </c>
      <c r="V146" s="88">
        <f>U146/U12</f>
        <v>-5.44630253000025E-2</v>
      </c>
      <c r="W146" s="261">
        <f>W135-W144</f>
        <v>-36980.325078822541</v>
      </c>
      <c r="X146" s="88">
        <f>W146/W12</f>
        <v>-5.0110623398047227E-2</v>
      </c>
      <c r="Y146" s="59">
        <f>Y135-Y144</f>
        <v>74950.801608077163</v>
      </c>
      <c r="Z146" s="88">
        <f>Y146/Y12</f>
        <v>6.723069984147402E-2</v>
      </c>
      <c r="AA146" s="171">
        <f>AA135-AA144</f>
        <v>68941.913879839471</v>
      </c>
      <c r="AB146" s="88">
        <f>AA146/AA12</f>
        <v>6.6367576290724513E-3</v>
      </c>
      <c r="AC146" s="132">
        <f t="shared" si="39"/>
        <v>5745.1594899866222</v>
      </c>
      <c r="AD146" s="88">
        <f>AC146/AC12</f>
        <v>6.6367576290724513E-3</v>
      </c>
      <c r="AE146" s="49"/>
      <c r="AF146" s="323"/>
      <c r="AG146" s="49"/>
    </row>
    <row r="147" spans="1:62" s="1" customFormat="1" ht="15.75" thickTop="1">
      <c r="C147" s="83"/>
      <c r="D147" s="19"/>
      <c r="E147" s="83"/>
      <c r="F147" s="19"/>
      <c r="G147" s="83"/>
      <c r="H147" s="19"/>
      <c r="I147" s="83"/>
      <c r="J147" s="19"/>
      <c r="K147" s="8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>
        <f t="shared" si="39"/>
        <v>0</v>
      </c>
      <c r="AD147" s="19"/>
      <c r="AF147" s="84"/>
    </row>
    <row r="148" spans="1:62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si="39"/>
        <v>0</v>
      </c>
      <c r="AD148" s="246">
        <f>AC148/AC12</f>
        <v>0</v>
      </c>
      <c r="AE148" s="320"/>
      <c r="AF148" s="321"/>
      <c r="AG148" s="320"/>
    </row>
    <row r="149" spans="1:62" s="1" customFormat="1" ht="15.75" thickTop="1">
      <c r="B149" s="86"/>
      <c r="C149" s="83"/>
      <c r="D149" s="106"/>
      <c r="E149" s="83"/>
      <c r="F149" s="106"/>
      <c r="G149" s="8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>
        <f t="shared" si="39"/>
        <v>0</v>
      </c>
      <c r="AD149" s="106"/>
      <c r="AF149" s="84"/>
    </row>
    <row r="150" spans="1:62" s="1" customFormat="1" ht="15.75" customHeight="1" thickBot="1">
      <c r="A150" s="223"/>
      <c r="B150" s="404" t="s">
        <v>232</v>
      </c>
      <c r="C150" s="685">
        <f>C146*10%</f>
        <v>-6543.7075307017267</v>
      </c>
      <c r="D150" s="406"/>
      <c r="E150" s="685">
        <f>E146*10%</f>
        <v>-11746.326605248585</v>
      </c>
      <c r="F150" s="407"/>
      <c r="G150" s="685">
        <f>G146*10%</f>
        <v>4247.9932012664767</v>
      </c>
      <c r="H150" s="407"/>
      <c r="I150" s="685">
        <f>I146*10%</f>
        <v>3962.2847524157464</v>
      </c>
      <c r="J150" s="407"/>
      <c r="K150" s="685">
        <f>K146*10%</f>
        <v>3647.1839296841008</v>
      </c>
      <c r="L150" s="407"/>
      <c r="M150" s="685">
        <f>M146*10%</f>
        <v>13366.570802449205</v>
      </c>
      <c r="N150" s="407"/>
      <c r="O150" s="685">
        <f>O146*10%</f>
        <v>-2844.2080613073081</v>
      </c>
      <c r="P150" s="407"/>
      <c r="Q150" s="685">
        <f>Q146*10%</f>
        <v>1665.0619186096446</v>
      </c>
      <c r="R150" s="407"/>
      <c r="S150" s="685">
        <f>S146*10%</f>
        <v>1292.6199030199803</v>
      </c>
      <c r="T150" s="407"/>
      <c r="U150" s="685">
        <f>U146*10%</f>
        <v>-3950.3285751289982</v>
      </c>
      <c r="V150" s="407"/>
      <c r="W150" s="685">
        <f>W146*10%</f>
        <v>-3698.0325078822543</v>
      </c>
      <c r="X150" s="407"/>
      <c r="Y150" s="685">
        <f>Y146*10%</f>
        <v>7495.0801608077163</v>
      </c>
      <c r="Z150" s="407"/>
      <c r="AA150" s="405">
        <f>C150+E150+G150+I150+K150+M150+O150+Q150+S150+U150+W150+Y150</f>
        <v>6894.1913879839976</v>
      </c>
      <c r="AB150" s="407"/>
      <c r="AC150" s="405">
        <f t="shared" ref="AC150" si="75">AA150/12</f>
        <v>574.51594899866643</v>
      </c>
      <c r="AD150" s="407"/>
      <c r="AE150" s="649"/>
      <c r="AF150" s="363" t="s">
        <v>245</v>
      </c>
      <c r="AG150" s="363"/>
    </row>
    <row r="151" spans="1:62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>
        <f t="shared" ref="AC151:AC152" si="76">AA151/12</f>
        <v>0</v>
      </c>
      <c r="AD151" s="106"/>
      <c r="AF151" s="84"/>
    </row>
    <row r="152" spans="1:62" s="1" customFormat="1" ht="19.5" customHeight="1" thickBot="1">
      <c r="A152" s="224"/>
      <c r="B152" s="232" t="s">
        <v>206</v>
      </c>
      <c r="C152" s="237">
        <f>C146-C148-C150</f>
        <v>-58893.367776315536</v>
      </c>
      <c r="D152" s="246">
        <f>C152/C12</f>
        <v>-7.5379738024649173E-2</v>
      </c>
      <c r="E152" s="237">
        <f>E146-E148-E150</f>
        <v>-105716.93944723727</v>
      </c>
      <c r="F152" s="246">
        <f>E152/E12</f>
        <v>-0.17392115121317017</v>
      </c>
      <c r="G152" s="237">
        <f>G146-G148-G150</f>
        <v>38231.938811398286</v>
      </c>
      <c r="H152" s="246">
        <f>G152/G12</f>
        <v>3.7918048834804437E-2</v>
      </c>
      <c r="I152" s="237">
        <f>I146-I148-I150</f>
        <v>35660.562771741716</v>
      </c>
      <c r="J152" s="246">
        <f>I152/I12</f>
        <v>4.0054375818275631E-2</v>
      </c>
      <c r="K152" s="237">
        <f>K146-K148-K150</f>
        <v>32824.655367156905</v>
      </c>
      <c r="L152" s="246">
        <f>K152/K12</f>
        <v>4.0311584158652568E-2</v>
      </c>
      <c r="M152" s="237">
        <f>M146-M148-M150</f>
        <v>120299.13722204285</v>
      </c>
      <c r="N152" s="246">
        <f>M152/M12</f>
        <v>0.10418860242609251</v>
      </c>
      <c r="O152" s="237">
        <f>O146-O148-O150</f>
        <v>-25597.872551765769</v>
      </c>
      <c r="P152" s="246">
        <f>O152/O12</f>
        <v>-3.5017250389443699E-2</v>
      </c>
      <c r="Q152" s="237">
        <f>Q146-Q148-Q150</f>
        <v>14985.557267486802</v>
      </c>
      <c r="R152" s="246">
        <f>Q152/Q12</f>
        <v>1.6508998638670572E-2</v>
      </c>
      <c r="S152" s="237">
        <f>S146-S148-S150</f>
        <v>11633.579127179821</v>
      </c>
      <c r="T152" s="246">
        <f>S152/S12</f>
        <v>1.272237434008861E-2</v>
      </c>
      <c r="U152" s="237">
        <f>U146-U148-U150</f>
        <v>-35552.957176160984</v>
      </c>
      <c r="V152" s="246">
        <f>U152/U12</f>
        <v>-4.9016722770002255E-2</v>
      </c>
      <c r="W152" s="237">
        <f>W146-W148-W150</f>
        <v>-33282.292570940284</v>
      </c>
      <c r="X152" s="246">
        <f>W152/W12</f>
        <v>-4.5099561058242497E-2</v>
      </c>
      <c r="Y152" s="237">
        <f>Y146-Y148-Y150</f>
        <v>67455.721447269447</v>
      </c>
      <c r="Z152" s="246">
        <f>Y152/Y12</f>
        <v>6.0507629857326613E-2</v>
      </c>
      <c r="AA152" s="270">
        <f>AA146-AA148-AA150</f>
        <v>62047.722491855471</v>
      </c>
      <c r="AB152" s="246">
        <f>AA152/AA12</f>
        <v>5.9730818661652019E-3</v>
      </c>
      <c r="AC152" s="271">
        <f t="shared" si="76"/>
        <v>5170.6435409879559</v>
      </c>
      <c r="AD152" s="246">
        <f>AC152/AC12</f>
        <v>5.9730818661652019E-3</v>
      </c>
      <c r="AE152" s="320"/>
      <c r="AF152" s="321"/>
      <c r="AG152" s="320"/>
    </row>
    <row r="153" spans="1:62" s="1" customFormat="1" ht="15.75" thickTop="1">
      <c r="C153" s="84"/>
      <c r="D153" s="20"/>
      <c r="E153" s="84"/>
      <c r="F153" s="20"/>
      <c r="G153" s="84"/>
      <c r="H153" s="20"/>
      <c r="I153" s="84"/>
      <c r="J153" s="20"/>
      <c r="K153" s="84"/>
      <c r="L153" s="20"/>
      <c r="M153" s="33"/>
      <c r="N153" s="20"/>
      <c r="O153" s="33"/>
      <c r="P153" s="93"/>
      <c r="Q153" s="33"/>
      <c r="R153" s="93"/>
      <c r="S153" s="33"/>
      <c r="T153" s="93"/>
      <c r="U153" s="84"/>
      <c r="V153" s="93"/>
      <c r="W153" s="84"/>
      <c r="X153" s="93"/>
      <c r="Y153" s="84"/>
      <c r="Z153" s="93"/>
      <c r="AA153" s="142"/>
      <c r="AB153" s="143"/>
      <c r="AC153" s="126"/>
      <c r="AD153" s="127"/>
    </row>
    <row r="154" spans="1:62" s="1" customFormat="1">
      <c r="C154" s="84">
        <f>C152</f>
        <v>-58893.367776315536</v>
      </c>
      <c r="D154" s="20"/>
      <c r="E154" s="84">
        <f>E152+C154</f>
        <v>-164610.30722355281</v>
      </c>
      <c r="F154" s="20"/>
      <c r="G154" s="686">
        <f>G152+E154</f>
        <v>-126378.36841215452</v>
      </c>
      <c r="H154" s="20"/>
      <c r="I154" s="84">
        <f>I152+G154</f>
        <v>-90717.805640412815</v>
      </c>
      <c r="J154" s="20"/>
      <c r="K154" s="84">
        <f>K152+I154</f>
        <v>-57893.150273255909</v>
      </c>
      <c r="L154" s="20"/>
      <c r="M154" s="33">
        <f>M152+K154</f>
        <v>62405.986948786936</v>
      </c>
      <c r="N154" s="20"/>
      <c r="O154" s="33">
        <f>O152+M154</f>
        <v>36808.114397021171</v>
      </c>
      <c r="P154" s="93"/>
      <c r="Q154" s="84">
        <f>Q152+O154</f>
        <v>51793.671664507972</v>
      </c>
      <c r="R154" s="93"/>
      <c r="S154" s="84">
        <f>S152+Q154</f>
        <v>63427.250791687795</v>
      </c>
      <c r="T154" s="93"/>
      <c r="U154" s="84">
        <f>U152+S154</f>
        <v>27874.293615526811</v>
      </c>
      <c r="V154" s="93"/>
      <c r="W154" s="84">
        <f>W152+U154</f>
        <v>-5407.9989554134736</v>
      </c>
      <c r="X154" s="93"/>
      <c r="Y154" s="84">
        <f>Y152+W154</f>
        <v>62047.722491855973</v>
      </c>
      <c r="Z154" s="93"/>
      <c r="AA154" s="687"/>
      <c r="AB154" s="143"/>
      <c r="AC154" s="126"/>
      <c r="AD154" s="127"/>
    </row>
    <row r="155" spans="1:62">
      <c r="K155" s="269"/>
      <c r="AA155" s="32"/>
    </row>
    <row r="156" spans="1:62">
      <c r="C156" s="269">
        <f>C152</f>
        <v>-58893.367776315536</v>
      </c>
      <c r="E156" s="269">
        <f>E152</f>
        <v>-105716.93944723727</v>
      </c>
      <c r="I156" s="734">
        <f>I36*0.985</f>
        <v>396002.63578259782</v>
      </c>
      <c r="K156" s="32">
        <f>K152</f>
        <v>32824.655367156905</v>
      </c>
      <c r="M156" s="32">
        <f>M152</f>
        <v>120299.13722204285</v>
      </c>
      <c r="O156" s="32">
        <f>O152</f>
        <v>-25597.872551765769</v>
      </c>
      <c r="S156" s="32">
        <f>S152</f>
        <v>11633.579127179821</v>
      </c>
    </row>
    <row r="157" spans="1:62">
      <c r="C157" s="269">
        <f>C150</f>
        <v>-6543.7075307017267</v>
      </c>
      <c r="E157" s="269">
        <f>E150+E43</f>
        <v>2503.6733947514149</v>
      </c>
      <c r="I157" s="269">
        <f>SUM(I145-I142+I150)*0.985</f>
        <v>400356.30233206996</v>
      </c>
      <c r="K157" s="32">
        <f>K150+K90</f>
        <v>6987.1839296841008</v>
      </c>
      <c r="M157" s="32">
        <f>M150+M87+M86+M85+M46</f>
        <v>28532.645128308246</v>
      </c>
      <c r="O157" s="32">
        <f>O42</f>
        <v>93431.42</v>
      </c>
      <c r="S157" s="32">
        <f>S87+S86+S85</f>
        <v>12394.965753424658</v>
      </c>
    </row>
    <row r="158" spans="1:62">
      <c r="C158" s="269">
        <f>C156+C157</f>
        <v>-65437.075307017265</v>
      </c>
      <c r="E158" s="269">
        <f>E156+E157</f>
        <v>-103213.26605248585</v>
      </c>
      <c r="I158" s="434">
        <f>SUM(I152+I142)*0.985</f>
        <v>80590.299330165581</v>
      </c>
      <c r="K158" s="32">
        <f>K156+K157</f>
        <v>39811.839296841004</v>
      </c>
      <c r="M158" s="32">
        <f>M156+M157</f>
        <v>148831.7823503511</v>
      </c>
      <c r="O158" s="431">
        <f>O156+O157</f>
        <v>67833.547448234225</v>
      </c>
      <c r="S158" s="32">
        <f>S156+S157</f>
        <v>24028.544880604481</v>
      </c>
    </row>
  </sheetData>
  <mergeCells count="1">
    <mergeCell ref="A1:AD1"/>
  </mergeCells>
  <conditionalFormatting sqref="W146 Q146">
    <cfRule type="cellIs" dxfId="5" priority="1" operator="lessThan">
      <formula>0</formula>
    </cfRule>
  </conditionalFormatting>
  <printOptions horizontalCentered="1"/>
  <pageMargins left="0.5" right="0.45" top="0.75" bottom="0.75" header="0.3" footer="0.3"/>
  <pageSetup paperSize="8" scale="55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175"/>
  <sheetViews>
    <sheetView zoomScale="85" zoomScaleNormal="85" workbookViewId="0">
      <pane xSplit="2" ySplit="4" topLeftCell="N118" activePane="bottomRight" state="frozen"/>
      <selection pane="topRight" activeCell="C1" sqref="C1"/>
      <selection pane="bottomLeft" activeCell="A5" sqref="A5"/>
      <selection pane="bottomRight" activeCell="AA142" sqref="AA142"/>
    </sheetView>
  </sheetViews>
  <sheetFormatPr defaultColWidth="9.140625" defaultRowHeight="15"/>
  <cols>
    <col min="1" max="1" width="6.42578125" style="213" bestFit="1" customWidth="1"/>
    <col min="2" max="2" width="38.42578125" style="213" bestFit="1" customWidth="1"/>
    <col min="3" max="3" width="15.28515625" style="269" bestFit="1" customWidth="1"/>
    <col min="4" max="4" width="7.42578125" style="213" customWidth="1"/>
    <col min="5" max="5" width="13.28515625" style="269" bestFit="1" customWidth="1"/>
    <col min="6" max="6" width="7.85546875" style="213" bestFit="1" customWidth="1"/>
    <col min="7" max="7" width="14" style="32" bestFit="1" customWidth="1"/>
    <col min="8" max="8" width="10.7109375" style="213" customWidth="1"/>
    <col min="9" max="9" width="13.42578125" style="269" bestFit="1" customWidth="1"/>
    <col min="10" max="10" width="7.5703125" style="213" customWidth="1"/>
    <col min="11" max="11" width="13.28515625" style="32" bestFit="1" customWidth="1"/>
    <col min="12" max="12" width="8.28515625" style="213" customWidth="1"/>
    <col min="13" max="13" width="14" style="32" bestFit="1" customWidth="1"/>
    <col min="14" max="14" width="8.140625" style="213" bestFit="1" customWidth="1"/>
    <col min="15" max="15" width="14" style="32" bestFit="1" customWidth="1"/>
    <col min="16" max="16" width="8.85546875" style="363" customWidth="1"/>
    <col min="17" max="17" width="14" style="32" bestFit="1" customWidth="1"/>
    <col min="18" max="18" width="7.140625" style="363" bestFit="1" customWidth="1"/>
    <col min="19" max="19" width="14" style="32" bestFit="1" customWidth="1"/>
    <col min="20" max="20" width="7.5703125" style="363" customWidth="1"/>
    <col min="21" max="21" width="14" style="269" bestFit="1" customWidth="1"/>
    <col min="22" max="22" width="7.140625" style="363" bestFit="1" customWidth="1"/>
    <col min="23" max="23" width="14" style="269" bestFit="1" customWidth="1"/>
    <col min="24" max="24" width="7.140625" style="363" bestFit="1" customWidth="1"/>
    <col min="25" max="25" width="14" style="269" bestFit="1" customWidth="1"/>
    <col min="26" max="26" width="7.140625" style="363" bestFit="1" customWidth="1"/>
    <col min="27" max="27" width="13.28515625" style="213" bestFit="1" customWidth="1"/>
    <col min="28" max="28" width="7.140625" style="363" bestFit="1" customWidth="1"/>
    <col min="29" max="29" width="12.28515625" style="213" bestFit="1" customWidth="1"/>
    <col min="30" max="30" width="7.85546875" style="363" bestFit="1" customWidth="1"/>
    <col min="31" max="31" width="43.28515625" style="32" hidden="1" customWidth="1"/>
    <col min="32" max="32" width="38.140625" style="32" hidden="1" customWidth="1"/>
    <col min="33" max="33" width="14.28515625" style="213" hidden="1" customWidth="1"/>
    <col min="34" max="34" width="5.140625" style="213" hidden="1" customWidth="1"/>
    <col min="35" max="35" width="9.140625" style="213"/>
    <col min="36" max="36" width="11.7109375" style="213" bestFit="1" customWidth="1"/>
    <col min="37" max="16384" width="9.140625" style="213"/>
  </cols>
  <sheetData>
    <row r="1" spans="1:34" s="358" customFormat="1">
      <c r="A1" s="995" t="s">
        <v>369</v>
      </c>
      <c r="B1" s="995"/>
      <c r="C1" s="995"/>
      <c r="D1" s="995"/>
      <c r="E1" s="995"/>
      <c r="F1" s="995"/>
      <c r="G1" s="995"/>
      <c r="H1" s="995"/>
      <c r="I1" s="995"/>
      <c r="J1" s="995"/>
      <c r="K1" s="995"/>
      <c r="L1" s="995"/>
      <c r="M1" s="995"/>
      <c r="N1" s="995"/>
      <c r="O1" s="995"/>
      <c r="P1" s="995"/>
      <c r="Q1" s="995"/>
      <c r="R1" s="995"/>
      <c r="S1" s="995"/>
      <c r="T1" s="995"/>
      <c r="U1" s="995"/>
      <c r="V1" s="995"/>
      <c r="W1" s="995"/>
      <c r="X1" s="995"/>
      <c r="Y1" s="995"/>
      <c r="Z1" s="995"/>
      <c r="AA1" s="995"/>
      <c r="AB1" s="995"/>
      <c r="AC1" s="995"/>
      <c r="AD1" s="996"/>
      <c r="AE1" s="26"/>
      <c r="AF1" s="26"/>
    </row>
    <row r="2" spans="1:34" s="1" customFormat="1">
      <c r="A2" s="43"/>
      <c r="B2" s="988" t="s">
        <v>357</v>
      </c>
      <c r="C2" s="324" t="s">
        <v>64</v>
      </c>
      <c r="D2" s="325"/>
      <c r="E2" s="324" t="s">
        <v>65</v>
      </c>
      <c r="F2" s="325"/>
      <c r="G2" s="798" t="s">
        <v>81</v>
      </c>
      <c r="H2" s="325"/>
      <c r="I2" s="324" t="s">
        <v>82</v>
      </c>
      <c r="J2" s="325"/>
      <c r="K2" s="324" t="s">
        <v>83</v>
      </c>
      <c r="L2" s="325"/>
      <c r="M2" s="798" t="s">
        <v>235</v>
      </c>
      <c r="N2" s="325"/>
      <c r="O2" s="798" t="s">
        <v>236</v>
      </c>
      <c r="P2" s="325"/>
      <c r="Q2" s="324" t="s">
        <v>86</v>
      </c>
      <c r="R2" s="417"/>
      <c r="S2" s="808" t="s">
        <v>87</v>
      </c>
      <c r="T2" s="417"/>
      <c r="U2" s="324" t="s">
        <v>123</v>
      </c>
      <c r="V2" s="325"/>
      <c r="W2" s="324" t="s">
        <v>124</v>
      </c>
      <c r="X2" s="417"/>
      <c r="Y2" s="417" t="s">
        <v>125</v>
      </c>
      <c r="Z2" s="417"/>
      <c r="AA2" s="415" t="s">
        <v>120</v>
      </c>
      <c r="AB2" s="415"/>
      <c r="AC2" s="416" t="s">
        <v>121</v>
      </c>
      <c r="AD2" s="416"/>
      <c r="AE2" s="26"/>
      <c r="AF2" s="26"/>
    </row>
    <row r="3" spans="1:34" s="1" customFormat="1" ht="15.75" thickBot="1">
      <c r="A3" s="65"/>
      <c r="B3" s="42" t="s">
        <v>69</v>
      </c>
      <c r="C3" s="73" t="s">
        <v>115</v>
      </c>
      <c r="D3" s="67" t="s">
        <v>80</v>
      </c>
      <c r="E3" s="111" t="s">
        <v>115</v>
      </c>
      <c r="F3" s="67" t="s">
        <v>80</v>
      </c>
      <c r="G3" s="70" t="s">
        <v>115</v>
      </c>
      <c r="H3" s="67" t="s">
        <v>80</v>
      </c>
      <c r="I3" s="73" t="s">
        <v>115</v>
      </c>
      <c r="J3" s="67" t="s">
        <v>80</v>
      </c>
      <c r="K3" s="70" t="s">
        <v>115</v>
      </c>
      <c r="L3" s="67" t="s">
        <v>80</v>
      </c>
      <c r="M3" s="70" t="s">
        <v>115</v>
      </c>
      <c r="N3" s="67" t="s">
        <v>80</v>
      </c>
      <c r="O3" s="70" t="s">
        <v>115</v>
      </c>
      <c r="P3" s="67" t="s">
        <v>80</v>
      </c>
      <c r="Q3" s="70" t="s">
        <v>115</v>
      </c>
      <c r="R3" s="99" t="s">
        <v>80</v>
      </c>
      <c r="S3" s="70" t="s">
        <v>115</v>
      </c>
      <c r="T3" s="99" t="s">
        <v>80</v>
      </c>
      <c r="U3" s="73" t="s">
        <v>115</v>
      </c>
      <c r="V3" s="99" t="s">
        <v>80</v>
      </c>
      <c r="W3" s="73" t="s">
        <v>115</v>
      </c>
      <c r="X3" s="99" t="s">
        <v>80</v>
      </c>
      <c r="Y3" s="73" t="s">
        <v>115</v>
      </c>
      <c r="Z3" s="99" t="s">
        <v>80</v>
      </c>
      <c r="AA3" s="140" t="s">
        <v>115</v>
      </c>
      <c r="AB3" s="141" t="s">
        <v>80</v>
      </c>
      <c r="AC3" s="124" t="s">
        <v>115</v>
      </c>
      <c r="AD3" s="125" t="s">
        <v>80</v>
      </c>
      <c r="AE3" s="26"/>
      <c r="AF3" s="26"/>
    </row>
    <row r="4" spans="1:34" s="1" customFormat="1">
      <c r="B4" s="20"/>
      <c r="C4" s="74" t="s">
        <v>234</v>
      </c>
      <c r="D4" s="17"/>
      <c r="E4" s="74" t="s">
        <v>234</v>
      </c>
      <c r="F4" s="17"/>
      <c r="G4" s="26" t="s">
        <v>234</v>
      </c>
      <c r="H4" s="17"/>
      <c r="I4" s="74" t="s">
        <v>234</v>
      </c>
      <c r="J4" s="17"/>
      <c r="K4" s="74" t="s">
        <v>234</v>
      </c>
      <c r="L4" s="17"/>
      <c r="M4" s="26" t="s">
        <v>234</v>
      </c>
      <c r="N4" s="17"/>
      <c r="O4" s="26" t="s">
        <v>234</v>
      </c>
      <c r="P4" s="17"/>
      <c r="Q4" s="74" t="s">
        <v>234</v>
      </c>
      <c r="R4" s="91"/>
      <c r="S4" s="74" t="s">
        <v>234</v>
      </c>
      <c r="T4" s="91"/>
      <c r="U4" s="74" t="s">
        <v>234</v>
      </c>
      <c r="V4" s="91"/>
      <c r="W4" s="74" t="s">
        <v>234</v>
      </c>
      <c r="X4" s="91"/>
      <c r="Y4" s="74" t="s">
        <v>234</v>
      </c>
      <c r="Z4" s="91"/>
      <c r="AA4" s="142"/>
      <c r="AB4" s="143"/>
      <c r="AC4" s="126"/>
      <c r="AD4" s="127"/>
      <c r="AE4" s="26" t="s">
        <v>183</v>
      </c>
      <c r="AF4" s="26" t="s">
        <v>181</v>
      </c>
    </row>
    <row r="5" spans="1:34" s="1" customFormat="1">
      <c r="A5" s="6">
        <v>5004</v>
      </c>
      <c r="B5" s="759" t="s">
        <v>71</v>
      </c>
      <c r="C5" s="938">
        <f>818804.73902594+C9</f>
        <v>1056258.1133434623</v>
      </c>
      <c r="D5" s="760"/>
      <c r="E5" s="939">
        <f>637031.285528476+E9</f>
        <v>745326.60406831698</v>
      </c>
      <c r="F5" s="702"/>
      <c r="G5" s="940">
        <f>1056693.22358241+G9</f>
        <v>1384268.1228929562</v>
      </c>
      <c r="H5" s="702"/>
      <c r="I5" s="941">
        <f>933054.057450338+I9</f>
        <v>1184978.6529619293</v>
      </c>
      <c r="J5" s="760"/>
      <c r="K5" s="942">
        <f>853372.986571881+K9</f>
        <v>1006980.1241548196</v>
      </c>
      <c r="L5" s="760"/>
      <c r="M5" s="943">
        <f>1210071.07982136+M9</f>
        <v>1585193.1145659811</v>
      </c>
      <c r="N5" s="760"/>
      <c r="O5" s="944">
        <f>766108.731907158+O9</f>
        <v>995941.3514793053</v>
      </c>
      <c r="P5" s="760"/>
      <c r="Q5" s="945">
        <f>951307.120519916+Q9</f>
        <v>1217673.1142654927</v>
      </c>
      <c r="R5" s="760"/>
      <c r="S5" s="946">
        <f>958327.078116176+S9</f>
        <v>1178742.3060828964</v>
      </c>
      <c r="T5" s="760"/>
      <c r="U5" s="947">
        <f>760151.295534078+U9</f>
        <v>995798.19714964204</v>
      </c>
      <c r="V5" s="760"/>
      <c r="W5" s="948">
        <f>773409.496642716+W9</f>
        <v>904889.11107197776</v>
      </c>
      <c r="X5" s="760"/>
      <c r="Y5" s="949">
        <f>1168361.48340451+Y9</f>
        <v>1495502.6987577728</v>
      </c>
      <c r="Z5" s="760">
        <v>0</v>
      </c>
      <c r="AA5" s="182">
        <f t="shared" ref="AA5:AA11" si="0">C5+E5+G5+I5+K5+M5+O5+Q5+S5+U5+W5+Y5</f>
        <v>13751551.510794552</v>
      </c>
      <c r="AB5" s="299">
        <v>0</v>
      </c>
      <c r="AC5" s="182">
        <f>AA5/12</f>
        <v>1145962.6258995461</v>
      </c>
      <c r="AD5" s="299">
        <v>0</v>
      </c>
      <c r="AE5" s="26"/>
      <c r="AF5" s="26"/>
      <c r="AG5" s="84">
        <f>C5+E5+G5+I5+K5+M5+O5+Q5+S5+U5+W5+Y5</f>
        <v>13751551.510794552</v>
      </c>
      <c r="AH5" s="84">
        <f t="shared" ref="AH5:AH36" si="1">AA5-AG5</f>
        <v>0</v>
      </c>
    </row>
    <row r="6" spans="1:34" s="1" customFormat="1">
      <c r="A6" s="5">
        <v>5005</v>
      </c>
      <c r="B6" s="17" t="s">
        <v>67</v>
      </c>
      <c r="C6" s="31"/>
      <c r="D6" s="702"/>
      <c r="E6" s="26">
        <v>0</v>
      </c>
      <c r="F6" s="702"/>
      <c r="G6" s="75"/>
      <c r="H6" s="702"/>
      <c r="I6" s="75"/>
      <c r="J6" s="702"/>
      <c r="K6" s="26"/>
      <c r="L6" s="702"/>
      <c r="M6" s="26"/>
      <c r="N6" s="702"/>
      <c r="O6" s="26"/>
      <c r="P6" s="702"/>
      <c r="Q6" s="26"/>
      <c r="R6" s="702"/>
      <c r="S6" s="26"/>
      <c r="T6" s="702"/>
      <c r="U6" s="26"/>
      <c r="V6" s="702"/>
      <c r="W6" s="26"/>
      <c r="X6" s="702"/>
      <c r="Y6" s="26"/>
      <c r="Z6" s="702"/>
      <c r="AA6" s="144">
        <f t="shared" si="0"/>
        <v>0</v>
      </c>
      <c r="AB6" s="22">
        <f>AA6/AA$5</f>
        <v>0</v>
      </c>
      <c r="AC6" s="128">
        <f t="shared" ref="AC6:AC69" si="2">AA6/12</f>
        <v>0</v>
      </c>
      <c r="AD6" s="22">
        <f>AC6/AC$5</f>
        <v>0</v>
      </c>
      <c r="AE6" s="26"/>
      <c r="AF6" s="26"/>
      <c r="AG6" s="84">
        <f t="shared" ref="AG6:AG69" si="3">C6+E6+G6+I6+K6+M6+O6+Q6+S6+U6+W6+Y6</f>
        <v>0</v>
      </c>
      <c r="AH6" s="84">
        <f t="shared" si="1"/>
        <v>0</v>
      </c>
    </row>
    <row r="7" spans="1:34" s="1" customFormat="1">
      <c r="A7" s="6">
        <v>5051</v>
      </c>
      <c r="B7" s="759" t="s">
        <v>74</v>
      </c>
      <c r="C7" s="31"/>
      <c r="D7" s="702">
        <f>C7/C$5</f>
        <v>0</v>
      </c>
      <c r="E7" s="27">
        <v>0</v>
      </c>
      <c r="F7" s="702"/>
      <c r="G7" s="26"/>
      <c r="H7" s="702">
        <f>G7/G$5</f>
        <v>0</v>
      </c>
      <c r="I7" s="27"/>
      <c r="J7" s="702">
        <f>I7/I$5</f>
        <v>0</v>
      </c>
      <c r="K7" s="27">
        <v>0</v>
      </c>
      <c r="L7" s="702">
        <f>K7/K$5</f>
        <v>0</v>
      </c>
      <c r="M7" s="27"/>
      <c r="N7" s="702">
        <f>M7/M$5</f>
        <v>0</v>
      </c>
      <c r="O7" s="27"/>
      <c r="P7" s="702">
        <f>O7/O$5</f>
        <v>0</v>
      </c>
      <c r="Q7" s="27"/>
      <c r="R7" s="702">
        <f>Q7/Q$5</f>
        <v>0</v>
      </c>
      <c r="S7" s="27"/>
      <c r="T7" s="702">
        <f>S7/S$5</f>
        <v>0</v>
      </c>
      <c r="U7" s="27"/>
      <c r="V7" s="702">
        <f>U7/U$5</f>
        <v>0</v>
      </c>
      <c r="W7" s="27"/>
      <c r="X7" s="702">
        <f>W7/W$5</f>
        <v>0</v>
      </c>
      <c r="Y7" s="27"/>
      <c r="Z7" s="702">
        <f>Y7/Y$5</f>
        <v>0</v>
      </c>
      <c r="AA7" s="144">
        <f t="shared" si="0"/>
        <v>0</v>
      </c>
      <c r="AB7" s="22">
        <f t="shared" ref="AB7:AB11" si="4">AA7/AA$5</f>
        <v>0</v>
      </c>
      <c r="AC7" s="128">
        <f t="shared" si="2"/>
        <v>0</v>
      </c>
      <c r="AD7" s="22">
        <f t="shared" ref="AD7:AD11" si="5">AC7/AC$5</f>
        <v>0</v>
      </c>
      <c r="AE7" s="26"/>
      <c r="AF7" s="26"/>
      <c r="AG7" s="84">
        <f t="shared" si="3"/>
        <v>0</v>
      </c>
      <c r="AH7" s="84">
        <f t="shared" si="1"/>
        <v>0</v>
      </c>
    </row>
    <row r="8" spans="1:34" s="1" customFormat="1">
      <c r="A8" s="1">
        <v>5052</v>
      </c>
      <c r="B8" s="1" t="s">
        <v>90</v>
      </c>
      <c r="C8" s="31"/>
      <c r="D8" s="702">
        <f t="shared" ref="D8:D11" si="6">C8/C$5</f>
        <v>0</v>
      </c>
      <c r="E8" s="31"/>
      <c r="F8" s="702">
        <f>E8/E$5</f>
        <v>0</v>
      </c>
      <c r="G8" s="33"/>
      <c r="H8" s="702">
        <f>G8/G$5</f>
        <v>0</v>
      </c>
      <c r="I8" s="31"/>
      <c r="J8" s="702">
        <f>I8/I$5</f>
        <v>0</v>
      </c>
      <c r="K8" s="31"/>
      <c r="L8" s="702">
        <f t="shared" ref="L8:L11" si="7">K8/K$5</f>
        <v>0</v>
      </c>
      <c r="M8" s="33"/>
      <c r="N8" s="702">
        <f>M8/M$5</f>
        <v>0</v>
      </c>
      <c r="O8" s="33"/>
      <c r="P8" s="702">
        <f>O8/O$5</f>
        <v>0</v>
      </c>
      <c r="Q8" s="31"/>
      <c r="R8" s="702">
        <f>Q8/Q$5</f>
        <v>0</v>
      </c>
      <c r="S8" s="31"/>
      <c r="T8" s="702">
        <f>S8/S$5</f>
        <v>0</v>
      </c>
      <c r="U8" s="31"/>
      <c r="V8" s="702">
        <f>U8/U$5</f>
        <v>0</v>
      </c>
      <c r="W8" s="31"/>
      <c r="X8" s="702">
        <f>W8/W$5</f>
        <v>0</v>
      </c>
      <c r="Y8" s="31"/>
      <c r="Z8" s="702">
        <f t="shared" ref="Z8:Z11" si="8">Y8/Y$5</f>
        <v>0</v>
      </c>
      <c r="AA8" s="144">
        <f t="shared" si="0"/>
        <v>0</v>
      </c>
      <c r="AB8" s="22">
        <f t="shared" si="4"/>
        <v>0</v>
      </c>
      <c r="AC8" s="128">
        <f t="shared" si="2"/>
        <v>0</v>
      </c>
      <c r="AD8" s="22">
        <f t="shared" si="5"/>
        <v>0</v>
      </c>
      <c r="AE8" s="26"/>
      <c r="AF8" s="26"/>
      <c r="AG8" s="84">
        <f t="shared" si="3"/>
        <v>0</v>
      </c>
      <c r="AH8" s="84">
        <f t="shared" si="1"/>
        <v>0</v>
      </c>
    </row>
    <row r="9" spans="1:34" s="1" customFormat="1">
      <c r="A9" s="1">
        <v>5101</v>
      </c>
      <c r="B9" s="20" t="s">
        <v>46</v>
      </c>
      <c r="C9" s="1">
        <v>237453.37431752248</v>
      </c>
      <c r="D9" s="702">
        <v>0.23766877790731403</v>
      </c>
      <c r="E9" s="1">
        <v>108295.31853984094</v>
      </c>
      <c r="F9" s="702">
        <v>0.13932307670428751</v>
      </c>
      <c r="G9" s="1">
        <v>327574.89931054611</v>
      </c>
      <c r="H9" s="702">
        <v>0.25405972810781846</v>
      </c>
      <c r="I9" s="371">
        <v>251924.59551159129</v>
      </c>
      <c r="J9" s="702">
        <v>0.22127782770680962</v>
      </c>
      <c r="K9" s="371">
        <v>153607.13758293862</v>
      </c>
      <c r="L9" s="702">
        <v>0.14751855180453971</v>
      </c>
      <c r="M9" s="33">
        <v>375122.03474462102</v>
      </c>
      <c r="N9" s="702">
        <v>0.25405972810781841</v>
      </c>
      <c r="O9" s="371">
        <v>229832.61957214729</v>
      </c>
      <c r="P9" s="702">
        <v>0.24586425300756623</v>
      </c>
      <c r="Q9" s="371">
        <v>266365.99374557665</v>
      </c>
      <c r="R9" s="702">
        <v>0.22947330280706185</v>
      </c>
      <c r="S9" s="371">
        <v>220415.22796672041</v>
      </c>
      <c r="T9" s="22">
        <v>0.18849592730580081</v>
      </c>
      <c r="U9" s="1">
        <v>235646.90161556407</v>
      </c>
      <c r="V9" s="22">
        <v>0.25405972810781841</v>
      </c>
      <c r="W9" s="1">
        <v>131479.61442926171</v>
      </c>
      <c r="X9" s="22">
        <v>0.13932307670428756</v>
      </c>
      <c r="Y9" s="1">
        <v>327141.21535326296</v>
      </c>
      <c r="Z9" s="22">
        <v>0.22947330280706182</v>
      </c>
      <c r="AA9" s="144">
        <f t="shared" si="0"/>
        <v>2864858.9326895936</v>
      </c>
      <c r="AB9" s="677">
        <f t="shared" si="4"/>
        <v>0.20832986957440883</v>
      </c>
      <c r="AC9" s="128">
        <f t="shared" si="2"/>
        <v>238738.24439079946</v>
      </c>
      <c r="AD9" s="22">
        <f t="shared" si="5"/>
        <v>0.2083298695744088</v>
      </c>
      <c r="AE9" s="26"/>
      <c r="AF9" s="26"/>
      <c r="AG9" s="84">
        <f t="shared" si="3"/>
        <v>2864858.9326895936</v>
      </c>
      <c r="AH9" s="84">
        <f t="shared" si="1"/>
        <v>0</v>
      </c>
    </row>
    <row r="10" spans="1:34" s="1" customFormat="1">
      <c r="A10" s="1">
        <v>5102</v>
      </c>
      <c r="B10" s="1" t="s">
        <v>220</v>
      </c>
      <c r="C10" s="31"/>
      <c r="D10" s="702">
        <f t="shared" si="6"/>
        <v>0</v>
      </c>
      <c r="E10" s="26"/>
      <c r="F10" s="702">
        <f t="shared" ref="F10:F11" si="9">E10/E$5</f>
        <v>0</v>
      </c>
      <c r="G10" s="26"/>
      <c r="H10" s="702">
        <f t="shared" ref="H10:H11" si="10">G10/G$5</f>
        <v>0</v>
      </c>
      <c r="I10" s="691"/>
      <c r="J10" s="702">
        <f t="shared" ref="J10:J11" si="11">I10/I$5</f>
        <v>0</v>
      </c>
      <c r="K10" s="26"/>
      <c r="L10" s="702">
        <f t="shared" si="7"/>
        <v>0</v>
      </c>
      <c r="M10" s="26"/>
      <c r="N10" s="702">
        <f t="shared" ref="N10:N11" si="12">M10/M$5</f>
        <v>0</v>
      </c>
      <c r="O10" s="26"/>
      <c r="P10" s="702">
        <f t="shared" ref="P10:P11" si="13">O10/O$5</f>
        <v>0</v>
      </c>
      <c r="Q10" s="26"/>
      <c r="R10" s="702">
        <f t="shared" ref="R10:R11" si="14">Q10/Q$5</f>
        <v>0</v>
      </c>
      <c r="S10" s="26"/>
      <c r="T10" s="702">
        <f t="shared" ref="T10:T11" si="15">S10/S$5</f>
        <v>0</v>
      </c>
      <c r="U10" s="26"/>
      <c r="V10" s="702">
        <f t="shared" ref="V10:V11" si="16">U10/U$5</f>
        <v>0</v>
      </c>
      <c r="W10" s="26"/>
      <c r="X10" s="702">
        <f t="shared" ref="X10:X11" si="17">W10/W$5</f>
        <v>0</v>
      </c>
      <c r="Y10" s="26"/>
      <c r="Z10" s="702">
        <f t="shared" si="8"/>
        <v>0</v>
      </c>
      <c r="AA10" s="144">
        <f t="shared" si="0"/>
        <v>0</v>
      </c>
      <c r="AB10" s="22">
        <f t="shared" si="4"/>
        <v>0</v>
      </c>
      <c r="AC10" s="128">
        <f t="shared" si="2"/>
        <v>0</v>
      </c>
      <c r="AD10" s="22">
        <f t="shared" si="5"/>
        <v>0</v>
      </c>
      <c r="AE10" s="26"/>
      <c r="AF10" s="26"/>
      <c r="AG10" s="84">
        <f t="shared" si="3"/>
        <v>0</v>
      </c>
      <c r="AH10" s="84">
        <f t="shared" si="1"/>
        <v>0</v>
      </c>
    </row>
    <row r="11" spans="1:34" s="1" customFormat="1">
      <c r="A11" s="1">
        <v>5103</v>
      </c>
      <c r="B11" s="1" t="s">
        <v>63</v>
      </c>
      <c r="C11" s="26"/>
      <c r="D11" s="702">
        <f t="shared" si="6"/>
        <v>0</v>
      </c>
      <c r="E11" s="27">
        <v>0</v>
      </c>
      <c r="F11" s="702">
        <f t="shared" si="9"/>
        <v>0</v>
      </c>
      <c r="G11" s="26"/>
      <c r="H11" s="702">
        <f t="shared" si="10"/>
        <v>0</v>
      </c>
      <c r="I11" s="26"/>
      <c r="J11" s="702">
        <f t="shared" si="11"/>
        <v>0</v>
      </c>
      <c r="K11" s="26"/>
      <c r="L11" s="702">
        <f t="shared" si="7"/>
        <v>0</v>
      </c>
      <c r="M11" s="26"/>
      <c r="N11" s="702">
        <f t="shared" si="12"/>
        <v>0</v>
      </c>
      <c r="O11" s="26"/>
      <c r="P11" s="702">
        <f t="shared" si="13"/>
        <v>0</v>
      </c>
      <c r="Q11" s="26"/>
      <c r="R11" s="702">
        <f t="shared" si="14"/>
        <v>0</v>
      </c>
      <c r="S11" s="26"/>
      <c r="T11" s="702">
        <f t="shared" si="15"/>
        <v>0</v>
      </c>
      <c r="U11" s="26"/>
      <c r="V11" s="702">
        <f t="shared" si="16"/>
        <v>0</v>
      </c>
      <c r="W11" s="26"/>
      <c r="X11" s="702">
        <f t="shared" si="17"/>
        <v>0</v>
      </c>
      <c r="Y11" s="26"/>
      <c r="Z11" s="702">
        <f t="shared" si="8"/>
        <v>0</v>
      </c>
      <c r="AA11" s="144">
        <f t="shared" si="0"/>
        <v>0</v>
      </c>
      <c r="AB11" s="22">
        <f t="shared" si="4"/>
        <v>0</v>
      </c>
      <c r="AC11" s="128">
        <f t="shared" si="2"/>
        <v>0</v>
      </c>
      <c r="AD11" s="22">
        <f t="shared" si="5"/>
        <v>0</v>
      </c>
      <c r="AE11" s="26"/>
      <c r="AF11" s="26"/>
      <c r="AG11" s="84">
        <f t="shared" si="3"/>
        <v>0</v>
      </c>
      <c r="AH11" s="84">
        <f t="shared" si="1"/>
        <v>0</v>
      </c>
    </row>
    <row r="12" spans="1:34" s="1" customFormat="1" ht="15.75" thickBot="1">
      <c r="A12" s="7">
        <v>5149</v>
      </c>
      <c r="B12" s="242" t="s">
        <v>66</v>
      </c>
      <c r="C12" s="116">
        <f>C5+C6-C7-C8-C9-C10+C11</f>
        <v>818804.73902593984</v>
      </c>
      <c r="D12" s="23">
        <v>1</v>
      </c>
      <c r="E12" s="116">
        <f>E5+E6-E7-E8-E9-E10+E11</f>
        <v>637031.285528476</v>
      </c>
      <c r="F12" s="23">
        <v>1</v>
      </c>
      <c r="G12" s="45">
        <f>G5+G6-G7-G8-G9-G10+G11</f>
        <v>1056693.2235824103</v>
      </c>
      <c r="H12" s="23">
        <v>1</v>
      </c>
      <c r="I12" s="116">
        <f>I5+I6-I7-I8-I9-I10+I11</f>
        <v>933054.05745033803</v>
      </c>
      <c r="J12" s="23">
        <v>1</v>
      </c>
      <c r="K12" s="116">
        <f>K5+K6-K7-K8-K9-K10+K11</f>
        <v>853372.98657188099</v>
      </c>
      <c r="L12" s="23">
        <v>1</v>
      </c>
      <c r="M12" s="45">
        <f>M5+M6-M7-M8-M9-M10+M11</f>
        <v>1210071.0798213601</v>
      </c>
      <c r="N12" s="23">
        <v>1</v>
      </c>
      <c r="O12" s="45">
        <f>O5+O6-O7-O8-O9-O10+O11</f>
        <v>766108.73190715804</v>
      </c>
      <c r="P12" s="23">
        <v>1</v>
      </c>
      <c r="Q12" s="116">
        <f>Q5+Q6-Q7-Q8-Q9-Q10+Q11</f>
        <v>951307.12051991606</v>
      </c>
      <c r="R12" s="23">
        <v>1</v>
      </c>
      <c r="S12" s="116">
        <f>S5+S6-S7-S8-S9-S10+S11</f>
        <v>958327.07811617595</v>
      </c>
      <c r="T12" s="23">
        <v>1</v>
      </c>
      <c r="U12" s="116">
        <f>U5+U6-U7-U8-U9-U10+U11</f>
        <v>760151.29553407803</v>
      </c>
      <c r="V12" s="23">
        <v>1</v>
      </c>
      <c r="W12" s="116">
        <f>W5+W6-W7-W8-W9-W10+W11</f>
        <v>773409.496642716</v>
      </c>
      <c r="X12" s="23">
        <v>1</v>
      </c>
      <c r="Y12" s="116">
        <f>Y5+Y6-Y7-Y8-Y9-Y10+Y11</f>
        <v>1168361.4834045097</v>
      </c>
      <c r="Z12" s="23">
        <v>1</v>
      </c>
      <c r="AA12" s="52">
        <f>AA5+AA6-AA7-AA8-AA9-AA10+AA11</f>
        <v>10886692.578104958</v>
      </c>
      <c r="AB12" s="23">
        <v>1</v>
      </c>
      <c r="AC12" s="52">
        <f t="shared" si="2"/>
        <v>907224.38150874653</v>
      </c>
      <c r="AD12" s="23">
        <v>1</v>
      </c>
      <c r="AE12" s="26"/>
      <c r="AF12" s="26"/>
      <c r="AG12" s="84">
        <f t="shared" si="3"/>
        <v>10886692.578104958</v>
      </c>
      <c r="AH12" s="84">
        <f t="shared" si="1"/>
        <v>0</v>
      </c>
    </row>
    <row r="13" spans="1:34" s="1" customFormat="1" ht="15.75" thickTop="1">
      <c r="A13" s="1">
        <v>5151</v>
      </c>
      <c r="B13" s="20" t="s">
        <v>47</v>
      </c>
      <c r="C13" s="61"/>
      <c r="D13" s="18"/>
      <c r="E13" s="703"/>
      <c r="F13" s="18"/>
      <c r="G13" s="26"/>
      <c r="H13" s="18"/>
      <c r="I13" s="61"/>
      <c r="J13" s="18"/>
      <c r="K13" s="703"/>
      <c r="L13" s="18"/>
      <c r="M13" s="26"/>
      <c r="N13" s="18"/>
      <c r="O13" s="704"/>
      <c r="P13" s="18"/>
      <c r="Q13" s="26"/>
      <c r="R13" s="18"/>
      <c r="S13" s="26"/>
      <c r="T13" s="18"/>
      <c r="U13" s="61"/>
      <c r="V13" s="18"/>
      <c r="W13" s="61"/>
      <c r="X13" s="18"/>
      <c r="Y13" s="61"/>
      <c r="Z13" s="18"/>
      <c r="AA13" s="144">
        <f>C13+E13+G13+I13+K13+M13+O13+Q13+S13+U13+W13+Y13</f>
        <v>0</v>
      </c>
      <c r="AB13" s="18"/>
      <c r="AC13" s="128">
        <f t="shared" si="2"/>
        <v>0</v>
      </c>
      <c r="AD13" s="18"/>
      <c r="AE13" s="26"/>
      <c r="AF13" s="26"/>
      <c r="AG13" s="84">
        <f t="shared" si="3"/>
        <v>0</v>
      </c>
      <c r="AH13" s="84">
        <f t="shared" si="1"/>
        <v>0</v>
      </c>
    </row>
    <row r="14" spans="1:34" s="1" customFormat="1">
      <c r="A14" s="1">
        <v>5152</v>
      </c>
      <c r="B14" s="20" t="s">
        <v>48</v>
      </c>
      <c r="C14" s="61"/>
      <c r="D14" s="18"/>
      <c r="E14" s="703"/>
      <c r="F14" s="18"/>
      <c r="G14" s="26"/>
      <c r="H14" s="18"/>
      <c r="I14" s="61"/>
      <c r="J14" s="18"/>
      <c r="K14" s="703"/>
      <c r="L14" s="18"/>
      <c r="M14" s="26"/>
      <c r="N14" s="18"/>
      <c r="O14" s="704"/>
      <c r="P14" s="18"/>
      <c r="Q14" s="26"/>
      <c r="R14" s="18"/>
      <c r="S14" s="26"/>
      <c r="T14" s="18"/>
      <c r="U14" s="61"/>
      <c r="V14" s="18"/>
      <c r="W14" s="61"/>
      <c r="X14" s="18"/>
      <c r="Y14" s="61"/>
      <c r="Z14" s="18"/>
      <c r="AA14" s="144">
        <f>C14+E14+G14+I14+K14+M14+O14+Q14+S14+U14+W14+Y14</f>
        <v>0</v>
      </c>
      <c r="AB14" s="18"/>
      <c r="AC14" s="128">
        <f t="shared" si="2"/>
        <v>0</v>
      </c>
      <c r="AD14" s="18"/>
      <c r="AE14" s="26"/>
      <c r="AF14" s="26"/>
      <c r="AG14" s="84">
        <f t="shared" si="3"/>
        <v>0</v>
      </c>
      <c r="AH14" s="84">
        <f t="shared" si="1"/>
        <v>0</v>
      </c>
    </row>
    <row r="15" spans="1:34" s="1" customFormat="1">
      <c r="A15" s="198">
        <v>5198</v>
      </c>
      <c r="B15" s="247" t="s">
        <v>106</v>
      </c>
      <c r="C15" s="79"/>
      <c r="D15" s="199"/>
      <c r="E15" s="119"/>
      <c r="F15" s="199"/>
      <c r="G15" s="29"/>
      <c r="H15" s="199"/>
      <c r="I15" s="79"/>
      <c r="J15" s="199"/>
      <c r="K15" s="119"/>
      <c r="L15" s="199"/>
      <c r="M15" s="29"/>
      <c r="N15" s="199"/>
      <c r="O15" s="47"/>
      <c r="P15" s="199"/>
      <c r="Q15" s="29"/>
      <c r="R15" s="199"/>
      <c r="S15" s="29">
        <f>S13+S14</f>
        <v>0</v>
      </c>
      <c r="T15" s="199"/>
      <c r="U15" s="79">
        <f>U13+U14</f>
        <v>0</v>
      </c>
      <c r="V15" s="199"/>
      <c r="W15" s="79">
        <f>W13+W14</f>
        <v>0</v>
      </c>
      <c r="X15" s="199"/>
      <c r="Y15" s="79">
        <f>Y13+Y14</f>
        <v>0</v>
      </c>
      <c r="Z15" s="199"/>
      <c r="AA15" s="58">
        <f>AA13+AA14</f>
        <v>0</v>
      </c>
      <c r="AB15" s="199"/>
      <c r="AC15" s="58">
        <f t="shared" si="2"/>
        <v>0</v>
      </c>
      <c r="AD15" s="199"/>
      <c r="AE15" s="26"/>
      <c r="AF15" s="26"/>
      <c r="AG15" s="84">
        <f t="shared" si="3"/>
        <v>0</v>
      </c>
      <c r="AH15" s="84">
        <f t="shared" si="1"/>
        <v>0</v>
      </c>
    </row>
    <row r="16" spans="1:34" s="1" customFormat="1" ht="15.75" thickBot="1">
      <c r="A16" s="37">
        <v>5199</v>
      </c>
      <c r="B16" s="248" t="s">
        <v>70</v>
      </c>
      <c r="C16" s="30">
        <f>C12+C15</f>
        <v>818804.73902593984</v>
      </c>
      <c r="D16" s="25"/>
      <c r="E16" s="30">
        <f>E12+E15</f>
        <v>637031.285528476</v>
      </c>
      <c r="F16" s="25"/>
      <c r="G16" s="30">
        <f>G12+G15</f>
        <v>1056693.2235824103</v>
      </c>
      <c r="H16" s="25"/>
      <c r="I16" s="30">
        <f>I12+I15</f>
        <v>933054.05745033803</v>
      </c>
      <c r="J16" s="25"/>
      <c r="K16" s="30">
        <f>K12+K15</f>
        <v>853372.98657188099</v>
      </c>
      <c r="L16" s="25"/>
      <c r="M16" s="30">
        <f>M12+M15</f>
        <v>1210071.0798213601</v>
      </c>
      <c r="N16" s="25"/>
      <c r="O16" s="30">
        <f>O12+O15</f>
        <v>766108.73190715804</v>
      </c>
      <c r="P16" s="25"/>
      <c r="Q16" s="30">
        <f>Q12+Q15</f>
        <v>951307.12051991606</v>
      </c>
      <c r="R16" s="25">
        <f>Q16/Q12</f>
        <v>1</v>
      </c>
      <c r="S16" s="30">
        <f>S12+S15</f>
        <v>958327.07811617595</v>
      </c>
      <c r="T16" s="25">
        <f>S16/S12</f>
        <v>1</v>
      </c>
      <c r="U16" s="80">
        <f>U12+U15</f>
        <v>760151.29553407803</v>
      </c>
      <c r="V16" s="25">
        <f>U16/U12</f>
        <v>1</v>
      </c>
      <c r="W16" s="80">
        <f>W12+W15</f>
        <v>773409.496642716</v>
      </c>
      <c r="X16" s="25">
        <f>W16/W12</f>
        <v>1</v>
      </c>
      <c r="Y16" s="80">
        <f>Y12+Y15</f>
        <v>1168361.4834045097</v>
      </c>
      <c r="Z16" s="25">
        <f>Y16/Y12</f>
        <v>1</v>
      </c>
      <c r="AA16" s="195">
        <f>AA12+AA15</f>
        <v>10886692.578104958</v>
      </c>
      <c r="AB16" s="25">
        <f>AA16/AA12</f>
        <v>1</v>
      </c>
      <c r="AC16" s="59">
        <f t="shared" si="2"/>
        <v>907224.38150874653</v>
      </c>
      <c r="AD16" s="25">
        <f>AC16/AC12</f>
        <v>1</v>
      </c>
      <c r="AE16" s="26"/>
      <c r="AF16" s="26"/>
      <c r="AG16" s="84">
        <f t="shared" si="3"/>
        <v>10886692.578104958</v>
      </c>
      <c r="AH16" s="84">
        <f t="shared" si="1"/>
        <v>0</v>
      </c>
    </row>
    <row r="17" spans="1:34" s="1" customFormat="1" ht="15.75" thickTop="1">
      <c r="A17" s="13">
        <v>5502</v>
      </c>
      <c r="B17" s="17" t="s">
        <v>49</v>
      </c>
      <c r="C17" s="704">
        <f>C12*54%</f>
        <v>442154.55907400756</v>
      </c>
      <c r="D17" s="702">
        <f>C17/C12</f>
        <v>0.54</v>
      </c>
      <c r="E17" s="704">
        <f>E12*45%</f>
        <v>286664.07848781423</v>
      </c>
      <c r="F17" s="702">
        <f>E17/E12</f>
        <v>0.45000000000000007</v>
      </c>
      <c r="G17" s="704">
        <f>G12*55%</f>
        <v>581181.27297032566</v>
      </c>
      <c r="H17" s="702">
        <f>G17/G12</f>
        <v>0.55000000000000004</v>
      </c>
      <c r="I17" s="704">
        <f>I12*49.45%</f>
        <v>461395.2314091922</v>
      </c>
      <c r="J17" s="702">
        <f>I17/I12</f>
        <v>0.49450000000000005</v>
      </c>
      <c r="K17" s="704">
        <f>K12*40.85%</f>
        <v>348602.86501461343</v>
      </c>
      <c r="L17" s="702">
        <f>K17/K12</f>
        <v>0.40850000000000003</v>
      </c>
      <c r="M17" s="704">
        <f>M12*53.61%</f>
        <v>648719.10589223111</v>
      </c>
      <c r="N17" s="702">
        <f>M17/M12</f>
        <v>0.53610000000000002</v>
      </c>
      <c r="O17" s="704">
        <f>O12*49.09%</f>
        <v>376082.77649322391</v>
      </c>
      <c r="P17" s="702">
        <f>O17/O12</f>
        <v>0.49090000000000006</v>
      </c>
      <c r="Q17" s="704">
        <f>Q12*51.79%</f>
        <v>492681.95771726454</v>
      </c>
      <c r="R17" s="702">
        <f>Q17/Q12</f>
        <v>0.51790000000000003</v>
      </c>
      <c r="S17" s="704">
        <f>S12*45.01%</f>
        <v>431343.01786009077</v>
      </c>
      <c r="T17" s="702">
        <f>S17/S12</f>
        <v>0.45009999999999994</v>
      </c>
      <c r="U17" s="704">
        <f>U12*49.71%</f>
        <v>377871.20900999015</v>
      </c>
      <c r="V17" s="702">
        <f>U17/U12</f>
        <v>0.49709999999999993</v>
      </c>
      <c r="W17" s="704">
        <f>W12*46.33%</f>
        <v>358320.61979457032</v>
      </c>
      <c r="X17" s="702">
        <f>W17/W12</f>
        <v>0.46329999999999999</v>
      </c>
      <c r="Y17" s="704">
        <f>Y12*52.91%</f>
        <v>618180.06086932612</v>
      </c>
      <c r="Z17" s="702">
        <f>Y17/Y12</f>
        <v>0.52910000000000001</v>
      </c>
      <c r="AA17" s="144">
        <f>C17+E17+G17+I17+K17+M17+O17+Q17+S17+U17+W17+Y17</f>
        <v>5423196.7545926496</v>
      </c>
      <c r="AB17" s="68">
        <f>AA17/AA12</f>
        <v>0.49814915923130287</v>
      </c>
      <c r="AC17" s="128">
        <f t="shared" si="2"/>
        <v>451933.06288272078</v>
      </c>
      <c r="AD17" s="68">
        <f>AC17/AC12</f>
        <v>0.49814915923130282</v>
      </c>
      <c r="AE17" s="26"/>
      <c r="AF17" s="26"/>
      <c r="AG17" s="84">
        <f t="shared" si="3"/>
        <v>5423196.7545926496</v>
      </c>
      <c r="AH17" s="84">
        <f t="shared" si="1"/>
        <v>0</v>
      </c>
    </row>
    <row r="18" spans="1:34" s="1" customFormat="1">
      <c r="A18" s="3">
        <v>5503</v>
      </c>
      <c r="B18" s="238" t="s">
        <v>50</v>
      </c>
      <c r="C18" s="704"/>
      <c r="D18" s="102"/>
      <c r="E18" s="61"/>
      <c r="F18" s="102"/>
      <c r="G18" s="704"/>
      <c r="H18" s="102"/>
      <c r="I18" s="26"/>
      <c r="J18" s="102"/>
      <c r="K18" s="61"/>
      <c r="L18" s="102"/>
      <c r="M18" s="26"/>
      <c r="N18" s="102"/>
      <c r="O18" s="26"/>
      <c r="P18" s="102"/>
      <c r="Q18" s="26"/>
      <c r="R18" s="102"/>
      <c r="S18" s="26"/>
      <c r="T18" s="102"/>
      <c r="U18" s="61"/>
      <c r="V18" s="102"/>
      <c r="W18" s="51"/>
      <c r="X18" s="102"/>
      <c r="Y18" s="61"/>
      <c r="Z18" s="102"/>
      <c r="AA18" s="144">
        <f>C18+E18+G18+I18+K18+M18+O18+Q18+S18+U18+W18+Y18</f>
        <v>0</v>
      </c>
      <c r="AB18" s="102"/>
      <c r="AC18" s="128">
        <f t="shared" si="2"/>
        <v>0</v>
      </c>
      <c r="AD18" s="102"/>
      <c r="AE18" s="26"/>
      <c r="AF18" s="26"/>
      <c r="AG18" s="84">
        <f t="shared" si="3"/>
        <v>0</v>
      </c>
      <c r="AH18" s="84">
        <f t="shared" si="1"/>
        <v>0</v>
      </c>
    </row>
    <row r="19" spans="1:34" s="1" customFormat="1">
      <c r="A19" s="187">
        <v>5504</v>
      </c>
      <c r="B19" s="758" t="s">
        <v>51</v>
      </c>
      <c r="C19" s="26"/>
      <c r="D19" s="702">
        <f>C19/C12</f>
        <v>0</v>
      </c>
      <c r="E19" s="26"/>
      <c r="F19" s="702">
        <f>E19/E12</f>
        <v>0</v>
      </c>
      <c r="G19" s="33"/>
      <c r="H19" s="702">
        <f>G19/G12</f>
        <v>0</v>
      </c>
      <c r="I19" s="26"/>
      <c r="J19" s="702">
        <f>I19/I12</f>
        <v>0</v>
      </c>
      <c r="K19" s="26"/>
      <c r="L19" s="702">
        <f>K19/K12</f>
        <v>0</v>
      </c>
      <c r="M19" s="33"/>
      <c r="N19" s="702">
        <f>M19/M12</f>
        <v>0</v>
      </c>
      <c r="O19" s="33"/>
      <c r="P19" s="677">
        <f>O19/O12</f>
        <v>0</v>
      </c>
      <c r="Q19" s="26"/>
      <c r="R19" s="677">
        <f>Q19/Q12</f>
        <v>0</v>
      </c>
      <c r="S19" s="26"/>
      <c r="T19" s="677">
        <f>S19/S12</f>
        <v>0</v>
      </c>
      <c r="U19" s="26">
        <v>0</v>
      </c>
      <c r="V19" s="677">
        <f>U19/U12</f>
        <v>0</v>
      </c>
      <c r="W19" s="26"/>
      <c r="X19" s="677">
        <f>W19/W12</f>
        <v>0</v>
      </c>
      <c r="Y19" s="26"/>
      <c r="Z19" s="677">
        <f>Y19/Y12</f>
        <v>0</v>
      </c>
      <c r="AA19" s="144">
        <f>C19+E19+G19+I19+K19+M19+O19+Q19+S19+U19+W19+Y19</f>
        <v>0</v>
      </c>
      <c r="AB19" s="68">
        <f>AA19/AA12</f>
        <v>0</v>
      </c>
      <c r="AC19" s="128">
        <f t="shared" si="2"/>
        <v>0</v>
      </c>
      <c r="AD19" s="68">
        <f>AC19/AC12</f>
        <v>0</v>
      </c>
      <c r="AE19" s="26"/>
      <c r="AF19" s="26"/>
      <c r="AG19" s="84">
        <f t="shared" si="3"/>
        <v>0</v>
      </c>
      <c r="AH19" s="84">
        <f t="shared" si="1"/>
        <v>0</v>
      </c>
    </row>
    <row r="20" spans="1:34" s="1" customFormat="1">
      <c r="A20" s="3">
        <v>5505</v>
      </c>
      <c r="B20" s="238" t="s">
        <v>52</v>
      </c>
      <c r="C20" s="704"/>
      <c r="D20" s="102"/>
      <c r="E20" s="61"/>
      <c r="F20" s="102"/>
      <c r="G20" s="704"/>
      <c r="H20" s="102"/>
      <c r="I20" s="26"/>
      <c r="J20" s="102"/>
      <c r="K20" s="61"/>
      <c r="L20" s="102"/>
      <c r="M20" s="26"/>
      <c r="N20" s="102"/>
      <c r="O20" s="26"/>
      <c r="P20" s="102"/>
      <c r="Q20" s="26"/>
      <c r="R20" s="102"/>
      <c r="S20" s="26"/>
      <c r="T20" s="102"/>
      <c r="U20" s="61"/>
      <c r="V20" s="102"/>
      <c r="W20" s="51"/>
      <c r="X20" s="102"/>
      <c r="Y20" s="61"/>
      <c r="Z20" s="102"/>
      <c r="AA20" s="144">
        <f>C20+E20+G20+I20+K20+M20+O20+Q20+S20+U20+W20+Y20</f>
        <v>0</v>
      </c>
      <c r="AB20" s="102"/>
      <c r="AC20" s="128">
        <f t="shared" si="2"/>
        <v>0</v>
      </c>
      <c r="AD20" s="102"/>
      <c r="AE20" s="26"/>
      <c r="AF20" s="26"/>
      <c r="AG20" s="84">
        <f t="shared" si="3"/>
        <v>0</v>
      </c>
      <c r="AH20" s="84">
        <f t="shared" si="1"/>
        <v>0</v>
      </c>
    </row>
    <row r="21" spans="1:34" s="1" customFormat="1" ht="15.75" thickBot="1">
      <c r="A21" s="8">
        <v>5599</v>
      </c>
      <c r="B21" s="245" t="s">
        <v>107</v>
      </c>
      <c r="C21" s="28">
        <f>SUM(C17:C20)</f>
        <v>442154.55907400756</v>
      </c>
      <c r="D21" s="23">
        <f>C21/C12</f>
        <v>0.54</v>
      </c>
      <c r="E21" s="28">
        <f>SUM(E17:E20)</f>
        <v>286664.07848781423</v>
      </c>
      <c r="F21" s="23">
        <f>E21/E12</f>
        <v>0.45000000000000007</v>
      </c>
      <c r="G21" s="28">
        <f>SUM(G17:G20)</f>
        <v>581181.27297032566</v>
      </c>
      <c r="H21" s="23">
        <f>G21/G12</f>
        <v>0.55000000000000004</v>
      </c>
      <c r="I21" s="28">
        <f>SUM(I17:I20)</f>
        <v>461395.2314091922</v>
      </c>
      <c r="J21" s="23">
        <f>I21/I12</f>
        <v>0.49450000000000005</v>
      </c>
      <c r="K21" s="28">
        <f>SUM(K17:K20)</f>
        <v>348602.86501461343</v>
      </c>
      <c r="L21" s="23">
        <f>K21/K12</f>
        <v>0.40850000000000003</v>
      </c>
      <c r="M21" s="28">
        <f>SUM(M17:M20)</f>
        <v>648719.10589223111</v>
      </c>
      <c r="N21" s="23">
        <f>M21/M12</f>
        <v>0.53610000000000002</v>
      </c>
      <c r="O21" s="28">
        <f>SUM(O17:O20)</f>
        <v>376082.77649322391</v>
      </c>
      <c r="P21" s="23">
        <f>O21/O12</f>
        <v>0.49090000000000006</v>
      </c>
      <c r="Q21" s="28">
        <f>SUM(Q17:Q20)</f>
        <v>492681.95771726454</v>
      </c>
      <c r="R21" s="23">
        <f>Q21/Q12</f>
        <v>0.51790000000000003</v>
      </c>
      <c r="S21" s="28">
        <f>SUM(S17:S20)</f>
        <v>431343.01786009077</v>
      </c>
      <c r="T21" s="23">
        <f>S21/S12</f>
        <v>0.45009999999999994</v>
      </c>
      <c r="U21" s="76">
        <f>SUM(U17:U20)</f>
        <v>377871.20900999015</v>
      </c>
      <c r="V21" s="23">
        <f>U21/U12</f>
        <v>0.49709999999999993</v>
      </c>
      <c r="W21" s="76">
        <f>SUM(W17:W20)</f>
        <v>358320.61979457032</v>
      </c>
      <c r="X21" s="23">
        <f>W21/W12</f>
        <v>0.46329999999999999</v>
      </c>
      <c r="Y21" s="76">
        <f>SUM(Y17:Y20)</f>
        <v>618180.06086932612</v>
      </c>
      <c r="Z21" s="23">
        <f>Y21/Y12</f>
        <v>0.52910000000000001</v>
      </c>
      <c r="AA21" s="196">
        <f>SUM(AA17:AA20)</f>
        <v>5423196.7545926496</v>
      </c>
      <c r="AB21" s="23">
        <f>AA21/AA12</f>
        <v>0.49814915923130287</v>
      </c>
      <c r="AC21" s="52">
        <f t="shared" si="2"/>
        <v>451933.06288272078</v>
      </c>
      <c r="AD21" s="23">
        <f>AC21/AC12</f>
        <v>0.49814915923130282</v>
      </c>
      <c r="AE21" s="26"/>
      <c r="AF21" s="26"/>
      <c r="AG21" s="84">
        <f t="shared" si="3"/>
        <v>5423196.7545926496</v>
      </c>
      <c r="AH21" s="84">
        <f t="shared" si="1"/>
        <v>0</v>
      </c>
    </row>
    <row r="22" spans="1:34" s="1" customFormat="1" ht="15.75" thickTop="1">
      <c r="A22" s="187">
        <v>5601</v>
      </c>
      <c r="B22" s="3" t="s">
        <v>53</v>
      </c>
      <c r="C22" s="26"/>
      <c r="D22" s="702">
        <f>C22/C12</f>
        <v>0</v>
      </c>
      <c r="E22" s="26"/>
      <c r="F22" s="702">
        <f>E22/E12</f>
        <v>0</v>
      </c>
      <c r="G22" s="26"/>
      <c r="H22" s="702">
        <f>G22/G12</f>
        <v>0</v>
      </c>
      <c r="I22" s="26"/>
      <c r="J22" s="702">
        <f>I22/I12</f>
        <v>0</v>
      </c>
      <c r="K22" s="26"/>
      <c r="L22" s="702">
        <f>K22/K12</f>
        <v>0</v>
      </c>
      <c r="M22" s="26"/>
      <c r="N22" s="702">
        <f>M22/M12</f>
        <v>0</v>
      </c>
      <c r="O22" s="26"/>
      <c r="P22" s="68">
        <f>O22/O12</f>
        <v>0</v>
      </c>
      <c r="Q22" s="26"/>
      <c r="R22" s="68">
        <f>Q22/Q12</f>
        <v>0</v>
      </c>
      <c r="S22" s="26"/>
      <c r="T22" s="68">
        <f>S22/S12</f>
        <v>0</v>
      </c>
      <c r="U22" s="26"/>
      <c r="V22" s="68">
        <f>U22/U12</f>
        <v>0</v>
      </c>
      <c r="W22" s="26"/>
      <c r="X22" s="68">
        <f>W22/W12</f>
        <v>0</v>
      </c>
      <c r="Y22" s="26"/>
      <c r="Z22" s="68">
        <f>Y22/Y12</f>
        <v>0</v>
      </c>
      <c r="AA22" s="144">
        <f t="shared" ref="AA22:AA34" si="18">C22+E22+G22+I22+K22+M22+O22+Q22+S22+U22+W22+Y22</f>
        <v>0</v>
      </c>
      <c r="AB22" s="68">
        <f>AA22/AA12</f>
        <v>0</v>
      </c>
      <c r="AC22" s="128">
        <f t="shared" si="2"/>
        <v>0</v>
      </c>
      <c r="AD22" s="68">
        <f>AC22/AC12</f>
        <v>0</v>
      </c>
      <c r="AE22" s="26"/>
      <c r="AF22" s="26"/>
      <c r="AG22" s="84">
        <f t="shared" si="3"/>
        <v>0</v>
      </c>
      <c r="AH22" s="84">
        <f t="shared" si="1"/>
        <v>0</v>
      </c>
    </row>
    <row r="23" spans="1:34" s="1" customFormat="1">
      <c r="A23" s="3">
        <v>5602</v>
      </c>
      <c r="B23" s="3" t="s">
        <v>54</v>
      </c>
      <c r="C23" s="26"/>
      <c r="D23" s="702">
        <f>C23/C12</f>
        <v>0</v>
      </c>
      <c r="E23" s="26"/>
      <c r="F23" s="702">
        <f>E23/E12</f>
        <v>0</v>
      </c>
      <c r="G23" s="26"/>
      <c r="H23" s="702">
        <f>G23/G12</f>
        <v>0</v>
      </c>
      <c r="I23" s="26"/>
      <c r="J23" s="702">
        <f>I23/I12</f>
        <v>0</v>
      </c>
      <c r="K23" s="26"/>
      <c r="L23" s="702">
        <f>K23/K12</f>
        <v>0</v>
      </c>
      <c r="M23" s="26"/>
      <c r="N23" s="702">
        <f>M23/M12</f>
        <v>0</v>
      </c>
      <c r="O23" s="26"/>
      <c r="P23" s="68">
        <f>O23/O12</f>
        <v>0</v>
      </c>
      <c r="Q23" s="26"/>
      <c r="R23" s="68">
        <f>Q23/Q12</f>
        <v>0</v>
      </c>
      <c r="S23" s="26"/>
      <c r="T23" s="68">
        <f>S23/S12</f>
        <v>0</v>
      </c>
      <c r="U23" s="26"/>
      <c r="V23" s="68">
        <f>U23/U12</f>
        <v>0</v>
      </c>
      <c r="W23" s="26"/>
      <c r="X23" s="68">
        <f>W23/W12</f>
        <v>0</v>
      </c>
      <c r="Y23" s="26"/>
      <c r="Z23" s="68">
        <f>Y23/Y12</f>
        <v>0</v>
      </c>
      <c r="AA23" s="144">
        <f t="shared" si="18"/>
        <v>0</v>
      </c>
      <c r="AB23" s="68">
        <f>AA23/AA12</f>
        <v>0</v>
      </c>
      <c r="AC23" s="128">
        <f t="shared" si="2"/>
        <v>0</v>
      </c>
      <c r="AD23" s="68">
        <f>AC23/AC12</f>
        <v>0</v>
      </c>
      <c r="AE23" s="26"/>
      <c r="AF23" s="26"/>
      <c r="AG23" s="84">
        <f t="shared" si="3"/>
        <v>0</v>
      </c>
      <c r="AH23" s="84">
        <f t="shared" si="1"/>
        <v>0</v>
      </c>
    </row>
    <row r="24" spans="1:34" s="1" customFormat="1">
      <c r="A24" s="3">
        <v>5603</v>
      </c>
      <c r="B24" s="3" t="s">
        <v>55</v>
      </c>
      <c r="C24" s="26"/>
      <c r="D24" s="702">
        <f>C24/C12</f>
        <v>0</v>
      </c>
      <c r="E24" s="26"/>
      <c r="F24" s="702">
        <f>E24/E12</f>
        <v>0</v>
      </c>
      <c r="G24" s="26"/>
      <c r="H24" s="702">
        <f>G24/G12</f>
        <v>0</v>
      </c>
      <c r="I24" s="26"/>
      <c r="J24" s="702">
        <f>I24/I12</f>
        <v>0</v>
      </c>
      <c r="K24" s="26"/>
      <c r="L24" s="702">
        <f>K24/K12</f>
        <v>0</v>
      </c>
      <c r="M24" s="26"/>
      <c r="N24" s="702">
        <f>M24/M12</f>
        <v>0</v>
      </c>
      <c r="O24" s="26"/>
      <c r="P24" s="68">
        <f>O24/O12</f>
        <v>0</v>
      </c>
      <c r="Q24" s="26"/>
      <c r="R24" s="68">
        <f>Q24/Q12</f>
        <v>0</v>
      </c>
      <c r="S24" s="26"/>
      <c r="T24" s="68">
        <f>S24/S12</f>
        <v>0</v>
      </c>
      <c r="U24" s="26"/>
      <c r="V24" s="68">
        <f>U24/U12</f>
        <v>0</v>
      </c>
      <c r="W24" s="26"/>
      <c r="X24" s="68">
        <f>W24/W12</f>
        <v>0</v>
      </c>
      <c r="Y24" s="26"/>
      <c r="Z24" s="68">
        <f>Y24/Y12</f>
        <v>0</v>
      </c>
      <c r="AA24" s="144">
        <f t="shared" si="18"/>
        <v>0</v>
      </c>
      <c r="AB24" s="68">
        <f>AA24/AA12</f>
        <v>0</v>
      </c>
      <c r="AC24" s="128">
        <f t="shared" si="2"/>
        <v>0</v>
      </c>
      <c r="AD24" s="68">
        <f>AC24/AC12</f>
        <v>0</v>
      </c>
      <c r="AE24" s="26"/>
      <c r="AF24" s="26"/>
      <c r="AG24" s="84">
        <f t="shared" si="3"/>
        <v>0</v>
      </c>
      <c r="AH24" s="84">
        <f t="shared" si="1"/>
        <v>0</v>
      </c>
    </row>
    <row r="25" spans="1:34" s="1" customFormat="1">
      <c r="A25" s="187">
        <v>5604</v>
      </c>
      <c r="B25" s="187" t="s">
        <v>56</v>
      </c>
      <c r="C25" s="26">
        <v>150</v>
      </c>
      <c r="D25" s="702">
        <f>C25/C12</f>
        <v>1.8319385911034399E-4</v>
      </c>
      <c r="E25" s="26">
        <v>150</v>
      </c>
      <c r="F25" s="702">
        <f>E25/E12</f>
        <v>2.354672422023374E-4</v>
      </c>
      <c r="G25" s="26">
        <v>150</v>
      </c>
      <c r="H25" s="702">
        <f>G25/G12</f>
        <v>1.4195226831442028E-4</v>
      </c>
      <c r="I25" s="26">
        <v>150</v>
      </c>
      <c r="J25" s="702">
        <f>I25/I12</f>
        <v>1.6076238970536149E-4</v>
      </c>
      <c r="K25" s="26">
        <v>150</v>
      </c>
      <c r="L25" s="702">
        <f>K25/K12</f>
        <v>1.7577308206411717E-4</v>
      </c>
      <c r="M25" s="26">
        <v>150</v>
      </c>
      <c r="N25" s="702">
        <f>M25/M12</f>
        <v>1.2395966030536335E-4</v>
      </c>
      <c r="O25" s="26">
        <v>150</v>
      </c>
      <c r="P25" s="702">
        <f>O25/O12</f>
        <v>1.9579466171412593E-4</v>
      </c>
      <c r="Q25" s="26">
        <v>150</v>
      </c>
      <c r="R25" s="702">
        <f>Q25/Q12</f>
        <v>1.5767778540122857E-4</v>
      </c>
      <c r="S25" s="26">
        <v>150</v>
      </c>
      <c r="T25" s="702">
        <f>S25/S12</f>
        <v>1.5652276078315699E-4</v>
      </c>
      <c r="U25" s="26">
        <v>150</v>
      </c>
      <c r="V25" s="702">
        <f>U25/U12</f>
        <v>1.9732913813507461E-4</v>
      </c>
      <c r="W25" s="26">
        <v>150</v>
      </c>
      <c r="X25" s="702">
        <f>W25/W12</f>
        <v>1.9394641603333448E-4</v>
      </c>
      <c r="Y25" s="26">
        <v>150</v>
      </c>
      <c r="Z25" s="702">
        <f>Y25/Y12</f>
        <v>1.2838492378481383E-4</v>
      </c>
      <c r="AA25" s="144">
        <f t="shared" si="18"/>
        <v>1800</v>
      </c>
      <c r="AB25" s="68">
        <f>AA25/AA12</f>
        <v>1.6533947175289166E-4</v>
      </c>
      <c r="AC25" s="128">
        <f t="shared" si="2"/>
        <v>150</v>
      </c>
      <c r="AD25" s="68">
        <f>AC25/AC12</f>
        <v>1.6533947175289166E-4</v>
      </c>
      <c r="AE25" s="26"/>
      <c r="AF25" s="26"/>
      <c r="AG25" s="84">
        <f t="shared" si="3"/>
        <v>1800</v>
      </c>
      <c r="AH25" s="84">
        <f t="shared" si="1"/>
        <v>0</v>
      </c>
    </row>
    <row r="26" spans="1:34" s="1" customFormat="1">
      <c r="A26" s="187">
        <v>5605</v>
      </c>
      <c r="B26" s="187" t="s">
        <v>14</v>
      </c>
      <c r="C26" s="26"/>
      <c r="D26" s="702">
        <f>C26/C12</f>
        <v>0</v>
      </c>
      <c r="E26" s="26"/>
      <c r="F26" s="702">
        <f>E26/E12</f>
        <v>0</v>
      </c>
      <c r="G26" s="26"/>
      <c r="H26" s="702">
        <f>G26/G12</f>
        <v>0</v>
      </c>
      <c r="I26" s="26"/>
      <c r="J26" s="702">
        <f>I26/I12</f>
        <v>0</v>
      </c>
      <c r="K26" s="26"/>
      <c r="L26" s="702">
        <f>K26/K12</f>
        <v>0</v>
      </c>
      <c r="M26" s="26"/>
      <c r="N26" s="702">
        <f>M26/M12</f>
        <v>0</v>
      </c>
      <c r="O26" s="26"/>
      <c r="P26" s="702">
        <f>O26/O12</f>
        <v>0</v>
      </c>
      <c r="Q26" s="26"/>
      <c r="R26" s="702">
        <f>Q26/Q12</f>
        <v>0</v>
      </c>
      <c r="S26" s="26"/>
      <c r="T26" s="702">
        <f>S26/S12</f>
        <v>0</v>
      </c>
      <c r="U26" s="26"/>
      <c r="V26" s="702">
        <f>U26/U12</f>
        <v>0</v>
      </c>
      <c r="W26" s="26"/>
      <c r="X26" s="702">
        <f>W26/W12</f>
        <v>0</v>
      </c>
      <c r="Y26" s="26"/>
      <c r="Z26" s="702">
        <f>Y26/Y12</f>
        <v>0</v>
      </c>
      <c r="AA26" s="144">
        <f t="shared" si="18"/>
        <v>0</v>
      </c>
      <c r="AB26" s="68">
        <f>AA26/AA12</f>
        <v>0</v>
      </c>
      <c r="AC26" s="128">
        <f t="shared" si="2"/>
        <v>0</v>
      </c>
      <c r="AD26" s="68">
        <f>AC26/AC12</f>
        <v>0</v>
      </c>
      <c r="AE26" s="26"/>
      <c r="AF26" s="26"/>
      <c r="AG26" s="84">
        <f t="shared" si="3"/>
        <v>0</v>
      </c>
      <c r="AH26" s="84">
        <f t="shared" si="1"/>
        <v>0</v>
      </c>
    </row>
    <row r="27" spans="1:34" s="1" customFormat="1">
      <c r="A27" s="187">
        <v>5606</v>
      </c>
      <c r="B27" s="187" t="s">
        <v>77</v>
      </c>
      <c r="C27" s="26">
        <f>C16*0.3%</f>
        <v>2456.4142170778196</v>
      </c>
      <c r="D27" s="702">
        <f>C27/C12</f>
        <v>3.0000000000000001E-3</v>
      </c>
      <c r="E27" s="26">
        <f>E16*0.3%</f>
        <v>1911.0938565854281</v>
      </c>
      <c r="F27" s="702">
        <f>E27/E12</f>
        <v>3.0000000000000001E-3</v>
      </c>
      <c r="G27" s="26">
        <f>G16*0.3%</f>
        <v>3170.0796707472309</v>
      </c>
      <c r="H27" s="702">
        <f>G27/G12</f>
        <v>3.0000000000000001E-3</v>
      </c>
      <c r="I27" s="26">
        <f>I16*0.3%</f>
        <v>2799.1621723510143</v>
      </c>
      <c r="J27" s="702">
        <f>I27/I12</f>
        <v>3.0000000000000001E-3</v>
      </c>
      <c r="K27" s="26">
        <f>K16*0.3%</f>
        <v>2560.1189597156431</v>
      </c>
      <c r="L27" s="702">
        <f>K27/K12</f>
        <v>3.0000000000000001E-3</v>
      </c>
      <c r="M27" s="26">
        <f>M16*0.3%</f>
        <v>3630.2132394640803</v>
      </c>
      <c r="N27" s="702">
        <f>M27/M12</f>
        <v>3.0000000000000001E-3</v>
      </c>
      <c r="O27" s="26">
        <f>O16*0.3%</f>
        <v>2298.3261957214741</v>
      </c>
      <c r="P27" s="702">
        <f>O27/O12</f>
        <v>3.0000000000000001E-3</v>
      </c>
      <c r="Q27" s="26">
        <f>Q16*0.3%</f>
        <v>2853.9213615597482</v>
      </c>
      <c r="R27" s="702">
        <f>Q27/Q12</f>
        <v>3.0000000000000001E-3</v>
      </c>
      <c r="S27" s="26">
        <f>S16*0.3%</f>
        <v>2874.9812343485278</v>
      </c>
      <c r="T27" s="702">
        <f>S27/S12</f>
        <v>3.0000000000000001E-3</v>
      </c>
      <c r="U27" s="26">
        <f>U16*0.3%</f>
        <v>2280.453886602234</v>
      </c>
      <c r="V27" s="702">
        <f>U27/U12</f>
        <v>3.0000000000000001E-3</v>
      </c>
      <c r="W27" s="26">
        <f>W16*0.3%</f>
        <v>2320.2284899281481</v>
      </c>
      <c r="X27" s="702">
        <f>W27/W12</f>
        <v>3.0000000000000001E-3</v>
      </c>
      <c r="Y27" s="26">
        <f>Y16*0.3%</f>
        <v>3505.0844502135292</v>
      </c>
      <c r="Z27" s="702">
        <f>Y27/Y12</f>
        <v>3.0000000000000001E-3</v>
      </c>
      <c r="AA27" s="144">
        <f t="shared" si="18"/>
        <v>32660.077734314877</v>
      </c>
      <c r="AB27" s="702">
        <f>AA27/AA12</f>
        <v>3.0000000000000001E-3</v>
      </c>
      <c r="AC27" s="128">
        <f t="shared" si="2"/>
        <v>2721.6731445262399</v>
      </c>
      <c r="AD27" s="702">
        <f>AC27/AC12</f>
        <v>3.0000000000000005E-3</v>
      </c>
      <c r="AE27" s="645"/>
      <c r="AF27" s="226"/>
      <c r="AG27" s="226"/>
    </row>
    <row r="28" spans="1:34" s="1" customFormat="1">
      <c r="A28" s="3">
        <v>5607</v>
      </c>
      <c r="B28" s="238" t="s">
        <v>57</v>
      </c>
      <c r="C28" s="26"/>
      <c r="D28" s="24">
        <f>C28/C12</f>
        <v>0</v>
      </c>
      <c r="E28" s="26"/>
      <c r="F28" s="24">
        <f>E28/E12</f>
        <v>0</v>
      </c>
      <c r="G28" s="26"/>
      <c r="H28" s="24">
        <f>G28/G12</f>
        <v>0</v>
      </c>
      <c r="I28" s="26"/>
      <c r="J28" s="24">
        <f>I28/I12</f>
        <v>0</v>
      </c>
      <c r="K28" s="26"/>
      <c r="L28" s="24">
        <f>K28/K12</f>
        <v>0</v>
      </c>
      <c r="M28" s="26"/>
      <c r="N28" s="24">
        <f>M28/M12</f>
        <v>0</v>
      </c>
      <c r="O28" s="26"/>
      <c r="P28" s="24">
        <f>O28/O12</f>
        <v>0</v>
      </c>
      <c r="Q28" s="26"/>
      <c r="R28" s="24">
        <f>Q28/Q12</f>
        <v>0</v>
      </c>
      <c r="S28" s="26"/>
      <c r="T28" s="24">
        <f>S28/S12</f>
        <v>0</v>
      </c>
      <c r="U28" s="26"/>
      <c r="V28" s="24">
        <f>U28/U12</f>
        <v>0</v>
      </c>
      <c r="W28" s="26"/>
      <c r="X28" s="24">
        <f>W28/W12</f>
        <v>0</v>
      </c>
      <c r="Y28" s="26"/>
      <c r="Z28" s="24">
        <f>Y28/Y12</f>
        <v>0</v>
      </c>
      <c r="AA28" s="144">
        <f t="shared" si="18"/>
        <v>0</v>
      </c>
      <c r="AB28" s="24">
        <f>AA28/AA12</f>
        <v>0</v>
      </c>
      <c r="AC28" s="128">
        <f t="shared" si="2"/>
        <v>0</v>
      </c>
      <c r="AD28" s="24">
        <f>AC28/AC12</f>
        <v>0</v>
      </c>
      <c r="AE28" s="26"/>
      <c r="AF28" s="26"/>
      <c r="AG28" s="84">
        <f t="shared" si="3"/>
        <v>0</v>
      </c>
      <c r="AH28" s="84">
        <f t="shared" si="1"/>
        <v>0</v>
      </c>
    </row>
    <row r="29" spans="1:34" s="1" customFormat="1">
      <c r="A29" s="3">
        <v>5608</v>
      </c>
      <c r="B29" s="238" t="s">
        <v>58</v>
      </c>
      <c r="C29" s="26"/>
      <c r="D29" s="24">
        <f>C29/C12</f>
        <v>0</v>
      </c>
      <c r="E29" s="26"/>
      <c r="F29" s="24">
        <f>E29/E12</f>
        <v>0</v>
      </c>
      <c r="G29" s="26"/>
      <c r="H29" s="24">
        <f>G29/G12</f>
        <v>0</v>
      </c>
      <c r="I29" s="26"/>
      <c r="J29" s="24">
        <f>I29/I12</f>
        <v>0</v>
      </c>
      <c r="K29" s="26"/>
      <c r="L29" s="24">
        <f>K29/K12</f>
        <v>0</v>
      </c>
      <c r="M29" s="26"/>
      <c r="N29" s="24">
        <f>M29/M12</f>
        <v>0</v>
      </c>
      <c r="O29" s="26"/>
      <c r="P29" s="24">
        <f>O29/O12</f>
        <v>0</v>
      </c>
      <c r="Q29" s="26"/>
      <c r="R29" s="24">
        <f>Q29/Q12</f>
        <v>0</v>
      </c>
      <c r="S29" s="26"/>
      <c r="T29" s="24">
        <f>S29/S12</f>
        <v>0</v>
      </c>
      <c r="U29" s="26"/>
      <c r="V29" s="24">
        <f>U29/U12</f>
        <v>0</v>
      </c>
      <c r="W29" s="26"/>
      <c r="X29" s="24">
        <f>W29/W12</f>
        <v>0</v>
      </c>
      <c r="Y29" s="26"/>
      <c r="Z29" s="24">
        <f>Y29/Y12</f>
        <v>0</v>
      </c>
      <c r="AA29" s="144">
        <f t="shared" si="18"/>
        <v>0</v>
      </c>
      <c r="AB29" s="24">
        <f>AA29/AA12</f>
        <v>0</v>
      </c>
      <c r="AC29" s="128">
        <f t="shared" si="2"/>
        <v>0</v>
      </c>
      <c r="AD29" s="24">
        <f>AC29/AC12</f>
        <v>0</v>
      </c>
      <c r="AE29" s="26"/>
      <c r="AF29" s="26"/>
      <c r="AG29" s="84">
        <f t="shared" si="3"/>
        <v>0</v>
      </c>
      <c r="AH29" s="84">
        <f t="shared" si="1"/>
        <v>0</v>
      </c>
    </row>
    <row r="30" spans="1:34" s="1" customFormat="1">
      <c r="A30" s="3">
        <v>5609</v>
      </c>
      <c r="B30" s="238" t="s">
        <v>59</v>
      </c>
      <c r="C30" s="26"/>
      <c r="D30" s="24">
        <f>C30/C12</f>
        <v>0</v>
      </c>
      <c r="E30" s="26"/>
      <c r="F30" s="24">
        <f>E30/E12</f>
        <v>0</v>
      </c>
      <c r="G30" s="26"/>
      <c r="H30" s="24">
        <f>G30/G12</f>
        <v>0</v>
      </c>
      <c r="I30" s="26"/>
      <c r="J30" s="24">
        <f>I30/I12</f>
        <v>0</v>
      </c>
      <c r="K30" s="26"/>
      <c r="L30" s="24">
        <f>K30/K12</f>
        <v>0</v>
      </c>
      <c r="M30" s="26"/>
      <c r="N30" s="24">
        <f>M30/M12</f>
        <v>0</v>
      </c>
      <c r="O30" s="26"/>
      <c r="P30" s="24">
        <f>O30/O12</f>
        <v>0</v>
      </c>
      <c r="Q30" s="26"/>
      <c r="R30" s="24">
        <f>Q30/Q12</f>
        <v>0</v>
      </c>
      <c r="S30" s="26"/>
      <c r="T30" s="24">
        <f>S30/S12</f>
        <v>0</v>
      </c>
      <c r="U30" s="26"/>
      <c r="V30" s="24">
        <f>U30/U12</f>
        <v>0</v>
      </c>
      <c r="W30" s="26"/>
      <c r="X30" s="24">
        <f>W30/W12</f>
        <v>0</v>
      </c>
      <c r="Y30" s="26"/>
      <c r="Z30" s="24">
        <f>Y30/Y12</f>
        <v>0</v>
      </c>
      <c r="AA30" s="144">
        <f t="shared" si="18"/>
        <v>0</v>
      </c>
      <c r="AB30" s="24">
        <f>AA30/AA12</f>
        <v>0</v>
      </c>
      <c r="AC30" s="128">
        <f t="shared" si="2"/>
        <v>0</v>
      </c>
      <c r="AD30" s="24">
        <f>AC30/AC12</f>
        <v>0</v>
      </c>
      <c r="AE30" s="26"/>
      <c r="AF30" s="26"/>
      <c r="AG30" s="84">
        <f t="shared" si="3"/>
        <v>0</v>
      </c>
      <c r="AH30" s="84">
        <f t="shared" si="1"/>
        <v>0</v>
      </c>
    </row>
    <row r="31" spans="1:34" s="1" customFormat="1">
      <c r="A31" s="3">
        <v>5610</v>
      </c>
      <c r="B31" s="238" t="s">
        <v>60</v>
      </c>
      <c r="C31" s="26"/>
      <c r="D31" s="24">
        <f>C31/C12</f>
        <v>0</v>
      </c>
      <c r="E31" s="26"/>
      <c r="F31" s="24">
        <f>E31/E12</f>
        <v>0</v>
      </c>
      <c r="G31" s="26"/>
      <c r="H31" s="24">
        <f>G31/G12</f>
        <v>0</v>
      </c>
      <c r="I31" s="26"/>
      <c r="J31" s="24">
        <f>I31/I12</f>
        <v>0</v>
      </c>
      <c r="K31" s="26"/>
      <c r="L31" s="24">
        <f>K31/K12</f>
        <v>0</v>
      </c>
      <c r="M31" s="26"/>
      <c r="N31" s="24">
        <f>M31/M12</f>
        <v>0</v>
      </c>
      <c r="O31" s="26"/>
      <c r="P31" s="24">
        <f>O31/O12</f>
        <v>0</v>
      </c>
      <c r="Q31" s="26"/>
      <c r="R31" s="24">
        <f>Q31/Q12</f>
        <v>0</v>
      </c>
      <c r="S31" s="26"/>
      <c r="T31" s="24">
        <f>S31/S12</f>
        <v>0</v>
      </c>
      <c r="U31" s="26"/>
      <c r="V31" s="24">
        <f>U31/U12</f>
        <v>0</v>
      </c>
      <c r="W31" s="26"/>
      <c r="X31" s="24">
        <f>W31/W12</f>
        <v>0</v>
      </c>
      <c r="Y31" s="26"/>
      <c r="Z31" s="24">
        <f>Y31/Y12</f>
        <v>0</v>
      </c>
      <c r="AA31" s="144">
        <f t="shared" si="18"/>
        <v>0</v>
      </c>
      <c r="AB31" s="24">
        <f>AA31/AA12</f>
        <v>0</v>
      </c>
      <c r="AC31" s="128">
        <f t="shared" si="2"/>
        <v>0</v>
      </c>
      <c r="AD31" s="24">
        <f>AC31/AC12</f>
        <v>0</v>
      </c>
      <c r="AE31" s="26"/>
      <c r="AF31" s="26"/>
      <c r="AG31" s="84">
        <f t="shared" si="3"/>
        <v>0</v>
      </c>
      <c r="AH31" s="84">
        <f t="shared" si="1"/>
        <v>0</v>
      </c>
    </row>
    <row r="32" spans="1:34" s="1" customFormat="1">
      <c r="A32" s="3">
        <v>5611</v>
      </c>
      <c r="B32" s="238" t="s">
        <v>108</v>
      </c>
      <c r="C32" s="26"/>
      <c r="D32" s="24">
        <f>C32/C12</f>
        <v>0</v>
      </c>
      <c r="E32" s="26"/>
      <c r="F32" s="24">
        <f>E32/E12</f>
        <v>0</v>
      </c>
      <c r="G32" s="26"/>
      <c r="H32" s="24">
        <f>G32/G12</f>
        <v>0</v>
      </c>
      <c r="I32" s="26"/>
      <c r="J32" s="24">
        <f>I32/I12</f>
        <v>0</v>
      </c>
      <c r="K32" s="26"/>
      <c r="L32" s="24">
        <f>K32/K12</f>
        <v>0</v>
      </c>
      <c r="M32" s="26"/>
      <c r="N32" s="24">
        <f>M32/M12</f>
        <v>0</v>
      </c>
      <c r="O32" s="26"/>
      <c r="P32" s="24">
        <f>O32/O12</f>
        <v>0</v>
      </c>
      <c r="Q32" s="26"/>
      <c r="R32" s="24">
        <f>Q32/Q12</f>
        <v>0</v>
      </c>
      <c r="S32" s="26"/>
      <c r="T32" s="24">
        <f>S32/S12</f>
        <v>0</v>
      </c>
      <c r="U32" s="26"/>
      <c r="V32" s="24">
        <f>U32/U12</f>
        <v>0</v>
      </c>
      <c r="W32" s="26"/>
      <c r="X32" s="24">
        <f>W32/W12</f>
        <v>0</v>
      </c>
      <c r="Y32" s="26"/>
      <c r="Z32" s="24">
        <f>Y32/Y12</f>
        <v>0</v>
      </c>
      <c r="AA32" s="144">
        <f t="shared" si="18"/>
        <v>0</v>
      </c>
      <c r="AB32" s="24">
        <f>AA32/AA12</f>
        <v>0</v>
      </c>
      <c r="AC32" s="128">
        <f t="shared" si="2"/>
        <v>0</v>
      </c>
      <c r="AD32" s="24">
        <f>AC32/AC12</f>
        <v>0</v>
      </c>
      <c r="AE32" s="26"/>
      <c r="AF32" s="26"/>
      <c r="AG32" s="84">
        <f t="shared" si="3"/>
        <v>0</v>
      </c>
      <c r="AH32" s="84">
        <f t="shared" si="1"/>
        <v>0</v>
      </c>
    </row>
    <row r="33" spans="1:34" s="1" customFormat="1">
      <c r="A33" s="3">
        <v>5612</v>
      </c>
      <c r="B33" s="238" t="s">
        <v>61</v>
      </c>
      <c r="C33" s="26"/>
      <c r="D33" s="24">
        <f>C33/C12</f>
        <v>0</v>
      </c>
      <c r="E33" s="26"/>
      <c r="F33" s="24">
        <f>E33/E12</f>
        <v>0</v>
      </c>
      <c r="G33" s="26"/>
      <c r="H33" s="24">
        <f>G33/G12</f>
        <v>0</v>
      </c>
      <c r="I33" s="26"/>
      <c r="J33" s="24">
        <f>I33/I12</f>
        <v>0</v>
      </c>
      <c r="K33" s="26"/>
      <c r="L33" s="24">
        <f>K33/K12</f>
        <v>0</v>
      </c>
      <c r="M33" s="26"/>
      <c r="N33" s="24">
        <f>M33/M12</f>
        <v>0</v>
      </c>
      <c r="O33" s="26"/>
      <c r="P33" s="24">
        <f>O33/O12</f>
        <v>0</v>
      </c>
      <c r="Q33" s="26"/>
      <c r="R33" s="24">
        <f>Q33/Q12</f>
        <v>0</v>
      </c>
      <c r="S33" s="26"/>
      <c r="T33" s="24">
        <f>S33/S12</f>
        <v>0</v>
      </c>
      <c r="U33" s="26"/>
      <c r="V33" s="24">
        <f>U33/U12</f>
        <v>0</v>
      </c>
      <c r="W33" s="26"/>
      <c r="X33" s="24">
        <f>W33/W12</f>
        <v>0</v>
      </c>
      <c r="Y33" s="26"/>
      <c r="Z33" s="24">
        <f>Y33/Y12</f>
        <v>0</v>
      </c>
      <c r="AA33" s="144">
        <f t="shared" si="18"/>
        <v>0</v>
      </c>
      <c r="AB33" s="24">
        <f>AA33/AA12</f>
        <v>0</v>
      </c>
      <c r="AC33" s="128">
        <f t="shared" si="2"/>
        <v>0</v>
      </c>
      <c r="AD33" s="24">
        <f>AC33/AC12</f>
        <v>0</v>
      </c>
      <c r="AE33" s="26"/>
      <c r="AF33" s="26"/>
      <c r="AG33" s="84">
        <f t="shared" si="3"/>
        <v>0</v>
      </c>
      <c r="AH33" s="84">
        <f t="shared" si="1"/>
        <v>0</v>
      </c>
    </row>
    <row r="34" spans="1:34" s="1" customFormat="1">
      <c r="A34" s="211">
        <v>5613</v>
      </c>
      <c r="B34" s="249" t="s">
        <v>62</v>
      </c>
      <c r="C34" s="26"/>
      <c r="D34" s="212">
        <f>C34/C12</f>
        <v>0</v>
      </c>
      <c r="E34" s="26"/>
      <c r="F34" s="212">
        <f>E34/E12</f>
        <v>0</v>
      </c>
      <c r="G34" s="26"/>
      <c r="H34" s="212">
        <f>G34/G12</f>
        <v>0</v>
      </c>
      <c r="I34" s="26"/>
      <c r="J34" s="212">
        <f>I34/I12</f>
        <v>0</v>
      </c>
      <c r="K34" s="26"/>
      <c r="L34" s="212">
        <f>K34/K12</f>
        <v>0</v>
      </c>
      <c r="M34" s="26"/>
      <c r="N34" s="212">
        <f>M34/M12</f>
        <v>0</v>
      </c>
      <c r="O34" s="26"/>
      <c r="P34" s="212">
        <f>O34/O12</f>
        <v>0</v>
      </c>
      <c r="Q34" s="26"/>
      <c r="R34" s="212">
        <f>Q34/Q12</f>
        <v>0</v>
      </c>
      <c r="S34" s="26"/>
      <c r="T34" s="212">
        <f>S34/S12</f>
        <v>0</v>
      </c>
      <c r="U34" s="26"/>
      <c r="V34" s="212">
        <f>U34/U12</f>
        <v>0</v>
      </c>
      <c r="W34" s="26"/>
      <c r="X34" s="212">
        <f>W34/W12</f>
        <v>0</v>
      </c>
      <c r="Y34" s="26"/>
      <c r="Z34" s="212">
        <f>Y34/Y12</f>
        <v>0</v>
      </c>
      <c r="AA34" s="166">
        <f t="shared" si="18"/>
        <v>0</v>
      </c>
      <c r="AB34" s="212">
        <f>AA34/AA12</f>
        <v>0</v>
      </c>
      <c r="AC34" s="128">
        <f t="shared" si="2"/>
        <v>0</v>
      </c>
      <c r="AD34" s="212">
        <f>AC34/AC12</f>
        <v>0</v>
      </c>
      <c r="AE34" s="26"/>
      <c r="AF34" s="26"/>
      <c r="AG34" s="84">
        <f t="shared" si="3"/>
        <v>0</v>
      </c>
      <c r="AH34" s="84">
        <f t="shared" si="1"/>
        <v>0</v>
      </c>
    </row>
    <row r="35" spans="1:34" s="1" customFormat="1">
      <c r="A35" s="206">
        <v>5699</v>
      </c>
      <c r="B35" s="250" t="s">
        <v>109</v>
      </c>
      <c r="C35" s="297">
        <f>SUM(C22:C34)</f>
        <v>2606.4142170778196</v>
      </c>
      <c r="D35" s="207">
        <f>C35/C12</f>
        <v>3.183193859110344E-3</v>
      </c>
      <c r="E35" s="297">
        <f>SUM(E22:E34)</f>
        <v>2061.0938565854281</v>
      </c>
      <c r="F35" s="207">
        <f>E35/E12</f>
        <v>3.2354672422023373E-3</v>
      </c>
      <c r="G35" s="297">
        <f>SUM(G22:G34)</f>
        <v>3320.0796707472309</v>
      </c>
      <c r="H35" s="207">
        <f>G35/G12</f>
        <v>3.1419522683144205E-3</v>
      </c>
      <c r="I35" s="297">
        <f>SUM(I22:I34)</f>
        <v>2949.1621723510143</v>
      </c>
      <c r="J35" s="207">
        <f>I35/I12</f>
        <v>3.1607623897053619E-3</v>
      </c>
      <c r="K35" s="297">
        <f>SUM(K22:K34)</f>
        <v>2710.1189597156431</v>
      </c>
      <c r="L35" s="207">
        <f>K35/K12</f>
        <v>3.1757730820641174E-3</v>
      </c>
      <c r="M35" s="297">
        <f>SUM(M22:M34)</f>
        <v>3780.2132394640803</v>
      </c>
      <c r="N35" s="207">
        <f>M35/M12</f>
        <v>3.1239596603053633E-3</v>
      </c>
      <c r="O35" s="297">
        <f>SUM(O22:O34)</f>
        <v>2448.3261957214741</v>
      </c>
      <c r="P35" s="207">
        <f>O35/O12</f>
        <v>3.1957946617141258E-3</v>
      </c>
      <c r="Q35" s="297">
        <f>SUM(Q22:Q34)</f>
        <v>3003.9213615597482</v>
      </c>
      <c r="R35" s="207">
        <f>Q35/Q12</f>
        <v>3.1576777854012287E-3</v>
      </c>
      <c r="S35" s="297">
        <f>SUM(S22:S34)</f>
        <v>3024.9812343485278</v>
      </c>
      <c r="T35" s="207">
        <f>S35/S12</f>
        <v>3.1565227607831571E-3</v>
      </c>
      <c r="U35" s="208">
        <f>SUM(U22:U34)</f>
        <v>2430.453886602234</v>
      </c>
      <c r="V35" s="207">
        <f>U35/U12</f>
        <v>3.1973291381350746E-3</v>
      </c>
      <c r="W35" s="208">
        <f>SUM(W22:W34)</f>
        <v>2470.2284899281481</v>
      </c>
      <c r="X35" s="207">
        <f>W35/W12</f>
        <v>3.1939464160333345E-3</v>
      </c>
      <c r="Y35" s="208">
        <f>SUM(Y22:Y34)</f>
        <v>3655.0844502135292</v>
      </c>
      <c r="Z35" s="207">
        <f>Y35/Y12</f>
        <v>3.1283849237848139E-3</v>
      </c>
      <c r="AA35" s="209">
        <f>SUM(AA22:AA34)</f>
        <v>34460.07773431488</v>
      </c>
      <c r="AB35" s="207">
        <f>AA35/AA12</f>
        <v>3.165339471752892E-3</v>
      </c>
      <c r="AC35" s="210">
        <f t="shared" si="2"/>
        <v>2871.6731445262399</v>
      </c>
      <c r="AD35" s="207">
        <f>AC35/AC12</f>
        <v>3.165339471752892E-3</v>
      </c>
      <c r="AE35" s="26"/>
      <c r="AF35" s="26"/>
      <c r="AG35" s="84">
        <f t="shared" si="3"/>
        <v>34460.077734314873</v>
      </c>
      <c r="AH35" s="84">
        <f t="shared" si="1"/>
        <v>0</v>
      </c>
    </row>
    <row r="36" spans="1:34" s="1" customFormat="1">
      <c r="A36" s="205">
        <v>5999</v>
      </c>
      <c r="B36" s="251" t="s">
        <v>110</v>
      </c>
      <c r="C36" s="298">
        <f>C21+C35</f>
        <v>444760.97329108539</v>
      </c>
      <c r="D36" s="204">
        <f>C36/C12</f>
        <v>0.5431831938591104</v>
      </c>
      <c r="E36" s="298">
        <f>E21+E35</f>
        <v>288725.17234439967</v>
      </c>
      <c r="F36" s="204">
        <f>E36/E12</f>
        <v>0.45323546724220243</v>
      </c>
      <c r="G36" s="298">
        <f>G21+G35</f>
        <v>584501.35264107294</v>
      </c>
      <c r="H36" s="204">
        <f>G36/G12</f>
        <v>0.55314195226831453</v>
      </c>
      <c r="I36" s="298">
        <f>I21+I35</f>
        <v>464344.39358154323</v>
      </c>
      <c r="J36" s="204">
        <f>I36/I12</f>
        <v>0.49766076238970541</v>
      </c>
      <c r="K36" s="298">
        <f>K21+K35</f>
        <v>351312.98397432908</v>
      </c>
      <c r="L36" s="204">
        <f>K36/K12</f>
        <v>0.41167577308206416</v>
      </c>
      <c r="M36" s="298">
        <f>M21+M35</f>
        <v>652499.3191316952</v>
      </c>
      <c r="N36" s="204">
        <f>M36/M12</f>
        <v>0.53922395966030534</v>
      </c>
      <c r="O36" s="298">
        <f>O21+O35</f>
        <v>378531.10268894536</v>
      </c>
      <c r="P36" s="204">
        <f>O36/O12</f>
        <v>0.49409579466171416</v>
      </c>
      <c r="Q36" s="298">
        <f>Q21+Q35</f>
        <v>495685.87907882431</v>
      </c>
      <c r="R36" s="204">
        <f>Q36/Q12</f>
        <v>0.52105767778540124</v>
      </c>
      <c r="S36" s="298">
        <f>S21+S35</f>
        <v>434367.99909443932</v>
      </c>
      <c r="T36" s="204">
        <f>S36/S12</f>
        <v>0.45325652276078315</v>
      </c>
      <c r="U36" s="203">
        <f>U21+U35</f>
        <v>380301.6628965924</v>
      </c>
      <c r="V36" s="204">
        <f>U36/U12</f>
        <v>0.50029732913813507</v>
      </c>
      <c r="W36" s="203">
        <f>W21+W35</f>
        <v>360790.84828449844</v>
      </c>
      <c r="X36" s="204">
        <f>W36/W12</f>
        <v>0.46649394641603331</v>
      </c>
      <c r="Y36" s="203">
        <f>Y21+Y35</f>
        <v>621835.14531953959</v>
      </c>
      <c r="Z36" s="204">
        <f>Y36/Y12</f>
        <v>0.53222838492378477</v>
      </c>
      <c r="AA36" s="154">
        <f>AA21+AA35</f>
        <v>5457656.8323269645</v>
      </c>
      <c r="AB36" s="204">
        <f>AA36/AA12</f>
        <v>0.50131449870305578</v>
      </c>
      <c r="AC36" s="139">
        <f t="shared" si="2"/>
        <v>454804.73602724704</v>
      </c>
      <c r="AD36" s="204">
        <f>AC36/AC12</f>
        <v>0.50131449870305567</v>
      </c>
      <c r="AE36" s="26"/>
      <c r="AF36" s="26"/>
      <c r="AG36" s="84">
        <f t="shared" si="3"/>
        <v>5457656.8323269654</v>
      </c>
      <c r="AH36" s="84">
        <f t="shared" si="1"/>
        <v>0</v>
      </c>
    </row>
    <row r="37" spans="1:34" s="1" customFormat="1" ht="15.75" thickBot="1">
      <c r="A37" s="10"/>
      <c r="B37" s="240" t="s">
        <v>68</v>
      </c>
      <c r="C37" s="30">
        <f>(C16-C36)</f>
        <v>374043.76573485445</v>
      </c>
      <c r="D37" s="88">
        <f>C37/C12</f>
        <v>0.4568168061408896</v>
      </c>
      <c r="E37" s="30">
        <f>(E16-E36)</f>
        <v>348306.11318407633</v>
      </c>
      <c r="F37" s="88">
        <f>E37/E12</f>
        <v>0.54676453275779757</v>
      </c>
      <c r="G37" s="30">
        <f>(G16-G36)</f>
        <v>472191.87094133731</v>
      </c>
      <c r="H37" s="88">
        <f>G37/G12</f>
        <v>0.44685804773168553</v>
      </c>
      <c r="I37" s="30">
        <f>(I16-I36)</f>
        <v>468709.6638687948</v>
      </c>
      <c r="J37" s="88">
        <f>I37/I12</f>
        <v>0.50233923761029453</v>
      </c>
      <c r="K37" s="30">
        <f>(K16-K36)</f>
        <v>502060.00259755191</v>
      </c>
      <c r="L37" s="88">
        <f>K37/K12</f>
        <v>0.58832422691793584</v>
      </c>
      <c r="M37" s="30">
        <f>(M16-M36)</f>
        <v>557571.76068966486</v>
      </c>
      <c r="N37" s="88">
        <f>M37/M12</f>
        <v>0.46077604033969466</v>
      </c>
      <c r="O37" s="30">
        <f>(O16-O36)</f>
        <v>387577.62921821268</v>
      </c>
      <c r="P37" s="88">
        <f>O37/O12</f>
        <v>0.50590420533828584</v>
      </c>
      <c r="Q37" s="30">
        <f>(Q16-Q36)</f>
        <v>455621.24144109176</v>
      </c>
      <c r="R37" s="88">
        <f>Q37/Q12</f>
        <v>0.47894232221459876</v>
      </c>
      <c r="S37" s="30">
        <f>(S16-S36)</f>
        <v>523959.07902173663</v>
      </c>
      <c r="T37" s="88">
        <f>S37/S12</f>
        <v>0.54674347723921679</v>
      </c>
      <c r="U37" s="80">
        <f>(U16-U36)</f>
        <v>379849.63263748563</v>
      </c>
      <c r="V37" s="88">
        <f>U37/U12</f>
        <v>0.49970267086186493</v>
      </c>
      <c r="W37" s="80">
        <f>(W16-W36)</f>
        <v>412618.64835821756</v>
      </c>
      <c r="X37" s="88">
        <f>W37/W12</f>
        <v>0.53350605358396674</v>
      </c>
      <c r="Y37" s="80">
        <f>(Y16-Y36)</f>
        <v>546526.33808497014</v>
      </c>
      <c r="Z37" s="88">
        <f>Y37/Y12</f>
        <v>0.46777161507621523</v>
      </c>
      <c r="AA37" s="195">
        <f>(AA16-AA36)</f>
        <v>5429035.7457779935</v>
      </c>
      <c r="AB37" s="88">
        <f>AA37/AA12</f>
        <v>0.49868550129694428</v>
      </c>
      <c r="AC37" s="59">
        <f t="shared" si="2"/>
        <v>452419.64548149944</v>
      </c>
      <c r="AD37" s="88">
        <f>AC37/AC12</f>
        <v>0.49868550129694422</v>
      </c>
      <c r="AE37" s="26"/>
      <c r="AF37" s="26"/>
      <c r="AG37" s="84">
        <f t="shared" si="3"/>
        <v>5429035.7457779944</v>
      </c>
      <c r="AH37" s="84">
        <f t="shared" ref="AH37:AH67" si="19">AA37-AG37</f>
        <v>0</v>
      </c>
    </row>
    <row r="38" spans="1:34" s="1" customFormat="1" ht="15.75" thickTop="1">
      <c r="A38" s="2">
        <v>6002</v>
      </c>
      <c r="B38" s="228" t="s">
        <v>45</v>
      </c>
      <c r="C38" s="61"/>
      <c r="D38" s="24">
        <f>C38/C12</f>
        <v>0</v>
      </c>
      <c r="E38" s="703"/>
      <c r="F38" s="24">
        <f>E38/E12</f>
        <v>0</v>
      </c>
      <c r="G38" s="26"/>
      <c r="H38" s="24">
        <f>G38/G12</f>
        <v>0</v>
      </c>
      <c r="I38" s="61"/>
      <c r="J38" s="24">
        <f>I38/I12</f>
        <v>0</v>
      </c>
      <c r="K38" s="703"/>
      <c r="L38" s="24">
        <f>K38/K12</f>
        <v>0</v>
      </c>
      <c r="M38" s="26"/>
      <c r="N38" s="24">
        <f>M38/M12</f>
        <v>0</v>
      </c>
      <c r="O38" s="704"/>
      <c r="P38" s="24">
        <f>O38/O12</f>
        <v>0</v>
      </c>
      <c r="Q38" s="26"/>
      <c r="R38" s="24">
        <f>Q38/Q12</f>
        <v>0</v>
      </c>
      <c r="S38" s="26"/>
      <c r="T38" s="24">
        <f>S38/S12</f>
        <v>0</v>
      </c>
      <c r="U38" s="61"/>
      <c r="V38" s="24">
        <f>U38/U12</f>
        <v>0</v>
      </c>
      <c r="W38" s="61"/>
      <c r="X38" s="24">
        <f>W38/W12</f>
        <v>0</v>
      </c>
      <c r="Y38" s="61"/>
      <c r="Z38" s="24">
        <f>Y38/Y12</f>
        <v>0</v>
      </c>
      <c r="AA38" s="144">
        <f>C38+E38+G38+I38+K38+M38+O38+Q38+S38+U38+W38+Y38</f>
        <v>0</v>
      </c>
      <c r="AB38" s="24">
        <f>AA38/AA12</f>
        <v>0</v>
      </c>
      <c r="AC38" s="128">
        <f t="shared" si="2"/>
        <v>0</v>
      </c>
      <c r="AD38" s="24">
        <f>AC38/AC12</f>
        <v>0</v>
      </c>
      <c r="AE38" s="26"/>
      <c r="AF38" s="26"/>
      <c r="AG38" s="84">
        <f t="shared" si="3"/>
        <v>0</v>
      </c>
      <c r="AH38" s="84">
        <f t="shared" si="19"/>
        <v>0</v>
      </c>
    </row>
    <row r="39" spans="1:34" s="1" customFormat="1">
      <c r="A39" s="2">
        <v>6003</v>
      </c>
      <c r="B39" s="2" t="s">
        <v>0</v>
      </c>
      <c r="C39" s="61"/>
      <c r="D39" s="702">
        <f>C39/C12</f>
        <v>0</v>
      </c>
      <c r="E39" s="61"/>
      <c r="F39" s="702">
        <f>E39/E12</f>
        <v>0</v>
      </c>
      <c r="G39" s="26"/>
      <c r="H39" s="702">
        <f>G39/G12</f>
        <v>0</v>
      </c>
      <c r="I39" s="61"/>
      <c r="J39" s="702">
        <f>I39/I12</f>
        <v>0</v>
      </c>
      <c r="K39" s="61"/>
      <c r="L39" s="702">
        <f>K39/K12</f>
        <v>0</v>
      </c>
      <c r="M39" s="26"/>
      <c r="N39" s="702">
        <f>M39/M12</f>
        <v>0</v>
      </c>
      <c r="O39" s="26"/>
      <c r="P39" s="68">
        <f>O39/O12</f>
        <v>0</v>
      </c>
      <c r="Q39" s="26"/>
      <c r="R39" s="68">
        <f>Q39/Q12</f>
        <v>0</v>
      </c>
      <c r="S39" s="26">
        <v>0</v>
      </c>
      <c r="T39" s="68">
        <f>S39/S12</f>
        <v>0</v>
      </c>
      <c r="U39" s="26"/>
      <c r="V39" s="68">
        <f>U39/U12</f>
        <v>0</v>
      </c>
      <c r="W39" s="26"/>
      <c r="X39" s="68">
        <f>W39/W12</f>
        <v>0</v>
      </c>
      <c r="Y39" s="26"/>
      <c r="Z39" s="68">
        <f>Y39/Y12</f>
        <v>0</v>
      </c>
      <c r="AA39" s="144">
        <f>C39+E39+G39+I39+K39+M39+O39+Q39+S39+U39+W39+Y39</f>
        <v>0</v>
      </c>
      <c r="AB39" s="68">
        <f>AA39/AA12</f>
        <v>0</v>
      </c>
      <c r="AC39" s="128">
        <f t="shared" si="2"/>
        <v>0</v>
      </c>
      <c r="AD39" s="68">
        <f>AC39/AC12</f>
        <v>0</v>
      </c>
      <c r="AE39" s="26"/>
      <c r="AF39" s="26"/>
      <c r="AG39" s="84">
        <f t="shared" si="3"/>
        <v>0</v>
      </c>
      <c r="AH39" s="84">
        <f t="shared" si="19"/>
        <v>0</v>
      </c>
    </row>
    <row r="40" spans="1:34" s="1" customFormat="1">
      <c r="A40" s="2">
        <v>6004</v>
      </c>
      <c r="B40" s="228" t="s">
        <v>1</v>
      </c>
      <c r="C40" s="61"/>
      <c r="D40" s="24">
        <f>C40/C12</f>
        <v>0</v>
      </c>
      <c r="E40" s="703"/>
      <c r="F40" s="24">
        <f>E40/E12</f>
        <v>0</v>
      </c>
      <c r="G40" s="26"/>
      <c r="H40" s="24">
        <f>G40/G12</f>
        <v>0</v>
      </c>
      <c r="I40" s="61"/>
      <c r="J40" s="24">
        <f>I40/I12</f>
        <v>0</v>
      </c>
      <c r="K40" s="703"/>
      <c r="L40" s="24">
        <f>K40/K12</f>
        <v>0</v>
      </c>
      <c r="M40" s="26"/>
      <c r="N40" s="24">
        <f>M40/M12</f>
        <v>0</v>
      </c>
      <c r="O40" s="704"/>
      <c r="P40" s="24">
        <f>O40/O12</f>
        <v>0</v>
      </c>
      <c r="Q40" s="26"/>
      <c r="R40" s="24">
        <f>Q40/Q12</f>
        <v>0</v>
      </c>
      <c r="S40" s="26"/>
      <c r="T40" s="24">
        <f>S40/S12</f>
        <v>0</v>
      </c>
      <c r="U40" s="61"/>
      <c r="V40" s="24">
        <f>U40/U12</f>
        <v>0</v>
      </c>
      <c r="W40" s="61"/>
      <c r="X40" s="24">
        <f>W40/W12</f>
        <v>0</v>
      </c>
      <c r="Y40" s="61"/>
      <c r="Z40" s="24">
        <f>Y40/Y12</f>
        <v>0</v>
      </c>
      <c r="AA40" s="144">
        <f>C40+E40+G40+I40+K40+M40+O40+Q40+S40+U40+W40+Y40</f>
        <v>0</v>
      </c>
      <c r="AB40" s="24">
        <f>AA40/AA12</f>
        <v>0</v>
      </c>
      <c r="AC40" s="128">
        <f t="shared" si="2"/>
        <v>0</v>
      </c>
      <c r="AD40" s="24">
        <f>AC40/AC12</f>
        <v>0</v>
      </c>
      <c r="AE40" s="26"/>
      <c r="AF40" s="26"/>
      <c r="AG40" s="84">
        <f t="shared" si="3"/>
        <v>0</v>
      </c>
      <c r="AH40" s="84">
        <f t="shared" si="19"/>
        <v>0</v>
      </c>
    </row>
    <row r="41" spans="1:34" s="1" customFormat="1" ht="15.75" thickBot="1">
      <c r="A41" s="4">
        <v>6099</v>
      </c>
      <c r="B41" s="229" t="s">
        <v>111</v>
      </c>
      <c r="C41" s="28">
        <f>SUM(C38:C40)</f>
        <v>0</v>
      </c>
      <c r="D41" s="92">
        <f>C41/C12</f>
        <v>0</v>
      </c>
      <c r="E41" s="28">
        <f>SUM(E38:E40)</f>
        <v>0</v>
      </c>
      <c r="F41" s="92">
        <f>E41/E12</f>
        <v>0</v>
      </c>
      <c r="G41" s="28">
        <f>SUM(G38:G40)</f>
        <v>0</v>
      </c>
      <c r="H41" s="92">
        <f>G41/G12</f>
        <v>0</v>
      </c>
      <c r="I41" s="28">
        <f>SUM(I38:I40)</f>
        <v>0</v>
      </c>
      <c r="J41" s="92">
        <f>I41/I12</f>
        <v>0</v>
      </c>
      <c r="K41" s="28">
        <f>SUM(K38:K40)</f>
        <v>0</v>
      </c>
      <c r="L41" s="92">
        <f>K41/K12</f>
        <v>0</v>
      </c>
      <c r="M41" s="28">
        <f>SUM(M38:M40)</f>
        <v>0</v>
      </c>
      <c r="N41" s="92">
        <f>M41/M12</f>
        <v>0</v>
      </c>
      <c r="O41" s="28">
        <f>SUM(O38:O40)</f>
        <v>0</v>
      </c>
      <c r="P41" s="92">
        <f>O41/O12</f>
        <v>0</v>
      </c>
      <c r="Q41" s="28">
        <f>SUM(Q38:Q40)</f>
        <v>0</v>
      </c>
      <c r="R41" s="92">
        <f>Q41/Q12</f>
        <v>0</v>
      </c>
      <c r="S41" s="28">
        <f>SUM(S38:S40)</f>
        <v>0</v>
      </c>
      <c r="T41" s="92">
        <f>S41/S12</f>
        <v>0</v>
      </c>
      <c r="U41" s="76">
        <f>SUM(U38:U40)</f>
        <v>0</v>
      </c>
      <c r="V41" s="92">
        <f>U41/U12</f>
        <v>0</v>
      </c>
      <c r="W41" s="76">
        <f>SUM(W38:W40)</f>
        <v>0</v>
      </c>
      <c r="X41" s="92">
        <f>W41/W12</f>
        <v>0</v>
      </c>
      <c r="Y41" s="76">
        <f>SUM(Y38:Y40)</f>
        <v>0</v>
      </c>
      <c r="Z41" s="92">
        <f>Y41/Y12</f>
        <v>0</v>
      </c>
      <c r="AA41" s="196">
        <f>SUM(AA38:AA40)</f>
        <v>0</v>
      </c>
      <c r="AB41" s="92">
        <f>AA41/AA12</f>
        <v>0</v>
      </c>
      <c r="AC41" s="52">
        <f t="shared" si="2"/>
        <v>0</v>
      </c>
      <c r="AD41" s="92">
        <f>AC41/AC12</f>
        <v>0</v>
      </c>
      <c r="AE41" s="26"/>
      <c r="AF41" s="26"/>
      <c r="AG41" s="84">
        <f t="shared" si="3"/>
        <v>0</v>
      </c>
      <c r="AH41" s="84">
        <f t="shared" si="19"/>
        <v>0</v>
      </c>
    </row>
    <row r="42" spans="1:34" s="1" customFormat="1" ht="15.75" thickTop="1">
      <c r="A42" s="188">
        <v>6101</v>
      </c>
      <c r="B42" s="227" t="s">
        <v>2</v>
      </c>
      <c r="C42" s="26">
        <f>C16*6%</f>
        <v>49128.284341556391</v>
      </c>
      <c r="D42" s="24">
        <f>C42/C12</f>
        <v>0.06</v>
      </c>
      <c r="E42" s="26">
        <f>E16*6%</f>
        <v>38221.877131708556</v>
      </c>
      <c r="F42" s="24">
        <f>E42/E12</f>
        <v>5.9999999999999991E-2</v>
      </c>
      <c r="G42" s="26">
        <f>G16*6%</f>
        <v>63401.593414944611</v>
      </c>
      <c r="H42" s="24">
        <f>G42/G12</f>
        <v>0.06</v>
      </c>
      <c r="I42" s="26">
        <f>I16*6%</f>
        <v>55983.243447020279</v>
      </c>
      <c r="J42" s="24">
        <f>I42/I12</f>
        <v>0.06</v>
      </c>
      <c r="K42" s="26">
        <f>K16*6%</f>
        <v>51202.37919431286</v>
      </c>
      <c r="L42" s="24">
        <f>K42/K12</f>
        <v>0.06</v>
      </c>
      <c r="M42" s="26">
        <f>M16*6%</f>
        <v>72604.264789281602</v>
      </c>
      <c r="N42" s="24">
        <f>M42/M12</f>
        <v>0.06</v>
      </c>
      <c r="O42" s="26">
        <f>O16*6%</f>
        <v>45966.523914429483</v>
      </c>
      <c r="P42" s="24">
        <f>O42/O12</f>
        <v>0.06</v>
      </c>
      <c r="Q42" s="26">
        <f>Q16*6%</f>
        <v>57078.427231194961</v>
      </c>
      <c r="R42" s="24">
        <f>Q42/Q12</f>
        <v>0.06</v>
      </c>
      <c r="S42" s="26">
        <f>S16*6%</f>
        <v>57499.624686970557</v>
      </c>
      <c r="T42" s="24">
        <f>S42/S12</f>
        <v>0.06</v>
      </c>
      <c r="U42" s="26">
        <f>U16*6%</f>
        <v>45609.07773204468</v>
      </c>
      <c r="V42" s="24">
        <f>U42/U12</f>
        <v>0.06</v>
      </c>
      <c r="W42" s="26">
        <f>W16*6%</f>
        <v>46404.569798562959</v>
      </c>
      <c r="X42" s="24">
        <f>W42/W12</f>
        <v>0.06</v>
      </c>
      <c r="Y42" s="26">
        <f>Y16*6%</f>
        <v>70101.689004270578</v>
      </c>
      <c r="Z42" s="24">
        <f>Y42/Y12</f>
        <v>0.06</v>
      </c>
      <c r="AA42" s="144">
        <f t="shared" ref="AA42:AA74" si="20">C42+E42+G42+I42+K42+M42+O42+Q42+S42+U42+W42+Y42</f>
        <v>653201.55468629743</v>
      </c>
      <c r="AB42" s="68">
        <f>AA42/AA12</f>
        <v>0.06</v>
      </c>
      <c r="AC42" s="128">
        <f t="shared" si="2"/>
        <v>54433.462890524788</v>
      </c>
      <c r="AD42" s="68">
        <f>AC42/AC12</f>
        <v>0.06</v>
      </c>
      <c r="AE42" s="374" t="s">
        <v>228</v>
      </c>
      <c r="AF42" s="374"/>
      <c r="AG42" s="84">
        <f t="shared" si="3"/>
        <v>653201.55468629743</v>
      </c>
      <c r="AH42" s="84">
        <f t="shared" si="19"/>
        <v>0</v>
      </c>
    </row>
    <row r="43" spans="1:34" s="1" customFormat="1">
      <c r="A43" s="188">
        <v>6102</v>
      </c>
      <c r="B43" s="227" t="s">
        <v>3</v>
      </c>
      <c r="C43" s="75">
        <v>5413.76</v>
      </c>
      <c r="D43" s="702">
        <f>C43/C12</f>
        <v>6.6117839113147723E-3</v>
      </c>
      <c r="E43" s="75">
        <v>4927.04</v>
      </c>
      <c r="F43" s="702">
        <f>E43/E12</f>
        <v>7.7343768068040292E-3</v>
      </c>
      <c r="G43" s="33">
        <v>3923.2</v>
      </c>
      <c r="H43" s="702">
        <f>G43/G12</f>
        <v>3.712714260340891E-3</v>
      </c>
      <c r="I43" s="75">
        <v>6919.84</v>
      </c>
      <c r="J43" s="702">
        <f>I43/I12</f>
        <v>7.4163334318583249E-3</v>
      </c>
      <c r="K43" s="75">
        <v>5289.28</v>
      </c>
      <c r="L43" s="702">
        <f>K43/K12</f>
        <v>6.1980869833339579E-3</v>
      </c>
      <c r="M43" s="432">
        <v>5663.68</v>
      </c>
      <c r="N43" s="702">
        <f>M43/M12</f>
        <v>4.6804523258552021E-3</v>
      </c>
      <c r="O43" s="33">
        <v>7098.4</v>
      </c>
      <c r="P43" s="702">
        <f>O43/O12</f>
        <v>9.265525511410343E-3</v>
      </c>
      <c r="Q43" s="75">
        <v>5427.84</v>
      </c>
      <c r="R43" s="702">
        <f>Q43/Q12</f>
        <v>5.7056652714146967E-3</v>
      </c>
      <c r="S43" s="75">
        <v>6069.76</v>
      </c>
      <c r="T43" s="68">
        <f>S43/S12</f>
        <v>6.3337039499411661E-3</v>
      </c>
      <c r="U43" s="75">
        <f>6500-132</f>
        <v>6368</v>
      </c>
      <c r="V43" s="68">
        <f>U43/U12</f>
        <v>8.3772796776277001E-3</v>
      </c>
      <c r="W43" s="75">
        <v>6500</v>
      </c>
      <c r="X43" s="68">
        <f>W43/W12</f>
        <v>8.4043446947778266E-3</v>
      </c>
      <c r="Y43" s="75">
        <v>6500</v>
      </c>
      <c r="Z43" s="24">
        <f>Y43/Y12</f>
        <v>5.5633466973419319E-3</v>
      </c>
      <c r="AA43" s="144">
        <f t="shared" si="20"/>
        <v>70100.799999999988</v>
      </c>
      <c r="AB43" s="68">
        <f>AA43/AA12</f>
        <v>6.4391273563639481E-3</v>
      </c>
      <c r="AC43" s="128">
        <f t="shared" si="2"/>
        <v>5841.7333333333327</v>
      </c>
      <c r="AD43" s="68">
        <f>AC43/AC12</f>
        <v>6.4391273563639481E-3</v>
      </c>
      <c r="AE43" s="374" t="s">
        <v>271</v>
      </c>
      <c r="AF43" s="374"/>
      <c r="AG43" s="84">
        <f t="shared" si="3"/>
        <v>70100.799999999988</v>
      </c>
      <c r="AH43" s="84">
        <f t="shared" si="19"/>
        <v>0</v>
      </c>
    </row>
    <row r="44" spans="1:34" s="1" customFormat="1">
      <c r="A44" s="188">
        <v>6103</v>
      </c>
      <c r="B44" s="227" t="s">
        <v>4</v>
      </c>
      <c r="C44" s="61"/>
      <c r="D44" s="24">
        <f>C44/C12</f>
        <v>0</v>
      </c>
      <c r="E44" s="703"/>
      <c r="F44" s="24">
        <f>E44/E12</f>
        <v>0</v>
      </c>
      <c r="G44" s="33"/>
      <c r="H44" s="24">
        <f>G44/G12</f>
        <v>0</v>
      </c>
      <c r="I44" s="61"/>
      <c r="J44" s="24">
        <f>I44/I12</f>
        <v>0</v>
      </c>
      <c r="K44" s="703"/>
      <c r="L44" s="24">
        <f>K44/K12</f>
        <v>0</v>
      </c>
      <c r="M44" s="26"/>
      <c r="N44" s="24">
        <f>M44/M12</f>
        <v>0</v>
      </c>
      <c r="O44" s="33"/>
      <c r="P44" s="24">
        <f>O44/O12</f>
        <v>0</v>
      </c>
      <c r="Q44" s="26"/>
      <c r="R44" s="24">
        <f>Q44/Q12</f>
        <v>0</v>
      </c>
      <c r="S44" s="26"/>
      <c r="T44" s="24">
        <f>S44/S12</f>
        <v>0</v>
      </c>
      <c r="U44" s="51">
        <v>0</v>
      </c>
      <c r="V44" s="24">
        <f>U44/U12</f>
        <v>0</v>
      </c>
      <c r="W44" s="51"/>
      <c r="X44" s="24">
        <f>W44/W12</f>
        <v>0</v>
      </c>
      <c r="Y44" s="51"/>
      <c r="Z44" s="24">
        <f>Y44/Y12</f>
        <v>0</v>
      </c>
      <c r="AA44" s="144">
        <f t="shared" si="20"/>
        <v>0</v>
      </c>
      <c r="AB44" s="68">
        <f>AA44/AA12</f>
        <v>0</v>
      </c>
      <c r="AC44" s="128">
        <f t="shared" si="2"/>
        <v>0</v>
      </c>
      <c r="AD44" s="68">
        <f>AC44/AC12</f>
        <v>0</v>
      </c>
      <c r="AE44" s="374"/>
      <c r="AF44" s="374">
        <v>0</v>
      </c>
      <c r="AG44" s="84">
        <f t="shared" si="3"/>
        <v>0</v>
      </c>
      <c r="AH44" s="84">
        <f t="shared" si="19"/>
        <v>0</v>
      </c>
    </row>
    <row r="45" spans="1:34" s="1" customFormat="1">
      <c r="A45" s="188">
        <v>6104</v>
      </c>
      <c r="B45" s="227" t="s">
        <v>5</v>
      </c>
      <c r="C45" s="113">
        <v>2490.6999999999998</v>
      </c>
      <c r="D45" s="702">
        <f>C45/C12</f>
        <v>3.0418729659075581E-3</v>
      </c>
      <c r="E45" s="113">
        <v>2481.4</v>
      </c>
      <c r="F45" s="702">
        <f>E45/E12</f>
        <v>3.8952560986725334E-3</v>
      </c>
      <c r="G45" s="33">
        <v>2489.1999999999998</v>
      </c>
      <c r="H45" s="702">
        <f>G45/G12</f>
        <v>2.3556505752550328E-3</v>
      </c>
      <c r="I45" s="113">
        <v>2501.8000000000002</v>
      </c>
      <c r="J45" s="702">
        <f>I45/I12</f>
        <v>2.6813023104324896E-3</v>
      </c>
      <c r="K45" s="113">
        <v>2482</v>
      </c>
      <c r="L45" s="702">
        <f>K45/K12</f>
        <v>2.9084585978875923E-3</v>
      </c>
      <c r="M45" s="33">
        <v>2632.2</v>
      </c>
      <c r="N45" s="702">
        <f>M45/M12</f>
        <v>2.1752441190385158E-3</v>
      </c>
      <c r="O45" s="33">
        <v>2496.4</v>
      </c>
      <c r="P45" s="68">
        <f>O45/O12</f>
        <v>3.2585452900209598E-3</v>
      </c>
      <c r="Q45" s="113">
        <v>2631</v>
      </c>
      <c r="R45" s="68">
        <f>Q45/Q12</f>
        <v>2.7656683559375492E-3</v>
      </c>
      <c r="S45" s="113">
        <v>2491.3000000000002</v>
      </c>
      <c r="T45" s="68">
        <f>S45/S12</f>
        <v>2.5996343595938599E-3</v>
      </c>
      <c r="U45" s="113">
        <v>2750</v>
      </c>
      <c r="V45" s="68">
        <f>U45/U12</f>
        <v>3.617700865809701E-3</v>
      </c>
      <c r="W45" s="113">
        <v>2750</v>
      </c>
      <c r="X45" s="68">
        <f>W45/W12</f>
        <v>3.5556842939444655E-3</v>
      </c>
      <c r="Y45" s="113">
        <v>2750</v>
      </c>
      <c r="Z45" s="68">
        <f t="shared" ref="Z45" si="21">Y45/Y$12</f>
        <v>2.3537236027215869E-3</v>
      </c>
      <c r="AA45" s="144">
        <f t="shared" si="20"/>
        <v>30946</v>
      </c>
      <c r="AB45" s="68">
        <f>AA45/AA12</f>
        <v>2.8425529404805475E-3</v>
      </c>
      <c r="AC45" s="128">
        <f t="shared" si="2"/>
        <v>2578.8333333333335</v>
      </c>
      <c r="AD45" s="68">
        <f>AC45/AC12</f>
        <v>2.8425529404805475E-3</v>
      </c>
      <c r="AE45" s="645" t="s">
        <v>279</v>
      </c>
      <c r="AF45" s="694" t="s">
        <v>280</v>
      </c>
      <c r="AG45" s="84">
        <f t="shared" si="3"/>
        <v>30946</v>
      </c>
      <c r="AH45" s="84">
        <f t="shared" si="19"/>
        <v>0</v>
      </c>
    </row>
    <row r="46" spans="1:34" s="1" customFormat="1">
      <c r="A46" s="188">
        <v>6105</v>
      </c>
      <c r="B46" s="188" t="s">
        <v>39</v>
      </c>
      <c r="C46" s="436">
        <f>C12*0.24%</f>
        <v>1965.1313736622553</v>
      </c>
      <c r="D46" s="702">
        <f>C46/C$12</f>
        <v>2.3999999999999998E-3</v>
      </c>
      <c r="E46" s="436">
        <f>E12*0.24%</f>
        <v>1528.8750852683422</v>
      </c>
      <c r="F46" s="702">
        <f>E46/E$12</f>
        <v>2.3999999999999998E-3</v>
      </c>
      <c r="G46" s="436">
        <f>G12*0.24%</f>
        <v>2536.0637365977846</v>
      </c>
      <c r="H46" s="702">
        <f>G46/$G$12</f>
        <v>2.3999999999999998E-3</v>
      </c>
      <c r="I46" s="436">
        <f>I12*0.24%</f>
        <v>2239.3297378808111</v>
      </c>
      <c r="J46" s="226">
        <v>2.282921148507532E-3</v>
      </c>
      <c r="K46" s="436">
        <f>K12*0.24%</f>
        <v>2048.0951677725143</v>
      </c>
      <c r="L46" s="226">
        <v>1.4480363095715567E-3</v>
      </c>
      <c r="M46" s="436">
        <f>M12*0.24%</f>
        <v>2904.1705915712637</v>
      </c>
      <c r="N46" s="702">
        <v>1.4265472348621291E-3</v>
      </c>
      <c r="O46" s="436">
        <f>O12*0.24%</f>
        <v>1838.6609565771791</v>
      </c>
      <c r="P46" s="702">
        <f>O46/O$12</f>
        <v>2.3999999999999998E-3</v>
      </c>
      <c r="Q46" s="436">
        <f>Q12*0.24%</f>
        <v>2283.1370892477985</v>
      </c>
      <c r="R46" s="702">
        <f>Q46/Q$12</f>
        <v>2.3999999999999998E-3</v>
      </c>
      <c r="S46" s="436">
        <f>S12*0.24%</f>
        <v>2299.9849874788219</v>
      </c>
      <c r="T46" s="702">
        <f>S46/S$12</f>
        <v>2.3999999999999998E-3</v>
      </c>
      <c r="U46" s="436">
        <f>U12*0.24%</f>
        <v>1824.363109281787</v>
      </c>
      <c r="V46" s="702">
        <f>U46/U12</f>
        <v>2.3999999999999998E-3</v>
      </c>
      <c r="W46" s="436">
        <f>W12*0.24%</f>
        <v>1856.1827919425182</v>
      </c>
      <c r="X46" s="702">
        <f>W46/W12</f>
        <v>2.3999999999999998E-3</v>
      </c>
      <c r="Y46" s="436">
        <f>Y16*0.24%</f>
        <v>2804.0675601708231</v>
      </c>
      <c r="Z46" s="702">
        <f>Y46/Y12</f>
        <v>2.3999999999999998E-3</v>
      </c>
      <c r="AA46" s="144">
        <f t="shared" si="20"/>
        <v>26128.062187451902</v>
      </c>
      <c r="AB46" s="68">
        <f>AA46/AA12</f>
        <v>2.4000000000000002E-3</v>
      </c>
      <c r="AC46" s="128">
        <f t="shared" si="2"/>
        <v>2177.338515620992</v>
      </c>
      <c r="AD46" s="68">
        <f>AC46/AC12</f>
        <v>2.4000000000000002E-3</v>
      </c>
      <c r="AE46" s="645" t="s">
        <v>271</v>
      </c>
      <c r="AF46" s="694" t="s">
        <v>273</v>
      </c>
      <c r="AG46" s="84">
        <f t="shared" si="3"/>
        <v>26128.062187451902</v>
      </c>
      <c r="AH46" s="84">
        <f t="shared" si="19"/>
        <v>0</v>
      </c>
    </row>
    <row r="47" spans="1:34" s="1" customFormat="1">
      <c r="A47" s="188">
        <v>6106</v>
      </c>
      <c r="B47" s="227" t="s">
        <v>6</v>
      </c>
      <c r="C47" s="75">
        <v>200</v>
      </c>
      <c r="D47" s="24">
        <f>C47/C12</f>
        <v>2.4425847881379197E-4</v>
      </c>
      <c r="E47" s="75">
        <v>200</v>
      </c>
      <c r="F47" s="24">
        <f>E47/E12</f>
        <v>3.1395632293644983E-4</v>
      </c>
      <c r="G47" s="75">
        <v>200</v>
      </c>
      <c r="H47" s="24">
        <f>G47/G12</f>
        <v>1.8926969108589372E-4</v>
      </c>
      <c r="I47" s="75">
        <v>200</v>
      </c>
      <c r="J47" s="24">
        <f>I47/I12</f>
        <v>2.1434985294048199E-4</v>
      </c>
      <c r="K47" s="75">
        <v>200</v>
      </c>
      <c r="L47" s="24">
        <f>K47/K12</f>
        <v>2.3436410941882289E-4</v>
      </c>
      <c r="M47" s="75">
        <v>200</v>
      </c>
      <c r="N47" s="24">
        <f>M47/M12</f>
        <v>1.6527954707381778E-4</v>
      </c>
      <c r="O47" s="75">
        <v>200</v>
      </c>
      <c r="P47" s="24">
        <f>O47/O12</f>
        <v>2.6105954895216791E-4</v>
      </c>
      <c r="Q47" s="75">
        <v>200</v>
      </c>
      <c r="R47" s="24">
        <f>Q47/Q12</f>
        <v>2.1023704720163808E-4</v>
      </c>
      <c r="S47" s="75">
        <v>200</v>
      </c>
      <c r="T47" s="24">
        <f>S47/S12</f>
        <v>2.0869701437754265E-4</v>
      </c>
      <c r="U47" s="75">
        <v>200</v>
      </c>
      <c r="V47" s="24">
        <f>U47/U12</f>
        <v>2.6310551751343279E-4</v>
      </c>
      <c r="W47" s="75">
        <v>200</v>
      </c>
      <c r="X47" s="24">
        <f>W47/W12</f>
        <v>2.5859522137777931E-4</v>
      </c>
      <c r="Y47" s="75">
        <v>200</v>
      </c>
      <c r="Z47" s="24">
        <f>Y47/Y12</f>
        <v>1.7117989837975176E-4</v>
      </c>
      <c r="AA47" s="144">
        <f t="shared" si="20"/>
        <v>2400</v>
      </c>
      <c r="AB47" s="68">
        <f>AA47/AA12</f>
        <v>2.2045262900385556E-4</v>
      </c>
      <c r="AC47" s="128">
        <f t="shared" si="2"/>
        <v>200</v>
      </c>
      <c r="AD47" s="68">
        <f>AC47/AC12</f>
        <v>2.2045262900385553E-4</v>
      </c>
      <c r="AE47" s="374" t="s">
        <v>274</v>
      </c>
      <c r="AF47" s="26"/>
      <c r="AG47" s="84">
        <f t="shared" si="3"/>
        <v>2400</v>
      </c>
      <c r="AH47" s="84">
        <f t="shared" si="19"/>
        <v>0</v>
      </c>
    </row>
    <row r="48" spans="1:34" s="1" customFormat="1">
      <c r="A48" s="188">
        <v>6107</v>
      </c>
      <c r="B48" s="227" t="s">
        <v>7</v>
      </c>
      <c r="C48" s="75"/>
      <c r="D48" s="24">
        <f>C48/C12</f>
        <v>0</v>
      </c>
      <c r="E48" s="113"/>
      <c r="F48" s="24">
        <f>E48/E12</f>
        <v>0</v>
      </c>
      <c r="G48" s="33"/>
      <c r="H48" s="24">
        <f>G48/G12</f>
        <v>0</v>
      </c>
      <c r="I48" s="75"/>
      <c r="J48" s="24">
        <f>I48/I12</f>
        <v>0</v>
      </c>
      <c r="K48" s="113"/>
      <c r="L48" s="24">
        <f>K48/K12</f>
        <v>0</v>
      </c>
      <c r="M48" s="31"/>
      <c r="N48" s="24">
        <f>M48/M12</f>
        <v>0</v>
      </c>
      <c r="O48" s="33"/>
      <c r="P48" s="24">
        <f>O48/O12</f>
        <v>0</v>
      </c>
      <c r="Q48" s="31"/>
      <c r="R48" s="24">
        <f>Q48/Q12</f>
        <v>0</v>
      </c>
      <c r="S48" s="31"/>
      <c r="T48" s="24">
        <f>S48/S12</f>
        <v>0</v>
      </c>
      <c r="U48" s="31"/>
      <c r="V48" s="24">
        <f>U48/U12</f>
        <v>0</v>
      </c>
      <c r="W48" s="31"/>
      <c r="X48" s="24">
        <f>W48/W12</f>
        <v>0</v>
      </c>
      <c r="Y48" s="31"/>
      <c r="Z48" s="24">
        <f>Y48/Y12</f>
        <v>0</v>
      </c>
      <c r="AA48" s="144">
        <f t="shared" si="20"/>
        <v>0</v>
      </c>
      <c r="AB48" s="68">
        <f>AA48/AA12</f>
        <v>0</v>
      </c>
      <c r="AC48" s="128">
        <f t="shared" si="2"/>
        <v>0</v>
      </c>
      <c r="AD48" s="68">
        <f>AC48/AC12</f>
        <v>0</v>
      </c>
      <c r="AE48" s="374"/>
      <c r="AF48" s="374">
        <v>0</v>
      </c>
      <c r="AG48" s="84">
        <f t="shared" si="3"/>
        <v>0</v>
      </c>
      <c r="AH48" s="84">
        <f t="shared" si="19"/>
        <v>0</v>
      </c>
    </row>
    <row r="49" spans="1:34" s="1" customFormat="1">
      <c r="A49" s="188">
        <v>6108</v>
      </c>
      <c r="B49" s="227" t="s">
        <v>8</v>
      </c>
      <c r="C49" s="75"/>
      <c r="D49" s="24">
        <f>C49/C12</f>
        <v>0</v>
      </c>
      <c r="E49" s="113"/>
      <c r="F49" s="24">
        <f>E49/E12</f>
        <v>0</v>
      </c>
      <c r="G49" s="33"/>
      <c r="H49" s="24">
        <f>G49/G12</f>
        <v>0</v>
      </c>
      <c r="I49" s="75"/>
      <c r="J49" s="24">
        <f>I49/I12</f>
        <v>0</v>
      </c>
      <c r="K49" s="113"/>
      <c r="L49" s="24">
        <f>K49/K12</f>
        <v>0</v>
      </c>
      <c r="M49" s="31"/>
      <c r="N49" s="24">
        <f>M49/M12</f>
        <v>0</v>
      </c>
      <c r="O49" s="33"/>
      <c r="P49" s="24">
        <f>O49/O12</f>
        <v>0</v>
      </c>
      <c r="Q49" s="31"/>
      <c r="R49" s="24">
        <f>Q49/Q12</f>
        <v>0</v>
      </c>
      <c r="S49" s="31"/>
      <c r="T49" s="24">
        <f>S49/S12</f>
        <v>0</v>
      </c>
      <c r="U49" s="31"/>
      <c r="V49" s="24">
        <f>U49/U12</f>
        <v>0</v>
      </c>
      <c r="W49" s="31"/>
      <c r="X49" s="24">
        <f>W49/W12</f>
        <v>0</v>
      </c>
      <c r="Y49" s="31"/>
      <c r="Z49" s="24">
        <f>Y49/Y12</f>
        <v>0</v>
      </c>
      <c r="AA49" s="144">
        <f t="shared" si="20"/>
        <v>0</v>
      </c>
      <c r="AB49" s="68">
        <f>AA49/AA12</f>
        <v>0</v>
      </c>
      <c r="AC49" s="128">
        <f t="shared" si="2"/>
        <v>0</v>
      </c>
      <c r="AD49" s="68">
        <f>AC49/AC12</f>
        <v>0</v>
      </c>
      <c r="AE49" s="374"/>
      <c r="AF49" s="374">
        <v>0</v>
      </c>
      <c r="AG49" s="84">
        <f t="shared" si="3"/>
        <v>0</v>
      </c>
      <c r="AH49" s="84">
        <f t="shared" si="19"/>
        <v>0</v>
      </c>
    </row>
    <row r="50" spans="1:34" s="1" customFormat="1">
      <c r="A50" s="188">
        <v>6109</v>
      </c>
      <c r="B50" s="227" t="s">
        <v>79</v>
      </c>
      <c r="C50" s="113"/>
      <c r="D50" s="24">
        <f>C50/C12</f>
        <v>0</v>
      </c>
      <c r="E50" s="113"/>
      <c r="F50" s="24">
        <f>E50/E12</f>
        <v>0</v>
      </c>
      <c r="G50" s="33"/>
      <c r="H50" s="24">
        <f>G50/G12</f>
        <v>0</v>
      </c>
      <c r="I50" s="113"/>
      <c r="J50" s="24">
        <f>I50/I12</f>
        <v>0</v>
      </c>
      <c r="K50" s="113"/>
      <c r="L50" s="24">
        <f>K50/K12</f>
        <v>0</v>
      </c>
      <c r="M50" s="295"/>
      <c r="N50" s="24">
        <f>M50/M12</f>
        <v>0</v>
      </c>
      <c r="O50" s="33"/>
      <c r="P50" s="24">
        <f>O50/O12</f>
        <v>0</v>
      </c>
      <c r="Q50" s="113"/>
      <c r="R50" s="24">
        <f>Q50/Q12</f>
        <v>0</v>
      </c>
      <c r="S50" s="113"/>
      <c r="T50" s="24">
        <f>S50/S12</f>
        <v>0</v>
      </c>
      <c r="U50" s="113"/>
      <c r="V50" s="24">
        <f>U50/U12</f>
        <v>0</v>
      </c>
      <c r="W50" s="113"/>
      <c r="X50" s="24">
        <f>W50/W12</f>
        <v>0</v>
      </c>
      <c r="Y50" s="113"/>
      <c r="Z50" s="24">
        <f>Y50/Y12</f>
        <v>0</v>
      </c>
      <c r="AA50" s="144">
        <f t="shared" si="20"/>
        <v>0</v>
      </c>
      <c r="AB50" s="68">
        <f>AA50/AA12</f>
        <v>0</v>
      </c>
      <c r="AC50" s="128">
        <f t="shared" si="2"/>
        <v>0</v>
      </c>
      <c r="AD50" s="68">
        <f>AC50/AC12</f>
        <v>0</v>
      </c>
      <c r="AE50" s="374"/>
      <c r="AF50" s="374">
        <v>0</v>
      </c>
      <c r="AG50" s="84">
        <f t="shared" si="3"/>
        <v>0</v>
      </c>
      <c r="AH50" s="84">
        <f t="shared" si="19"/>
        <v>0</v>
      </c>
    </row>
    <row r="51" spans="1:34" s="1" customFormat="1">
      <c r="A51" s="188">
        <v>6110</v>
      </c>
      <c r="B51" s="188" t="s">
        <v>9</v>
      </c>
      <c r="C51" s="432">
        <v>250</v>
      </c>
      <c r="D51" s="702">
        <f>C51/C12</f>
        <v>3.0532309851723997E-4</v>
      </c>
      <c r="E51" s="432">
        <v>250</v>
      </c>
      <c r="F51" s="702">
        <f>E51/E12</f>
        <v>3.9244540367056231E-4</v>
      </c>
      <c r="G51" s="432">
        <v>250</v>
      </c>
      <c r="H51" s="702">
        <f>G51/G12</f>
        <v>2.3658711385736713E-4</v>
      </c>
      <c r="I51" s="432">
        <v>250</v>
      </c>
      <c r="J51" s="702">
        <f>I51/I12</f>
        <v>2.6793731617560251E-4</v>
      </c>
      <c r="K51" s="432">
        <v>250</v>
      </c>
      <c r="L51" s="702">
        <f>K51/K12</f>
        <v>2.9295513677352861E-4</v>
      </c>
      <c r="M51" s="432">
        <v>250</v>
      </c>
      <c r="N51" s="702">
        <f>M51/M12</f>
        <v>2.0659943384227224E-4</v>
      </c>
      <c r="O51" s="432">
        <v>250</v>
      </c>
      <c r="P51" s="702">
        <f>O51/O12</f>
        <v>3.2632443619020989E-4</v>
      </c>
      <c r="Q51" s="432">
        <v>250</v>
      </c>
      <c r="R51" s="702">
        <f>Q51/Q12</f>
        <v>2.6279630900204762E-4</v>
      </c>
      <c r="S51" s="432">
        <v>250</v>
      </c>
      <c r="T51" s="702">
        <f>S51/S12</f>
        <v>2.6087126797192831E-4</v>
      </c>
      <c r="U51" s="432">
        <v>250</v>
      </c>
      <c r="V51" s="702">
        <f>U51/U12</f>
        <v>3.2888189689179098E-4</v>
      </c>
      <c r="W51" s="432">
        <v>250</v>
      </c>
      <c r="X51" s="702">
        <f>W51/W12</f>
        <v>3.2324402672222413E-4</v>
      </c>
      <c r="Y51" s="432">
        <v>250</v>
      </c>
      <c r="Z51" s="702">
        <f>Y51/Y12</f>
        <v>2.1397487297468971E-4</v>
      </c>
      <c r="AA51" s="144">
        <f t="shared" si="20"/>
        <v>3000</v>
      </c>
      <c r="AB51" s="702">
        <f>AA51/AA12</f>
        <v>2.7556578625481941E-4</v>
      </c>
      <c r="AC51" s="128">
        <f t="shared" si="2"/>
        <v>250</v>
      </c>
      <c r="AD51" s="702">
        <f>AC51/AC12</f>
        <v>2.7556578625481941E-4</v>
      </c>
      <c r="AE51" s="645"/>
      <c r="AF51" s="694"/>
      <c r="AG51" s="226"/>
    </row>
    <row r="52" spans="1:34" s="1" customFormat="1">
      <c r="A52" s="188">
        <v>6111</v>
      </c>
      <c r="B52" s="227" t="s">
        <v>10</v>
      </c>
      <c r="C52" s="61">
        <v>16398</v>
      </c>
      <c r="D52" s="24">
        <f>C52/C12</f>
        <v>2.0026752677942804E-2</v>
      </c>
      <c r="E52" s="61">
        <v>16398</v>
      </c>
      <c r="F52" s="24">
        <f>E52/E12</f>
        <v>2.5741278917559524E-2</v>
      </c>
      <c r="G52" s="61">
        <v>16398</v>
      </c>
      <c r="H52" s="24">
        <f>G52/G12</f>
        <v>1.5518221972132425E-2</v>
      </c>
      <c r="I52" s="61">
        <v>16398</v>
      </c>
      <c r="J52" s="24">
        <f>I52/I12</f>
        <v>1.7574544442590118E-2</v>
      </c>
      <c r="K52" s="61">
        <v>16398</v>
      </c>
      <c r="L52" s="24">
        <f>K52/K12</f>
        <v>1.9215513331249288E-2</v>
      </c>
      <c r="M52" s="61">
        <v>16398</v>
      </c>
      <c r="N52" s="24">
        <f>M52/M12</f>
        <v>1.3551270064582321E-2</v>
      </c>
      <c r="O52" s="61">
        <v>16398</v>
      </c>
      <c r="P52" s="24">
        <f>O52/O12</f>
        <v>2.1404272418588246E-2</v>
      </c>
      <c r="Q52" s="61">
        <v>16398</v>
      </c>
      <c r="R52" s="24">
        <f>Q52/Q12</f>
        <v>1.7237335500062307E-2</v>
      </c>
      <c r="S52" s="61">
        <v>16398</v>
      </c>
      <c r="T52" s="24">
        <f>S52/S12</f>
        <v>1.7111068208814723E-2</v>
      </c>
      <c r="U52" s="61">
        <v>16398</v>
      </c>
      <c r="V52" s="24">
        <f>U52/U12</f>
        <v>2.1572021380926357E-2</v>
      </c>
      <c r="W52" s="61">
        <v>16398</v>
      </c>
      <c r="X52" s="24">
        <f>W52/W12</f>
        <v>2.1202222200764124E-2</v>
      </c>
      <c r="Y52" s="61">
        <v>16398</v>
      </c>
      <c r="Z52" s="24">
        <f>Y52/Y12</f>
        <v>1.4035039868155847E-2</v>
      </c>
      <c r="AA52" s="144">
        <f t="shared" si="20"/>
        <v>196776</v>
      </c>
      <c r="AB52" s="68">
        <f>AA52/AA12</f>
        <v>1.8074911052026115E-2</v>
      </c>
      <c r="AC52" s="128">
        <f t="shared" si="2"/>
        <v>16398</v>
      </c>
      <c r="AD52" s="68">
        <f>AC52/AC12</f>
        <v>1.8074911052026115E-2</v>
      </c>
      <c r="AE52" s="374" t="s">
        <v>228</v>
      </c>
      <c r="AF52" s="374"/>
      <c r="AG52" s="84">
        <f t="shared" si="3"/>
        <v>196776</v>
      </c>
      <c r="AH52" s="84">
        <f t="shared" si="19"/>
        <v>0</v>
      </c>
    </row>
    <row r="53" spans="1:34" s="1" customFormat="1">
      <c r="A53" s="188">
        <v>6112</v>
      </c>
      <c r="B53" s="188" t="s">
        <v>11</v>
      </c>
      <c r="C53" s="705">
        <v>2650</v>
      </c>
      <c r="D53" s="702">
        <f>C53/C12</f>
        <v>3.2364248442827439E-3</v>
      </c>
      <c r="E53" s="705">
        <v>2650</v>
      </c>
      <c r="F53" s="702">
        <f>E53/E12</f>
        <v>4.1599212789079605E-3</v>
      </c>
      <c r="G53" s="705">
        <v>2650</v>
      </c>
      <c r="H53" s="702">
        <f>G53/G12</f>
        <v>2.5078234068880915E-3</v>
      </c>
      <c r="I53" s="705">
        <v>2650</v>
      </c>
      <c r="J53" s="702">
        <f>I53/I12</f>
        <v>2.8401355514613867E-3</v>
      </c>
      <c r="K53" s="705">
        <v>2650</v>
      </c>
      <c r="L53" s="702">
        <f>K53/K12</f>
        <v>3.1053244497994035E-3</v>
      </c>
      <c r="M53" s="705">
        <v>2650</v>
      </c>
      <c r="N53" s="702">
        <f>M53/M12</f>
        <v>2.1899539987280856E-3</v>
      </c>
      <c r="O53" s="705">
        <v>2650</v>
      </c>
      <c r="P53" s="702">
        <f>O53/O12</f>
        <v>3.4590390236162246E-3</v>
      </c>
      <c r="Q53" s="705">
        <v>2650</v>
      </c>
      <c r="R53" s="702">
        <f>Q53/Q12</f>
        <v>2.7856408754217046E-3</v>
      </c>
      <c r="S53" s="705">
        <v>2650</v>
      </c>
      <c r="T53" s="702">
        <f>S53/S12</f>
        <v>2.7652354405024401E-3</v>
      </c>
      <c r="U53" s="705">
        <v>2650</v>
      </c>
      <c r="V53" s="702">
        <f>U53/U12</f>
        <v>3.4861481070529846E-3</v>
      </c>
      <c r="W53" s="705">
        <v>2650</v>
      </c>
      <c r="X53" s="702">
        <f>W53/W12</f>
        <v>3.4263866832555758E-3</v>
      </c>
      <c r="Y53" s="705">
        <v>2650</v>
      </c>
      <c r="Z53" s="702">
        <f>Y53/Y12</f>
        <v>2.2681336535317108E-3</v>
      </c>
      <c r="AA53" s="144">
        <f t="shared" si="20"/>
        <v>31800</v>
      </c>
      <c r="AB53" s="702">
        <f>AA53/AA12</f>
        <v>2.9209973343010862E-3</v>
      </c>
      <c r="AC53" s="128">
        <f t="shared" si="2"/>
        <v>2650</v>
      </c>
      <c r="AD53" s="702">
        <f>AC53/AC12</f>
        <v>2.9209973343010858E-3</v>
      </c>
      <c r="AE53" s="645"/>
      <c r="AF53" s="694"/>
      <c r="AG53" s="226"/>
    </row>
    <row r="54" spans="1:34" s="1" customFormat="1">
      <c r="A54" s="188">
        <v>6113</v>
      </c>
      <c r="B54" s="227" t="s">
        <v>12</v>
      </c>
      <c r="C54" s="61"/>
      <c r="D54" s="24">
        <f>C54/C12</f>
        <v>0</v>
      </c>
      <c r="E54" s="703"/>
      <c r="F54" s="24">
        <f>E54/E12</f>
        <v>0</v>
      </c>
      <c r="G54" s="33"/>
      <c r="H54" s="24">
        <f>G54/G12</f>
        <v>0</v>
      </c>
      <c r="I54" s="61"/>
      <c r="J54" s="24">
        <f>I54/I12</f>
        <v>0</v>
      </c>
      <c r="K54" s="703"/>
      <c r="L54" s="24">
        <f>K54/K12</f>
        <v>0</v>
      </c>
      <c r="M54" s="26"/>
      <c r="N54" s="24">
        <f>M54/M12</f>
        <v>0</v>
      </c>
      <c r="O54" s="33"/>
      <c r="P54" s="24">
        <f>O54/O12</f>
        <v>0</v>
      </c>
      <c r="Q54" s="26"/>
      <c r="R54" s="24">
        <f>Q54/Q12</f>
        <v>0</v>
      </c>
      <c r="S54" s="26"/>
      <c r="T54" s="24">
        <f>S54/S12</f>
        <v>0</v>
      </c>
      <c r="U54" s="61"/>
      <c r="V54" s="24">
        <f>U54/U12</f>
        <v>0</v>
      </c>
      <c r="W54" s="61"/>
      <c r="X54" s="24">
        <f>W54/W12</f>
        <v>0</v>
      </c>
      <c r="Y54" s="61"/>
      <c r="Z54" s="24">
        <f>Y54/Y12</f>
        <v>0</v>
      </c>
      <c r="AA54" s="144">
        <f t="shared" si="20"/>
        <v>0</v>
      </c>
      <c r="AB54" s="68">
        <f>AA54/AA12</f>
        <v>0</v>
      </c>
      <c r="AC54" s="128">
        <f t="shared" si="2"/>
        <v>0</v>
      </c>
      <c r="AD54" s="68">
        <f>AC54/AC12</f>
        <v>0</v>
      </c>
      <c r="AE54" s="374"/>
      <c r="AF54" s="374">
        <v>0</v>
      </c>
      <c r="AG54" s="84">
        <f t="shared" si="3"/>
        <v>0</v>
      </c>
      <c r="AH54" s="84">
        <f t="shared" si="19"/>
        <v>0</v>
      </c>
    </row>
    <row r="55" spans="1:34" s="1" customFormat="1">
      <c r="A55" s="188">
        <v>6114</v>
      </c>
      <c r="B55" s="227" t="s">
        <v>88</v>
      </c>
      <c r="C55" s="432">
        <v>1325</v>
      </c>
      <c r="D55" s="702">
        <f>C55/C12</f>
        <v>1.6182124221413719E-3</v>
      </c>
      <c r="E55" s="432">
        <v>935</v>
      </c>
      <c r="F55" s="702">
        <f>E55/E12</f>
        <v>1.4677458097279031E-3</v>
      </c>
      <c r="G55" s="33">
        <v>988.25</v>
      </c>
      <c r="H55" s="702">
        <f>G55/G12</f>
        <v>9.3522886107817228E-4</v>
      </c>
      <c r="I55" s="432">
        <v>579.25</v>
      </c>
      <c r="J55" s="702">
        <f>I55/I12</f>
        <v>6.20810761578871E-4</v>
      </c>
      <c r="K55" s="432">
        <v>839</v>
      </c>
      <c r="L55" s="702">
        <f>K55/K12</f>
        <v>9.8315743901196211E-4</v>
      </c>
      <c r="M55" s="33">
        <v>906.25</v>
      </c>
      <c r="N55" s="702">
        <f>M55/M12</f>
        <v>7.4892294767823684E-4</v>
      </c>
      <c r="O55" s="33">
        <v>825</v>
      </c>
      <c r="P55" s="702">
        <f>O55/O12</f>
        <v>1.0768706394276926E-3</v>
      </c>
      <c r="Q55" s="432">
        <v>75</v>
      </c>
      <c r="R55" s="702">
        <f>Q55/Q12</f>
        <v>7.8838892700614283E-5</v>
      </c>
      <c r="S55" s="432">
        <v>3923.47</v>
      </c>
      <c r="T55" s="702">
        <f>S55/S12</f>
        <v>4.0940823749992857E-3</v>
      </c>
      <c r="U55" s="432">
        <v>1100</v>
      </c>
      <c r="V55" s="702">
        <f>U55/U12</f>
        <v>1.4470803463238805E-3</v>
      </c>
      <c r="W55" s="432">
        <v>1100</v>
      </c>
      <c r="X55" s="702">
        <f>W55/W12</f>
        <v>1.4222737175777862E-3</v>
      </c>
      <c r="Y55" s="432">
        <v>1100</v>
      </c>
      <c r="Z55" s="702">
        <f>Y55/Y12</f>
        <v>9.4148944108863469E-4</v>
      </c>
      <c r="AA55" s="144">
        <f t="shared" si="20"/>
        <v>13696.22</v>
      </c>
      <c r="AB55" s="702">
        <f>AA55/AA12</f>
        <v>1.2580698776729943E-3</v>
      </c>
      <c r="AC55" s="128">
        <f t="shared" si="2"/>
        <v>1141.3516666666667</v>
      </c>
      <c r="AD55" s="702">
        <f>AC55/AC12</f>
        <v>1.2580698776729943E-3</v>
      </c>
      <c r="AE55" s="595"/>
      <c r="AF55" s="74"/>
    </row>
    <row r="56" spans="1:34" s="1" customFormat="1">
      <c r="A56" s="188">
        <v>6115</v>
      </c>
      <c r="B56" s="227" t="s">
        <v>13</v>
      </c>
      <c r="C56" s="437">
        <v>125.17</v>
      </c>
      <c r="D56" s="702">
        <f>C56/C12</f>
        <v>1.5286916896561171E-4</v>
      </c>
      <c r="E56" s="437">
        <v>198.21</v>
      </c>
      <c r="F56" s="702">
        <f>E56/E12</f>
        <v>3.1114641384616864E-4</v>
      </c>
      <c r="G56" s="33">
        <v>682.82</v>
      </c>
      <c r="H56" s="702">
        <f>G56/G12</f>
        <v>6.4618565233634973E-4</v>
      </c>
      <c r="I56" s="437">
        <v>7</v>
      </c>
      <c r="J56" s="702">
        <f>I56/I12</f>
        <v>7.5022448529168695E-6</v>
      </c>
      <c r="K56" s="437">
        <v>129.91999999999999</v>
      </c>
      <c r="L56" s="702">
        <f>K56/K12</f>
        <v>1.5224292547846735E-4</v>
      </c>
      <c r="M56" s="33">
        <v>235.57</v>
      </c>
      <c r="N56" s="702">
        <f>M56/M12</f>
        <v>1.9467451452089628E-4</v>
      </c>
      <c r="O56" s="33">
        <v>159.74</v>
      </c>
      <c r="P56" s="702">
        <f>O56/O12</f>
        <v>2.0850826174809652E-4</v>
      </c>
      <c r="Q56" s="437">
        <v>119.96</v>
      </c>
      <c r="R56" s="702">
        <f>Q56/Q12</f>
        <v>1.261001809115425E-4</v>
      </c>
      <c r="S56" s="437">
        <v>128.79</v>
      </c>
      <c r="T56" s="702">
        <f>S56/S12</f>
        <v>1.3439044240841857E-4</v>
      </c>
      <c r="U56" s="437">
        <v>250</v>
      </c>
      <c r="V56" s="702">
        <f>U56/U12</f>
        <v>3.2888189689179098E-4</v>
      </c>
      <c r="W56" s="437">
        <v>250</v>
      </c>
      <c r="X56" s="702">
        <f>W56/W12</f>
        <v>3.2324402672222413E-4</v>
      </c>
      <c r="Y56" s="437">
        <v>250</v>
      </c>
      <c r="Z56" s="702">
        <f>Y56/Y12</f>
        <v>2.1397487297468971E-4</v>
      </c>
      <c r="AA56" s="144">
        <f t="shared" si="20"/>
        <v>2537.1800000000003</v>
      </c>
      <c r="AB56" s="702">
        <f>AA56/AA12</f>
        <v>2.3305333385666762E-4</v>
      </c>
      <c r="AC56" s="128">
        <f t="shared" si="2"/>
        <v>211.4316666666667</v>
      </c>
      <c r="AD56" s="702">
        <f>AC56/AC12</f>
        <v>2.3305333385666762E-4</v>
      </c>
      <c r="AE56" s="595"/>
      <c r="AF56" s="595"/>
      <c r="AG56" s="555"/>
    </row>
    <row r="57" spans="1:34" s="1" customFormat="1">
      <c r="A57" s="188">
        <v>6116</v>
      </c>
      <c r="B57" s="227" t="s">
        <v>14</v>
      </c>
      <c r="C57" s="31">
        <f>250+2497.71</f>
        <v>2747.71</v>
      </c>
      <c r="D57" s="702">
        <f>C57/C12</f>
        <v>3.355757324107222E-3</v>
      </c>
      <c r="E57" s="31">
        <f>250+2497.71</f>
        <v>2747.71</v>
      </c>
      <c r="F57" s="702">
        <f>E57/E12</f>
        <v>4.313304640478563E-3</v>
      </c>
      <c r="G57" s="31">
        <f>250+2497.71</f>
        <v>2747.71</v>
      </c>
      <c r="H57" s="702">
        <f>G57/G12</f>
        <v>2.6002911144681049E-3</v>
      </c>
      <c r="I57" s="31">
        <f>250+2497.71</f>
        <v>2747.71</v>
      </c>
      <c r="J57" s="702">
        <f>I57/I12</f>
        <v>2.9448561721154591E-3</v>
      </c>
      <c r="K57" s="31">
        <f>250+2497.71</f>
        <v>2747.71</v>
      </c>
      <c r="L57" s="702">
        <f>K57/K12</f>
        <v>3.2198230354559695E-3</v>
      </c>
      <c r="M57" s="31">
        <f>250+2497.71</f>
        <v>2747.71</v>
      </c>
      <c r="N57" s="702">
        <f>M57/M12</f>
        <v>2.2707013214509995E-3</v>
      </c>
      <c r="O57" s="31">
        <f>250+2497.71</f>
        <v>2747.71</v>
      </c>
      <c r="P57" s="68">
        <f>O57/O12</f>
        <v>3.5865796662568066E-3</v>
      </c>
      <c r="Q57" s="31">
        <f>250+2497.71</f>
        <v>2747.71</v>
      </c>
      <c r="R57" s="68">
        <f>Q57/Q12</f>
        <v>2.8883521848320649E-3</v>
      </c>
      <c r="S57" s="31">
        <f>250+2497.71</f>
        <v>2747.71</v>
      </c>
      <c r="T57" s="68">
        <f>S57/S12</f>
        <v>2.8671943668765886E-3</v>
      </c>
      <c r="U57" s="31">
        <f>250+2497.71</f>
        <v>2747.71</v>
      </c>
      <c r="V57" s="68">
        <f>U57/U12</f>
        <v>3.6146883076341721E-3</v>
      </c>
      <c r="W57" s="31">
        <f>250+2497.71</f>
        <v>2747.71</v>
      </c>
      <c r="X57" s="68">
        <f>W57/W12</f>
        <v>3.5527233786596898E-3</v>
      </c>
      <c r="Y57" s="31">
        <f>250+2497.71</f>
        <v>2747.71</v>
      </c>
      <c r="Z57" s="68">
        <f>Y57/Y12</f>
        <v>2.3517635928851388E-3</v>
      </c>
      <c r="AA57" s="144">
        <f t="shared" si="20"/>
        <v>32972.519999999997</v>
      </c>
      <c r="AB57" s="68">
        <f>AA57/AA12</f>
        <v>3.0286994662009192E-3</v>
      </c>
      <c r="AC57" s="128">
        <f t="shared" si="2"/>
        <v>2747.7099999999996</v>
      </c>
      <c r="AD57" s="68">
        <f>AC57/AC12</f>
        <v>3.0286994662009192E-3</v>
      </c>
      <c r="AE57" s="374" t="s">
        <v>287</v>
      </c>
      <c r="AF57" s="595" t="s">
        <v>285</v>
      </c>
      <c r="AG57" s="84">
        <f t="shared" si="3"/>
        <v>32972.519999999997</v>
      </c>
      <c r="AH57" s="84">
        <f t="shared" si="19"/>
        <v>0</v>
      </c>
    </row>
    <row r="58" spans="1:34" s="1" customFormat="1">
      <c r="A58" s="188">
        <v>6117</v>
      </c>
      <c r="B58" s="227" t="s">
        <v>15</v>
      </c>
      <c r="C58" s="61"/>
      <c r="D58" s="24">
        <f>C58/C12</f>
        <v>0</v>
      </c>
      <c r="E58" s="703"/>
      <c r="F58" s="24">
        <f>E58/E12</f>
        <v>0</v>
      </c>
      <c r="G58" s="33"/>
      <c r="H58" s="24">
        <f>G58/G12</f>
        <v>0</v>
      </c>
      <c r="I58" s="61"/>
      <c r="J58" s="24">
        <f>I58/I12</f>
        <v>0</v>
      </c>
      <c r="K58" s="703"/>
      <c r="L58" s="24">
        <f>K58/K12</f>
        <v>0</v>
      </c>
      <c r="M58" s="26"/>
      <c r="N58" s="24">
        <f>M58/M12</f>
        <v>0</v>
      </c>
      <c r="O58" s="33"/>
      <c r="P58" s="24">
        <f>O58/O12</f>
        <v>0</v>
      </c>
      <c r="Q58" s="26"/>
      <c r="R58" s="24">
        <f>Q58/Q12</f>
        <v>0</v>
      </c>
      <c r="S58" s="26"/>
      <c r="T58" s="24">
        <f>S58/S12</f>
        <v>0</v>
      </c>
      <c r="U58" s="61"/>
      <c r="V58" s="24">
        <f>U58/U12</f>
        <v>0</v>
      </c>
      <c r="W58" s="61"/>
      <c r="X58" s="24">
        <f>W58/W12</f>
        <v>0</v>
      </c>
      <c r="Y58" s="61"/>
      <c r="Z58" s="24">
        <f>Y58/Y12</f>
        <v>0</v>
      </c>
      <c r="AA58" s="144">
        <f t="shared" si="20"/>
        <v>0</v>
      </c>
      <c r="AB58" s="68">
        <f>AA58/AA12</f>
        <v>0</v>
      </c>
      <c r="AC58" s="128">
        <f t="shared" si="2"/>
        <v>0</v>
      </c>
      <c r="AD58" s="68">
        <f>AC58/AC12</f>
        <v>0</v>
      </c>
      <c r="AE58" s="374"/>
      <c r="AF58" s="374"/>
      <c r="AG58" s="84">
        <f t="shared" si="3"/>
        <v>0</v>
      </c>
      <c r="AH58" s="84">
        <f t="shared" si="19"/>
        <v>0</v>
      </c>
    </row>
    <row r="59" spans="1:34" s="1" customFormat="1">
      <c r="A59" s="188">
        <v>6118</v>
      </c>
      <c r="B59" s="227" t="s">
        <v>16</v>
      </c>
      <c r="C59" s="75">
        <v>8979</v>
      </c>
      <c r="D59" s="24">
        <f>C59/C12</f>
        <v>1.0965984406345192E-2</v>
      </c>
      <c r="E59" s="75">
        <v>8979</v>
      </c>
      <c r="F59" s="24">
        <f>E59/E12</f>
        <v>1.4095069118231916E-2</v>
      </c>
      <c r="G59" s="75">
        <v>8979</v>
      </c>
      <c r="H59" s="24">
        <f>G59/G12</f>
        <v>8.4972627813011976E-3</v>
      </c>
      <c r="I59" s="75">
        <v>8979</v>
      </c>
      <c r="J59" s="24">
        <f>I59/I12</f>
        <v>9.6232366477629391E-3</v>
      </c>
      <c r="K59" s="75">
        <v>8979</v>
      </c>
      <c r="L59" s="24">
        <f>K59/K12</f>
        <v>1.0521776692358055E-2</v>
      </c>
      <c r="M59" s="75">
        <v>8979</v>
      </c>
      <c r="N59" s="24">
        <f>M59/M12</f>
        <v>7.4202252658790496E-3</v>
      </c>
      <c r="O59" s="75">
        <v>8979</v>
      </c>
      <c r="P59" s="24">
        <f>O59/O12</f>
        <v>1.1720268450207579E-2</v>
      </c>
      <c r="Q59" s="75">
        <v>8979</v>
      </c>
      <c r="R59" s="24">
        <f>Q59/Q12</f>
        <v>9.4385922341175422E-3</v>
      </c>
      <c r="S59" s="75">
        <v>8979</v>
      </c>
      <c r="T59" s="24">
        <f>S59/S12</f>
        <v>9.3694524604797762E-3</v>
      </c>
      <c r="U59" s="75">
        <v>8979</v>
      </c>
      <c r="V59" s="24">
        <f>U59/U12</f>
        <v>1.1812122208765565E-2</v>
      </c>
      <c r="W59" s="75">
        <v>8979</v>
      </c>
      <c r="X59" s="24">
        <f>W59/W12</f>
        <v>1.1609632463755402E-2</v>
      </c>
      <c r="Y59" s="75">
        <v>8979</v>
      </c>
      <c r="Z59" s="24">
        <f>Y59/Y12</f>
        <v>7.685121537758955E-3</v>
      </c>
      <c r="AA59" s="144">
        <f t="shared" si="20"/>
        <v>107748</v>
      </c>
      <c r="AB59" s="68">
        <f>AA59/AA12</f>
        <v>9.8972207791280953E-3</v>
      </c>
      <c r="AC59" s="128">
        <f t="shared" si="2"/>
        <v>8979</v>
      </c>
      <c r="AD59" s="68">
        <f>AC59/AC12</f>
        <v>9.8972207791280936E-3</v>
      </c>
      <c r="AE59" s="374" t="s">
        <v>292</v>
      </c>
      <c r="AF59" s="374"/>
      <c r="AG59" s="84">
        <f t="shared" si="3"/>
        <v>107748</v>
      </c>
      <c r="AH59" s="84">
        <f t="shared" si="19"/>
        <v>0</v>
      </c>
    </row>
    <row r="60" spans="1:34" s="1" customFormat="1">
      <c r="A60" s="188">
        <v>6119</v>
      </c>
      <c r="B60" s="227" t="s">
        <v>17</v>
      </c>
      <c r="C60" s="61"/>
      <c r="D60" s="24">
        <f>C60/C12</f>
        <v>0</v>
      </c>
      <c r="E60" s="703"/>
      <c r="F60" s="24">
        <f>E60/E12</f>
        <v>0</v>
      </c>
      <c r="G60" s="33"/>
      <c r="H60" s="24">
        <f>G60/G12</f>
        <v>0</v>
      </c>
      <c r="I60" s="61"/>
      <c r="J60" s="24">
        <f>I60/I12</f>
        <v>0</v>
      </c>
      <c r="K60" s="703"/>
      <c r="L60" s="24">
        <f>K60/K12</f>
        <v>0</v>
      </c>
      <c r="M60" s="26"/>
      <c r="N60" s="24">
        <f>M60/M12</f>
        <v>0</v>
      </c>
      <c r="O60" s="33"/>
      <c r="P60" s="24">
        <f>O60/O12</f>
        <v>0</v>
      </c>
      <c r="Q60" s="26"/>
      <c r="R60" s="24">
        <f>Q60/Q12</f>
        <v>0</v>
      </c>
      <c r="S60" s="26"/>
      <c r="T60" s="24">
        <f>S60/S12</f>
        <v>0</v>
      </c>
      <c r="U60" s="61"/>
      <c r="V60" s="24">
        <f>U60/U12</f>
        <v>0</v>
      </c>
      <c r="W60" s="61"/>
      <c r="X60" s="24">
        <f>W60/W12</f>
        <v>0</v>
      </c>
      <c r="Y60" s="61"/>
      <c r="Z60" s="24">
        <f>Y60/Y12</f>
        <v>0</v>
      </c>
      <c r="AA60" s="144">
        <f t="shared" si="20"/>
        <v>0</v>
      </c>
      <c r="AB60" s="68">
        <f>AA60/AA12</f>
        <v>0</v>
      </c>
      <c r="AC60" s="128">
        <f t="shared" si="2"/>
        <v>0</v>
      </c>
      <c r="AD60" s="68">
        <f>AC60/AC12</f>
        <v>0</v>
      </c>
      <c r="AE60" s="374"/>
      <c r="AF60" s="374">
        <v>0</v>
      </c>
      <c r="AG60" s="84">
        <f t="shared" si="3"/>
        <v>0</v>
      </c>
      <c r="AH60" s="84">
        <f t="shared" si="19"/>
        <v>0</v>
      </c>
    </row>
    <row r="61" spans="1:34" s="1" customFormat="1">
      <c r="A61" s="188">
        <v>6120</v>
      </c>
      <c r="B61" s="227" t="s">
        <v>18</v>
      </c>
      <c r="C61" s="61"/>
      <c r="D61" s="24">
        <f>C61/C12</f>
        <v>0</v>
      </c>
      <c r="E61" s="703"/>
      <c r="F61" s="24">
        <f>E61/E12</f>
        <v>0</v>
      </c>
      <c r="G61" s="33"/>
      <c r="H61" s="24">
        <f>G61/G12</f>
        <v>0</v>
      </c>
      <c r="I61" s="61"/>
      <c r="J61" s="24">
        <f>I61/I12</f>
        <v>0</v>
      </c>
      <c r="K61" s="703"/>
      <c r="L61" s="24">
        <f>K61/K12</f>
        <v>0</v>
      </c>
      <c r="M61" s="26"/>
      <c r="N61" s="24">
        <f>M61/M12</f>
        <v>0</v>
      </c>
      <c r="O61" s="33"/>
      <c r="P61" s="24">
        <f>O61/O12</f>
        <v>0</v>
      </c>
      <c r="Q61" s="26"/>
      <c r="R61" s="24">
        <f>Q61/Q12</f>
        <v>0</v>
      </c>
      <c r="S61" s="26"/>
      <c r="T61" s="24">
        <f>S61/S12</f>
        <v>0</v>
      </c>
      <c r="U61" s="61"/>
      <c r="V61" s="24">
        <f>U61/U12</f>
        <v>0</v>
      </c>
      <c r="W61" s="61"/>
      <c r="X61" s="24">
        <f>W61/W12</f>
        <v>0</v>
      </c>
      <c r="Y61" s="61"/>
      <c r="Z61" s="24">
        <f>Y61/Y12</f>
        <v>0</v>
      </c>
      <c r="AA61" s="144">
        <f t="shared" si="20"/>
        <v>0</v>
      </c>
      <c r="AB61" s="68">
        <f>AA61/AA12</f>
        <v>0</v>
      </c>
      <c r="AC61" s="128">
        <f t="shared" si="2"/>
        <v>0</v>
      </c>
      <c r="AD61" s="68">
        <f>AC61/AC12</f>
        <v>0</v>
      </c>
      <c r="AE61" s="374"/>
      <c r="AF61" s="374">
        <v>0</v>
      </c>
      <c r="AG61" s="84">
        <f t="shared" si="3"/>
        <v>0</v>
      </c>
      <c r="AH61" s="84">
        <f t="shared" si="19"/>
        <v>0</v>
      </c>
    </row>
    <row r="62" spans="1:34" s="1" customFormat="1">
      <c r="A62" s="188">
        <v>6121</v>
      </c>
      <c r="B62" s="188" t="s">
        <v>19</v>
      </c>
      <c r="C62" s="705">
        <v>250</v>
      </c>
      <c r="D62" s="702">
        <f>C62/C12</f>
        <v>3.0532309851723997E-4</v>
      </c>
      <c r="E62" s="705">
        <v>250</v>
      </c>
      <c r="F62" s="702">
        <f>E62/E12</f>
        <v>3.9244540367056231E-4</v>
      </c>
      <c r="G62" s="705">
        <v>250</v>
      </c>
      <c r="H62" s="702">
        <f>G62/G12</f>
        <v>2.3658711385736713E-4</v>
      </c>
      <c r="I62" s="705">
        <v>250</v>
      </c>
      <c r="J62" s="702">
        <f>I62/I12</f>
        <v>2.6793731617560251E-4</v>
      </c>
      <c r="K62" s="705">
        <v>250</v>
      </c>
      <c r="L62" s="702">
        <f>K62/K12</f>
        <v>2.9295513677352861E-4</v>
      </c>
      <c r="M62" s="705">
        <v>500</v>
      </c>
      <c r="N62" s="702">
        <f>M62/M12</f>
        <v>4.1319886768454448E-4</v>
      </c>
      <c r="O62" s="705">
        <v>250</v>
      </c>
      <c r="P62" s="702">
        <f>O62/O12</f>
        <v>3.2632443619020989E-4</v>
      </c>
      <c r="Q62" s="705">
        <v>250</v>
      </c>
      <c r="R62" s="702">
        <f>Q62/Q12</f>
        <v>2.6279630900204762E-4</v>
      </c>
      <c r="S62" s="705">
        <v>500</v>
      </c>
      <c r="T62" s="702">
        <f>S62/S12</f>
        <v>5.2174253594385663E-4</v>
      </c>
      <c r="U62" s="705">
        <v>250</v>
      </c>
      <c r="V62" s="702">
        <f>U62/U12</f>
        <v>3.2888189689179098E-4</v>
      </c>
      <c r="W62" s="705">
        <v>250</v>
      </c>
      <c r="X62" s="702">
        <f>W62/W12</f>
        <v>3.2324402672222413E-4</v>
      </c>
      <c r="Y62" s="705">
        <f>250+250</f>
        <v>500</v>
      </c>
      <c r="Z62" s="702">
        <f>Y62/Y12</f>
        <v>4.2794974594937942E-4</v>
      </c>
      <c r="AA62" s="144">
        <f t="shared" si="20"/>
        <v>3750</v>
      </c>
      <c r="AB62" s="702">
        <f>AA62/AA12</f>
        <v>3.4445723281852428E-4</v>
      </c>
      <c r="AC62" s="128">
        <f t="shared" si="2"/>
        <v>312.5</v>
      </c>
      <c r="AD62" s="702">
        <f>AC62/AC12</f>
        <v>3.4445723281852428E-4</v>
      </c>
      <c r="AE62" s="645"/>
      <c r="AF62" s="226"/>
      <c r="AG62" s="226"/>
    </row>
    <row r="63" spans="1:34" s="1" customFormat="1">
      <c r="A63" s="188">
        <v>6122</v>
      </c>
      <c r="B63" s="227" t="s">
        <v>199</v>
      </c>
      <c r="C63" s="61"/>
      <c r="D63" s="24">
        <f>C63/C12</f>
        <v>0</v>
      </c>
      <c r="E63" s="61"/>
      <c r="F63" s="24">
        <f>E63/E12</f>
        <v>0</v>
      </c>
      <c r="G63" s="33"/>
      <c r="H63" s="24">
        <f>G63/G12</f>
        <v>0</v>
      </c>
      <c r="I63" s="61"/>
      <c r="J63" s="24">
        <f>I63/I12</f>
        <v>0</v>
      </c>
      <c r="K63" s="61"/>
      <c r="L63" s="24">
        <f>K63/K12</f>
        <v>0</v>
      </c>
      <c r="M63" s="26"/>
      <c r="N63" s="24">
        <f>M63/M12</f>
        <v>0</v>
      </c>
      <c r="O63" s="33"/>
      <c r="P63" s="24">
        <f>O63/O12</f>
        <v>0</v>
      </c>
      <c r="Q63" s="61"/>
      <c r="R63" s="24">
        <f>Q63/Q12</f>
        <v>0</v>
      </c>
      <c r="S63" s="61"/>
      <c r="T63" s="24">
        <f>S63/S12</f>
        <v>0</v>
      </c>
      <c r="U63" s="61"/>
      <c r="V63" s="24">
        <f>U63/U12</f>
        <v>0</v>
      </c>
      <c r="W63" s="61"/>
      <c r="X63" s="24">
        <f>W63/W12</f>
        <v>0</v>
      </c>
      <c r="Y63" s="61"/>
      <c r="Z63" s="24">
        <f>Y63/Y12</f>
        <v>0</v>
      </c>
      <c r="AA63" s="144">
        <f t="shared" si="20"/>
        <v>0</v>
      </c>
      <c r="AB63" s="68">
        <f>AA63/AA12</f>
        <v>0</v>
      </c>
      <c r="AC63" s="128">
        <f t="shared" si="2"/>
        <v>0</v>
      </c>
      <c r="AD63" s="68">
        <f>AC63/AC12</f>
        <v>0</v>
      </c>
      <c r="AE63" s="374"/>
      <c r="AF63" s="374">
        <v>0</v>
      </c>
      <c r="AG63" s="84">
        <f t="shared" si="3"/>
        <v>0</v>
      </c>
      <c r="AH63" s="84">
        <f t="shared" si="19"/>
        <v>0</v>
      </c>
    </row>
    <row r="64" spans="1:34" s="1" customFormat="1">
      <c r="A64" s="188">
        <v>6123</v>
      </c>
      <c r="B64" s="227" t="s">
        <v>21</v>
      </c>
      <c r="C64" s="61"/>
      <c r="D64" s="24">
        <f>C64/C12</f>
        <v>0</v>
      </c>
      <c r="E64" s="703"/>
      <c r="F64" s="24">
        <f>E64/E12</f>
        <v>0</v>
      </c>
      <c r="G64" s="33"/>
      <c r="H64" s="24">
        <f>G64/G12</f>
        <v>0</v>
      </c>
      <c r="I64" s="61"/>
      <c r="J64" s="24">
        <f>I64/I12</f>
        <v>0</v>
      </c>
      <c r="K64" s="703"/>
      <c r="L64" s="24">
        <f>K64/K12</f>
        <v>0</v>
      </c>
      <c r="M64" s="26"/>
      <c r="N64" s="24">
        <f>M64/M12</f>
        <v>0</v>
      </c>
      <c r="O64" s="33"/>
      <c r="P64" s="24">
        <f>O64/O12</f>
        <v>0</v>
      </c>
      <c r="Q64" s="26"/>
      <c r="R64" s="24">
        <f>Q64/Q12</f>
        <v>0</v>
      </c>
      <c r="S64" s="26"/>
      <c r="T64" s="24">
        <f>S64/S12</f>
        <v>0</v>
      </c>
      <c r="U64" s="61"/>
      <c r="V64" s="24">
        <f>U64/U12</f>
        <v>0</v>
      </c>
      <c r="W64" s="61"/>
      <c r="X64" s="24">
        <f>W64/W12</f>
        <v>0</v>
      </c>
      <c r="Y64" s="61"/>
      <c r="Z64" s="24">
        <f>Y64/Y12</f>
        <v>0</v>
      </c>
      <c r="AA64" s="144">
        <f t="shared" si="20"/>
        <v>0</v>
      </c>
      <c r="AB64" s="68">
        <f>AA64/AA12</f>
        <v>0</v>
      </c>
      <c r="AC64" s="128">
        <f t="shared" si="2"/>
        <v>0</v>
      </c>
      <c r="AD64" s="68">
        <f>AC64/AC12</f>
        <v>0</v>
      </c>
      <c r="AE64" s="374"/>
      <c r="AF64" s="374">
        <v>0</v>
      </c>
      <c r="AG64" s="84">
        <f t="shared" si="3"/>
        <v>0</v>
      </c>
      <c r="AH64" s="84">
        <f t="shared" si="19"/>
        <v>0</v>
      </c>
    </row>
    <row r="65" spans="1:36" s="1" customFormat="1">
      <c r="A65" s="188">
        <v>6124</v>
      </c>
      <c r="B65" s="227" t="s">
        <v>22</v>
      </c>
      <c r="C65" s="61">
        <v>2500</v>
      </c>
      <c r="D65" s="24">
        <f>C65/C12</f>
        <v>3.0532309851723999E-3</v>
      </c>
      <c r="E65" s="61">
        <v>2500</v>
      </c>
      <c r="F65" s="24">
        <f>E65/E12</f>
        <v>3.9244540367056229E-3</v>
      </c>
      <c r="G65" s="61">
        <v>2500</v>
      </c>
      <c r="H65" s="24">
        <f>G65/G12</f>
        <v>2.3658711385736715E-3</v>
      </c>
      <c r="I65" s="61">
        <v>2500</v>
      </c>
      <c r="J65" s="24">
        <f>I65/I12</f>
        <v>2.6793731617560249E-3</v>
      </c>
      <c r="K65" s="61">
        <v>2500</v>
      </c>
      <c r="L65" s="24">
        <f>K65/K12</f>
        <v>2.9295513677352861E-3</v>
      </c>
      <c r="M65" s="61">
        <v>2500</v>
      </c>
      <c r="N65" s="24">
        <f>M65/M12</f>
        <v>2.0659943384227224E-3</v>
      </c>
      <c r="O65" s="61">
        <v>2500</v>
      </c>
      <c r="P65" s="24">
        <f>O65/O12</f>
        <v>3.2632443619020988E-3</v>
      </c>
      <c r="Q65" s="61">
        <v>2500</v>
      </c>
      <c r="R65" s="24">
        <f>Q65/Q12</f>
        <v>2.627963090020476E-3</v>
      </c>
      <c r="S65" s="61">
        <v>2500</v>
      </c>
      <c r="T65" s="24">
        <f>S65/S12</f>
        <v>2.608712679719283E-3</v>
      </c>
      <c r="U65" s="61">
        <v>2500</v>
      </c>
      <c r="V65" s="24">
        <f>U65/U12</f>
        <v>3.2888189689179101E-3</v>
      </c>
      <c r="W65" s="61">
        <v>2500</v>
      </c>
      <c r="X65" s="24">
        <f>W65/W12</f>
        <v>3.2324402672222413E-3</v>
      </c>
      <c r="Y65" s="61">
        <v>2500</v>
      </c>
      <c r="Z65" s="24">
        <f>Y65/Y12</f>
        <v>2.1397487297468969E-3</v>
      </c>
      <c r="AA65" s="144">
        <f t="shared" si="20"/>
        <v>30000</v>
      </c>
      <c r="AB65" s="68">
        <f>AA65/AA12</f>
        <v>2.7556578625481942E-3</v>
      </c>
      <c r="AC65" s="128">
        <f t="shared" si="2"/>
        <v>2500</v>
      </c>
      <c r="AD65" s="68">
        <f>AC65/AC12</f>
        <v>2.7556578625481942E-3</v>
      </c>
      <c r="AE65" s="374" t="s">
        <v>265</v>
      </c>
      <c r="AF65" s="374" t="s">
        <v>224</v>
      </c>
      <c r="AG65" s="84">
        <f t="shared" si="3"/>
        <v>30000</v>
      </c>
      <c r="AH65" s="84">
        <f t="shared" si="19"/>
        <v>0</v>
      </c>
      <c r="AJ65" s="1" t="s">
        <v>349</v>
      </c>
    </row>
    <row r="66" spans="1:36" s="1" customFormat="1">
      <c r="A66" s="188">
        <v>6125</v>
      </c>
      <c r="B66" s="227" t="s">
        <v>78</v>
      </c>
      <c r="C66" s="705">
        <v>423.01184433164127</v>
      </c>
      <c r="D66" s="702">
        <f>C66/C12</f>
        <v>5.1662114808331632E-4</v>
      </c>
      <c r="E66" s="705">
        <v>423.01184433164127</v>
      </c>
      <c r="F66" s="702">
        <f>E66/E12</f>
        <v>6.6403621602464013E-4</v>
      </c>
      <c r="G66" s="705">
        <v>423.01184433164127</v>
      </c>
      <c r="H66" s="702">
        <f>G66/G12</f>
        <v>4.0031660551161948E-4</v>
      </c>
      <c r="I66" s="705">
        <v>423.01184433164127</v>
      </c>
      <c r="J66" s="702">
        <f>I66/I12</f>
        <v>4.5336263312284686E-4</v>
      </c>
      <c r="K66" s="705">
        <v>423.01184433164127</v>
      </c>
      <c r="L66" s="702">
        <f>K66/K12</f>
        <v>4.9569397085199424E-4</v>
      </c>
      <c r="M66" s="705">
        <v>423.01184433164127</v>
      </c>
      <c r="N66" s="702">
        <f>M66/M12</f>
        <v>3.4957603018996992E-4</v>
      </c>
      <c r="O66" s="705">
        <v>423.01184433164127</v>
      </c>
      <c r="P66" s="677">
        <f>O66/O12</f>
        <v>5.5215640641321465E-4</v>
      </c>
      <c r="Q66" s="705">
        <v>423.01184433164127</v>
      </c>
      <c r="R66" s="677">
        <f>Q66/Q12</f>
        <v>4.4466380541801622E-4</v>
      </c>
      <c r="S66" s="705">
        <v>423.01184433164127</v>
      </c>
      <c r="T66" s="677">
        <f>S66/S12</f>
        <v>4.4140654479175683E-4</v>
      </c>
      <c r="U66" s="705">
        <v>423.01184433164127</v>
      </c>
      <c r="V66" s="677">
        <f>U66/U12</f>
        <v>5.5648375108594071E-4</v>
      </c>
      <c r="W66" s="705">
        <v>423.01184433164127</v>
      </c>
      <c r="X66" s="677">
        <f>W66/W12</f>
        <v>5.4694420765181745E-4</v>
      </c>
      <c r="Y66" s="705">
        <v>423.01184433164127</v>
      </c>
      <c r="Z66" s="677">
        <f>Y66/Y12</f>
        <v>3.620556226306086E-4</v>
      </c>
      <c r="AA66" s="144">
        <f t="shared" si="20"/>
        <v>5076.1421319796964</v>
      </c>
      <c r="AB66" s="68">
        <f>AA66/AA12</f>
        <v>4.6627036591340013E-4</v>
      </c>
      <c r="AC66" s="128">
        <f t="shared" si="2"/>
        <v>423.01184433164138</v>
      </c>
      <c r="AD66" s="68">
        <f>AC66/AC12</f>
        <v>4.6627036591340013E-4</v>
      </c>
      <c r="AE66" s="658" t="s">
        <v>295</v>
      </c>
      <c r="AF66" s="393" t="s">
        <v>296</v>
      </c>
      <c r="AG66" s="84">
        <f t="shared" si="3"/>
        <v>5076.1421319796964</v>
      </c>
      <c r="AH66" s="84">
        <f t="shared" si="19"/>
        <v>0</v>
      </c>
    </row>
    <row r="67" spans="1:36" s="1" customFormat="1">
      <c r="A67" s="188">
        <v>6126</v>
      </c>
      <c r="B67" s="227" t="s">
        <v>116</v>
      </c>
      <c r="C67" s="26"/>
      <c r="D67" s="24"/>
      <c r="E67" s="26"/>
      <c r="F67" s="24"/>
      <c r="G67" s="26"/>
      <c r="H67" s="24"/>
      <c r="I67" s="26"/>
      <c r="J67" s="24"/>
      <c r="K67" s="26"/>
      <c r="L67" s="24"/>
      <c r="M67" s="26"/>
      <c r="N67" s="24"/>
      <c r="O67" s="26"/>
      <c r="P67" s="24"/>
      <c r="Q67" s="26"/>
      <c r="R67" s="24"/>
      <c r="S67" s="26"/>
      <c r="T67" s="24"/>
      <c r="U67" s="26"/>
      <c r="V67" s="24"/>
      <c r="W67" s="26"/>
      <c r="X67" s="24"/>
      <c r="Y67" s="26"/>
      <c r="Z67" s="24"/>
      <c r="AA67" s="144">
        <f t="shared" si="20"/>
        <v>0</v>
      </c>
      <c r="AB67" s="68"/>
      <c r="AC67" s="128">
        <f t="shared" si="2"/>
        <v>0</v>
      </c>
      <c r="AD67" s="68"/>
      <c r="AE67" s="374"/>
      <c r="AF67" s="374">
        <v>0</v>
      </c>
      <c r="AG67" s="84">
        <f t="shared" si="3"/>
        <v>0</v>
      </c>
      <c r="AH67" s="84">
        <f t="shared" si="19"/>
        <v>0</v>
      </c>
    </row>
    <row r="68" spans="1:36" s="1" customFormat="1">
      <c r="A68" s="188">
        <v>6127</v>
      </c>
      <c r="B68" s="188" t="s">
        <v>76</v>
      </c>
      <c r="C68" s="705">
        <v>382</v>
      </c>
      <c r="D68" s="702">
        <f>C68/C$12</f>
        <v>4.6653369453434268E-4</v>
      </c>
      <c r="E68" s="705">
        <v>382</v>
      </c>
      <c r="F68" s="702">
        <f>E68/E$12</f>
        <v>5.9965657680861916E-4</v>
      </c>
      <c r="G68" s="705">
        <v>382</v>
      </c>
      <c r="H68" s="702">
        <f>G68/G$12</f>
        <v>3.6150510997405696E-4</v>
      </c>
      <c r="I68" s="705">
        <v>382</v>
      </c>
      <c r="J68" s="702">
        <f>I68/I$12</f>
        <v>4.0940821911632062E-4</v>
      </c>
      <c r="K68" s="705">
        <v>382</v>
      </c>
      <c r="L68" s="702">
        <f>K68/K$12</f>
        <v>4.4763544898995171E-4</v>
      </c>
      <c r="M68" s="705">
        <v>382</v>
      </c>
      <c r="N68" s="702">
        <f>M68/M$12</f>
        <v>3.1568393491099197E-4</v>
      </c>
      <c r="O68" s="705">
        <v>382</v>
      </c>
      <c r="P68" s="702">
        <f>O68/O$12</f>
        <v>4.9862373849864073E-4</v>
      </c>
      <c r="Q68" s="705">
        <v>382</v>
      </c>
      <c r="R68" s="702">
        <f>Q68/Q$12</f>
        <v>4.0155276015512874E-4</v>
      </c>
      <c r="S68" s="705">
        <v>382</v>
      </c>
      <c r="T68" s="702">
        <f>S68/S$12</f>
        <v>3.9861129746110642E-4</v>
      </c>
      <c r="U68" s="705">
        <v>382</v>
      </c>
      <c r="V68" s="702">
        <f>U68/U$12</f>
        <v>5.0253153845065664E-4</v>
      </c>
      <c r="W68" s="705">
        <v>382</v>
      </c>
      <c r="X68" s="702">
        <f>W68/W$12</f>
        <v>4.939168728315585E-4</v>
      </c>
      <c r="Y68" s="705">
        <v>382</v>
      </c>
      <c r="Z68" s="702">
        <f>Y68/Y$12</f>
        <v>3.2695360590532586E-4</v>
      </c>
      <c r="AA68" s="144">
        <f t="shared" si="20"/>
        <v>4584</v>
      </c>
      <c r="AB68" s="702">
        <f>AA68/AA12</f>
        <v>4.2106452139736411E-4</v>
      </c>
      <c r="AC68" s="128">
        <f t="shared" si="2"/>
        <v>382</v>
      </c>
      <c r="AD68" s="702">
        <f>AC68/AC12</f>
        <v>4.2106452139736411E-4</v>
      </c>
      <c r="AE68" s="645"/>
      <c r="AF68" s="226"/>
      <c r="AG68" s="226"/>
    </row>
    <row r="69" spans="1:36" s="1" customFormat="1">
      <c r="A69" s="188">
        <v>6128</v>
      </c>
      <c r="B69" s="188" t="s">
        <v>232</v>
      </c>
      <c r="C69" s="678">
        <v>0</v>
      </c>
      <c r="D69" s="684">
        <f>C69/C$12</f>
        <v>0</v>
      </c>
      <c r="E69" s="678">
        <v>0</v>
      </c>
      <c r="F69" s="684">
        <f>E69/E$12</f>
        <v>0</v>
      </c>
      <c r="G69" s="678">
        <v>0</v>
      </c>
      <c r="H69" s="684">
        <f>G69/G$12</f>
        <v>0</v>
      </c>
      <c r="I69" s="678">
        <v>0</v>
      </c>
      <c r="J69" s="684">
        <f>I69/I$12</f>
        <v>0</v>
      </c>
      <c r="K69" s="678">
        <v>0</v>
      </c>
      <c r="L69" s="684">
        <f>K69/K$12</f>
        <v>0</v>
      </c>
      <c r="M69" s="678">
        <v>0</v>
      </c>
      <c r="N69" s="684">
        <f>M69/M$12</f>
        <v>0</v>
      </c>
      <c r="O69" s="678">
        <v>0</v>
      </c>
      <c r="P69" s="684">
        <f>O69/O$12</f>
        <v>0</v>
      </c>
      <c r="Q69" s="678">
        <v>0</v>
      </c>
      <c r="R69" s="684">
        <f>Q69/Q$12</f>
        <v>0</v>
      </c>
      <c r="S69" s="678">
        <v>0</v>
      </c>
      <c r="T69" s="684">
        <f>S69/S$12</f>
        <v>0</v>
      </c>
      <c r="U69" s="678">
        <v>0</v>
      </c>
      <c r="V69" s="684">
        <f>U69/U$12</f>
        <v>0</v>
      </c>
      <c r="W69" s="678">
        <v>0</v>
      </c>
      <c r="X69" s="684">
        <f>W69/W$12</f>
        <v>0</v>
      </c>
      <c r="Y69" s="678">
        <v>0</v>
      </c>
      <c r="Z69" s="684">
        <f>Y69/Y$12</f>
        <v>0</v>
      </c>
      <c r="AA69" s="144">
        <f t="shared" si="20"/>
        <v>0</v>
      </c>
      <c r="AB69" s="68"/>
      <c r="AC69" s="128">
        <f t="shared" si="2"/>
        <v>0</v>
      </c>
      <c r="AD69" s="68"/>
      <c r="AE69" s="374"/>
      <c r="AF69" s="374">
        <v>0</v>
      </c>
      <c r="AG69" s="84">
        <f t="shared" si="3"/>
        <v>0</v>
      </c>
      <c r="AH69" s="84">
        <f t="shared" ref="AH69:AH107" si="22">AA69-AG69</f>
        <v>0</v>
      </c>
    </row>
    <row r="70" spans="1:36" s="1" customFormat="1">
      <c r="A70" s="2">
        <v>6131</v>
      </c>
      <c r="B70" s="188" t="s">
        <v>314</v>
      </c>
      <c r="C70" s="676">
        <v>676.8189509306261</v>
      </c>
      <c r="D70" s="702">
        <f t="shared" ref="D70:D74" si="23">C70/C$12</f>
        <v>8.2659383693330622E-4</v>
      </c>
      <c r="E70" s="676">
        <v>676.8189509306261</v>
      </c>
      <c r="F70" s="702">
        <f t="shared" ref="F70:F74" si="24">E70/E$12</f>
        <v>1.0624579456394243E-3</v>
      </c>
      <c r="G70" s="676">
        <v>676.8189509306261</v>
      </c>
      <c r="H70" s="702">
        <f t="shared" ref="H70:H74" si="25">G70/G$12</f>
        <v>6.4050656881859129E-4</v>
      </c>
      <c r="I70" s="676">
        <v>676.8189509306261</v>
      </c>
      <c r="J70" s="702">
        <f t="shared" ref="J70:J74" si="26">I70/I$12</f>
        <v>7.2538021299655504E-4</v>
      </c>
      <c r="K70" s="676">
        <v>676.8189509306261</v>
      </c>
      <c r="L70" s="702">
        <f t="shared" ref="L70:L74" si="27">K70/K$12</f>
        <v>7.931103533631909E-4</v>
      </c>
      <c r="M70" s="676">
        <v>676.8189509306261</v>
      </c>
      <c r="N70" s="702">
        <f t="shared" ref="N70:N74" si="28">M70/M$12</f>
        <v>5.5932164830395197E-4</v>
      </c>
      <c r="O70" s="676">
        <v>676.8189509306261</v>
      </c>
      <c r="P70" s="702">
        <f t="shared" ref="P70:P74" si="29">O70/O$12</f>
        <v>8.8345025026114355E-4</v>
      </c>
      <c r="Q70" s="676">
        <v>676.8189509306261</v>
      </c>
      <c r="R70" s="702">
        <f t="shared" ref="R70:R74" si="30">Q70/Q$12</f>
        <v>7.1146208866882602E-4</v>
      </c>
      <c r="S70" s="676">
        <v>676.8189509306261</v>
      </c>
      <c r="T70" s="702">
        <f t="shared" ref="T70:T74" si="31">S70/S$12</f>
        <v>7.0625047166681103E-4</v>
      </c>
      <c r="U70" s="676">
        <v>676.8189509306261</v>
      </c>
      <c r="V70" s="702">
        <f t="shared" ref="V70:V74" si="32">U70/U$12</f>
        <v>8.9037400173750531E-4</v>
      </c>
      <c r="W70" s="676">
        <v>676.8189509306261</v>
      </c>
      <c r="X70" s="702">
        <f t="shared" ref="X70:X74" si="33">W70/W$12</f>
        <v>8.7511073224290803E-4</v>
      </c>
      <c r="Y70" s="676">
        <v>676.8189509306261</v>
      </c>
      <c r="Z70" s="702">
        <f t="shared" ref="Z70:Z74" si="34">Y70/Y$12</f>
        <v>5.7928899620897389E-4</v>
      </c>
      <c r="AA70" s="144">
        <f t="shared" si="20"/>
        <v>8121.8274111675119</v>
      </c>
      <c r="AB70" s="702">
        <f t="shared" ref="AB70:AB74" si="35">AA70/AA$12</f>
        <v>7.4603258546144006E-4</v>
      </c>
      <c r="AC70" s="128">
        <f t="shared" ref="AC70:AC74" si="36">AA70/12</f>
        <v>676.81895093062599</v>
      </c>
      <c r="AD70" s="702">
        <f t="shared" ref="AD70:AD74" si="37">AC70/AC$12</f>
        <v>7.4603258546143995E-4</v>
      </c>
      <c r="AE70" s="645"/>
      <c r="AF70" s="226"/>
      <c r="AG70" s="226"/>
    </row>
    <row r="71" spans="1:36" s="1" customFormat="1">
      <c r="A71" s="2">
        <v>6132</v>
      </c>
      <c r="B71" s="188" t="s">
        <v>315</v>
      </c>
      <c r="C71" s="676">
        <v>46.531302876480538</v>
      </c>
      <c r="D71" s="702">
        <f t="shared" si="23"/>
        <v>5.6828326289164801E-5</v>
      </c>
      <c r="E71" s="676">
        <v>46.531302876480538</v>
      </c>
      <c r="F71" s="702">
        <f t="shared" si="24"/>
        <v>7.3043983762710412E-5</v>
      </c>
      <c r="G71" s="676">
        <v>46.531302876480538</v>
      </c>
      <c r="H71" s="702">
        <f t="shared" si="25"/>
        <v>4.4034826606278142E-5</v>
      </c>
      <c r="I71" s="676">
        <v>46.531302876480538</v>
      </c>
      <c r="J71" s="702">
        <f t="shared" si="26"/>
        <v>4.9869889643513154E-5</v>
      </c>
      <c r="K71" s="676">
        <v>46.531302876480538</v>
      </c>
      <c r="L71" s="702">
        <f t="shared" si="27"/>
        <v>5.4526336793719371E-5</v>
      </c>
      <c r="M71" s="676">
        <v>46.531302876480538</v>
      </c>
      <c r="N71" s="702">
        <f t="shared" si="28"/>
        <v>3.8453363320896689E-5</v>
      </c>
      <c r="O71" s="676">
        <v>46.531302876480538</v>
      </c>
      <c r="P71" s="702">
        <f t="shared" si="29"/>
        <v>6.0737204705453609E-5</v>
      </c>
      <c r="Q71" s="676">
        <v>46.531302876480538</v>
      </c>
      <c r="R71" s="702">
        <f t="shared" si="30"/>
        <v>4.891301859598178E-5</v>
      </c>
      <c r="S71" s="676">
        <v>46.531302876480538</v>
      </c>
      <c r="T71" s="702">
        <f t="shared" si="31"/>
        <v>4.8554719927093251E-5</v>
      </c>
      <c r="U71" s="676">
        <v>46.531302876480538</v>
      </c>
      <c r="V71" s="702">
        <f t="shared" si="32"/>
        <v>6.1213212619453482E-5</v>
      </c>
      <c r="W71" s="676">
        <v>46.531302876480538</v>
      </c>
      <c r="X71" s="702">
        <f t="shared" si="33"/>
        <v>6.0163862841699917E-5</v>
      </c>
      <c r="Y71" s="676">
        <v>46.531302876480538</v>
      </c>
      <c r="Z71" s="702">
        <f t="shared" si="34"/>
        <v>3.9826118489366947E-5</v>
      </c>
      <c r="AA71" s="144">
        <f t="shared" si="20"/>
        <v>558.37563451776646</v>
      </c>
      <c r="AB71" s="702">
        <f t="shared" si="35"/>
        <v>5.1289740250474006E-5</v>
      </c>
      <c r="AC71" s="128">
        <f t="shared" si="36"/>
        <v>46.531302876480538</v>
      </c>
      <c r="AD71" s="702">
        <f t="shared" si="37"/>
        <v>5.1289740250473999E-5</v>
      </c>
      <c r="AE71" s="645"/>
      <c r="AF71" s="226"/>
      <c r="AG71" s="226"/>
    </row>
    <row r="72" spans="1:36" s="1" customFormat="1">
      <c r="A72" s="2">
        <v>6133</v>
      </c>
      <c r="B72" s="188" t="s">
        <v>316</v>
      </c>
      <c r="C72" s="676">
        <v>100</v>
      </c>
      <c r="D72" s="702">
        <f t="shared" si="23"/>
        <v>1.2212923940689598E-4</v>
      </c>
      <c r="E72" s="676">
        <v>100</v>
      </c>
      <c r="F72" s="702">
        <f t="shared" si="24"/>
        <v>1.5697816146822491E-4</v>
      </c>
      <c r="G72" s="676">
        <v>100</v>
      </c>
      <c r="H72" s="702">
        <f t="shared" si="25"/>
        <v>9.4634845542946859E-5</v>
      </c>
      <c r="I72" s="676">
        <v>100</v>
      </c>
      <c r="J72" s="702">
        <f t="shared" si="26"/>
        <v>1.0717492647024099E-4</v>
      </c>
      <c r="K72" s="676">
        <v>100</v>
      </c>
      <c r="L72" s="702">
        <f t="shared" si="27"/>
        <v>1.1718205470941144E-4</v>
      </c>
      <c r="M72" s="676">
        <v>100</v>
      </c>
      <c r="N72" s="702">
        <f t="shared" si="28"/>
        <v>8.263977353690889E-5</v>
      </c>
      <c r="O72" s="676">
        <v>100</v>
      </c>
      <c r="P72" s="702">
        <f t="shared" si="29"/>
        <v>1.3052977447608396E-4</v>
      </c>
      <c r="Q72" s="676">
        <v>100</v>
      </c>
      <c r="R72" s="702">
        <f t="shared" si="30"/>
        <v>1.0511852360081904E-4</v>
      </c>
      <c r="S72" s="676">
        <v>100</v>
      </c>
      <c r="T72" s="702">
        <f t="shared" si="31"/>
        <v>1.0434850718877133E-4</v>
      </c>
      <c r="U72" s="676">
        <v>100</v>
      </c>
      <c r="V72" s="702">
        <f t="shared" si="32"/>
        <v>1.315527587567164E-4</v>
      </c>
      <c r="W72" s="676">
        <v>100</v>
      </c>
      <c r="X72" s="702">
        <f t="shared" si="33"/>
        <v>1.2929761068888965E-4</v>
      </c>
      <c r="Y72" s="676">
        <v>100</v>
      </c>
      <c r="Z72" s="702">
        <f t="shared" si="34"/>
        <v>8.5589949189875878E-5</v>
      </c>
      <c r="AA72" s="144">
        <f t="shared" si="20"/>
        <v>1200</v>
      </c>
      <c r="AB72" s="702">
        <f t="shared" si="35"/>
        <v>1.1022631450192778E-4</v>
      </c>
      <c r="AC72" s="128">
        <f t="shared" si="36"/>
        <v>100</v>
      </c>
      <c r="AD72" s="702">
        <f t="shared" si="37"/>
        <v>1.1022631450192777E-4</v>
      </c>
      <c r="AE72" s="645"/>
      <c r="AF72" s="226"/>
      <c r="AG72" s="226"/>
    </row>
    <row r="73" spans="1:36" s="1" customFormat="1">
      <c r="A73" s="2">
        <v>6134</v>
      </c>
      <c r="B73" s="188" t="s">
        <v>317</v>
      </c>
      <c r="C73" s="676">
        <v>118.44331641285957</v>
      </c>
      <c r="D73" s="702">
        <f t="shared" si="23"/>
        <v>1.4465392146332861E-4</v>
      </c>
      <c r="E73" s="676">
        <v>118.44331641285957</v>
      </c>
      <c r="F73" s="702">
        <f t="shared" si="24"/>
        <v>1.8593014048689924E-4</v>
      </c>
      <c r="G73" s="676">
        <v>118.44331641285957</v>
      </c>
      <c r="H73" s="702">
        <f t="shared" si="25"/>
        <v>1.1208864954325348E-4</v>
      </c>
      <c r="I73" s="676">
        <v>118.44331641285957</v>
      </c>
      <c r="J73" s="702">
        <f t="shared" si="26"/>
        <v>1.2694153727439714E-4</v>
      </c>
      <c r="K73" s="676">
        <v>118.44331641285957</v>
      </c>
      <c r="L73" s="702">
        <f t="shared" si="27"/>
        <v>1.3879431183855842E-4</v>
      </c>
      <c r="M73" s="676">
        <v>118.44331641285957</v>
      </c>
      <c r="N73" s="702">
        <f t="shared" si="28"/>
        <v>9.7881288453191597E-5</v>
      </c>
      <c r="O73" s="676">
        <v>118.44331641285957</v>
      </c>
      <c r="P73" s="702">
        <f t="shared" si="29"/>
        <v>1.5460379379570013E-4</v>
      </c>
      <c r="Q73" s="676">
        <v>118.44331641285957</v>
      </c>
      <c r="R73" s="702">
        <f t="shared" si="30"/>
        <v>1.2450586551704455E-4</v>
      </c>
      <c r="S73" s="676">
        <v>118.44331641285957</v>
      </c>
      <c r="T73" s="702">
        <f t="shared" si="31"/>
        <v>1.2359383254169194E-4</v>
      </c>
      <c r="U73" s="676">
        <v>118.44331641285957</v>
      </c>
      <c r="V73" s="702">
        <f t="shared" si="32"/>
        <v>1.5581545030406344E-4</v>
      </c>
      <c r="W73" s="676">
        <v>118.44331641285957</v>
      </c>
      <c r="X73" s="702">
        <f t="shared" si="33"/>
        <v>1.5314437814250892E-4</v>
      </c>
      <c r="Y73" s="676">
        <v>118.44331641285957</v>
      </c>
      <c r="Z73" s="702">
        <f t="shared" si="34"/>
        <v>1.0137557433657043E-4</v>
      </c>
      <c r="AA73" s="144">
        <f t="shared" si="20"/>
        <v>1421.3197969543146</v>
      </c>
      <c r="AB73" s="702">
        <f t="shared" si="35"/>
        <v>1.3055570245575201E-4</v>
      </c>
      <c r="AC73" s="128">
        <f t="shared" si="36"/>
        <v>118.44331641285955</v>
      </c>
      <c r="AD73" s="702">
        <f t="shared" si="37"/>
        <v>1.3055570245575199E-4</v>
      </c>
      <c r="AE73" s="645"/>
      <c r="AF73" s="226"/>
      <c r="AG73" s="226"/>
    </row>
    <row r="74" spans="1:36" s="1" customFormat="1">
      <c r="A74" s="2">
        <v>6135</v>
      </c>
      <c r="B74" s="188" t="s">
        <v>318</v>
      </c>
      <c r="C74" s="676">
        <v>0</v>
      </c>
      <c r="D74" s="702">
        <f t="shared" si="23"/>
        <v>0</v>
      </c>
      <c r="E74" s="676">
        <v>0</v>
      </c>
      <c r="F74" s="702">
        <f t="shared" si="24"/>
        <v>0</v>
      </c>
      <c r="G74" s="676">
        <v>0</v>
      </c>
      <c r="H74" s="702">
        <f t="shared" si="25"/>
        <v>0</v>
      </c>
      <c r="I74" s="676">
        <v>0</v>
      </c>
      <c r="J74" s="702">
        <f t="shared" si="26"/>
        <v>0</v>
      </c>
      <c r="K74" s="676">
        <v>0</v>
      </c>
      <c r="L74" s="702">
        <f t="shared" si="27"/>
        <v>0</v>
      </c>
      <c r="M74" s="676">
        <v>0</v>
      </c>
      <c r="N74" s="702">
        <f t="shared" si="28"/>
        <v>0</v>
      </c>
      <c r="O74" s="676">
        <v>0</v>
      </c>
      <c r="P74" s="702">
        <f t="shared" si="29"/>
        <v>0</v>
      </c>
      <c r="Q74" s="676">
        <v>0</v>
      </c>
      <c r="R74" s="702">
        <f t="shared" si="30"/>
        <v>0</v>
      </c>
      <c r="S74" s="676">
        <v>0</v>
      </c>
      <c r="T74" s="702">
        <f t="shared" si="31"/>
        <v>0</v>
      </c>
      <c r="U74" s="676">
        <v>0</v>
      </c>
      <c r="V74" s="702">
        <f t="shared" si="32"/>
        <v>0</v>
      </c>
      <c r="W74" s="676">
        <v>0</v>
      </c>
      <c r="X74" s="702">
        <f t="shared" si="33"/>
        <v>0</v>
      </c>
      <c r="Y74" s="676">
        <v>0</v>
      </c>
      <c r="Z74" s="702">
        <f t="shared" si="34"/>
        <v>0</v>
      </c>
      <c r="AA74" s="144">
        <f t="shared" si="20"/>
        <v>0</v>
      </c>
      <c r="AB74" s="702">
        <f t="shared" si="35"/>
        <v>0</v>
      </c>
      <c r="AC74" s="128">
        <f t="shared" si="36"/>
        <v>0</v>
      </c>
      <c r="AD74" s="702">
        <f t="shared" si="37"/>
        <v>0</v>
      </c>
      <c r="AE74" s="645"/>
      <c r="AF74" s="226"/>
      <c r="AG74" s="226"/>
    </row>
    <row r="75" spans="1:36" s="1" customFormat="1">
      <c r="A75" s="2">
        <v>6136</v>
      </c>
      <c r="B75" s="188" t="s">
        <v>330</v>
      </c>
      <c r="C75" s="676">
        <v>155</v>
      </c>
      <c r="D75" s="702">
        <f t="shared" ref="D75" si="38">C75/C$12</f>
        <v>1.8930032108068878E-4</v>
      </c>
      <c r="E75" s="676">
        <v>155</v>
      </c>
      <c r="F75" s="702">
        <f t="shared" ref="F75" si="39">E75/E$12</f>
        <v>2.4331615027574862E-4</v>
      </c>
      <c r="G75" s="676">
        <v>155</v>
      </c>
      <c r="H75" s="702">
        <f t="shared" ref="H75" si="40">G75/G$12</f>
        <v>1.4668401059156761E-4</v>
      </c>
      <c r="I75" s="676">
        <v>155</v>
      </c>
      <c r="J75" s="702">
        <f t="shared" ref="J75" si="41">I75/I$12</f>
        <v>1.6612113602887355E-4</v>
      </c>
      <c r="K75" s="676">
        <v>155</v>
      </c>
      <c r="L75" s="702">
        <f t="shared" ref="L75" si="42">K75/K$12</f>
        <v>1.8163218479958775E-4</v>
      </c>
      <c r="M75" s="676">
        <v>155</v>
      </c>
      <c r="N75" s="702">
        <f t="shared" ref="N75" si="43">M75/M$12</f>
        <v>1.2809164898220878E-4</v>
      </c>
      <c r="O75" s="676">
        <v>155</v>
      </c>
      <c r="P75" s="702">
        <f t="shared" ref="P75" si="44">O75/O$12</f>
        <v>2.0232115043793011E-4</v>
      </c>
      <c r="Q75" s="676">
        <v>155</v>
      </c>
      <c r="R75" s="702">
        <f t="shared" ref="R75" si="45">Q75/Q$12</f>
        <v>1.629337115812695E-4</v>
      </c>
      <c r="S75" s="676">
        <v>155</v>
      </c>
      <c r="T75" s="702">
        <f t="shared" ref="T75" si="46">S75/S$12</f>
        <v>1.6174018614259554E-4</v>
      </c>
      <c r="U75" s="676">
        <v>155</v>
      </c>
      <c r="V75" s="702">
        <f t="shared" ref="V75" si="47">U75/U$12</f>
        <v>2.0390677607291043E-4</v>
      </c>
      <c r="W75" s="676">
        <v>155</v>
      </c>
      <c r="X75" s="702">
        <f t="shared" ref="X75" si="48">W75/W$12</f>
        <v>2.0041129656777896E-4</v>
      </c>
      <c r="Y75" s="676">
        <v>155</v>
      </c>
      <c r="Z75" s="702">
        <f t="shared" ref="Z75" si="49">Y75/Y$12</f>
        <v>1.3266442124430761E-4</v>
      </c>
      <c r="AA75" s="144">
        <f t="shared" ref="AA75" si="50">C75+E75+G75+I75+K75+M75+O75+Q75+S75+U75+W75+Y75</f>
        <v>1860</v>
      </c>
      <c r="AB75" s="702">
        <f t="shared" ref="AB75" si="51">AA75/AA$12</f>
        <v>1.7085078747798804E-4</v>
      </c>
      <c r="AC75" s="128">
        <f t="shared" ref="AC75" si="52">AA75/12</f>
        <v>155</v>
      </c>
      <c r="AD75" s="702">
        <f t="shared" ref="AD75" si="53">AC75/AC$12</f>
        <v>1.7085078747798804E-4</v>
      </c>
      <c r="AE75" s="645"/>
      <c r="AF75" s="226"/>
      <c r="AG75" s="226"/>
    </row>
    <row r="76" spans="1:36" s="1" customFormat="1" ht="15.75" thickBot="1">
      <c r="A76" s="4">
        <v>6199</v>
      </c>
      <c r="B76" s="229" t="s">
        <v>23</v>
      </c>
      <c r="C76" s="398">
        <f>SUM(C42:C75)</f>
        <v>96324.561129770256</v>
      </c>
      <c r="D76" s="401">
        <f>C76/C12</f>
        <v>0.117640453869819</v>
      </c>
      <c r="E76" s="398">
        <f>SUM(E42:E75)</f>
        <v>84168.917631528515</v>
      </c>
      <c r="F76" s="401">
        <f>E76/E12</f>
        <v>0.13212681942567805</v>
      </c>
      <c r="G76" s="400">
        <f>SUM(G42:G75)</f>
        <v>109897.64256609401</v>
      </c>
      <c r="H76" s="401">
        <f>G76/G12</f>
        <v>0.10400146429776289</v>
      </c>
      <c r="I76" s="398">
        <f>SUM(I42:I75)</f>
        <v>104106.9785994527</v>
      </c>
      <c r="J76" s="401">
        <f>I76/I12</f>
        <v>0.11157657776435297</v>
      </c>
      <c r="K76" s="398">
        <f>SUM(K42:K75)</f>
        <v>97867.18977663698</v>
      </c>
      <c r="L76" s="401">
        <f>K76/K12</f>
        <v>0.11468278386662227</v>
      </c>
      <c r="M76" s="400">
        <f>SUM(M42:M75)</f>
        <v>121072.65079540449</v>
      </c>
      <c r="N76" s="401">
        <f>M76/M12</f>
        <v>0.1000541644324548</v>
      </c>
      <c r="O76" s="400">
        <f>SUM(O42:O75)</f>
        <v>94261.240285558277</v>
      </c>
      <c r="P76" s="401">
        <f>O76/O12</f>
        <v>0.12303898436309881</v>
      </c>
      <c r="Q76" s="398">
        <f>SUM(Q42:Q75)</f>
        <v>103491.87973499438</v>
      </c>
      <c r="R76" s="401">
        <f>Q76/Q12</f>
        <v>0.10878913602416132</v>
      </c>
      <c r="S76" s="398">
        <f>SUM(S42:S75)</f>
        <v>108539.44508900099</v>
      </c>
      <c r="T76" s="401">
        <f>S76/S12</f>
        <v>0.1132592906613487</v>
      </c>
      <c r="U76" s="398">
        <f>SUM(U42:U75)</f>
        <v>93777.956255878074</v>
      </c>
      <c r="V76" s="401">
        <f>U76/U12</f>
        <v>0.12336748856027432</v>
      </c>
      <c r="W76" s="398">
        <f>SUM(W42:W75)</f>
        <v>94737.268005057093</v>
      </c>
      <c r="X76" s="401">
        <f>W76/W12</f>
        <v>0.12249302396246874</v>
      </c>
      <c r="Y76" s="398">
        <f>SUM(Y42:Y75)</f>
        <v>119632.27197899301</v>
      </c>
      <c r="Z76" s="401">
        <f>Y76/Y12</f>
        <v>0.10239320080151425</v>
      </c>
      <c r="AA76" s="398">
        <f>SUM(AA42:AA75)</f>
        <v>1227878.0018483687</v>
      </c>
      <c r="AB76" s="89">
        <f>AA76/AA12</f>
        <v>0.11278705566811412</v>
      </c>
      <c r="AC76" s="398">
        <f>SUM(AC42:AC75)</f>
        <v>102323.1668206974</v>
      </c>
      <c r="AD76" s="89">
        <f>AC76/AC12</f>
        <v>0.11278705566811412</v>
      </c>
      <c r="AE76" s="26"/>
      <c r="AF76" s="26"/>
      <c r="AG76" s="84">
        <f t="shared" ref="AG76:AG148" si="54">C76+E76+G76+I76+K76+M76+O76+Q76+S76+U76+W76+Y76</f>
        <v>1227878.0018483687</v>
      </c>
      <c r="AH76" s="84">
        <f t="shared" si="22"/>
        <v>0</v>
      </c>
    </row>
    <row r="77" spans="1:36" s="1" customFormat="1" ht="15.75" thickTop="1">
      <c r="A77" s="2">
        <v>6201</v>
      </c>
      <c r="B77" s="228" t="s">
        <v>24</v>
      </c>
      <c r="C77" s="61">
        <v>50100</v>
      </c>
      <c r="D77" s="24">
        <f>C77/C12</f>
        <v>6.1186748942854891E-2</v>
      </c>
      <c r="E77" s="61">
        <v>50100</v>
      </c>
      <c r="F77" s="24">
        <f>E77/E12</f>
        <v>7.8646058895580684E-2</v>
      </c>
      <c r="G77" s="61">
        <v>50100</v>
      </c>
      <c r="H77" s="24">
        <f>G77/G12</f>
        <v>4.7412057617016376E-2</v>
      </c>
      <c r="I77" s="61">
        <v>50100</v>
      </c>
      <c r="J77" s="24">
        <f>I77/I12</f>
        <v>5.3694638161590744E-2</v>
      </c>
      <c r="K77" s="61">
        <v>50100</v>
      </c>
      <c r="L77" s="24">
        <f>K77/K12</f>
        <v>5.8708209409415138E-2</v>
      </c>
      <c r="M77" s="61">
        <v>50100</v>
      </c>
      <c r="N77" s="24">
        <f>M77/M12</f>
        <v>4.1402526541991357E-2</v>
      </c>
      <c r="O77" s="61">
        <v>50100</v>
      </c>
      <c r="P77" s="24">
        <f>O77/O12</f>
        <v>6.5395417012518053E-2</v>
      </c>
      <c r="Q77" s="61">
        <v>50100</v>
      </c>
      <c r="R77" s="24">
        <f>Q77/Q12</f>
        <v>5.2664380324010336E-2</v>
      </c>
      <c r="S77" s="61">
        <v>50100</v>
      </c>
      <c r="T77" s="24">
        <f>S77/S12</f>
        <v>5.227860210157443E-2</v>
      </c>
      <c r="U77" s="61">
        <v>50100</v>
      </c>
      <c r="V77" s="24">
        <f>U77/U12</f>
        <v>6.5907932137114919E-2</v>
      </c>
      <c r="W77" s="61">
        <v>50100</v>
      </c>
      <c r="X77" s="24">
        <f>W77/W12</f>
        <v>6.4778102955133712E-2</v>
      </c>
      <c r="Y77" s="61">
        <v>50100</v>
      </c>
      <c r="Z77" s="24">
        <f>Y77/Y12</f>
        <v>4.2880564544127815E-2</v>
      </c>
      <c r="AA77" s="144">
        <f t="shared" ref="AA77:AA92" si="55">C77+E77+G77+I77+K77+M77+O77+Q77+S77+U77+W77+Y77</f>
        <v>601200</v>
      </c>
      <c r="AB77" s="24">
        <f>AA77/AA12</f>
        <v>5.5223383565465814E-2</v>
      </c>
      <c r="AC77" s="128">
        <f t="shared" ref="AC77:AC149" si="56">AA77/12</f>
        <v>50100</v>
      </c>
      <c r="AD77" s="24">
        <f>AC77/AC12</f>
        <v>5.5223383565465814E-2</v>
      </c>
      <c r="AE77" s="26"/>
      <c r="AF77" s="26"/>
      <c r="AG77" s="84">
        <f t="shared" si="54"/>
        <v>601200</v>
      </c>
      <c r="AH77" s="84">
        <f t="shared" si="22"/>
        <v>0</v>
      </c>
    </row>
    <row r="78" spans="1:36" s="1" customFormat="1">
      <c r="A78" s="2">
        <v>6202</v>
      </c>
      <c r="B78" s="228" t="s">
        <v>25</v>
      </c>
      <c r="C78" s="61">
        <v>25050</v>
      </c>
      <c r="D78" s="24">
        <f>C78/C12</f>
        <v>3.0593374471427445E-2</v>
      </c>
      <c r="E78" s="61">
        <v>25050</v>
      </c>
      <c r="F78" s="24">
        <f>E78/E12</f>
        <v>3.9323029447790342E-2</v>
      </c>
      <c r="G78" s="61">
        <v>25050</v>
      </c>
      <c r="H78" s="24">
        <f>G78/G12</f>
        <v>2.3706028808508188E-2</v>
      </c>
      <c r="I78" s="61">
        <v>25050</v>
      </c>
      <c r="J78" s="24">
        <f>I78/I12</f>
        <v>2.6847319080795372E-2</v>
      </c>
      <c r="K78" s="61">
        <v>25050</v>
      </c>
      <c r="L78" s="24">
        <f>K78/K12</f>
        <v>2.9354104704707569E-2</v>
      </c>
      <c r="M78" s="61">
        <v>25050</v>
      </c>
      <c r="N78" s="24">
        <f>M78/M12</f>
        <v>2.0701263270995678E-2</v>
      </c>
      <c r="O78" s="61">
        <v>25050</v>
      </c>
      <c r="P78" s="24">
        <f>O78/O12</f>
        <v>3.2697708506259027E-2</v>
      </c>
      <c r="Q78" s="61">
        <v>25050</v>
      </c>
      <c r="R78" s="24">
        <f>Q78/Q12</f>
        <v>2.6332190162005168E-2</v>
      </c>
      <c r="S78" s="61">
        <v>25050</v>
      </c>
      <c r="T78" s="24">
        <f>S78/S12</f>
        <v>2.6139301050787215E-2</v>
      </c>
      <c r="U78" s="61">
        <v>25050</v>
      </c>
      <c r="V78" s="24">
        <f>U78/U12</f>
        <v>3.295396606855746E-2</v>
      </c>
      <c r="W78" s="61">
        <v>25050</v>
      </c>
      <c r="X78" s="24">
        <f>W78/W12</f>
        <v>3.2389051477566856E-2</v>
      </c>
      <c r="Y78" s="61">
        <v>25050</v>
      </c>
      <c r="Z78" s="24">
        <f>Y78/Y12</f>
        <v>2.1440282272063908E-2</v>
      </c>
      <c r="AA78" s="144">
        <f t="shared" si="55"/>
        <v>300600</v>
      </c>
      <c r="AB78" s="24">
        <f>AA78/AA12</f>
        <v>2.7611691782732907E-2</v>
      </c>
      <c r="AC78" s="128">
        <f t="shared" si="56"/>
        <v>25050</v>
      </c>
      <c r="AD78" s="24">
        <f>AC78/AC12</f>
        <v>2.7611691782732907E-2</v>
      </c>
      <c r="AE78" s="26"/>
      <c r="AF78" s="26"/>
      <c r="AG78" s="84">
        <f t="shared" si="54"/>
        <v>300600</v>
      </c>
      <c r="AH78" s="84">
        <f t="shared" si="22"/>
        <v>0</v>
      </c>
    </row>
    <row r="79" spans="1:36" s="1" customFormat="1">
      <c r="A79" s="2">
        <v>6203</v>
      </c>
      <c r="B79" s="228" t="s">
        <v>26</v>
      </c>
      <c r="C79" s="61">
        <v>8350</v>
      </c>
      <c r="D79" s="24">
        <f>C79/C12</f>
        <v>1.0197791490475816E-2</v>
      </c>
      <c r="E79" s="61">
        <v>8350</v>
      </c>
      <c r="F79" s="24">
        <f>E79/E12</f>
        <v>1.3107676482596781E-2</v>
      </c>
      <c r="G79" s="61">
        <v>8350</v>
      </c>
      <c r="H79" s="24">
        <f>G79/G12</f>
        <v>7.9020096028360621E-3</v>
      </c>
      <c r="I79" s="61">
        <v>8350</v>
      </c>
      <c r="J79" s="24">
        <f>I79/I12</f>
        <v>8.9491063602651234E-3</v>
      </c>
      <c r="K79" s="61">
        <v>8350</v>
      </c>
      <c r="L79" s="24">
        <f>K79/K12</f>
        <v>9.7847015682358558E-3</v>
      </c>
      <c r="M79" s="61">
        <v>8350</v>
      </c>
      <c r="N79" s="24">
        <f>M79/M12</f>
        <v>6.9004210903318925E-3</v>
      </c>
      <c r="O79" s="61">
        <v>8350</v>
      </c>
      <c r="P79" s="24">
        <f>O79/O12</f>
        <v>1.0899236168753009E-2</v>
      </c>
      <c r="Q79" s="61">
        <v>8350</v>
      </c>
      <c r="R79" s="24">
        <f>Q79/Q12</f>
        <v>8.7773967206683894E-3</v>
      </c>
      <c r="S79" s="61">
        <v>8350</v>
      </c>
      <c r="T79" s="24">
        <f>S79/S12</f>
        <v>8.7131003502624055E-3</v>
      </c>
      <c r="U79" s="61">
        <v>8350</v>
      </c>
      <c r="V79" s="24">
        <f>U79/U12</f>
        <v>1.098465535618582E-2</v>
      </c>
      <c r="W79" s="61">
        <v>8350</v>
      </c>
      <c r="X79" s="24">
        <f>W79/W12</f>
        <v>1.0796350492522287E-2</v>
      </c>
      <c r="Y79" s="61">
        <v>8350</v>
      </c>
      <c r="Z79" s="24">
        <f>Y79/Y12</f>
        <v>7.1467607573546359E-3</v>
      </c>
      <c r="AA79" s="144">
        <f t="shared" si="55"/>
        <v>100200</v>
      </c>
      <c r="AB79" s="24">
        <f>AA79/AA12</f>
        <v>9.203897260910969E-3</v>
      </c>
      <c r="AC79" s="128">
        <f t="shared" si="56"/>
        <v>8350</v>
      </c>
      <c r="AD79" s="24">
        <f>AC79/AC12</f>
        <v>9.203897260910969E-3</v>
      </c>
      <c r="AE79" s="26"/>
      <c r="AF79" s="26"/>
      <c r="AG79" s="84">
        <f t="shared" si="54"/>
        <v>100200</v>
      </c>
      <c r="AH79" s="84">
        <f t="shared" si="22"/>
        <v>0</v>
      </c>
    </row>
    <row r="80" spans="1:36" s="1" customFormat="1">
      <c r="A80" s="2">
        <v>6204</v>
      </c>
      <c r="B80" s="228" t="s">
        <v>27</v>
      </c>
      <c r="C80" s="61"/>
      <c r="D80" s="24">
        <f>C80/C12</f>
        <v>0</v>
      </c>
      <c r="E80" s="61"/>
      <c r="F80" s="24">
        <f>E80/E12</f>
        <v>0</v>
      </c>
      <c r="G80" s="61"/>
      <c r="H80" s="24">
        <f>G80/G12</f>
        <v>0</v>
      </c>
      <c r="I80" s="61"/>
      <c r="J80" s="24">
        <f>I80/I12</f>
        <v>0</v>
      </c>
      <c r="K80" s="61"/>
      <c r="L80" s="24">
        <f>K80/K12</f>
        <v>0</v>
      </c>
      <c r="M80" s="61"/>
      <c r="N80" s="24">
        <f>M80/M12</f>
        <v>0</v>
      </c>
      <c r="O80" s="61"/>
      <c r="P80" s="24">
        <f>O80/O12</f>
        <v>0</v>
      </c>
      <c r="Q80" s="61"/>
      <c r="R80" s="24">
        <f>Q80/Q12</f>
        <v>0</v>
      </c>
      <c r="S80" s="61"/>
      <c r="T80" s="24">
        <f>S80/S12</f>
        <v>0</v>
      </c>
      <c r="U80" s="61"/>
      <c r="V80" s="24">
        <f>U80/U12</f>
        <v>0</v>
      </c>
      <c r="W80" s="61"/>
      <c r="X80" s="24">
        <f>W80/W12</f>
        <v>0</v>
      </c>
      <c r="Y80" s="61"/>
      <c r="Z80" s="24">
        <f>Y80/Y12</f>
        <v>0</v>
      </c>
      <c r="AA80" s="144">
        <f t="shared" si="55"/>
        <v>0</v>
      </c>
      <c r="AB80" s="24">
        <f>AA80/AA12</f>
        <v>0</v>
      </c>
      <c r="AC80" s="128">
        <f t="shared" si="56"/>
        <v>0</v>
      </c>
      <c r="AD80" s="24">
        <f>AC80/AC12</f>
        <v>0</v>
      </c>
      <c r="AE80" s="26"/>
      <c r="AF80" s="26"/>
      <c r="AG80" s="84">
        <f t="shared" si="54"/>
        <v>0</v>
      </c>
      <c r="AH80" s="84">
        <f t="shared" si="22"/>
        <v>0</v>
      </c>
    </row>
    <row r="81" spans="1:34" s="1" customFormat="1">
      <c r="A81" s="2">
        <v>6205</v>
      </c>
      <c r="B81" s="228" t="s">
        <v>28</v>
      </c>
      <c r="C81" s="61"/>
      <c r="D81" s="24">
        <f>C81/C12</f>
        <v>0</v>
      </c>
      <c r="E81" s="61"/>
      <c r="F81" s="24">
        <f>E81/E12</f>
        <v>0</v>
      </c>
      <c r="G81" s="61"/>
      <c r="H81" s="24">
        <f>G81/G12</f>
        <v>0</v>
      </c>
      <c r="I81" s="61"/>
      <c r="J81" s="24">
        <f>I81/I12</f>
        <v>0</v>
      </c>
      <c r="K81" s="61"/>
      <c r="L81" s="24">
        <f>K81/K12</f>
        <v>0</v>
      </c>
      <c r="M81" s="61"/>
      <c r="N81" s="24">
        <f>M81/M12</f>
        <v>0</v>
      </c>
      <c r="O81" s="61"/>
      <c r="P81" s="24">
        <f>O81/O12</f>
        <v>0</v>
      </c>
      <c r="Q81" s="61"/>
      <c r="R81" s="24">
        <f>Q81/Q12</f>
        <v>0</v>
      </c>
      <c r="S81" s="61"/>
      <c r="T81" s="24">
        <f>S81/S12</f>
        <v>0</v>
      </c>
      <c r="U81" s="61"/>
      <c r="V81" s="24">
        <f>U81/U12</f>
        <v>0</v>
      </c>
      <c r="W81" s="61"/>
      <c r="X81" s="24">
        <f>W81/W12</f>
        <v>0</v>
      </c>
      <c r="Y81" s="61"/>
      <c r="Z81" s="24">
        <f>Y81/Y12</f>
        <v>0</v>
      </c>
      <c r="AA81" s="144">
        <f t="shared" si="55"/>
        <v>0</v>
      </c>
      <c r="AB81" s="24">
        <f>AA81/AA12</f>
        <v>0</v>
      </c>
      <c r="AC81" s="128">
        <f t="shared" si="56"/>
        <v>0</v>
      </c>
      <c r="AD81" s="24">
        <f>AC81/AC12</f>
        <v>0</v>
      </c>
      <c r="AE81" s="26"/>
      <c r="AF81" s="26"/>
      <c r="AG81" s="84">
        <f t="shared" si="54"/>
        <v>0</v>
      </c>
      <c r="AH81" s="84">
        <f t="shared" si="22"/>
        <v>0</v>
      </c>
    </row>
    <row r="82" spans="1:34" s="1" customFormat="1">
      <c r="A82" s="2">
        <v>6206</v>
      </c>
      <c r="B82" s="2" t="s">
        <v>217</v>
      </c>
      <c r="C82" s="61">
        <v>1408.6166666666668</v>
      </c>
      <c r="D82" s="24">
        <f>C82/C12</f>
        <v>1.7203328211587716E-3</v>
      </c>
      <c r="E82" s="61">
        <v>1408.6166666666668</v>
      </c>
      <c r="F82" s="24">
        <f>E82/E12</f>
        <v>2.2112205454683279E-3</v>
      </c>
      <c r="G82" s="61">
        <v>1408.6166666666668</v>
      </c>
      <c r="H82" s="24">
        <f>G82/G12</f>
        <v>1.3330422067922066E-3</v>
      </c>
      <c r="I82" s="61">
        <v>1408.6166666666668</v>
      </c>
      <c r="J82" s="24">
        <f>I82/I12</f>
        <v>1.5096838767475599E-3</v>
      </c>
      <c r="K82" s="61">
        <v>1408.6166666666668</v>
      </c>
      <c r="L82" s="24">
        <f>K82/K12</f>
        <v>1.6506459529792214E-3</v>
      </c>
      <c r="M82" s="61">
        <v>1408.6166666666668</v>
      </c>
      <c r="N82" s="24">
        <f>M82/M12</f>
        <v>1.1640776233364882E-3</v>
      </c>
      <c r="O82" s="61">
        <v>1408.6166666666668</v>
      </c>
      <c r="P82" s="24">
        <f>O82/O12</f>
        <v>1.8386641582325313E-3</v>
      </c>
      <c r="Q82" s="61">
        <v>1408.6166666666668</v>
      </c>
      <c r="R82" s="24">
        <f>Q82/Q12</f>
        <v>1.4807170431950707E-3</v>
      </c>
      <c r="S82" s="61">
        <v>1408.6166666666668</v>
      </c>
      <c r="T82" s="24">
        <f>S82/S12</f>
        <v>1.4698704636788977E-3</v>
      </c>
      <c r="U82" s="61">
        <v>1408.6166666666668</v>
      </c>
      <c r="V82" s="24">
        <f>U82/U12</f>
        <v>1.8530740853069001E-3</v>
      </c>
      <c r="W82" s="61">
        <v>1408.6166666666668</v>
      </c>
      <c r="X82" s="24">
        <f>W82/W12</f>
        <v>1.8213076937654814E-3</v>
      </c>
      <c r="Y82" s="61">
        <v>1408.6166666666668</v>
      </c>
      <c r="Z82" s="24">
        <f>Y82/Y12</f>
        <v>1.2056342892801234E-3</v>
      </c>
      <c r="AA82" s="144">
        <f t="shared" si="55"/>
        <v>16903.400000000001</v>
      </c>
      <c r="AB82" s="24">
        <f>AA82/AA12</f>
        <v>1.5526662371265717E-3</v>
      </c>
      <c r="AC82" s="128">
        <f t="shared" si="56"/>
        <v>1408.6166666666668</v>
      </c>
      <c r="AD82" s="24">
        <f>AC82/AC12</f>
        <v>1.5526662371265717E-3</v>
      </c>
      <c r="AE82" s="26" t="s">
        <v>269</v>
      </c>
      <c r="AF82" s="26"/>
      <c r="AG82" s="84">
        <f t="shared" si="54"/>
        <v>16903.400000000001</v>
      </c>
      <c r="AH82" s="84">
        <f t="shared" si="22"/>
        <v>0</v>
      </c>
    </row>
    <row r="83" spans="1:34" s="1" customFormat="1">
      <c r="A83" s="2">
        <v>6207</v>
      </c>
      <c r="B83" s="2" t="s">
        <v>218</v>
      </c>
      <c r="C83" s="113">
        <v>4591.666666666667</v>
      </c>
      <c r="D83" s="24">
        <f>C83/C$12</f>
        <v>5.6077675760999746E-3</v>
      </c>
      <c r="E83" s="113">
        <v>4591.666666666667</v>
      </c>
      <c r="F83" s="24">
        <f>E83/E$12</f>
        <v>7.2079139140826618E-3</v>
      </c>
      <c r="G83" s="113">
        <v>4591.666666666667</v>
      </c>
      <c r="H83" s="24">
        <f>G83/G$12</f>
        <v>4.3453166578469767E-3</v>
      </c>
      <c r="I83" s="113">
        <v>4591.666666666667</v>
      </c>
      <c r="J83" s="24">
        <f>I83/I$12</f>
        <v>4.921115373758566E-3</v>
      </c>
      <c r="K83" s="113">
        <v>4591.666666666667</v>
      </c>
      <c r="L83" s="24">
        <f>K83/K$12</f>
        <v>5.3806093454071427E-3</v>
      </c>
      <c r="M83" s="113">
        <v>4591.666666666667</v>
      </c>
      <c r="N83" s="24">
        <f>M83/M$12</f>
        <v>3.794542934903067E-3</v>
      </c>
      <c r="O83" s="113">
        <v>4591.666666666667</v>
      </c>
      <c r="P83" s="24">
        <f>O83/O$12</f>
        <v>5.9934921446935215E-3</v>
      </c>
      <c r="Q83" s="113">
        <v>4591.666666666667</v>
      </c>
      <c r="R83" s="24">
        <f>Q83/Q$12</f>
        <v>4.8266922086709413E-3</v>
      </c>
      <c r="S83" s="113">
        <v>4591.666666666667</v>
      </c>
      <c r="T83" s="24">
        <f>S83/S$12</f>
        <v>4.7913356217510836E-3</v>
      </c>
      <c r="U83" s="113">
        <v>4591.666666666667</v>
      </c>
      <c r="V83" s="24">
        <f>U83/U$12</f>
        <v>6.0404641729125616E-3</v>
      </c>
      <c r="W83" s="113">
        <v>4591.666666666667</v>
      </c>
      <c r="X83" s="24">
        <f>W83/W$12</f>
        <v>5.9369152907981834E-3</v>
      </c>
      <c r="Y83" s="113">
        <v>4591.666666666667</v>
      </c>
      <c r="Z83" s="24">
        <f>Y83/Y$12</f>
        <v>3.930005166968468E-3</v>
      </c>
      <c r="AA83" s="144">
        <f t="shared" si="55"/>
        <v>55099.999999999993</v>
      </c>
      <c r="AB83" s="68">
        <f>AA83/AA$12</f>
        <v>5.0612249408801832E-3</v>
      </c>
      <c r="AC83" s="128">
        <f t="shared" si="56"/>
        <v>4591.6666666666661</v>
      </c>
      <c r="AD83" s="68">
        <f>AC83/AC$12</f>
        <v>5.0612249408801824E-3</v>
      </c>
      <c r="AE83" s="26"/>
      <c r="AF83" s="26"/>
      <c r="AG83" s="84">
        <f t="shared" si="54"/>
        <v>55099.999999999993</v>
      </c>
      <c r="AH83" s="84">
        <f t="shared" si="22"/>
        <v>0</v>
      </c>
    </row>
    <row r="84" spans="1:34" s="1" customFormat="1">
      <c r="A84" s="2">
        <v>6208</v>
      </c>
      <c r="B84" s="2" t="s">
        <v>219</v>
      </c>
      <c r="C84" s="61"/>
      <c r="D84" s="24">
        <f>C84/C12</f>
        <v>0</v>
      </c>
      <c r="E84" s="61"/>
      <c r="F84" s="24">
        <f>E84/E12</f>
        <v>0</v>
      </c>
      <c r="G84" s="61"/>
      <c r="H84" s="24">
        <f>G84/G12</f>
        <v>0</v>
      </c>
      <c r="I84" s="61"/>
      <c r="J84" s="24">
        <f>I84/I12</f>
        <v>0</v>
      </c>
      <c r="K84" s="61"/>
      <c r="L84" s="24">
        <f>K84/K12</f>
        <v>0</v>
      </c>
      <c r="M84" s="61"/>
      <c r="N84" s="24">
        <f>M84/M12</f>
        <v>0</v>
      </c>
      <c r="O84" s="61"/>
      <c r="P84" s="24">
        <f>O84/O12</f>
        <v>0</v>
      </c>
      <c r="Q84" s="61"/>
      <c r="R84" s="24">
        <f>Q84/Q12</f>
        <v>0</v>
      </c>
      <c r="S84" s="61"/>
      <c r="T84" s="24">
        <f>S84/S12</f>
        <v>0</v>
      </c>
      <c r="U84" s="61"/>
      <c r="V84" s="24">
        <f>U84/U12</f>
        <v>0</v>
      </c>
      <c r="W84" s="61"/>
      <c r="X84" s="24">
        <f>W84/W12</f>
        <v>0</v>
      </c>
      <c r="Y84" s="61"/>
      <c r="Z84" s="24">
        <f>Y84/Y12</f>
        <v>0</v>
      </c>
      <c r="AA84" s="144">
        <f t="shared" si="55"/>
        <v>0</v>
      </c>
      <c r="AB84" s="24">
        <f>AA84/AA12</f>
        <v>0</v>
      </c>
      <c r="AC84" s="128">
        <f t="shared" si="56"/>
        <v>0</v>
      </c>
      <c r="AD84" s="24">
        <f>AC84/AC12</f>
        <v>0</v>
      </c>
      <c r="AE84" s="26"/>
      <c r="AF84" s="26"/>
      <c r="AG84" s="84">
        <f t="shared" si="54"/>
        <v>0</v>
      </c>
      <c r="AH84" s="84">
        <f t="shared" si="22"/>
        <v>0</v>
      </c>
    </row>
    <row r="85" spans="1:34" s="1" customFormat="1">
      <c r="A85" s="2">
        <v>6209</v>
      </c>
      <c r="B85" s="228" t="s">
        <v>29</v>
      </c>
      <c r="C85" s="61">
        <v>6262.5</v>
      </c>
      <c r="D85" s="702">
        <f>C85/C12</f>
        <v>7.6483436178568613E-3</v>
      </c>
      <c r="E85" s="61">
        <v>6262.5</v>
      </c>
      <c r="F85" s="702">
        <f>E85/E12</f>
        <v>9.8307573619475855E-3</v>
      </c>
      <c r="G85" s="61">
        <v>6262.5</v>
      </c>
      <c r="H85" s="702">
        <f>G85/G12</f>
        <v>5.926507202127047E-3</v>
      </c>
      <c r="I85" s="61">
        <v>6262.5</v>
      </c>
      <c r="J85" s="702">
        <f>I85/I12</f>
        <v>6.711829770198843E-3</v>
      </c>
      <c r="K85" s="61">
        <v>6262.5</v>
      </c>
      <c r="L85" s="702">
        <f>K85/K12</f>
        <v>7.3385261761768922E-3</v>
      </c>
      <c r="M85" s="61">
        <v>6262.5</v>
      </c>
      <c r="N85" s="702">
        <f>M85/M12</f>
        <v>5.1753158177489196E-3</v>
      </c>
      <c r="O85" s="61">
        <v>6262.5</v>
      </c>
      <c r="P85" s="68">
        <f>O85/O12</f>
        <v>8.1744271265647567E-3</v>
      </c>
      <c r="Q85" s="61">
        <v>6262.5</v>
      </c>
      <c r="R85" s="68">
        <f>Q85/Q12</f>
        <v>6.583047540501292E-3</v>
      </c>
      <c r="S85" s="61">
        <v>6262.5</v>
      </c>
      <c r="T85" s="68">
        <f>S85/S12</f>
        <v>6.5348252626968037E-3</v>
      </c>
      <c r="U85" s="61">
        <v>6262.5</v>
      </c>
      <c r="V85" s="68">
        <f>U85/U12</f>
        <v>8.2384915171393649E-3</v>
      </c>
      <c r="W85" s="61">
        <v>6262.5</v>
      </c>
      <c r="X85" s="68">
        <f>W85/W12</f>
        <v>8.097262869391714E-3</v>
      </c>
      <c r="Y85" s="61">
        <v>6262.5</v>
      </c>
      <c r="Z85" s="68">
        <f>Y85/Y12</f>
        <v>5.3600705680159769E-3</v>
      </c>
      <c r="AA85" s="144">
        <f t="shared" si="55"/>
        <v>75150</v>
      </c>
      <c r="AB85" s="68">
        <f>AA85/AA12</f>
        <v>6.9029229456832267E-3</v>
      </c>
      <c r="AC85" s="128">
        <f t="shared" si="56"/>
        <v>6262.5</v>
      </c>
      <c r="AD85" s="68">
        <f>AC85/AC12</f>
        <v>6.9029229456832267E-3</v>
      </c>
      <c r="AE85" s="26"/>
      <c r="AF85" s="26"/>
      <c r="AG85" s="84">
        <f t="shared" si="54"/>
        <v>75150</v>
      </c>
      <c r="AH85" s="84">
        <f t="shared" si="22"/>
        <v>0</v>
      </c>
    </row>
    <row r="86" spans="1:34" s="1" customFormat="1">
      <c r="A86" s="2">
        <v>6210</v>
      </c>
      <c r="B86" s="228" t="s">
        <v>30</v>
      </c>
      <c r="C86" s="61">
        <v>2882.4657534246571</v>
      </c>
      <c r="D86" s="24">
        <f>C86/C12</f>
        <v>3.5203335008217877E-3</v>
      </c>
      <c r="E86" s="61">
        <v>2882.4657534246571</v>
      </c>
      <c r="F86" s="24">
        <f>E86/E12</f>
        <v>4.5248417446772443E-3</v>
      </c>
      <c r="G86" s="61">
        <v>2882.4657534246571</v>
      </c>
      <c r="H86" s="24">
        <f>G86/G12</f>
        <v>2.7278170135817638E-3</v>
      </c>
      <c r="I86" s="61">
        <v>2882.4657534246571</v>
      </c>
      <c r="J86" s="24">
        <f>I86/I12</f>
        <v>3.0892805517627546E-3</v>
      </c>
      <c r="K86" s="61">
        <v>2882.4657534246571</v>
      </c>
      <c r="L86" s="24">
        <f>K86/K12</f>
        <v>3.3777325961581307E-3</v>
      </c>
      <c r="M86" s="61">
        <v>2882.4657534246571</v>
      </c>
      <c r="N86" s="24">
        <f>M86/M12</f>
        <v>2.3820631709090914E-3</v>
      </c>
      <c r="O86" s="61">
        <v>2882.4657534246571</v>
      </c>
      <c r="P86" s="24">
        <f>O86/O12</f>
        <v>3.7624760472955592E-3</v>
      </c>
      <c r="Q86" s="61">
        <v>2882.4657534246571</v>
      </c>
      <c r="R86" s="24">
        <f>Q86/Q12</f>
        <v>3.0300054432992247E-3</v>
      </c>
      <c r="S86" s="61">
        <v>2882.4657534246571</v>
      </c>
      <c r="T86" s="24">
        <f>S86/S12</f>
        <v>3.0078099839261998E-3</v>
      </c>
      <c r="U86" s="61">
        <v>2882.4657534246571</v>
      </c>
      <c r="V86" s="24">
        <f>U86/U12</f>
        <v>3.7919632188477071E-3</v>
      </c>
      <c r="W86" s="61">
        <v>2882.4657534246571</v>
      </c>
      <c r="X86" s="24">
        <f>W86/W12</f>
        <v>3.726959348103583E-3</v>
      </c>
      <c r="Y86" s="61">
        <v>2882.4657534246571</v>
      </c>
      <c r="Z86" s="24">
        <f>Y86/Y12</f>
        <v>2.4671009737717371E-3</v>
      </c>
      <c r="AA86" s="144">
        <f t="shared" si="55"/>
        <v>34589.589041095889</v>
      </c>
      <c r="AB86" s="24">
        <f>AA86/AA12</f>
        <v>3.1772357667802249E-3</v>
      </c>
      <c r="AC86" s="128">
        <f t="shared" si="56"/>
        <v>2882.4657534246576</v>
      </c>
      <c r="AD86" s="24">
        <f>AC86/AC12</f>
        <v>3.1772357667802249E-3</v>
      </c>
      <c r="AE86" s="26"/>
      <c r="AF86" s="26"/>
      <c r="AG86" s="84">
        <f t="shared" si="54"/>
        <v>34589.589041095889</v>
      </c>
      <c r="AH86" s="84">
        <f t="shared" si="22"/>
        <v>0</v>
      </c>
    </row>
    <row r="87" spans="1:34" s="1" customFormat="1">
      <c r="A87" s="2">
        <v>6211</v>
      </c>
      <c r="B87" s="228" t="s">
        <v>31</v>
      </c>
      <c r="C87" s="61">
        <v>3250</v>
      </c>
      <c r="D87" s="24">
        <f>C87/C12</f>
        <v>3.9692002807241202E-3</v>
      </c>
      <c r="E87" s="61">
        <v>3250</v>
      </c>
      <c r="F87" s="24">
        <f>E87/E12</f>
        <v>5.1017902477173104E-3</v>
      </c>
      <c r="G87" s="61">
        <v>3250</v>
      </c>
      <c r="H87" s="24">
        <f>G87/G12</f>
        <v>3.0756324801457726E-3</v>
      </c>
      <c r="I87" s="61">
        <v>3250</v>
      </c>
      <c r="J87" s="24">
        <f>I87/I12</f>
        <v>3.4831851102828325E-3</v>
      </c>
      <c r="K87" s="61">
        <v>3250</v>
      </c>
      <c r="L87" s="24">
        <f>K87/K12</f>
        <v>3.8084167780558721E-3</v>
      </c>
      <c r="M87" s="61">
        <v>3250</v>
      </c>
      <c r="N87" s="24">
        <f>M87/M12</f>
        <v>2.6857926399495389E-3</v>
      </c>
      <c r="O87" s="61">
        <v>3250</v>
      </c>
      <c r="P87" s="24">
        <f>O87/O12</f>
        <v>4.2422176704727281E-3</v>
      </c>
      <c r="Q87" s="61">
        <v>3250</v>
      </c>
      <c r="R87" s="24">
        <f>Q87/Q12</f>
        <v>3.4163520170266189E-3</v>
      </c>
      <c r="S87" s="61">
        <v>3250</v>
      </c>
      <c r="T87" s="24">
        <f>S87/S12</f>
        <v>3.3913264836350678E-3</v>
      </c>
      <c r="U87" s="61">
        <v>3250</v>
      </c>
      <c r="V87" s="24">
        <f>U87/U12</f>
        <v>4.2754646595932833E-3</v>
      </c>
      <c r="W87" s="61">
        <v>3250</v>
      </c>
      <c r="X87" s="24">
        <f>W87/W12</f>
        <v>4.2021723473889133E-3</v>
      </c>
      <c r="Y87" s="61">
        <v>3250</v>
      </c>
      <c r="Z87" s="24">
        <f>Y87/Y12</f>
        <v>2.7816733486709659E-3</v>
      </c>
      <c r="AA87" s="144">
        <f t="shared" si="55"/>
        <v>39000</v>
      </c>
      <c r="AB87" s="24">
        <f>AA87/AA12</f>
        <v>3.5823552213126528E-3</v>
      </c>
      <c r="AC87" s="128">
        <f t="shared" si="56"/>
        <v>3250</v>
      </c>
      <c r="AD87" s="24">
        <f>AC87/AC12</f>
        <v>3.5823552213126524E-3</v>
      </c>
      <c r="AE87" s="26"/>
      <c r="AF87" s="26"/>
      <c r="AG87" s="84">
        <f t="shared" si="54"/>
        <v>39000</v>
      </c>
      <c r="AH87" s="84">
        <f t="shared" si="22"/>
        <v>0</v>
      </c>
    </row>
    <row r="88" spans="1:34" s="1" customFormat="1">
      <c r="A88" s="2">
        <v>6212</v>
      </c>
      <c r="B88" s="228" t="s">
        <v>32</v>
      </c>
      <c r="C88" s="75">
        <v>100</v>
      </c>
      <c r="D88" s="702">
        <f>C88/C12</f>
        <v>1.2212923940689598E-4</v>
      </c>
      <c r="E88" s="75">
        <v>100</v>
      </c>
      <c r="F88" s="702">
        <f>E88/E12</f>
        <v>1.5697816146822491E-4</v>
      </c>
      <c r="G88" s="75">
        <v>100</v>
      </c>
      <c r="H88" s="702">
        <f>G88/G12</f>
        <v>9.4634845542946859E-5</v>
      </c>
      <c r="I88" s="75">
        <v>100</v>
      </c>
      <c r="J88" s="702">
        <f>I88/I12</f>
        <v>1.0717492647024099E-4</v>
      </c>
      <c r="K88" s="75">
        <v>100</v>
      </c>
      <c r="L88" s="702">
        <f>K88/K12</f>
        <v>1.1718205470941144E-4</v>
      </c>
      <c r="M88" s="75">
        <v>100</v>
      </c>
      <c r="N88" s="702">
        <f>M88/M12</f>
        <v>8.263977353690889E-5</v>
      </c>
      <c r="O88" s="75">
        <v>100</v>
      </c>
      <c r="P88" s="702">
        <f>O88/O12</f>
        <v>1.3052977447608396E-4</v>
      </c>
      <c r="Q88" s="75">
        <v>100</v>
      </c>
      <c r="R88" s="702">
        <f>Q88/Q12</f>
        <v>1.0511852360081904E-4</v>
      </c>
      <c r="S88" s="75">
        <v>100</v>
      </c>
      <c r="T88" s="702">
        <f>S88/S12</f>
        <v>1.0434850718877133E-4</v>
      </c>
      <c r="U88" s="75">
        <v>100</v>
      </c>
      <c r="V88" s="702">
        <f>U88/U12</f>
        <v>1.315527587567164E-4</v>
      </c>
      <c r="W88" s="75">
        <v>100</v>
      </c>
      <c r="X88" s="702">
        <f>W88/W12</f>
        <v>1.2929761068888965E-4</v>
      </c>
      <c r="Y88" s="75">
        <v>100</v>
      </c>
      <c r="Z88" s="702">
        <f>Y88/Y12</f>
        <v>8.5589949189875878E-5</v>
      </c>
      <c r="AA88" s="144">
        <f t="shared" si="55"/>
        <v>1200</v>
      </c>
      <c r="AB88" s="68">
        <f>AA88/AA12</f>
        <v>1.1022631450192778E-4</v>
      </c>
      <c r="AC88" s="128">
        <f t="shared" si="56"/>
        <v>100</v>
      </c>
      <c r="AD88" s="68">
        <f>AC88/AC12</f>
        <v>1.1022631450192777E-4</v>
      </c>
      <c r="AE88" s="26"/>
      <c r="AF88" s="26"/>
      <c r="AG88" s="84">
        <f t="shared" si="54"/>
        <v>1200</v>
      </c>
      <c r="AH88" s="84">
        <f t="shared" si="22"/>
        <v>0</v>
      </c>
    </row>
    <row r="89" spans="1:34" s="1" customFormat="1">
      <c r="A89" s="2">
        <v>6213</v>
      </c>
      <c r="B89" s="228" t="s">
        <v>33</v>
      </c>
      <c r="C89" s="113"/>
      <c r="D89" s="702">
        <f>C89/C12</f>
        <v>0</v>
      </c>
      <c r="E89" s="113"/>
      <c r="F89" s="702">
        <f>E89/E12</f>
        <v>0</v>
      </c>
      <c r="G89" s="113"/>
      <c r="H89" s="702">
        <f>G89/G12</f>
        <v>0</v>
      </c>
      <c r="I89" s="113"/>
      <c r="J89" s="702">
        <f>I89/I12</f>
        <v>0</v>
      </c>
      <c r="K89" s="113"/>
      <c r="L89" s="702">
        <f>K89/K12</f>
        <v>0</v>
      </c>
      <c r="M89" s="113"/>
      <c r="N89" s="702">
        <f>M89/M12</f>
        <v>0</v>
      </c>
      <c r="O89" s="113"/>
      <c r="P89" s="68">
        <f>O89/O12</f>
        <v>0</v>
      </c>
      <c r="Q89" s="113"/>
      <c r="R89" s="68">
        <f>Q89/Q12</f>
        <v>0</v>
      </c>
      <c r="S89" s="113"/>
      <c r="T89" s="68">
        <f>S89/S12</f>
        <v>0</v>
      </c>
      <c r="U89" s="113"/>
      <c r="V89" s="68">
        <f>U89/U12</f>
        <v>0</v>
      </c>
      <c r="W89" s="113"/>
      <c r="X89" s="68">
        <f>W89/W12</f>
        <v>0</v>
      </c>
      <c r="Y89" s="113"/>
      <c r="Z89" s="68">
        <f>Y89/Y12</f>
        <v>0</v>
      </c>
      <c r="AA89" s="144">
        <f t="shared" si="55"/>
        <v>0</v>
      </c>
      <c r="AB89" s="68">
        <f>AA89/AA12</f>
        <v>0</v>
      </c>
      <c r="AC89" s="128">
        <f t="shared" si="56"/>
        <v>0</v>
      </c>
      <c r="AD89" s="68">
        <f>AC89/AC12</f>
        <v>0</v>
      </c>
      <c r="AE89" s="26"/>
      <c r="AF89" s="26"/>
      <c r="AG89" s="84">
        <f t="shared" si="54"/>
        <v>0</v>
      </c>
      <c r="AH89" s="84">
        <f t="shared" si="22"/>
        <v>0</v>
      </c>
    </row>
    <row r="90" spans="1:34" s="1" customFormat="1">
      <c r="A90" s="2">
        <v>6214</v>
      </c>
      <c r="B90" s="228" t="s">
        <v>34</v>
      </c>
      <c r="C90" s="75">
        <v>2505</v>
      </c>
      <c r="D90" s="702">
        <f>C90/C12</f>
        <v>3.0593374471427448E-3</v>
      </c>
      <c r="E90" s="75">
        <v>2505</v>
      </c>
      <c r="F90" s="702">
        <f>E90/E12</f>
        <v>3.932302944779034E-3</v>
      </c>
      <c r="G90" s="75">
        <v>2505</v>
      </c>
      <c r="H90" s="702">
        <f>G90/G12</f>
        <v>2.3706028808508188E-3</v>
      </c>
      <c r="I90" s="75">
        <v>2505</v>
      </c>
      <c r="J90" s="702">
        <f>I90/I12</f>
        <v>2.684731908079537E-3</v>
      </c>
      <c r="K90" s="75">
        <v>2505</v>
      </c>
      <c r="L90" s="702">
        <f>K90/K12</f>
        <v>2.9354104704707568E-3</v>
      </c>
      <c r="M90" s="75">
        <v>2505</v>
      </c>
      <c r="N90" s="702">
        <f>M90/M12</f>
        <v>2.0701263270995677E-3</v>
      </c>
      <c r="O90" s="75">
        <v>2505</v>
      </c>
      <c r="P90" s="68">
        <f>O90/O12</f>
        <v>3.269770850625903E-3</v>
      </c>
      <c r="Q90" s="75">
        <v>2505</v>
      </c>
      <c r="R90" s="68">
        <f>Q90/Q12</f>
        <v>2.6332190162005171E-3</v>
      </c>
      <c r="S90" s="75">
        <v>2505</v>
      </c>
      <c r="T90" s="68">
        <f>S90/S12</f>
        <v>2.6139301050787218E-3</v>
      </c>
      <c r="U90" s="75">
        <v>2505</v>
      </c>
      <c r="V90" s="68">
        <f>U90/U12</f>
        <v>3.2953966068557457E-3</v>
      </c>
      <c r="W90" s="75">
        <v>2505</v>
      </c>
      <c r="X90" s="68">
        <f>W90/W12</f>
        <v>3.2389051477566856E-3</v>
      </c>
      <c r="Y90" s="75">
        <v>2505</v>
      </c>
      <c r="Z90" s="68">
        <f>Y90/Y12</f>
        <v>2.1440282272063909E-3</v>
      </c>
      <c r="AA90" s="144">
        <f t="shared" si="55"/>
        <v>30060</v>
      </c>
      <c r="AB90" s="68">
        <f>AA90/AA12</f>
        <v>2.7611691782732906E-3</v>
      </c>
      <c r="AC90" s="128">
        <f t="shared" si="56"/>
        <v>2505</v>
      </c>
      <c r="AD90" s="68">
        <f>AC90/AC12</f>
        <v>2.7611691782732906E-3</v>
      </c>
      <c r="AE90" s="26"/>
      <c r="AF90" s="26"/>
      <c r="AG90" s="84">
        <f t="shared" si="54"/>
        <v>30060</v>
      </c>
      <c r="AH90" s="84">
        <f t="shared" si="22"/>
        <v>0</v>
      </c>
    </row>
    <row r="91" spans="1:34" s="1" customFormat="1">
      <c r="A91" s="2">
        <v>6215</v>
      </c>
      <c r="B91" s="228" t="s">
        <v>35</v>
      </c>
      <c r="C91" s="61"/>
      <c r="D91" s="24">
        <f>C91/C12</f>
        <v>0</v>
      </c>
      <c r="E91" s="61"/>
      <c r="F91" s="24">
        <f>E91/E12</f>
        <v>0</v>
      </c>
      <c r="G91" s="26"/>
      <c r="H91" s="24">
        <f>G91/G12</f>
        <v>0</v>
      </c>
      <c r="I91" s="61"/>
      <c r="J91" s="24">
        <f>I91/I12</f>
        <v>0</v>
      </c>
      <c r="K91" s="61"/>
      <c r="L91" s="24">
        <f>K91/K12</f>
        <v>0</v>
      </c>
      <c r="M91" s="26"/>
      <c r="N91" s="24">
        <f>M91/M12</f>
        <v>0</v>
      </c>
      <c r="O91" s="26"/>
      <c r="P91" s="24">
        <f>O91/O12</f>
        <v>0</v>
      </c>
      <c r="Q91" s="61"/>
      <c r="R91" s="24">
        <f>Q91/Q12</f>
        <v>0</v>
      </c>
      <c r="S91" s="61"/>
      <c r="T91" s="24">
        <f>S91/S12</f>
        <v>0</v>
      </c>
      <c r="U91" s="61"/>
      <c r="V91" s="24">
        <f>U91/U12</f>
        <v>0</v>
      </c>
      <c r="W91" s="61"/>
      <c r="X91" s="24">
        <f>W91/W12</f>
        <v>0</v>
      </c>
      <c r="Y91" s="61"/>
      <c r="Z91" s="24">
        <f>Y91/Y12</f>
        <v>0</v>
      </c>
      <c r="AA91" s="144">
        <f t="shared" si="55"/>
        <v>0</v>
      </c>
      <c r="AB91" s="24">
        <f>AA91/AA12</f>
        <v>0</v>
      </c>
      <c r="AC91" s="128">
        <f t="shared" si="56"/>
        <v>0</v>
      </c>
      <c r="AD91" s="24">
        <f>AC91/AC12</f>
        <v>0</v>
      </c>
      <c r="AE91" s="26"/>
      <c r="AF91" s="26"/>
      <c r="AG91" s="84">
        <f t="shared" si="54"/>
        <v>0</v>
      </c>
      <c r="AH91" s="84">
        <f t="shared" si="22"/>
        <v>0</v>
      </c>
    </row>
    <row r="92" spans="1:34" s="1" customFormat="1">
      <c r="A92" s="2">
        <v>6216</v>
      </c>
      <c r="B92" s="228" t="s">
        <v>91</v>
      </c>
      <c r="C92" s="61"/>
      <c r="D92" s="24">
        <f>C92/C12</f>
        <v>0</v>
      </c>
      <c r="E92" s="61"/>
      <c r="F92" s="24">
        <f>E92/E12</f>
        <v>0</v>
      </c>
      <c r="G92" s="26"/>
      <c r="H92" s="24">
        <f>G92/G12</f>
        <v>0</v>
      </c>
      <c r="I92" s="61"/>
      <c r="J92" s="24">
        <f>I92/I12</f>
        <v>0</v>
      </c>
      <c r="K92" s="61"/>
      <c r="L92" s="24">
        <f>K92/K12</f>
        <v>0</v>
      </c>
      <c r="M92" s="26"/>
      <c r="N92" s="24">
        <f>M92/M12</f>
        <v>0</v>
      </c>
      <c r="O92" s="26"/>
      <c r="P92" s="24">
        <f>O92/O12</f>
        <v>0</v>
      </c>
      <c r="Q92" s="61"/>
      <c r="R92" s="24">
        <f>Q92/Q12</f>
        <v>0</v>
      </c>
      <c r="S92" s="61"/>
      <c r="T92" s="24">
        <f>S92/S12</f>
        <v>0</v>
      </c>
      <c r="U92" s="61"/>
      <c r="V92" s="24">
        <f>U92/U12</f>
        <v>0</v>
      </c>
      <c r="W92" s="61"/>
      <c r="X92" s="24">
        <f>W92/W12</f>
        <v>0</v>
      </c>
      <c r="Y92" s="61"/>
      <c r="Z92" s="24">
        <f>Y92/Y12</f>
        <v>0</v>
      </c>
      <c r="AA92" s="144">
        <f t="shared" si="55"/>
        <v>0</v>
      </c>
      <c r="AB92" s="24">
        <f>AA92/AA12</f>
        <v>0</v>
      </c>
      <c r="AC92" s="128">
        <f t="shared" si="56"/>
        <v>0</v>
      </c>
      <c r="AD92" s="24">
        <f>AC92/AC12</f>
        <v>0</v>
      </c>
      <c r="AE92" s="26"/>
      <c r="AF92" s="26"/>
      <c r="AG92" s="84">
        <f t="shared" si="54"/>
        <v>0</v>
      </c>
      <c r="AH92" s="84">
        <f t="shared" si="22"/>
        <v>0</v>
      </c>
    </row>
    <row r="93" spans="1:34" s="1" customFormat="1" ht="15.75" thickBot="1">
      <c r="A93" s="4">
        <v>6299</v>
      </c>
      <c r="B93" s="229" t="s">
        <v>112</v>
      </c>
      <c r="C93" s="28">
        <f>SUM(C77:C91)</f>
        <v>104500.24908675799</v>
      </c>
      <c r="D93" s="23">
        <f>C93/C12</f>
        <v>0.12762535938796932</v>
      </c>
      <c r="E93" s="28">
        <f>SUM(E77:E91)</f>
        <v>104500.24908675799</v>
      </c>
      <c r="F93" s="23">
        <f>E93/E12</f>
        <v>0.1640425697461082</v>
      </c>
      <c r="G93" s="28">
        <f>SUM(G77:G91)</f>
        <v>104500.24908675799</v>
      </c>
      <c r="H93" s="23">
        <f>G93/G12</f>
        <v>9.8893649315248161E-2</v>
      </c>
      <c r="I93" s="28">
        <f>SUM(I77:I91)</f>
        <v>104500.24908675799</v>
      </c>
      <c r="J93" s="23">
        <f>I93/I12</f>
        <v>0.11199806511995157</v>
      </c>
      <c r="K93" s="28">
        <f>SUM(K77:K91)</f>
        <v>104500.24908675799</v>
      </c>
      <c r="L93" s="23">
        <f>K93/K12</f>
        <v>0.12245553905631598</v>
      </c>
      <c r="M93" s="28">
        <f>SUM(M77:M91)</f>
        <v>104500.24908675799</v>
      </c>
      <c r="N93" s="23">
        <f>M93/M12</f>
        <v>8.6358769190802501E-2</v>
      </c>
      <c r="O93" s="28">
        <f>SUM(O77:O91)</f>
        <v>104500.24908675799</v>
      </c>
      <c r="P93" s="23">
        <f>O93/O12</f>
        <v>0.13640393945989118</v>
      </c>
      <c r="Q93" s="28">
        <f>SUM(Q77:Q91)</f>
        <v>104500.24908675799</v>
      </c>
      <c r="R93" s="23">
        <f>Q93/Q12</f>
        <v>0.10984911899917839</v>
      </c>
      <c r="S93" s="28">
        <f>SUM(S77:S91)</f>
        <v>104500.24908675799</v>
      </c>
      <c r="T93" s="23">
        <f>S93/S12</f>
        <v>0.1090444499305796</v>
      </c>
      <c r="U93" s="76">
        <f>SUM(U77:U91)</f>
        <v>104500.24908675799</v>
      </c>
      <c r="V93" s="23">
        <f>U93/U12</f>
        <v>0.13747296058127048</v>
      </c>
      <c r="W93" s="76">
        <f>SUM(W77:W91)</f>
        <v>104500.24908675799</v>
      </c>
      <c r="X93" s="23">
        <f>W93/W12</f>
        <v>0.13511632523311631</v>
      </c>
      <c r="Y93" s="76">
        <f>SUM(Y77:Y91)</f>
        <v>104500.24908675799</v>
      </c>
      <c r="Z93" s="23">
        <f>Y93/Y12</f>
        <v>8.9441710096649904E-2</v>
      </c>
      <c r="AA93" s="196">
        <f>SUM(AA77:AA92)</f>
        <v>1254002.9890410958</v>
      </c>
      <c r="AB93" s="89">
        <f>AA93/AA12</f>
        <v>0.11518677321366777</v>
      </c>
      <c r="AC93" s="52">
        <f t="shared" si="56"/>
        <v>104500.24908675799</v>
      </c>
      <c r="AD93" s="89">
        <f>AC93/AC12</f>
        <v>0.11518677321366777</v>
      </c>
      <c r="AE93" s="26"/>
      <c r="AF93" s="26"/>
      <c r="AG93" s="84">
        <f t="shared" si="54"/>
        <v>1254002.9890410958</v>
      </c>
      <c r="AH93" s="84">
        <f t="shared" si="22"/>
        <v>0</v>
      </c>
    </row>
    <row r="94" spans="1:34" s="1" customFormat="1" ht="15.75" thickTop="1">
      <c r="A94" s="2">
        <v>6301</v>
      </c>
      <c r="B94" s="228" t="s">
        <v>36</v>
      </c>
      <c r="C94" s="678"/>
      <c r="D94" s="702">
        <f t="shared" ref="D94:D101" si="57">C94/C$12</f>
        <v>0</v>
      </c>
      <c r="E94" s="678"/>
      <c r="F94" s="702">
        <f t="shared" ref="F94:F101" si="58">E94/E$12</f>
        <v>0</v>
      </c>
      <c r="G94" s="678"/>
      <c r="H94" s="702">
        <f t="shared" ref="H94:H101" si="59">G94/G$12</f>
        <v>0</v>
      </c>
      <c r="I94" s="678"/>
      <c r="J94" s="702">
        <f t="shared" ref="J94:J101" si="60">I94/I$12</f>
        <v>0</v>
      </c>
      <c r="K94" s="678"/>
      <c r="L94" s="702">
        <f t="shared" ref="L94:L101" si="61">K94/K$12</f>
        <v>0</v>
      </c>
      <c r="M94" s="678"/>
      <c r="N94" s="702">
        <f t="shared" ref="N94:N101" si="62">M94/M$12</f>
        <v>0</v>
      </c>
      <c r="O94" s="678"/>
      <c r="P94" s="702">
        <f t="shared" ref="P94:P101" si="63">O94/O$12</f>
        <v>0</v>
      </c>
      <c r="Q94" s="678"/>
      <c r="R94" s="702">
        <f t="shared" ref="R94:R101" si="64">Q94/Q$12</f>
        <v>0</v>
      </c>
      <c r="S94" s="678"/>
      <c r="T94" s="702">
        <f t="shared" ref="T94:T101" si="65">S94/S$12</f>
        <v>0</v>
      </c>
      <c r="U94" s="678"/>
      <c r="V94" s="702">
        <f t="shared" ref="V94:V101" si="66">U94/U$12</f>
        <v>0</v>
      </c>
      <c r="W94" s="678"/>
      <c r="X94" s="702">
        <f t="shared" ref="X94:X101" si="67">W94/W$12</f>
        <v>0</v>
      </c>
      <c r="Y94" s="678"/>
      <c r="Z94" s="702">
        <f t="shared" ref="Z94:Z101" si="68">Y94/Y$12</f>
        <v>0</v>
      </c>
      <c r="AA94" s="144">
        <f t="shared" ref="AA94:AA114" si="69">C94+E94+G94+I94+K94+M94+O94+Q94+S94+U94+W94+Y94</f>
        <v>0</v>
      </c>
      <c r="AB94" s="702">
        <f>AA94/AA$12</f>
        <v>0</v>
      </c>
      <c r="AC94" s="128">
        <f t="shared" si="56"/>
        <v>0</v>
      </c>
      <c r="AD94" s="702">
        <f>AC94/AC$12</f>
        <v>0</v>
      </c>
      <c r="AE94" s="26"/>
      <c r="AF94" s="26"/>
      <c r="AG94" s="84">
        <f t="shared" si="54"/>
        <v>0</v>
      </c>
      <c r="AH94" s="84">
        <f t="shared" si="22"/>
        <v>0</v>
      </c>
    </row>
    <row r="95" spans="1:34" s="1" customFormat="1">
      <c r="A95" s="2">
        <v>6302</v>
      </c>
      <c r="B95" s="228" t="s">
        <v>37</v>
      </c>
      <c r="C95" s="678"/>
      <c r="D95" s="702">
        <f t="shared" si="57"/>
        <v>0</v>
      </c>
      <c r="E95" s="678"/>
      <c r="F95" s="702">
        <f t="shared" si="58"/>
        <v>0</v>
      </c>
      <c r="G95" s="678"/>
      <c r="H95" s="702">
        <f t="shared" si="59"/>
        <v>0</v>
      </c>
      <c r="I95" s="678"/>
      <c r="J95" s="702">
        <f t="shared" si="60"/>
        <v>0</v>
      </c>
      <c r="K95" s="678"/>
      <c r="L95" s="702">
        <f t="shared" si="61"/>
        <v>0</v>
      </c>
      <c r="M95" s="678"/>
      <c r="N95" s="702">
        <f t="shared" si="62"/>
        <v>0</v>
      </c>
      <c r="O95" s="678"/>
      <c r="P95" s="702">
        <f t="shared" si="63"/>
        <v>0</v>
      </c>
      <c r="Q95" s="678"/>
      <c r="R95" s="702">
        <f t="shared" si="64"/>
        <v>0</v>
      </c>
      <c r="S95" s="678"/>
      <c r="T95" s="702">
        <f t="shared" si="65"/>
        <v>0</v>
      </c>
      <c r="U95" s="678"/>
      <c r="V95" s="702">
        <f t="shared" si="66"/>
        <v>0</v>
      </c>
      <c r="W95" s="678"/>
      <c r="X95" s="702">
        <f t="shared" si="67"/>
        <v>0</v>
      </c>
      <c r="Y95" s="678"/>
      <c r="Z95" s="702">
        <f t="shared" si="68"/>
        <v>0</v>
      </c>
      <c r="AA95" s="144">
        <f t="shared" si="69"/>
        <v>0</v>
      </c>
      <c r="AB95" s="702">
        <f t="shared" ref="AB95:AB99" si="70">AA95/AA$12</f>
        <v>0</v>
      </c>
      <c r="AC95" s="128">
        <f t="shared" si="56"/>
        <v>0</v>
      </c>
      <c r="AD95" s="702">
        <f t="shared" ref="AD95:AD99" si="71">AC95/AC$12</f>
        <v>0</v>
      </c>
      <c r="AE95" s="26"/>
      <c r="AF95" s="26"/>
      <c r="AG95" s="84">
        <f t="shared" si="54"/>
        <v>0</v>
      </c>
      <c r="AH95" s="84">
        <f t="shared" si="22"/>
        <v>0</v>
      </c>
    </row>
    <row r="96" spans="1:34" s="1" customFormat="1">
      <c r="A96" s="2">
        <v>6303</v>
      </c>
      <c r="B96" s="2" t="s">
        <v>132</v>
      </c>
      <c r="C96" s="678"/>
      <c r="D96" s="702">
        <f t="shared" si="57"/>
        <v>0</v>
      </c>
      <c r="E96" s="678"/>
      <c r="F96" s="702">
        <f t="shared" si="58"/>
        <v>0</v>
      </c>
      <c r="G96" s="678"/>
      <c r="H96" s="702">
        <f t="shared" si="59"/>
        <v>0</v>
      </c>
      <c r="I96" s="678"/>
      <c r="J96" s="702">
        <f t="shared" si="60"/>
        <v>0</v>
      </c>
      <c r="K96" s="678"/>
      <c r="L96" s="702">
        <f t="shared" si="61"/>
        <v>0</v>
      </c>
      <c r="M96" s="678"/>
      <c r="N96" s="702">
        <f t="shared" si="62"/>
        <v>0</v>
      </c>
      <c r="O96" s="678"/>
      <c r="P96" s="702">
        <f t="shared" si="63"/>
        <v>0</v>
      </c>
      <c r="Q96" s="678"/>
      <c r="R96" s="702">
        <f t="shared" si="64"/>
        <v>0</v>
      </c>
      <c r="S96" s="678"/>
      <c r="T96" s="702">
        <f t="shared" si="65"/>
        <v>0</v>
      </c>
      <c r="U96" s="678"/>
      <c r="V96" s="702">
        <f t="shared" si="66"/>
        <v>0</v>
      </c>
      <c r="W96" s="678"/>
      <c r="X96" s="702">
        <f t="shared" si="67"/>
        <v>0</v>
      </c>
      <c r="Y96" s="678"/>
      <c r="Z96" s="702">
        <f t="shared" si="68"/>
        <v>0</v>
      </c>
      <c r="AA96" s="144">
        <f t="shared" si="69"/>
        <v>0</v>
      </c>
      <c r="AB96" s="702">
        <f t="shared" si="70"/>
        <v>0</v>
      </c>
      <c r="AC96" s="128">
        <f t="shared" si="56"/>
        <v>0</v>
      </c>
      <c r="AD96" s="702">
        <f t="shared" si="71"/>
        <v>0</v>
      </c>
      <c r="AE96" s="26"/>
      <c r="AF96" s="26"/>
      <c r="AG96" s="84">
        <f t="shared" si="54"/>
        <v>0</v>
      </c>
      <c r="AH96" s="84">
        <f t="shared" si="22"/>
        <v>0</v>
      </c>
    </row>
    <row r="97" spans="1:34" s="1" customFormat="1">
      <c r="A97" s="2">
        <v>6304</v>
      </c>
      <c r="B97" s="2" t="s">
        <v>38</v>
      </c>
      <c r="C97" s="753"/>
      <c r="D97" s="702">
        <f t="shared" si="57"/>
        <v>0</v>
      </c>
      <c r="E97" s="753"/>
      <c r="F97" s="702">
        <f t="shared" si="58"/>
        <v>0</v>
      </c>
      <c r="G97" s="753"/>
      <c r="H97" s="702">
        <f t="shared" si="59"/>
        <v>0</v>
      </c>
      <c r="I97" s="753"/>
      <c r="J97" s="702">
        <f t="shared" si="60"/>
        <v>0</v>
      </c>
      <c r="K97" s="753"/>
      <c r="L97" s="702">
        <f t="shared" si="61"/>
        <v>0</v>
      </c>
      <c r="M97" s="753"/>
      <c r="N97" s="702">
        <f t="shared" si="62"/>
        <v>0</v>
      </c>
      <c r="O97" s="753"/>
      <c r="P97" s="702">
        <f t="shared" si="63"/>
        <v>0</v>
      </c>
      <c r="Q97" s="753"/>
      <c r="R97" s="702">
        <f t="shared" si="64"/>
        <v>0</v>
      </c>
      <c r="S97" s="753"/>
      <c r="T97" s="702">
        <f t="shared" si="65"/>
        <v>0</v>
      </c>
      <c r="U97" s="753"/>
      <c r="V97" s="702">
        <f t="shared" si="66"/>
        <v>0</v>
      </c>
      <c r="W97" s="753"/>
      <c r="X97" s="702">
        <f t="shared" si="67"/>
        <v>0</v>
      </c>
      <c r="Y97" s="753"/>
      <c r="Z97" s="702">
        <f t="shared" si="68"/>
        <v>0</v>
      </c>
      <c r="AA97" s="144">
        <f t="shared" si="69"/>
        <v>0</v>
      </c>
      <c r="AB97" s="702">
        <f t="shared" si="70"/>
        <v>0</v>
      </c>
      <c r="AC97" s="128">
        <f t="shared" si="56"/>
        <v>0</v>
      </c>
      <c r="AD97" s="702">
        <f t="shared" si="71"/>
        <v>0</v>
      </c>
      <c r="AE97" s="26"/>
      <c r="AF97" s="26"/>
      <c r="AG97" s="84">
        <f t="shared" si="54"/>
        <v>0</v>
      </c>
      <c r="AH97" s="84">
        <f t="shared" si="22"/>
        <v>0</v>
      </c>
    </row>
    <row r="98" spans="1:34" s="1" customFormat="1">
      <c r="A98" s="188">
        <v>6305</v>
      </c>
      <c r="B98" s="2" t="s">
        <v>39</v>
      </c>
      <c r="C98" s="678"/>
      <c r="D98" s="702">
        <f t="shared" si="57"/>
        <v>0</v>
      </c>
      <c r="E98" s="678"/>
      <c r="F98" s="702">
        <f t="shared" si="58"/>
        <v>0</v>
      </c>
      <c r="G98" s="678"/>
      <c r="H98" s="702">
        <f t="shared" si="59"/>
        <v>0</v>
      </c>
      <c r="I98" s="678"/>
      <c r="J98" s="702">
        <f t="shared" si="60"/>
        <v>0</v>
      </c>
      <c r="K98" s="678"/>
      <c r="L98" s="702">
        <f t="shared" si="61"/>
        <v>0</v>
      </c>
      <c r="M98" s="678"/>
      <c r="N98" s="702">
        <f t="shared" si="62"/>
        <v>0</v>
      </c>
      <c r="O98" s="678"/>
      <c r="P98" s="702">
        <f t="shared" si="63"/>
        <v>0</v>
      </c>
      <c r="Q98" s="678"/>
      <c r="R98" s="702">
        <f t="shared" si="64"/>
        <v>0</v>
      </c>
      <c r="S98" s="678"/>
      <c r="T98" s="702">
        <f t="shared" si="65"/>
        <v>0</v>
      </c>
      <c r="U98" s="678"/>
      <c r="V98" s="702">
        <f t="shared" si="66"/>
        <v>0</v>
      </c>
      <c r="W98" s="678"/>
      <c r="X98" s="702">
        <f t="shared" si="67"/>
        <v>0</v>
      </c>
      <c r="Y98" s="678"/>
      <c r="Z98" s="702">
        <f t="shared" si="68"/>
        <v>0</v>
      </c>
      <c r="AA98" s="144">
        <f t="shared" si="69"/>
        <v>0</v>
      </c>
      <c r="AB98" s="702">
        <f t="shared" si="70"/>
        <v>0</v>
      </c>
      <c r="AC98" s="128">
        <f t="shared" si="56"/>
        <v>0</v>
      </c>
      <c r="AD98" s="702">
        <f t="shared" si="71"/>
        <v>0</v>
      </c>
      <c r="AE98" s="26"/>
      <c r="AF98" s="26"/>
      <c r="AG98" s="84">
        <f t="shared" si="54"/>
        <v>0</v>
      </c>
      <c r="AH98" s="84">
        <f t="shared" si="22"/>
        <v>0</v>
      </c>
    </row>
    <row r="99" spans="1:34" s="1" customFormat="1">
      <c r="A99" s="2">
        <v>6306</v>
      </c>
      <c r="B99" s="2" t="s">
        <v>40</v>
      </c>
      <c r="C99" s="678"/>
      <c r="D99" s="702">
        <f t="shared" si="57"/>
        <v>0</v>
      </c>
      <c r="E99" s="678"/>
      <c r="F99" s="702">
        <f t="shared" si="58"/>
        <v>0</v>
      </c>
      <c r="G99" s="678"/>
      <c r="H99" s="702">
        <f t="shared" si="59"/>
        <v>0</v>
      </c>
      <c r="I99" s="678"/>
      <c r="J99" s="702">
        <f t="shared" si="60"/>
        <v>0</v>
      </c>
      <c r="K99" s="678"/>
      <c r="L99" s="702">
        <f t="shared" si="61"/>
        <v>0</v>
      </c>
      <c r="M99" s="678"/>
      <c r="N99" s="702">
        <f t="shared" si="62"/>
        <v>0</v>
      </c>
      <c r="O99" s="678"/>
      <c r="P99" s="702">
        <f t="shared" si="63"/>
        <v>0</v>
      </c>
      <c r="Q99" s="678"/>
      <c r="R99" s="702">
        <f t="shared" si="64"/>
        <v>0</v>
      </c>
      <c r="S99" s="678"/>
      <c r="T99" s="702">
        <f t="shared" si="65"/>
        <v>0</v>
      </c>
      <c r="U99" s="678"/>
      <c r="V99" s="702">
        <f t="shared" si="66"/>
        <v>0</v>
      </c>
      <c r="W99" s="678"/>
      <c r="X99" s="702">
        <f t="shared" si="67"/>
        <v>0</v>
      </c>
      <c r="Y99" s="678"/>
      <c r="Z99" s="702">
        <f t="shared" si="68"/>
        <v>0</v>
      </c>
      <c r="AA99" s="144">
        <f t="shared" si="69"/>
        <v>0</v>
      </c>
      <c r="AB99" s="702">
        <f t="shared" si="70"/>
        <v>0</v>
      </c>
      <c r="AC99" s="128">
        <f t="shared" si="56"/>
        <v>0</v>
      </c>
      <c r="AD99" s="702">
        <f t="shared" si="71"/>
        <v>0</v>
      </c>
      <c r="AE99" s="26"/>
      <c r="AF99" s="26"/>
      <c r="AG99" s="84">
        <f t="shared" si="54"/>
        <v>0</v>
      </c>
      <c r="AH99" s="84">
        <f t="shared" si="22"/>
        <v>0</v>
      </c>
    </row>
    <row r="100" spans="1:34" s="1" customFormat="1">
      <c r="A100" s="2">
        <v>6307</v>
      </c>
      <c r="B100" s="2" t="s">
        <v>322</v>
      </c>
      <c r="C100" s="678"/>
      <c r="D100" s="702">
        <f t="shared" si="57"/>
        <v>0</v>
      </c>
      <c r="E100" s="678">
        <v>400</v>
      </c>
      <c r="F100" s="702">
        <f t="shared" si="58"/>
        <v>6.2791264587289965E-4</v>
      </c>
      <c r="G100" s="678">
        <v>400</v>
      </c>
      <c r="H100" s="702">
        <f t="shared" si="59"/>
        <v>3.7853938217178744E-4</v>
      </c>
      <c r="I100" s="678">
        <v>1180</v>
      </c>
      <c r="J100" s="702">
        <f t="shared" si="60"/>
        <v>1.2646641323488439E-3</v>
      </c>
      <c r="K100" s="678">
        <v>400</v>
      </c>
      <c r="L100" s="702">
        <f t="shared" si="61"/>
        <v>4.6872821883764577E-4</v>
      </c>
      <c r="M100" s="678"/>
      <c r="N100" s="702">
        <f t="shared" si="62"/>
        <v>0</v>
      </c>
      <c r="O100" s="678">
        <v>400</v>
      </c>
      <c r="P100" s="702">
        <f t="shared" si="63"/>
        <v>5.2211909790433582E-4</v>
      </c>
      <c r="Q100" s="678">
        <v>400</v>
      </c>
      <c r="R100" s="702">
        <f t="shared" si="64"/>
        <v>4.2047409440327616E-4</v>
      </c>
      <c r="S100" s="678">
        <v>400</v>
      </c>
      <c r="T100" s="702">
        <f t="shared" si="65"/>
        <v>4.173940287550853E-4</v>
      </c>
      <c r="U100" s="678">
        <v>400</v>
      </c>
      <c r="V100" s="702">
        <f t="shared" si="66"/>
        <v>5.2621103502686558E-4</v>
      </c>
      <c r="W100" s="678">
        <v>400</v>
      </c>
      <c r="X100" s="702">
        <f t="shared" si="67"/>
        <v>5.1719044275555862E-4</v>
      </c>
      <c r="Y100" s="678">
        <v>400</v>
      </c>
      <c r="Z100" s="702">
        <f t="shared" si="68"/>
        <v>3.4235979675950351E-4</v>
      </c>
      <c r="AA100" s="144">
        <f t="shared" si="69"/>
        <v>4780</v>
      </c>
      <c r="AB100" s="226">
        <f>AA100/AA$12</f>
        <v>4.3906815276601233E-4</v>
      </c>
      <c r="AC100" s="128">
        <f t="shared" si="56"/>
        <v>398.33333333333331</v>
      </c>
      <c r="AD100" s="226">
        <f>AC100/AC$12</f>
        <v>4.3906815276601227E-4</v>
      </c>
      <c r="AE100" s="26"/>
      <c r="AF100" s="26"/>
      <c r="AG100" s="686"/>
      <c r="AH100" s="686"/>
    </row>
    <row r="101" spans="1:34" s="1" customFormat="1">
      <c r="A101" s="2">
        <v>6308</v>
      </c>
      <c r="B101" s="2" t="s">
        <v>151</v>
      </c>
      <c r="C101" s="678"/>
      <c r="D101" s="702">
        <f t="shared" si="57"/>
        <v>0</v>
      </c>
      <c r="E101" s="678"/>
      <c r="F101" s="702">
        <f t="shared" si="58"/>
        <v>0</v>
      </c>
      <c r="G101" s="678"/>
      <c r="H101" s="702">
        <f t="shared" si="59"/>
        <v>0</v>
      </c>
      <c r="I101" s="678"/>
      <c r="J101" s="702">
        <f t="shared" si="60"/>
        <v>0</v>
      </c>
      <c r="K101" s="678"/>
      <c r="L101" s="702">
        <f t="shared" si="61"/>
        <v>0</v>
      </c>
      <c r="M101" s="678"/>
      <c r="N101" s="702">
        <f t="shared" si="62"/>
        <v>0</v>
      </c>
      <c r="O101" s="678"/>
      <c r="P101" s="702">
        <f t="shared" si="63"/>
        <v>0</v>
      </c>
      <c r="Q101" s="678"/>
      <c r="R101" s="702">
        <f t="shared" si="64"/>
        <v>0</v>
      </c>
      <c r="S101" s="678"/>
      <c r="T101" s="702">
        <f t="shared" si="65"/>
        <v>0</v>
      </c>
      <c r="U101" s="678"/>
      <c r="V101" s="702">
        <f t="shared" si="66"/>
        <v>0</v>
      </c>
      <c r="W101" s="678"/>
      <c r="X101" s="702">
        <f t="shared" si="67"/>
        <v>0</v>
      </c>
      <c r="Y101" s="678"/>
      <c r="Z101" s="702">
        <f t="shared" si="68"/>
        <v>0</v>
      </c>
      <c r="AA101" s="144">
        <f t="shared" si="69"/>
        <v>0</v>
      </c>
      <c r="AB101" s="226">
        <f>AA101/AA$12</f>
        <v>0</v>
      </c>
      <c r="AC101" s="128">
        <f t="shared" si="56"/>
        <v>0</v>
      </c>
      <c r="AD101" s="226">
        <f>AC101/AC$12</f>
        <v>0</v>
      </c>
      <c r="AE101" s="26"/>
      <c r="AF101" s="26"/>
      <c r="AG101" s="84">
        <f t="shared" si="54"/>
        <v>0</v>
      </c>
      <c r="AH101" s="84">
        <f t="shared" si="22"/>
        <v>0</v>
      </c>
    </row>
    <row r="102" spans="1:34" s="1" customFormat="1">
      <c r="A102" s="2">
        <v>6309</v>
      </c>
      <c r="B102" s="2" t="s">
        <v>152</v>
      </c>
      <c r="C102" s="753">
        <f>(13467.1240432457/3)*2</f>
        <v>8978.0826954971326</v>
      </c>
      <c r="D102" s="702">
        <f>C102/C$12</f>
        <v>1.0964864109332794E-2</v>
      </c>
      <c r="E102" s="678">
        <f>(13897.8585773201/3)*2</f>
        <v>9265.2390515467323</v>
      </c>
      <c r="F102" s="702">
        <f>E102/E$12</f>
        <v>1.4544401918754061E-2</v>
      </c>
      <c r="G102" s="753">
        <f>14081.4865418678/3</f>
        <v>4693.8288472892664</v>
      </c>
      <c r="H102" s="702">
        <f>G102/G$12</f>
        <v>4.44199767968248E-3</v>
      </c>
      <c r="I102" s="753">
        <f>14245.5189370525/3</f>
        <v>4748.5063123508335</v>
      </c>
      <c r="J102" s="702">
        <f>I102/I$12</f>
        <v>5.0892081486967585E-3</v>
      </c>
      <c r="K102" s="678">
        <f>(14442.7626023783/3)*2</f>
        <v>9628.5084015855336</v>
      </c>
      <c r="L102" s="702">
        <f>K102/K$12</f>
        <v>1.1282883982846237E-2</v>
      </c>
      <c r="M102" s="753">
        <f>14559.9680266437/3</f>
        <v>4853.3226755479</v>
      </c>
      <c r="N102" s="702">
        <f>M102/M$12</f>
        <v>4.0107748680882323E-3</v>
      </c>
      <c r="O102" s="678">
        <f>14833.8460078354/3</f>
        <v>4944.6153359451337</v>
      </c>
      <c r="P102" s="702">
        <f>O102/O$12</f>
        <v>6.4541952467190439E-3</v>
      </c>
      <c r="Q102" s="753">
        <f>15067.9808624316/3</f>
        <v>5022.6602874771997</v>
      </c>
      <c r="R102" s="702">
        <f>Q102/Q$12</f>
        <v>5.2797463396806856E-3</v>
      </c>
      <c r="S102" s="678">
        <f>(15283.0721355341/3)*2</f>
        <v>10188.714757022733</v>
      </c>
      <c r="T102" s="702">
        <f>S102/S$12</f>
        <v>1.0631771750675272E-2</v>
      </c>
      <c r="U102" s="753">
        <f>(15501.2337772671/3)*2</f>
        <v>10334.155851511399</v>
      </c>
      <c r="V102" s="702">
        <f>U102/U$12</f>
        <v>1.3594867116881883E-2</v>
      </c>
      <c r="W102" s="678">
        <f>18571.3415703574/3</f>
        <v>6190.4471901191328</v>
      </c>
      <c r="X102" s="702">
        <f>W102/W$12</f>
        <v>8.0041003077815451E-3</v>
      </c>
      <c r="Y102" s="753">
        <f>19499.9086488753/3</f>
        <v>6499.9695496250997</v>
      </c>
      <c r="Z102" s="702">
        <f>Y102/Y$12</f>
        <v>5.5633206348815268E-3</v>
      </c>
      <c r="AA102" s="144">
        <f t="shared" si="69"/>
        <v>85348.050955518076</v>
      </c>
      <c r="AB102" s="226">
        <f>AA102/AA$12</f>
        <v>7.83966758895791E-3</v>
      </c>
      <c r="AC102" s="128">
        <f t="shared" si="56"/>
        <v>7112.3375796265063</v>
      </c>
      <c r="AD102" s="226">
        <f>AC102/AC$12</f>
        <v>7.83966758895791E-3</v>
      </c>
      <c r="AE102" s="26"/>
      <c r="AF102" s="26"/>
      <c r="AG102" s="84">
        <f t="shared" si="54"/>
        <v>85348.050955518076</v>
      </c>
      <c r="AH102" s="84">
        <f t="shared" si="22"/>
        <v>0</v>
      </c>
    </row>
    <row r="103" spans="1:34" s="1" customFormat="1">
      <c r="A103" s="2">
        <v>6310</v>
      </c>
      <c r="B103" s="2" t="s">
        <v>153</v>
      </c>
      <c r="C103" s="753">
        <v>1000</v>
      </c>
      <c r="D103" s="702">
        <f t="shared" ref="D103:D114" si="72">C103/C$12</f>
        <v>1.2212923940689599E-3</v>
      </c>
      <c r="E103" s="753">
        <f>340+160</f>
        <v>500</v>
      </c>
      <c r="F103" s="702">
        <f t="shared" ref="F103:F114" si="73">E103/E$12</f>
        <v>7.8489080734112462E-4</v>
      </c>
      <c r="G103" s="33">
        <v>1550</v>
      </c>
      <c r="H103" s="702">
        <f t="shared" ref="H103:H114" si="74">G103/G$12</f>
        <v>1.4668401059156763E-3</v>
      </c>
      <c r="I103" s="753">
        <v>1000</v>
      </c>
      <c r="J103" s="702">
        <f t="shared" ref="J103:J114" si="75">I103/I$12</f>
        <v>1.07174926470241E-3</v>
      </c>
      <c r="K103" s="753">
        <v>4000</v>
      </c>
      <c r="L103" s="702">
        <f t="shared" ref="L103:L114" si="76">K103/K$12</f>
        <v>4.6872821883764577E-3</v>
      </c>
      <c r="M103" s="753"/>
      <c r="N103" s="702">
        <f t="shared" ref="N103:P114" si="77">M103/M$12</f>
        <v>0</v>
      </c>
      <c r="O103" s="371">
        <v>2100</v>
      </c>
      <c r="P103" s="702">
        <f t="shared" ref="P103:P114" si="78">O103/O$12</f>
        <v>2.741125263997763E-3</v>
      </c>
      <c r="Q103" s="753">
        <v>3000</v>
      </c>
      <c r="R103" s="702">
        <f t="shared" ref="R103:R114" si="79">Q103/Q$12</f>
        <v>3.1535557080245714E-3</v>
      </c>
      <c r="S103" s="678">
        <f>1550+50</f>
        <v>1600</v>
      </c>
      <c r="T103" s="702">
        <f t="shared" ref="T103:T114" si="80">S103/S$12</f>
        <v>1.6695761150203412E-3</v>
      </c>
      <c r="U103" s="753">
        <v>1900</v>
      </c>
      <c r="V103" s="702">
        <f t="shared" ref="V103:V114" si="81">U103/U$12</f>
        <v>2.4995024163776114E-3</v>
      </c>
      <c r="W103" s="753">
        <v>2100</v>
      </c>
      <c r="X103" s="702">
        <f t="shared" ref="X103:X114" si="82">W103/W$12</f>
        <v>2.7152498244666827E-3</v>
      </c>
      <c r="Y103" s="753">
        <v>2000</v>
      </c>
      <c r="Z103" s="702">
        <f t="shared" ref="Z103:Z114" si="83">Y103/Y$12</f>
        <v>1.7117989837975177E-3</v>
      </c>
      <c r="AA103" s="144">
        <f t="shared" si="69"/>
        <v>20750</v>
      </c>
      <c r="AB103" s="226">
        <f t="shared" ref="AB103:AB114" si="84">AA103/AA$12</f>
        <v>1.9059966882625011E-3</v>
      </c>
      <c r="AC103" s="128">
        <f t="shared" si="56"/>
        <v>1729.1666666666667</v>
      </c>
      <c r="AD103" s="226">
        <f t="shared" ref="AD103:AD114" si="85">AC103/AC$12</f>
        <v>1.9059966882625011E-3</v>
      </c>
      <c r="AE103" s="26"/>
      <c r="AF103" s="26"/>
      <c r="AG103" s="84">
        <f t="shared" si="54"/>
        <v>20750</v>
      </c>
      <c r="AH103" s="84">
        <f t="shared" si="22"/>
        <v>0</v>
      </c>
    </row>
    <row r="104" spans="1:34" s="1" customFormat="1">
      <c r="A104" s="2">
        <v>6311</v>
      </c>
      <c r="B104" s="2" t="s">
        <v>154</v>
      </c>
      <c r="C104" s="753">
        <v>9804.3668400642437</v>
      </c>
      <c r="D104" s="702">
        <f t="shared" si="72"/>
        <v>1.1973998650432383E-2</v>
      </c>
      <c r="E104" s="678"/>
      <c r="F104" s="702">
        <f t="shared" si="73"/>
        <v>0</v>
      </c>
      <c r="G104" s="678"/>
      <c r="H104" s="702">
        <f t="shared" si="74"/>
        <v>0</v>
      </c>
      <c r="I104" s="678"/>
      <c r="J104" s="702">
        <f t="shared" si="75"/>
        <v>0</v>
      </c>
      <c r="K104" s="678"/>
      <c r="L104" s="702">
        <f t="shared" si="76"/>
        <v>0</v>
      </c>
      <c r="M104" s="678"/>
      <c r="N104" s="702">
        <f t="shared" si="77"/>
        <v>0</v>
      </c>
      <c r="O104" s="678"/>
      <c r="P104" s="702">
        <f t="shared" si="78"/>
        <v>0</v>
      </c>
      <c r="Q104" s="678"/>
      <c r="R104" s="702">
        <f t="shared" si="79"/>
        <v>0</v>
      </c>
      <c r="S104" s="678"/>
      <c r="T104" s="702">
        <f t="shared" si="80"/>
        <v>0</v>
      </c>
      <c r="U104" s="678"/>
      <c r="V104" s="702">
        <f t="shared" si="81"/>
        <v>0</v>
      </c>
      <c r="W104" s="678"/>
      <c r="X104" s="702">
        <f t="shared" si="82"/>
        <v>0</v>
      </c>
      <c r="Y104" s="678"/>
      <c r="Z104" s="702">
        <f t="shared" si="83"/>
        <v>0</v>
      </c>
      <c r="AA104" s="144">
        <f t="shared" si="69"/>
        <v>9804.3668400642437</v>
      </c>
      <c r="AB104" s="226">
        <f t="shared" si="84"/>
        <v>9.005826856709943E-4</v>
      </c>
      <c r="AC104" s="128">
        <f t="shared" si="56"/>
        <v>817.03057000535364</v>
      </c>
      <c r="AD104" s="226">
        <f t="shared" si="85"/>
        <v>9.0058268567099419E-4</v>
      </c>
      <c r="AE104" s="26"/>
      <c r="AF104" s="26"/>
      <c r="AG104" s="84">
        <f t="shared" si="54"/>
        <v>9804.3668400642437</v>
      </c>
      <c r="AH104" s="84">
        <f t="shared" si="22"/>
        <v>0</v>
      </c>
    </row>
    <row r="105" spans="1:34" s="1" customFormat="1">
      <c r="A105" s="2">
        <v>6312</v>
      </c>
      <c r="B105" s="2" t="s">
        <v>155</v>
      </c>
      <c r="C105" s="678"/>
      <c r="D105" s="702">
        <f t="shared" si="72"/>
        <v>0</v>
      </c>
      <c r="E105" s="678"/>
      <c r="F105" s="702">
        <f t="shared" si="73"/>
        <v>0</v>
      </c>
      <c r="G105" s="678"/>
      <c r="H105" s="702">
        <f t="shared" si="74"/>
        <v>0</v>
      </c>
      <c r="I105" s="678"/>
      <c r="J105" s="702">
        <f t="shared" si="75"/>
        <v>0</v>
      </c>
      <c r="K105" s="678"/>
      <c r="L105" s="702">
        <f t="shared" si="76"/>
        <v>0</v>
      </c>
      <c r="M105" s="678"/>
      <c r="N105" s="702">
        <f t="shared" si="77"/>
        <v>0</v>
      </c>
      <c r="O105" s="678"/>
      <c r="P105" s="702">
        <f t="shared" si="78"/>
        <v>0</v>
      </c>
      <c r="Q105" s="678"/>
      <c r="R105" s="702">
        <f t="shared" si="79"/>
        <v>0</v>
      </c>
      <c r="S105" s="678"/>
      <c r="T105" s="702">
        <f t="shared" si="80"/>
        <v>0</v>
      </c>
      <c r="U105" s="678"/>
      <c r="V105" s="702">
        <f t="shared" si="81"/>
        <v>0</v>
      </c>
      <c r="W105" s="678"/>
      <c r="X105" s="702">
        <f t="shared" si="82"/>
        <v>0</v>
      </c>
      <c r="Y105" s="678"/>
      <c r="Z105" s="702">
        <f t="shared" si="83"/>
        <v>0</v>
      </c>
      <c r="AA105" s="144">
        <f t="shared" si="69"/>
        <v>0</v>
      </c>
      <c r="AB105" s="226">
        <f t="shared" si="84"/>
        <v>0</v>
      </c>
      <c r="AC105" s="128">
        <f t="shared" si="56"/>
        <v>0</v>
      </c>
      <c r="AD105" s="226">
        <f t="shared" si="85"/>
        <v>0</v>
      </c>
      <c r="AE105" s="26"/>
      <c r="AF105" s="26"/>
      <c r="AG105" s="84">
        <f t="shared" si="54"/>
        <v>0</v>
      </c>
      <c r="AH105" s="84">
        <f t="shared" si="22"/>
        <v>0</v>
      </c>
    </row>
    <row r="106" spans="1:34" s="1" customFormat="1">
      <c r="A106" s="2">
        <v>6313</v>
      </c>
      <c r="B106" s="2" t="s">
        <v>156</v>
      </c>
      <c r="C106" s="753"/>
      <c r="D106" s="702">
        <f t="shared" si="72"/>
        <v>0</v>
      </c>
      <c r="E106" s="753"/>
      <c r="F106" s="702">
        <f t="shared" si="73"/>
        <v>0</v>
      </c>
      <c r="G106" s="753">
        <f>(27272.7272727273/0.985)/12</f>
        <v>2307.3373327180457</v>
      </c>
      <c r="H106" s="702">
        <f t="shared" si="74"/>
        <v>2.1835451209724723E-3</v>
      </c>
      <c r="I106" s="753"/>
      <c r="J106" s="702">
        <f t="shared" si="75"/>
        <v>0</v>
      </c>
      <c r="K106" s="753">
        <f>(27272.7272727273/0.985)/12</f>
        <v>2307.3373327180457</v>
      </c>
      <c r="L106" s="702">
        <f t="shared" si="76"/>
        <v>2.7037852955563353E-3</v>
      </c>
      <c r="M106" s="753"/>
      <c r="N106" s="702">
        <f t="shared" si="77"/>
        <v>0</v>
      </c>
      <c r="O106" s="753"/>
      <c r="P106" s="702">
        <f t="shared" si="77"/>
        <v>0</v>
      </c>
      <c r="Q106" s="753">
        <f>(27272.7272727273/0.985)/12</f>
        <v>2307.3373327180457</v>
      </c>
      <c r="R106" s="702">
        <f t="shared" si="79"/>
        <v>2.4254389386437272E-3</v>
      </c>
      <c r="S106" s="753"/>
      <c r="T106" s="702">
        <f t="shared" si="80"/>
        <v>0</v>
      </c>
      <c r="U106" s="753"/>
      <c r="V106" s="702">
        <f t="shared" si="81"/>
        <v>0</v>
      </c>
      <c r="W106" s="753"/>
      <c r="X106" s="702">
        <f t="shared" si="82"/>
        <v>0</v>
      </c>
      <c r="Y106" s="753">
        <f>(27272.7272727273/0.985)/12</f>
        <v>2307.3373327180457</v>
      </c>
      <c r="Z106" s="702">
        <f t="shared" si="83"/>
        <v>1.9748488507124128E-3</v>
      </c>
      <c r="AA106" s="144">
        <f t="shared" si="69"/>
        <v>9229.3493308721827</v>
      </c>
      <c r="AB106" s="226">
        <f t="shared" si="84"/>
        <v>8.4776430166072828E-4</v>
      </c>
      <c r="AC106" s="128">
        <f t="shared" si="56"/>
        <v>769.11244423934852</v>
      </c>
      <c r="AD106" s="226">
        <f t="shared" si="85"/>
        <v>8.4776430166072817E-4</v>
      </c>
      <c r="AE106" s="26"/>
      <c r="AF106" s="26"/>
      <c r="AG106" s="84">
        <f t="shared" si="54"/>
        <v>9229.3493308721827</v>
      </c>
      <c r="AH106" s="84">
        <f t="shared" si="22"/>
        <v>0</v>
      </c>
    </row>
    <row r="107" spans="1:34" s="1" customFormat="1">
      <c r="A107" s="2">
        <v>6314</v>
      </c>
      <c r="B107" s="2" t="s">
        <v>268</v>
      </c>
      <c r="C107" s="678">
        <f>(147750/12)/0.985</f>
        <v>12500</v>
      </c>
      <c r="D107" s="702">
        <f t="shared" si="72"/>
        <v>1.5266154925861999E-2</v>
      </c>
      <c r="E107" s="678">
        <f>(206850/12)/0.985</f>
        <v>17500</v>
      </c>
      <c r="F107" s="702">
        <f t="shared" si="73"/>
        <v>2.7471178256939361E-2</v>
      </c>
      <c r="G107" s="678">
        <f>(159570/12)/0.985</f>
        <v>13500</v>
      </c>
      <c r="H107" s="702">
        <f t="shared" si="74"/>
        <v>1.2775704148297826E-2</v>
      </c>
      <c r="I107" s="678">
        <f>(159570/12)/0.985</f>
        <v>13500</v>
      </c>
      <c r="J107" s="702">
        <f t="shared" si="75"/>
        <v>1.4468615073482535E-2</v>
      </c>
      <c r="K107" s="678">
        <f>(206850/12)/0.985</f>
        <v>17500</v>
      </c>
      <c r="L107" s="702">
        <f t="shared" si="76"/>
        <v>2.0506859574147003E-2</v>
      </c>
      <c r="M107" s="678">
        <f>(159570/12)/0.985</f>
        <v>13500</v>
      </c>
      <c r="N107" s="702">
        <f t="shared" si="77"/>
        <v>1.1156369427482701E-2</v>
      </c>
      <c r="O107" s="678">
        <f>(159570/12)/0.985</f>
        <v>13500</v>
      </c>
      <c r="P107" s="702">
        <f t="shared" si="77"/>
        <v>1.7621519554271332E-2</v>
      </c>
      <c r="Q107" s="678">
        <f>(206850/12)/0.985</f>
        <v>17500</v>
      </c>
      <c r="R107" s="702">
        <f t="shared" si="79"/>
        <v>1.8395741630143334E-2</v>
      </c>
      <c r="S107" s="678">
        <f>(159570/12)/0.985</f>
        <v>13500</v>
      </c>
      <c r="T107" s="702">
        <f t="shared" si="80"/>
        <v>1.4087048470484129E-2</v>
      </c>
      <c r="U107" s="678">
        <f>(159570/12)/0.985</f>
        <v>13500</v>
      </c>
      <c r="V107" s="702">
        <f t="shared" si="81"/>
        <v>1.7759622432156712E-2</v>
      </c>
      <c r="W107" s="678">
        <f>(206850/12)/0.985</f>
        <v>17500</v>
      </c>
      <c r="X107" s="702">
        <f t="shared" si="82"/>
        <v>2.262708187055569E-2</v>
      </c>
      <c r="Y107" s="678">
        <f>(159570/12)/0.985</f>
        <v>13500</v>
      </c>
      <c r="Z107" s="702">
        <f t="shared" si="83"/>
        <v>1.1554643140633244E-2</v>
      </c>
      <c r="AA107" s="144">
        <f t="shared" si="69"/>
        <v>177000</v>
      </c>
      <c r="AB107" s="226">
        <f t="shared" si="84"/>
        <v>1.6258381389034345E-2</v>
      </c>
      <c r="AC107" s="128">
        <f t="shared" si="56"/>
        <v>14750</v>
      </c>
      <c r="AD107" s="226">
        <f t="shared" si="85"/>
        <v>1.6258381389034345E-2</v>
      </c>
      <c r="AE107" s="26"/>
      <c r="AF107" s="26"/>
      <c r="AG107" s="84">
        <f t="shared" si="54"/>
        <v>177000</v>
      </c>
      <c r="AH107" s="84">
        <f t="shared" si="22"/>
        <v>0</v>
      </c>
    </row>
    <row r="108" spans="1:34" s="1" customFormat="1">
      <c r="A108" s="2">
        <v>6315</v>
      </c>
      <c r="B108" s="2" t="s">
        <v>323</v>
      </c>
      <c r="C108" s="678"/>
      <c r="D108" s="702">
        <f t="shared" si="72"/>
        <v>0</v>
      </c>
      <c r="E108" s="678">
        <v>4826</v>
      </c>
      <c r="F108" s="702">
        <f t="shared" si="73"/>
        <v>7.575766072456535E-3</v>
      </c>
      <c r="G108" s="678">
        <v>6076</v>
      </c>
      <c r="H108" s="702">
        <f t="shared" si="74"/>
        <v>5.7500132151894505E-3</v>
      </c>
      <c r="I108" s="678">
        <v>4826</v>
      </c>
      <c r="J108" s="702">
        <f t="shared" si="75"/>
        <v>5.1722619514538307E-3</v>
      </c>
      <c r="K108" s="678">
        <v>1250</v>
      </c>
      <c r="L108" s="702">
        <f t="shared" si="76"/>
        <v>1.464775683867643E-3</v>
      </c>
      <c r="M108" s="678"/>
      <c r="N108" s="702">
        <f t="shared" si="77"/>
        <v>0</v>
      </c>
      <c r="O108" s="678">
        <v>875</v>
      </c>
      <c r="P108" s="702">
        <f t="shared" si="78"/>
        <v>1.1421355266657345E-3</v>
      </c>
      <c r="Q108" s="678">
        <v>1250</v>
      </c>
      <c r="R108" s="702">
        <f t="shared" si="79"/>
        <v>1.313981545010238E-3</v>
      </c>
      <c r="S108" s="678"/>
      <c r="T108" s="702">
        <f t="shared" si="80"/>
        <v>0</v>
      </c>
      <c r="U108" s="678">
        <v>875</v>
      </c>
      <c r="V108" s="702">
        <f t="shared" si="81"/>
        <v>1.1510866391212684E-3</v>
      </c>
      <c r="W108" s="678"/>
      <c r="X108" s="702">
        <f t="shared" si="82"/>
        <v>0</v>
      </c>
      <c r="Y108" s="678">
        <v>1250</v>
      </c>
      <c r="Z108" s="702">
        <f t="shared" si="83"/>
        <v>1.0698743648734485E-3</v>
      </c>
      <c r="AA108" s="144">
        <f t="shared" si="69"/>
        <v>21228</v>
      </c>
      <c r="AB108" s="226">
        <f t="shared" si="84"/>
        <v>1.9499035035391024E-3</v>
      </c>
      <c r="AC108" s="128">
        <f t="shared" si="56"/>
        <v>1769</v>
      </c>
      <c r="AD108" s="226">
        <f t="shared" si="85"/>
        <v>1.9499035035391024E-3</v>
      </c>
      <c r="AE108" s="26"/>
      <c r="AF108" s="26"/>
      <c r="AG108" s="686"/>
      <c r="AH108" s="686"/>
    </row>
    <row r="109" spans="1:34" s="1" customFormat="1">
      <c r="A109" s="2">
        <v>6316</v>
      </c>
      <c r="B109" s="2" t="s">
        <v>324</v>
      </c>
      <c r="C109" s="678"/>
      <c r="D109" s="702">
        <f t="shared" si="72"/>
        <v>0</v>
      </c>
      <c r="E109" s="678">
        <v>10347.222222222223</v>
      </c>
      <c r="F109" s="702">
        <f t="shared" si="73"/>
        <v>1.6242879207476052E-2</v>
      </c>
      <c r="G109" s="678"/>
      <c r="H109" s="702">
        <f t="shared" si="74"/>
        <v>0</v>
      </c>
      <c r="I109" s="678"/>
      <c r="J109" s="702">
        <f t="shared" si="75"/>
        <v>0</v>
      </c>
      <c r="K109" s="678">
        <v>10000</v>
      </c>
      <c r="L109" s="702">
        <f t="shared" si="76"/>
        <v>1.1718205470941144E-2</v>
      </c>
      <c r="M109" s="678">
        <v>3800</v>
      </c>
      <c r="N109" s="702">
        <f t="shared" si="77"/>
        <v>3.1403113944025378E-3</v>
      </c>
      <c r="O109" s="678"/>
      <c r="P109" s="702">
        <f t="shared" si="78"/>
        <v>0</v>
      </c>
      <c r="Q109" s="678">
        <v>12547.222222222223</v>
      </c>
      <c r="R109" s="702">
        <f t="shared" si="79"/>
        <v>1.3189454752913879E-2</v>
      </c>
      <c r="S109" s="678">
        <v>3800</v>
      </c>
      <c r="T109" s="702">
        <f t="shared" si="80"/>
        <v>3.9652432731733097E-3</v>
      </c>
      <c r="U109" s="678">
        <v>5600</v>
      </c>
      <c r="V109" s="702">
        <f t="shared" si="81"/>
        <v>7.3669544903761184E-3</v>
      </c>
      <c r="W109" s="678"/>
      <c r="X109" s="702">
        <f t="shared" si="82"/>
        <v>0</v>
      </c>
      <c r="Y109" s="678"/>
      <c r="Z109" s="702">
        <f t="shared" si="83"/>
        <v>0</v>
      </c>
      <c r="AA109" s="144">
        <f t="shared" si="69"/>
        <v>46094.444444444445</v>
      </c>
      <c r="AB109" s="226">
        <f t="shared" si="84"/>
        <v>4.2340172751041422E-3</v>
      </c>
      <c r="AC109" s="128">
        <f t="shared" si="56"/>
        <v>3841.2037037037039</v>
      </c>
      <c r="AD109" s="226">
        <f t="shared" si="85"/>
        <v>4.2340172751041422E-3</v>
      </c>
      <c r="AE109" s="26"/>
      <c r="AF109" s="26"/>
      <c r="AG109" s="686"/>
      <c r="AH109" s="686"/>
    </row>
    <row r="110" spans="1:34" s="1" customFormat="1">
      <c r="A110" s="2">
        <v>6317</v>
      </c>
      <c r="B110" s="2" t="s">
        <v>325</v>
      </c>
      <c r="C110" s="678"/>
      <c r="D110" s="702">
        <f t="shared" si="72"/>
        <v>0</v>
      </c>
      <c r="E110" s="678">
        <v>2250</v>
      </c>
      <c r="F110" s="702">
        <f t="shared" si="73"/>
        <v>3.5320086330350607E-3</v>
      </c>
      <c r="G110" s="678"/>
      <c r="H110" s="702">
        <f t="shared" si="74"/>
        <v>0</v>
      </c>
      <c r="I110" s="678">
        <v>15830.5</v>
      </c>
      <c r="J110" s="702">
        <f t="shared" si="75"/>
        <v>1.6966326734871501E-2</v>
      </c>
      <c r="K110" s="678">
        <v>2587.5</v>
      </c>
      <c r="L110" s="702">
        <f t="shared" si="76"/>
        <v>3.0320856656060212E-3</v>
      </c>
      <c r="M110" s="678"/>
      <c r="N110" s="702">
        <f t="shared" si="77"/>
        <v>0</v>
      </c>
      <c r="O110" s="678"/>
      <c r="P110" s="702">
        <f t="shared" si="77"/>
        <v>0</v>
      </c>
      <c r="Q110" s="678">
        <v>9176.5</v>
      </c>
      <c r="R110" s="702">
        <f t="shared" si="79"/>
        <v>9.6462013182291601E-3</v>
      </c>
      <c r="S110" s="678"/>
      <c r="T110" s="702">
        <f t="shared" si="80"/>
        <v>0</v>
      </c>
      <c r="U110" s="678">
        <v>2250</v>
      </c>
      <c r="V110" s="702">
        <f t="shared" si="81"/>
        <v>2.9599370720261192E-3</v>
      </c>
      <c r="W110" s="678"/>
      <c r="X110" s="702">
        <f t="shared" si="82"/>
        <v>0</v>
      </c>
      <c r="Y110" s="678"/>
      <c r="Z110" s="702">
        <f t="shared" si="83"/>
        <v>0</v>
      </c>
      <c r="AA110" s="144">
        <f t="shared" si="69"/>
        <v>32094.5</v>
      </c>
      <c r="AB110" s="226">
        <f t="shared" si="84"/>
        <v>2.9480487089851007E-3</v>
      </c>
      <c r="AC110" s="128">
        <f t="shared" si="56"/>
        <v>2674.5416666666665</v>
      </c>
      <c r="AD110" s="226">
        <f t="shared" si="85"/>
        <v>2.9480487089851007E-3</v>
      </c>
      <c r="AE110" s="26"/>
      <c r="AF110" s="26"/>
      <c r="AG110" s="686"/>
      <c r="AH110" s="686"/>
    </row>
    <row r="111" spans="1:34" s="1" customFormat="1">
      <c r="A111" s="2">
        <v>6318</v>
      </c>
      <c r="B111" s="2" t="s">
        <v>326</v>
      </c>
      <c r="C111" s="678">
        <f>(6660/12)</f>
        <v>555</v>
      </c>
      <c r="D111" s="702">
        <f t="shared" si="72"/>
        <v>6.7781727870827276E-4</v>
      </c>
      <c r="E111" s="678">
        <f>(6660/12)</f>
        <v>555</v>
      </c>
      <c r="F111" s="702">
        <f t="shared" si="73"/>
        <v>8.7122879614864835E-4</v>
      </c>
      <c r="G111" s="678">
        <f>(6660/12)</f>
        <v>555</v>
      </c>
      <c r="H111" s="702">
        <f t="shared" si="74"/>
        <v>5.2522339276335505E-4</v>
      </c>
      <c r="I111" s="678">
        <f>(6660/12)</f>
        <v>555</v>
      </c>
      <c r="J111" s="702">
        <f t="shared" si="75"/>
        <v>5.9482084190983755E-4</v>
      </c>
      <c r="K111" s="678">
        <f>(6660/12)</f>
        <v>555</v>
      </c>
      <c r="L111" s="702">
        <f t="shared" si="76"/>
        <v>6.5036040363723356E-4</v>
      </c>
      <c r="M111" s="678">
        <f>(6660/12)</f>
        <v>555</v>
      </c>
      <c r="N111" s="702">
        <f t="shared" si="77"/>
        <v>4.5865074312984434E-4</v>
      </c>
      <c r="O111" s="678">
        <f>(6660/12)</f>
        <v>555</v>
      </c>
      <c r="P111" s="702">
        <f t="shared" si="77"/>
        <v>7.2444024834226594E-4</v>
      </c>
      <c r="Q111" s="678">
        <f>(6660/12)</f>
        <v>555</v>
      </c>
      <c r="R111" s="702">
        <f t="shared" si="79"/>
        <v>5.8340780598454569E-4</v>
      </c>
      <c r="S111" s="678">
        <f>(6660/12)</f>
        <v>555</v>
      </c>
      <c r="T111" s="702">
        <f t="shared" si="80"/>
        <v>5.7913421489768084E-4</v>
      </c>
      <c r="U111" s="678">
        <f>(6660/12)</f>
        <v>555</v>
      </c>
      <c r="V111" s="702">
        <f t="shared" si="81"/>
        <v>7.3011781109977606E-4</v>
      </c>
      <c r="W111" s="678">
        <f>(6660/12)</f>
        <v>555</v>
      </c>
      <c r="X111" s="702">
        <f t="shared" si="82"/>
        <v>7.1760173932333758E-4</v>
      </c>
      <c r="Y111" s="678">
        <f>(6660/12)</f>
        <v>555</v>
      </c>
      <c r="Z111" s="702">
        <f t="shared" si="83"/>
        <v>4.7502421800381113E-4</v>
      </c>
      <c r="AA111" s="144">
        <f t="shared" si="69"/>
        <v>6660</v>
      </c>
      <c r="AB111" s="226">
        <f t="shared" si="84"/>
        <v>6.1175604548569917E-4</v>
      </c>
      <c r="AC111" s="128">
        <f t="shared" si="56"/>
        <v>555</v>
      </c>
      <c r="AD111" s="226">
        <f t="shared" si="85"/>
        <v>6.1175604548569917E-4</v>
      </c>
      <c r="AE111" s="26"/>
      <c r="AF111" s="26"/>
      <c r="AG111" s="686"/>
      <c r="AH111" s="686"/>
    </row>
    <row r="112" spans="1:34" s="1" customFormat="1">
      <c r="A112" s="2">
        <v>6319</v>
      </c>
      <c r="B112" s="2" t="s">
        <v>327</v>
      </c>
      <c r="C112" s="678"/>
      <c r="D112" s="702">
        <f t="shared" si="72"/>
        <v>0</v>
      </c>
      <c r="E112" s="678">
        <f>(43504.1666666667/12)/0.985</f>
        <v>3680.5555555555584</v>
      </c>
      <c r="F112" s="702">
        <f t="shared" si="73"/>
        <v>5.7776684429277272E-3</v>
      </c>
      <c r="G112" s="678">
        <f>(43504.1666666667/12)/0.985</f>
        <v>3680.5555555555584</v>
      </c>
      <c r="H112" s="702">
        <f t="shared" si="74"/>
        <v>3.483088065122352E-3</v>
      </c>
      <c r="I112" s="678">
        <f>(43504.1666666667/12)/0.985</f>
        <v>3680.5555555555584</v>
      </c>
      <c r="J112" s="702">
        <f t="shared" si="75"/>
        <v>3.9446327103630401E-3</v>
      </c>
      <c r="K112" s="678">
        <f>(43504.1666666667/12)/0.985</f>
        <v>3680.5555555555584</v>
      </c>
      <c r="L112" s="702">
        <f t="shared" si="76"/>
        <v>4.3129506247213973E-3</v>
      </c>
      <c r="M112" s="678"/>
      <c r="N112" s="702">
        <f t="shared" si="77"/>
        <v>0</v>
      </c>
      <c r="O112" s="678">
        <f>(43504.1666666667/12)/0.985</f>
        <v>3680.5555555555584</v>
      </c>
      <c r="P112" s="702">
        <f t="shared" si="77"/>
        <v>4.8042208661336488E-3</v>
      </c>
      <c r="Q112" s="678">
        <f>(43504.1666666667/12)/0.985</f>
        <v>3680.5555555555584</v>
      </c>
      <c r="R112" s="702">
        <f t="shared" si="79"/>
        <v>3.8689456603079259E-3</v>
      </c>
      <c r="S112" s="678">
        <f>(43504.1666666667/12)/0.985</f>
        <v>3680.5555555555584</v>
      </c>
      <c r="T112" s="702">
        <f t="shared" si="80"/>
        <v>3.8406047784756139E-3</v>
      </c>
      <c r="U112" s="678">
        <f>(43504.1666666667/12)/0.985</f>
        <v>3680.5555555555584</v>
      </c>
      <c r="V112" s="702">
        <f t="shared" si="81"/>
        <v>4.8418723709069264E-3</v>
      </c>
      <c r="W112" s="678">
        <f>(43504.1666666667/12)/0.985</f>
        <v>3680.5555555555584</v>
      </c>
      <c r="X112" s="702">
        <f t="shared" si="82"/>
        <v>4.7588703934105256E-3</v>
      </c>
      <c r="Y112" s="678">
        <f>(43504.1666666667/12)/0.985</f>
        <v>3680.5555555555584</v>
      </c>
      <c r="Z112" s="702">
        <f t="shared" si="83"/>
        <v>3.1501856299051565E-3</v>
      </c>
      <c r="AA112" s="144">
        <f t="shared" si="69"/>
        <v>36805.555555555591</v>
      </c>
      <c r="AB112" s="226">
        <f t="shared" si="84"/>
        <v>3.3807839517373713E-3</v>
      </c>
      <c r="AC112" s="128">
        <f t="shared" si="56"/>
        <v>3067.1296296296327</v>
      </c>
      <c r="AD112" s="226">
        <f t="shared" si="85"/>
        <v>3.3807839517373713E-3</v>
      </c>
      <c r="AE112" s="26"/>
      <c r="AF112" s="26"/>
      <c r="AG112" s="686"/>
      <c r="AH112" s="686"/>
    </row>
    <row r="113" spans="1:34" s="1" customFormat="1">
      <c r="A113" s="2">
        <v>6320</v>
      </c>
      <c r="B113" s="2" t="s">
        <v>328</v>
      </c>
      <c r="C113" s="678"/>
      <c r="D113" s="702">
        <f t="shared" si="72"/>
        <v>0</v>
      </c>
      <c r="E113" s="678"/>
      <c r="F113" s="702">
        <f t="shared" si="73"/>
        <v>0</v>
      </c>
      <c r="G113" s="678"/>
      <c r="H113" s="702">
        <f t="shared" si="74"/>
        <v>0</v>
      </c>
      <c r="I113" s="678"/>
      <c r="J113" s="702">
        <f t="shared" si="75"/>
        <v>0</v>
      </c>
      <c r="K113" s="678"/>
      <c r="L113" s="702">
        <f t="shared" si="76"/>
        <v>0</v>
      </c>
      <c r="M113" s="678"/>
      <c r="N113" s="702">
        <f t="shared" si="77"/>
        <v>0</v>
      </c>
      <c r="O113" s="678"/>
      <c r="P113" s="702">
        <f t="shared" si="78"/>
        <v>0</v>
      </c>
      <c r="Q113" s="678"/>
      <c r="R113" s="702">
        <f t="shared" si="79"/>
        <v>0</v>
      </c>
      <c r="S113" s="678"/>
      <c r="T113" s="702">
        <f t="shared" si="80"/>
        <v>0</v>
      </c>
      <c r="U113" s="678"/>
      <c r="V113" s="702">
        <f t="shared" si="81"/>
        <v>0</v>
      </c>
      <c r="W113" s="678"/>
      <c r="X113" s="702">
        <f t="shared" si="82"/>
        <v>0</v>
      </c>
      <c r="Y113" s="678"/>
      <c r="Z113" s="702">
        <f t="shared" si="83"/>
        <v>0</v>
      </c>
      <c r="AA113" s="144">
        <f t="shared" si="69"/>
        <v>0</v>
      </c>
      <c r="AB113" s="226">
        <f t="shared" si="84"/>
        <v>0</v>
      </c>
      <c r="AC113" s="128">
        <f t="shared" si="56"/>
        <v>0</v>
      </c>
      <c r="AD113" s="226">
        <f t="shared" si="85"/>
        <v>0</v>
      </c>
      <c r="AE113" s="26"/>
      <c r="AF113" s="26"/>
      <c r="AG113" s="686"/>
      <c r="AH113" s="686"/>
    </row>
    <row r="114" spans="1:34" s="1" customFormat="1">
      <c r="A114" s="2">
        <v>6321</v>
      </c>
      <c r="B114" s="2" t="s">
        <v>329</v>
      </c>
      <c r="C114" s="754"/>
      <c r="D114" s="684">
        <f t="shared" si="72"/>
        <v>0</v>
      </c>
      <c r="E114" s="754"/>
      <c r="F114" s="684">
        <f t="shared" si="73"/>
        <v>0</v>
      </c>
      <c r="G114" s="754"/>
      <c r="H114" s="684">
        <f t="shared" si="74"/>
        <v>0</v>
      </c>
      <c r="I114" s="754"/>
      <c r="J114" s="684">
        <f t="shared" si="75"/>
        <v>0</v>
      </c>
      <c r="K114" s="754"/>
      <c r="L114" s="684">
        <f t="shared" si="76"/>
        <v>0</v>
      </c>
      <c r="M114" s="754"/>
      <c r="N114" s="684">
        <f t="shared" si="77"/>
        <v>0</v>
      </c>
      <c r="O114" s="754"/>
      <c r="P114" s="684">
        <f t="shared" si="78"/>
        <v>0</v>
      </c>
      <c r="Q114" s="754"/>
      <c r="R114" s="684">
        <f t="shared" si="79"/>
        <v>0</v>
      </c>
      <c r="S114" s="754"/>
      <c r="T114" s="684">
        <f t="shared" si="80"/>
        <v>0</v>
      </c>
      <c r="U114" s="754"/>
      <c r="V114" s="684">
        <f t="shared" si="81"/>
        <v>0</v>
      </c>
      <c r="W114" s="754">
        <f>100000/12</f>
        <v>8333.3333333333339</v>
      </c>
      <c r="X114" s="684">
        <f t="shared" si="82"/>
        <v>1.0774800890740805E-2</v>
      </c>
      <c r="Y114" s="754"/>
      <c r="Z114" s="702">
        <f t="shared" si="83"/>
        <v>0</v>
      </c>
      <c r="AA114" s="144">
        <f t="shared" si="69"/>
        <v>8333.3333333333339</v>
      </c>
      <c r="AB114" s="226">
        <f t="shared" si="84"/>
        <v>7.6546051737449853E-4</v>
      </c>
      <c r="AC114" s="128">
        <f t="shared" si="56"/>
        <v>694.44444444444446</v>
      </c>
      <c r="AD114" s="226">
        <f t="shared" si="85"/>
        <v>7.6546051737449842E-4</v>
      </c>
      <c r="AE114" s="26"/>
      <c r="AF114" s="26"/>
      <c r="AG114" s="686"/>
      <c r="AH114" s="686"/>
    </row>
    <row r="115" spans="1:34" s="1" customFormat="1" ht="15.75" thickBot="1">
      <c r="A115" s="4">
        <v>6399</v>
      </c>
      <c r="B115" s="229" t="s">
        <v>113</v>
      </c>
      <c r="C115" s="391">
        <f>SUM(C94:C114)</f>
        <v>32837.449535561376</v>
      </c>
      <c r="D115" s="392">
        <f>C115/C12</f>
        <v>4.0104127358404407E-2</v>
      </c>
      <c r="E115" s="391">
        <f>SUM(E94:E114)</f>
        <v>49324.016829324522</v>
      </c>
      <c r="F115" s="392">
        <f>E115/E12</f>
        <v>7.7427934780951488E-2</v>
      </c>
      <c r="G115" s="391">
        <f>SUM(G94:G114)</f>
        <v>32762.721735562871</v>
      </c>
      <c r="H115" s="392">
        <f>G115/G12</f>
        <v>3.1004951110115399E-2</v>
      </c>
      <c r="I115" s="391">
        <f>SUM(I94:I114)</f>
        <v>45320.561867906392</v>
      </c>
      <c r="J115" s="392">
        <f>I115/I12</f>
        <v>4.8572278857828756E-2</v>
      </c>
      <c r="K115" s="391">
        <f>SUM(K94:K114)</f>
        <v>51908.901289859132</v>
      </c>
      <c r="L115" s="392">
        <f>K115/K12</f>
        <v>6.0827917108537112E-2</v>
      </c>
      <c r="M115" s="391">
        <f>SUM(M94:M114)</f>
        <v>22708.322675547901</v>
      </c>
      <c r="N115" s="392">
        <f>M115/M12</f>
        <v>1.8766106433103315E-2</v>
      </c>
      <c r="O115" s="391">
        <f>SUM(O94:O114)</f>
        <v>26055.170891500693</v>
      </c>
      <c r="P115" s="392">
        <f>O115/O12</f>
        <v>3.4009755804034127E-2</v>
      </c>
      <c r="Q115" s="391">
        <f>SUM(Q94:Q114)</f>
        <v>55439.275397973033</v>
      </c>
      <c r="R115" s="395">
        <f>Q115/Q12</f>
        <v>5.8276947793341347E-2</v>
      </c>
      <c r="S115" s="391">
        <f>SUM(S94:S114)</f>
        <v>33724.270312578286</v>
      </c>
      <c r="T115" s="392">
        <f>S115/S12</f>
        <v>3.5190772631481425E-2</v>
      </c>
      <c r="U115" s="391">
        <f>SUM(U94:U114)</f>
        <v>39094.711407066963</v>
      </c>
      <c r="V115" s="392">
        <f>U115/U12</f>
        <v>5.1430171383973287E-2</v>
      </c>
      <c r="W115" s="391">
        <f>SUM(W94:W114)</f>
        <v>38759.336079008026</v>
      </c>
      <c r="X115" s="392">
        <f>W115/W12</f>
        <v>5.0114895469034144E-2</v>
      </c>
      <c r="Y115" s="391">
        <f>SUM(Y94:Y114)</f>
        <v>30192.862437898704</v>
      </c>
      <c r="Z115" s="392">
        <f>Y115/Y12</f>
        <v>2.5842055619566623E-2</v>
      </c>
      <c r="AA115" s="391">
        <f>SUM(AA94:AA114)</f>
        <v>458127.60045978782</v>
      </c>
      <c r="AB115" s="96">
        <f>AA115/AA12</f>
        <v>4.2081430808578402E-2</v>
      </c>
      <c r="AC115" s="132">
        <f t="shared" si="56"/>
        <v>38177.300038315654</v>
      </c>
      <c r="AD115" s="96">
        <f>AC115/AC12</f>
        <v>4.2081430808578402E-2</v>
      </c>
      <c r="AE115" s="26"/>
      <c r="AF115" s="26"/>
      <c r="AG115" s="84">
        <f t="shared" si="54"/>
        <v>458127.60045978794</v>
      </c>
      <c r="AH115" s="84">
        <f t="shared" ref="AH115:AH147" si="86">AA115-AG115</f>
        <v>0</v>
      </c>
    </row>
    <row r="116" spans="1:34" s="1" customFormat="1" ht="15.75" thickTop="1">
      <c r="A116" s="21">
        <v>6401</v>
      </c>
      <c r="B116" s="227" t="s">
        <v>89</v>
      </c>
      <c r="C116" s="452">
        <v>0</v>
      </c>
      <c r="D116" s="467">
        <f>C116/C12</f>
        <v>0</v>
      </c>
      <c r="E116" s="452">
        <v>0</v>
      </c>
      <c r="F116" s="467">
        <f>E116/E12</f>
        <v>0</v>
      </c>
      <c r="G116" s="452">
        <v>0</v>
      </c>
      <c r="H116" s="467">
        <f>G116/G12</f>
        <v>0</v>
      </c>
      <c r="I116" s="452">
        <v>0</v>
      </c>
      <c r="J116" s="467">
        <f>I116/I12</f>
        <v>0</v>
      </c>
      <c r="K116" s="452">
        <v>0</v>
      </c>
      <c r="L116" s="467">
        <f>K116/K12</f>
        <v>0</v>
      </c>
      <c r="M116" s="452">
        <v>0</v>
      </c>
      <c r="N116" s="467">
        <f>M116/M12</f>
        <v>0</v>
      </c>
      <c r="O116" s="452">
        <v>0</v>
      </c>
      <c r="P116" s="467">
        <f>O116/O12</f>
        <v>0</v>
      </c>
      <c r="Q116" s="452">
        <v>0</v>
      </c>
      <c r="R116" s="467">
        <f>Q116/Q12</f>
        <v>0</v>
      </c>
      <c r="S116" s="452">
        <v>0</v>
      </c>
      <c r="T116" s="467">
        <f>S116/S12</f>
        <v>0</v>
      </c>
      <c r="U116" s="452">
        <v>0</v>
      </c>
      <c r="V116" s="467">
        <f>U116/U12</f>
        <v>0</v>
      </c>
      <c r="W116" s="452">
        <v>0</v>
      </c>
      <c r="X116" s="467">
        <f>W116/W12</f>
        <v>0</v>
      </c>
      <c r="Y116" s="452">
        <v>0</v>
      </c>
      <c r="Z116" s="467">
        <f>Y116/Y12</f>
        <v>0</v>
      </c>
      <c r="AA116" s="144">
        <f t="shared" ref="AA116:AA128" si="87">C116+E116+G116+I116+K116+M116+O116+Q116+S116+U116+W116+Y116</f>
        <v>0</v>
      </c>
      <c r="AB116" s="24">
        <f>AA116/AA12</f>
        <v>0</v>
      </c>
      <c r="AC116" s="128">
        <f t="shared" si="56"/>
        <v>0</v>
      </c>
      <c r="AD116" s="24">
        <f>AC116/AC12</f>
        <v>0</v>
      </c>
      <c r="AE116" s="374" t="s">
        <v>226</v>
      </c>
      <c r="AF116" s="374">
        <v>0</v>
      </c>
      <c r="AG116" s="84">
        <f t="shared" si="54"/>
        <v>0</v>
      </c>
      <c r="AH116" s="84">
        <f t="shared" si="86"/>
        <v>0</v>
      </c>
    </row>
    <row r="117" spans="1:34" s="1" customFormat="1">
      <c r="A117" s="188">
        <v>6402</v>
      </c>
      <c r="B117" s="2" t="s">
        <v>75</v>
      </c>
      <c r="C117" s="452">
        <v>500</v>
      </c>
      <c r="D117" s="467">
        <f>C117/C12</f>
        <v>6.1064619703447994E-4</v>
      </c>
      <c r="E117" s="452">
        <v>500</v>
      </c>
      <c r="F117" s="467">
        <f>E117/E12</f>
        <v>7.8489080734112462E-4</v>
      </c>
      <c r="G117" s="452">
        <v>500</v>
      </c>
      <c r="H117" s="467">
        <f>G117/G12</f>
        <v>4.7317422771473426E-4</v>
      </c>
      <c r="I117" s="452">
        <v>500</v>
      </c>
      <c r="J117" s="467">
        <f>I117/I12</f>
        <v>5.3587463235120502E-4</v>
      </c>
      <c r="K117" s="452">
        <v>500</v>
      </c>
      <c r="L117" s="467">
        <f>K117/K12</f>
        <v>5.8591027354705722E-4</v>
      </c>
      <c r="M117" s="452">
        <v>500</v>
      </c>
      <c r="N117" s="467">
        <f>M117/M12</f>
        <v>4.1319886768454448E-4</v>
      </c>
      <c r="O117" s="452">
        <v>500</v>
      </c>
      <c r="P117" s="467">
        <f>O117/O12</f>
        <v>6.5264887238041978E-4</v>
      </c>
      <c r="Q117" s="452">
        <v>500</v>
      </c>
      <c r="R117" s="467">
        <f>Q117/Q12</f>
        <v>5.2559261800409524E-4</v>
      </c>
      <c r="S117" s="452">
        <v>500</v>
      </c>
      <c r="T117" s="467">
        <f>S117/S12</f>
        <v>5.2174253594385663E-4</v>
      </c>
      <c r="U117" s="452">
        <v>500</v>
      </c>
      <c r="V117" s="467">
        <f>U117/U12</f>
        <v>6.5776379378358195E-4</v>
      </c>
      <c r="W117" s="452">
        <v>500</v>
      </c>
      <c r="X117" s="467">
        <f>W117/W12</f>
        <v>6.4648805344444827E-4</v>
      </c>
      <c r="Y117" s="452">
        <v>500</v>
      </c>
      <c r="Z117" s="467">
        <f>Y117/Y12</f>
        <v>4.2794974594937942E-4</v>
      </c>
      <c r="AA117" s="144">
        <f t="shared" si="87"/>
        <v>6000</v>
      </c>
      <c r="AB117" s="68">
        <f>AA117/AA12</f>
        <v>5.5113157250963882E-4</v>
      </c>
      <c r="AC117" s="128">
        <f t="shared" si="56"/>
        <v>500</v>
      </c>
      <c r="AD117" s="68">
        <f>AC117/AC12</f>
        <v>5.5113157250963882E-4</v>
      </c>
      <c r="AE117" s="374" t="s">
        <v>224</v>
      </c>
      <c r="AF117" s="374"/>
      <c r="AG117" s="84">
        <f t="shared" si="54"/>
        <v>6000</v>
      </c>
      <c r="AH117" s="84">
        <f t="shared" si="86"/>
        <v>0</v>
      </c>
    </row>
    <row r="118" spans="1:34" s="1" customFormat="1">
      <c r="A118" s="188">
        <v>6403</v>
      </c>
      <c r="B118" s="2" t="s">
        <v>337</v>
      </c>
      <c r="C118" s="452">
        <v>0</v>
      </c>
      <c r="D118" s="467">
        <f>C118/C12</f>
        <v>0</v>
      </c>
      <c r="E118" s="452">
        <v>0</v>
      </c>
      <c r="F118" s="467">
        <f>E118/E12</f>
        <v>0</v>
      </c>
      <c r="G118" s="452">
        <v>0</v>
      </c>
      <c r="H118" s="467">
        <f>G118/G12</f>
        <v>0</v>
      </c>
      <c r="I118" s="452">
        <v>0</v>
      </c>
      <c r="J118" s="467">
        <f>I118/I12</f>
        <v>0</v>
      </c>
      <c r="K118" s="452">
        <v>0</v>
      </c>
      <c r="L118" s="467">
        <f>K118/K12</f>
        <v>0</v>
      </c>
      <c r="M118" s="452">
        <v>0</v>
      </c>
      <c r="N118" s="467">
        <f>M118/M12</f>
        <v>0</v>
      </c>
      <c r="O118" s="452">
        <v>0</v>
      </c>
      <c r="P118" s="467">
        <f>O118/O12</f>
        <v>0</v>
      </c>
      <c r="Q118" s="452">
        <v>0</v>
      </c>
      <c r="R118" s="467">
        <f>Q118/Q12</f>
        <v>0</v>
      </c>
      <c r="S118" s="452">
        <v>0</v>
      </c>
      <c r="T118" s="467">
        <f>S118/S12</f>
        <v>0</v>
      </c>
      <c r="U118" s="452">
        <v>0</v>
      </c>
      <c r="V118" s="467">
        <f>U118/U12</f>
        <v>0</v>
      </c>
      <c r="W118" s="452">
        <v>0</v>
      </c>
      <c r="X118" s="467">
        <f>W118/W12</f>
        <v>0</v>
      </c>
      <c r="Y118" s="452">
        <v>0</v>
      </c>
      <c r="Z118" s="467">
        <f>Y118/Y12</f>
        <v>0</v>
      </c>
      <c r="AA118" s="144">
        <f t="shared" si="87"/>
        <v>0</v>
      </c>
      <c r="AB118" s="702">
        <f>AA118/AA12</f>
        <v>0</v>
      </c>
      <c r="AC118" s="128">
        <f t="shared" si="56"/>
        <v>0</v>
      </c>
      <c r="AD118" s="702">
        <f>AC118/AC12</f>
        <v>0</v>
      </c>
      <c r="AE118" s="374"/>
      <c r="AF118" s="374"/>
      <c r="AG118" s="686"/>
      <c r="AH118" s="686"/>
    </row>
    <row r="119" spans="1:34" s="1" customFormat="1">
      <c r="A119" s="188">
        <v>6404</v>
      </c>
      <c r="B119" s="188" t="s">
        <v>92</v>
      </c>
      <c r="C119" s="707">
        <v>2000</v>
      </c>
      <c r="D119" s="467">
        <f>C119/C12</f>
        <v>2.4425847881379198E-3</v>
      </c>
      <c r="E119" s="707">
        <v>2000</v>
      </c>
      <c r="F119" s="467">
        <f>E119/E12</f>
        <v>3.1395632293644985E-3</v>
      </c>
      <c r="G119" s="707">
        <v>2000</v>
      </c>
      <c r="H119" s="467">
        <f>G119/G12</f>
        <v>1.892696910858937E-3</v>
      </c>
      <c r="I119" s="707">
        <v>2000</v>
      </c>
      <c r="J119" s="467">
        <f>I119/I12</f>
        <v>2.1434985294048201E-3</v>
      </c>
      <c r="K119" s="707">
        <v>2000</v>
      </c>
      <c r="L119" s="467">
        <f>K119/K12</f>
        <v>2.3436410941882289E-3</v>
      </c>
      <c r="M119" s="707">
        <v>2000</v>
      </c>
      <c r="N119" s="467">
        <f>M119/M12</f>
        <v>1.6527954707381779E-3</v>
      </c>
      <c r="O119" s="707">
        <v>2000</v>
      </c>
      <c r="P119" s="467">
        <f>O119/O12</f>
        <v>2.6105954895216791E-3</v>
      </c>
      <c r="Q119" s="707">
        <v>2000</v>
      </c>
      <c r="R119" s="467">
        <f>Q119/Q12</f>
        <v>2.1023704720163809E-3</v>
      </c>
      <c r="S119" s="707">
        <v>2000</v>
      </c>
      <c r="T119" s="467">
        <f>S119/S12</f>
        <v>2.0869701437754265E-3</v>
      </c>
      <c r="U119" s="707">
        <v>2000</v>
      </c>
      <c r="V119" s="467">
        <f>U119/U12</f>
        <v>2.6310551751343278E-3</v>
      </c>
      <c r="W119" s="707">
        <v>2000</v>
      </c>
      <c r="X119" s="467">
        <f>W119/W12</f>
        <v>2.5859522137777931E-3</v>
      </c>
      <c r="Y119" s="707">
        <v>2000</v>
      </c>
      <c r="Z119" s="467">
        <f>Y119/Y12</f>
        <v>1.7117989837975177E-3</v>
      </c>
      <c r="AA119" s="144">
        <f t="shared" si="87"/>
        <v>24000</v>
      </c>
      <c r="AB119" s="702">
        <f>AA119/AA12</f>
        <v>2.2045262900385553E-3</v>
      </c>
      <c r="AC119" s="128">
        <f t="shared" si="56"/>
        <v>2000</v>
      </c>
      <c r="AD119" s="702">
        <v>0</v>
      </c>
      <c r="AE119" s="645"/>
      <c r="AF119" s="226"/>
      <c r="AG119" s="226"/>
    </row>
    <row r="120" spans="1:34" s="1" customFormat="1">
      <c r="A120" s="188">
        <v>6406</v>
      </c>
      <c r="B120" s="2" t="s">
        <v>72</v>
      </c>
      <c r="C120" s="452">
        <v>750</v>
      </c>
      <c r="D120" s="467">
        <f>C120/C12</f>
        <v>9.1596929555171991E-4</v>
      </c>
      <c r="E120" s="452">
        <v>750</v>
      </c>
      <c r="F120" s="467">
        <f>E120/E12</f>
        <v>1.1773362110116868E-3</v>
      </c>
      <c r="G120" s="452">
        <v>750</v>
      </c>
      <c r="H120" s="467">
        <f>G120/G12</f>
        <v>7.0976134157210138E-4</v>
      </c>
      <c r="I120" s="452">
        <v>750</v>
      </c>
      <c r="J120" s="467">
        <f>I120/I12</f>
        <v>8.0381194852680753E-4</v>
      </c>
      <c r="K120" s="452">
        <v>750</v>
      </c>
      <c r="L120" s="467">
        <f>K120/K12</f>
        <v>8.7886541032058583E-4</v>
      </c>
      <c r="M120" s="452">
        <v>750</v>
      </c>
      <c r="N120" s="467">
        <f>M120/M12</f>
        <v>6.1979830152681672E-4</v>
      </c>
      <c r="O120" s="452">
        <v>750</v>
      </c>
      <c r="P120" s="467">
        <f>O120/O12</f>
        <v>9.7897330857062972E-4</v>
      </c>
      <c r="Q120" s="452">
        <v>750</v>
      </c>
      <c r="R120" s="467">
        <f>Q120/Q12</f>
        <v>7.8838892700614286E-4</v>
      </c>
      <c r="S120" s="452">
        <v>750</v>
      </c>
      <c r="T120" s="467">
        <f>S120/S12</f>
        <v>7.8261380391578489E-4</v>
      </c>
      <c r="U120" s="452">
        <v>750</v>
      </c>
      <c r="V120" s="467">
        <f>U120/U12</f>
        <v>9.8664569067537298E-4</v>
      </c>
      <c r="W120" s="452">
        <v>750</v>
      </c>
      <c r="X120" s="467">
        <f>W120/W12</f>
        <v>9.697320801666724E-4</v>
      </c>
      <c r="Y120" s="452">
        <v>750</v>
      </c>
      <c r="Z120" s="467">
        <f>Y120/Y12</f>
        <v>6.419246189240691E-4</v>
      </c>
      <c r="AA120" s="144">
        <f t="shared" si="87"/>
        <v>9000</v>
      </c>
      <c r="AB120" s="68">
        <f>AA120/AA12</f>
        <v>8.2669735876445829E-4</v>
      </c>
      <c r="AC120" s="128">
        <f t="shared" si="56"/>
        <v>750</v>
      </c>
      <c r="AD120" s="68">
        <f>AC120/AC12</f>
        <v>8.2669735876445829E-4</v>
      </c>
      <c r="AE120" s="374" t="s">
        <v>231</v>
      </c>
      <c r="AF120" s="374"/>
      <c r="AG120" s="84">
        <f t="shared" si="54"/>
        <v>9000</v>
      </c>
      <c r="AH120" s="84">
        <f t="shared" si="86"/>
        <v>0</v>
      </c>
    </row>
    <row r="121" spans="1:34" s="1" customFormat="1">
      <c r="A121" s="2">
        <v>6407</v>
      </c>
      <c r="B121" s="228" t="s">
        <v>73</v>
      </c>
      <c r="C121" s="452"/>
      <c r="D121" s="467">
        <f>C121/C12</f>
        <v>0</v>
      </c>
      <c r="E121" s="452"/>
      <c r="F121" s="467">
        <f>E121/E12</f>
        <v>0</v>
      </c>
      <c r="G121" s="452"/>
      <c r="H121" s="467">
        <f>G121/G12</f>
        <v>0</v>
      </c>
      <c r="I121" s="452"/>
      <c r="J121" s="467">
        <f>I121/I12</f>
        <v>0</v>
      </c>
      <c r="K121" s="452"/>
      <c r="L121" s="467">
        <f>K121/K12</f>
        <v>0</v>
      </c>
      <c r="M121" s="452"/>
      <c r="N121" s="467">
        <f>M121/M12</f>
        <v>0</v>
      </c>
      <c r="O121" s="452"/>
      <c r="P121" s="467">
        <f>O121/O12</f>
        <v>0</v>
      </c>
      <c r="Q121" s="452"/>
      <c r="R121" s="467">
        <f>Q121/Q12</f>
        <v>0</v>
      </c>
      <c r="S121" s="452"/>
      <c r="T121" s="467">
        <f>S121/S12</f>
        <v>0</v>
      </c>
      <c r="U121" s="452"/>
      <c r="V121" s="467">
        <f>U121/U12</f>
        <v>0</v>
      </c>
      <c r="W121" s="452"/>
      <c r="X121" s="467">
        <f>W121/W12</f>
        <v>0</v>
      </c>
      <c r="Y121" s="452"/>
      <c r="Z121" s="467">
        <f>Y121/Y12</f>
        <v>0</v>
      </c>
      <c r="AA121" s="144">
        <f t="shared" si="87"/>
        <v>0</v>
      </c>
      <c r="AB121" s="68">
        <f>AA121/AA12</f>
        <v>0</v>
      </c>
      <c r="AC121" s="128">
        <f t="shared" si="56"/>
        <v>0</v>
      </c>
      <c r="AD121" s="68">
        <f>AC121/AC12</f>
        <v>0</v>
      </c>
      <c r="AE121" s="374"/>
      <c r="AF121" s="374">
        <v>0</v>
      </c>
      <c r="AG121" s="84">
        <f t="shared" si="54"/>
        <v>0</v>
      </c>
      <c r="AH121" s="84">
        <f t="shared" si="86"/>
        <v>0</v>
      </c>
    </row>
    <row r="122" spans="1:34" s="1" customFormat="1">
      <c r="A122" s="2">
        <v>6408</v>
      </c>
      <c r="B122" s="228" t="s">
        <v>42</v>
      </c>
      <c r="C122" s="452">
        <v>0</v>
      </c>
      <c r="D122" s="467">
        <f>C122/C12</f>
        <v>0</v>
      </c>
      <c r="E122" s="452">
        <v>0</v>
      </c>
      <c r="F122" s="467">
        <f>E122/E12</f>
        <v>0</v>
      </c>
      <c r="G122" s="452">
        <v>0</v>
      </c>
      <c r="H122" s="467">
        <f>G122/G12</f>
        <v>0</v>
      </c>
      <c r="I122" s="452">
        <v>0</v>
      </c>
      <c r="J122" s="467">
        <f>I122/I12</f>
        <v>0</v>
      </c>
      <c r="K122" s="452">
        <v>0</v>
      </c>
      <c r="L122" s="467">
        <f>K122/K12</f>
        <v>0</v>
      </c>
      <c r="M122" s="452">
        <v>0</v>
      </c>
      <c r="N122" s="467">
        <f>M122/M12</f>
        <v>0</v>
      </c>
      <c r="O122" s="452">
        <v>0</v>
      </c>
      <c r="P122" s="467">
        <f>O122/O12</f>
        <v>0</v>
      </c>
      <c r="Q122" s="452">
        <v>0</v>
      </c>
      <c r="R122" s="467">
        <f>Q122/Q12</f>
        <v>0</v>
      </c>
      <c r="S122" s="452">
        <v>0</v>
      </c>
      <c r="T122" s="467">
        <f>S122/S12</f>
        <v>0</v>
      </c>
      <c r="U122" s="452">
        <v>0</v>
      </c>
      <c r="V122" s="467">
        <f>U122/U12</f>
        <v>0</v>
      </c>
      <c r="W122" s="452">
        <v>0</v>
      </c>
      <c r="X122" s="467">
        <f>W122/W12</f>
        <v>0</v>
      </c>
      <c r="Y122" s="452">
        <v>0</v>
      </c>
      <c r="Z122" s="467">
        <f>Y122/Y12</f>
        <v>0</v>
      </c>
      <c r="AA122" s="144">
        <f t="shared" si="87"/>
        <v>0</v>
      </c>
      <c r="AB122" s="68">
        <f>AA122/AA12</f>
        <v>0</v>
      </c>
      <c r="AC122" s="128">
        <f t="shared" si="56"/>
        <v>0</v>
      </c>
      <c r="AD122" s="68">
        <f>AC122/AC12</f>
        <v>0</v>
      </c>
      <c r="AE122" s="374"/>
      <c r="AF122" s="374">
        <v>0</v>
      </c>
      <c r="AG122" s="84">
        <f t="shared" si="54"/>
        <v>0</v>
      </c>
      <c r="AH122" s="84">
        <f t="shared" si="86"/>
        <v>0</v>
      </c>
    </row>
    <row r="123" spans="1:34" s="1" customFormat="1">
      <c r="A123" s="2">
        <v>6410</v>
      </c>
      <c r="B123" s="228" t="s">
        <v>117</v>
      </c>
      <c r="C123" s="452"/>
      <c r="D123" s="467"/>
      <c r="E123" s="452"/>
      <c r="F123" s="467"/>
      <c r="G123" s="452"/>
      <c r="H123" s="467"/>
      <c r="I123" s="452"/>
      <c r="J123" s="467"/>
      <c r="K123" s="452"/>
      <c r="L123" s="467"/>
      <c r="M123" s="452"/>
      <c r="N123" s="467"/>
      <c r="O123" s="452"/>
      <c r="P123" s="467"/>
      <c r="Q123" s="452"/>
      <c r="R123" s="467"/>
      <c r="S123" s="452"/>
      <c r="T123" s="467"/>
      <c r="U123" s="452"/>
      <c r="V123" s="467"/>
      <c r="W123" s="452"/>
      <c r="X123" s="467"/>
      <c r="Y123" s="452"/>
      <c r="Z123" s="467"/>
      <c r="AA123" s="144">
        <f t="shared" si="87"/>
        <v>0</v>
      </c>
      <c r="AB123" s="24"/>
      <c r="AC123" s="128">
        <f t="shared" si="56"/>
        <v>0</v>
      </c>
      <c r="AD123" s="24"/>
      <c r="AE123" s="374"/>
      <c r="AF123" s="374">
        <v>0</v>
      </c>
      <c r="AG123" s="84">
        <f t="shared" si="54"/>
        <v>0</v>
      </c>
      <c r="AH123" s="84">
        <f t="shared" si="86"/>
        <v>0</v>
      </c>
    </row>
    <row r="124" spans="1:34" s="1" customFormat="1">
      <c r="A124" s="2">
        <v>6411</v>
      </c>
      <c r="B124" s="228" t="s">
        <v>119</v>
      </c>
      <c r="C124" s="452"/>
      <c r="D124" s="467"/>
      <c r="E124" s="452"/>
      <c r="F124" s="467"/>
      <c r="G124" s="452"/>
      <c r="H124" s="467"/>
      <c r="I124" s="452"/>
      <c r="J124" s="467"/>
      <c r="K124" s="452"/>
      <c r="L124" s="467"/>
      <c r="M124" s="452"/>
      <c r="N124" s="467"/>
      <c r="O124" s="452"/>
      <c r="P124" s="467"/>
      <c r="Q124" s="452"/>
      <c r="R124" s="467"/>
      <c r="S124" s="452"/>
      <c r="T124" s="467"/>
      <c r="U124" s="452"/>
      <c r="V124" s="467"/>
      <c r="W124" s="452"/>
      <c r="X124" s="467"/>
      <c r="Y124" s="452"/>
      <c r="Z124" s="467"/>
      <c r="AA124" s="144">
        <f t="shared" si="87"/>
        <v>0</v>
      </c>
      <c r="AB124" s="24"/>
      <c r="AC124" s="128">
        <f t="shared" si="56"/>
        <v>0</v>
      </c>
      <c r="AD124" s="24"/>
      <c r="AE124" s="374"/>
      <c r="AF124" s="374">
        <v>0</v>
      </c>
      <c r="AG124" s="84">
        <f t="shared" si="54"/>
        <v>0</v>
      </c>
      <c r="AH124" s="84">
        <f t="shared" si="86"/>
        <v>0</v>
      </c>
    </row>
    <row r="125" spans="1:34" s="1" customFormat="1">
      <c r="A125" s="2">
        <v>6412</v>
      </c>
      <c r="B125" s="228" t="s">
        <v>93</v>
      </c>
      <c r="C125" s="452"/>
      <c r="D125" s="467">
        <f>C125/C12</f>
        <v>0</v>
      </c>
      <c r="E125" s="452"/>
      <c r="F125" s="467">
        <f>E125/E12</f>
        <v>0</v>
      </c>
      <c r="G125" s="452"/>
      <c r="H125" s="467">
        <f>G125/G12</f>
        <v>0</v>
      </c>
      <c r="I125" s="452"/>
      <c r="J125" s="467">
        <f>I125/I12</f>
        <v>0</v>
      </c>
      <c r="K125" s="452"/>
      <c r="L125" s="467">
        <f>K125/K12</f>
        <v>0</v>
      </c>
      <c r="M125" s="452"/>
      <c r="N125" s="467">
        <f>M125/M12</f>
        <v>0</v>
      </c>
      <c r="O125" s="452"/>
      <c r="P125" s="467">
        <f>O125/O12</f>
        <v>0</v>
      </c>
      <c r="Q125" s="452"/>
      <c r="R125" s="467">
        <f>Q125/Q12</f>
        <v>0</v>
      </c>
      <c r="S125" s="452"/>
      <c r="T125" s="467">
        <f>S125/S12</f>
        <v>0</v>
      </c>
      <c r="U125" s="452"/>
      <c r="V125" s="467">
        <f>U125/U12</f>
        <v>0</v>
      </c>
      <c r="W125" s="452"/>
      <c r="X125" s="467">
        <f>W125/W12</f>
        <v>0</v>
      </c>
      <c r="Y125" s="452"/>
      <c r="Z125" s="467">
        <f>Y125/Y12</f>
        <v>0</v>
      </c>
      <c r="AA125" s="144">
        <f t="shared" si="87"/>
        <v>0</v>
      </c>
      <c r="AB125" s="24">
        <f>AA125/AA12</f>
        <v>0</v>
      </c>
      <c r="AC125" s="128">
        <f t="shared" si="56"/>
        <v>0</v>
      </c>
      <c r="AD125" s="24">
        <f>AC125/AC12</f>
        <v>0</v>
      </c>
      <c r="AE125" s="374"/>
      <c r="AF125" s="374">
        <v>0</v>
      </c>
      <c r="AG125" s="84">
        <f t="shared" si="54"/>
        <v>0</v>
      </c>
      <c r="AH125" s="84">
        <f t="shared" si="86"/>
        <v>0</v>
      </c>
    </row>
    <row r="126" spans="1:34" s="1" customFormat="1">
      <c r="A126" s="188">
        <v>6413</v>
      </c>
      <c r="B126" s="188" t="s">
        <v>41</v>
      </c>
      <c r="C126" s="452">
        <f>C12*1%</f>
        <v>8188.0473902593985</v>
      </c>
      <c r="D126" s="467">
        <f>C126/C12</f>
        <v>0.01</v>
      </c>
      <c r="E126" s="452">
        <f>E12*1%</f>
        <v>6370.3128552847602</v>
      </c>
      <c r="F126" s="467">
        <f>E126/E12</f>
        <v>0.01</v>
      </c>
      <c r="G126" s="452">
        <f>G12*1%</f>
        <v>10566.932235824102</v>
      </c>
      <c r="H126" s="467">
        <f>G126/G12</f>
        <v>0.01</v>
      </c>
      <c r="I126" s="452">
        <f>I12*1%</f>
        <v>9330.5405745033804</v>
      </c>
      <c r="J126" s="467">
        <f>I126/I12</f>
        <v>0.01</v>
      </c>
      <c r="K126" s="452">
        <f>K12*1%</f>
        <v>8533.7298657188094</v>
      </c>
      <c r="L126" s="467">
        <f>K126/K12</f>
        <v>0.01</v>
      </c>
      <c r="M126" s="452">
        <f>M12*1%</f>
        <v>12100.7107982136</v>
      </c>
      <c r="N126" s="467">
        <f>M126/M12</f>
        <v>0.01</v>
      </c>
      <c r="O126" s="452">
        <f>O12*1%</f>
        <v>7661.0873190715802</v>
      </c>
      <c r="P126" s="467">
        <f>O126/O12</f>
        <v>0.01</v>
      </c>
      <c r="Q126" s="452">
        <f>Q12*1%</f>
        <v>9513.0712051991613</v>
      </c>
      <c r="R126" s="467">
        <f>Q126/Q12</f>
        <v>0.01</v>
      </c>
      <c r="S126" s="452">
        <f>S12*1%</f>
        <v>9583.2707811617602</v>
      </c>
      <c r="T126" s="467">
        <f>S126/S12</f>
        <v>0.01</v>
      </c>
      <c r="U126" s="452">
        <f>U12*1%</f>
        <v>7601.5129553407805</v>
      </c>
      <c r="V126" s="467">
        <f>U126/U12</f>
        <v>0.01</v>
      </c>
      <c r="W126" s="452">
        <f>W12*1%</f>
        <v>7734.0949664271602</v>
      </c>
      <c r="X126" s="467">
        <f>W126/W12</f>
        <v>0.01</v>
      </c>
      <c r="Y126" s="452">
        <f>Y12*1%</f>
        <v>11683.614834045098</v>
      </c>
      <c r="Z126" s="467">
        <f>Y126/Y12</f>
        <v>0.01</v>
      </c>
      <c r="AA126" s="144">
        <f t="shared" si="87"/>
        <v>108866.92578104959</v>
      </c>
      <c r="AB126" s="68">
        <f>AA126/AA12</f>
        <v>0.01</v>
      </c>
      <c r="AC126" s="128">
        <f t="shared" si="56"/>
        <v>9072.2438150874659</v>
      </c>
      <c r="AD126" s="68">
        <f>AC126/AC12</f>
        <v>0.01</v>
      </c>
      <c r="AE126" s="595" t="s">
        <v>290</v>
      </c>
      <c r="AF126" s="26">
        <f>AF5*0.93%</f>
        <v>0</v>
      </c>
      <c r="AG126" s="84">
        <f t="shared" si="54"/>
        <v>108866.92578104959</v>
      </c>
      <c r="AH126" s="84">
        <f t="shared" si="86"/>
        <v>0</v>
      </c>
    </row>
    <row r="127" spans="1:34" s="1" customFormat="1">
      <c r="A127" s="188">
        <v>6414</v>
      </c>
      <c r="B127" s="188" t="s">
        <v>43</v>
      </c>
      <c r="C127" s="486">
        <v>250</v>
      </c>
      <c r="D127" s="467">
        <f>C127/C12</f>
        <v>3.0532309851723997E-4</v>
      </c>
      <c r="E127" s="486">
        <v>250</v>
      </c>
      <c r="F127" s="467">
        <f>E127/E12</f>
        <v>3.9244540367056231E-4</v>
      </c>
      <c r="G127" s="486">
        <v>250</v>
      </c>
      <c r="H127" s="467">
        <f>G127/G12</f>
        <v>2.3658711385736713E-4</v>
      </c>
      <c r="I127" s="486">
        <v>250</v>
      </c>
      <c r="J127" s="467">
        <f>I127/I12</f>
        <v>2.6793731617560251E-4</v>
      </c>
      <c r="K127" s="486">
        <v>250</v>
      </c>
      <c r="L127" s="467">
        <f>K127/K12</f>
        <v>2.9295513677352861E-4</v>
      </c>
      <c r="M127" s="486">
        <v>250</v>
      </c>
      <c r="N127" s="467">
        <f>M127/M12</f>
        <v>2.0659943384227224E-4</v>
      </c>
      <c r="O127" s="486">
        <v>250</v>
      </c>
      <c r="P127" s="467">
        <f>O127/O12</f>
        <v>3.2632443619020989E-4</v>
      </c>
      <c r="Q127" s="486">
        <v>250</v>
      </c>
      <c r="R127" s="467">
        <f>Q127/Q12</f>
        <v>2.6279630900204762E-4</v>
      </c>
      <c r="S127" s="486">
        <v>250</v>
      </c>
      <c r="T127" s="467">
        <f>S127/S12</f>
        <v>2.6087126797192831E-4</v>
      </c>
      <c r="U127" s="486">
        <v>250</v>
      </c>
      <c r="V127" s="467">
        <f>U127/U12</f>
        <v>3.2888189689179098E-4</v>
      </c>
      <c r="W127" s="486">
        <v>250</v>
      </c>
      <c r="X127" s="467">
        <f>W127/W12</f>
        <v>3.2324402672222413E-4</v>
      </c>
      <c r="Y127" s="486">
        <v>250</v>
      </c>
      <c r="Z127" s="467">
        <f>Y127/Y12</f>
        <v>2.1397487297468971E-4</v>
      </c>
      <c r="AA127" s="144">
        <f t="shared" si="87"/>
        <v>3000</v>
      </c>
      <c r="AB127" s="68">
        <f>AA127/AA12</f>
        <v>2.7556578625481941E-4</v>
      </c>
      <c r="AC127" s="128">
        <f t="shared" si="56"/>
        <v>250</v>
      </c>
      <c r="AD127" s="68">
        <f>AC127/AC12</f>
        <v>2.7556578625481941E-4</v>
      </c>
      <c r="AE127" s="645" t="s">
        <v>284</v>
      </c>
      <c r="AF127" s="374" t="s">
        <v>227</v>
      </c>
      <c r="AG127" s="84">
        <f t="shared" si="54"/>
        <v>3000</v>
      </c>
      <c r="AH127" s="84">
        <f t="shared" si="86"/>
        <v>0</v>
      </c>
    </row>
    <row r="128" spans="1:34" s="1" customFormat="1">
      <c r="A128" s="2">
        <v>6415</v>
      </c>
      <c r="B128" s="228" t="s">
        <v>44</v>
      </c>
      <c r="C128" s="452"/>
      <c r="D128" s="467">
        <f>C128/C12</f>
        <v>0</v>
      </c>
      <c r="E128" s="452"/>
      <c r="F128" s="467">
        <f>E128/E12</f>
        <v>0</v>
      </c>
      <c r="G128" s="452"/>
      <c r="H128" s="467">
        <f>G128/G12</f>
        <v>0</v>
      </c>
      <c r="I128" s="452"/>
      <c r="J128" s="467">
        <f>I128/I12</f>
        <v>0</v>
      </c>
      <c r="K128" s="452"/>
      <c r="L128" s="467">
        <f>K128/K12</f>
        <v>0</v>
      </c>
      <c r="M128" s="452"/>
      <c r="N128" s="467">
        <f>M128/M12</f>
        <v>0</v>
      </c>
      <c r="O128" s="452"/>
      <c r="P128" s="467">
        <f>O128/O12</f>
        <v>0</v>
      </c>
      <c r="Q128" s="452"/>
      <c r="R128" s="467">
        <f>Q128/Q12</f>
        <v>0</v>
      </c>
      <c r="S128" s="452"/>
      <c r="T128" s="467">
        <f>S128/S12</f>
        <v>0</v>
      </c>
      <c r="U128" s="452"/>
      <c r="V128" s="467">
        <f>U128/U12</f>
        <v>0</v>
      </c>
      <c r="W128" s="452"/>
      <c r="X128" s="467">
        <f>W128/W12</f>
        <v>0</v>
      </c>
      <c r="Y128" s="452"/>
      <c r="Z128" s="467">
        <f>Y128/Y12</f>
        <v>0</v>
      </c>
      <c r="AA128" s="144">
        <f t="shared" si="87"/>
        <v>0</v>
      </c>
      <c r="AB128" s="68">
        <f>AA128/AA12</f>
        <v>0</v>
      </c>
      <c r="AC128" s="128">
        <f t="shared" si="56"/>
        <v>0</v>
      </c>
      <c r="AD128" s="68">
        <f>AC128/AC12</f>
        <v>0</v>
      </c>
      <c r="AE128" s="374"/>
      <c r="AF128" s="374">
        <v>0</v>
      </c>
      <c r="AG128" s="84">
        <f t="shared" si="54"/>
        <v>0</v>
      </c>
      <c r="AH128" s="84">
        <f t="shared" si="86"/>
        <v>0</v>
      </c>
    </row>
    <row r="129" spans="1:36" s="1" customFormat="1" ht="15.75" thickBot="1">
      <c r="A129" s="4">
        <v>6499</v>
      </c>
      <c r="B129" s="229" t="s">
        <v>114</v>
      </c>
      <c r="C129" s="28">
        <f>SUM(C116:C128)</f>
        <v>11688.047390259399</v>
      </c>
      <c r="D129" s="23">
        <f>C129/C12</f>
        <v>1.427452337924136E-2</v>
      </c>
      <c r="E129" s="28">
        <f>SUM(E116:E128)</f>
        <v>9870.3128552847593</v>
      </c>
      <c r="F129" s="23">
        <f>E129/E12</f>
        <v>1.5494235651387871E-2</v>
      </c>
      <c r="G129" s="28">
        <f>SUM(G116:G128)</f>
        <v>14066.932235824102</v>
      </c>
      <c r="H129" s="23">
        <f>G129/G12</f>
        <v>1.331221959400314E-2</v>
      </c>
      <c r="I129" s="28">
        <f>SUM(I116:I128)</f>
        <v>12830.54057450338</v>
      </c>
      <c r="J129" s="23">
        <f>I129/I12</f>
        <v>1.3751122426458436E-2</v>
      </c>
      <c r="K129" s="28">
        <f>SUM(K116:K128)</f>
        <v>12033.729865718809</v>
      </c>
      <c r="L129" s="23">
        <f>K129/K12</f>
        <v>1.4101371914829399E-2</v>
      </c>
      <c r="M129" s="28">
        <f>SUM(M116:M128)</f>
        <v>15600.7107982136</v>
      </c>
      <c r="N129" s="23">
        <f>M129/M12</f>
        <v>1.289239207379181E-2</v>
      </c>
      <c r="O129" s="28">
        <f>SUM(O116:O128)</f>
        <v>11161.087319071579</v>
      </c>
      <c r="P129" s="23">
        <f>O129/O12</f>
        <v>1.4568542106662937E-2</v>
      </c>
      <c r="Q129" s="28">
        <f>SUM(Q116:Q128)</f>
        <v>13013.071205199161</v>
      </c>
      <c r="R129" s="23">
        <f>Q129/Q12</f>
        <v>1.3679148326028668E-2</v>
      </c>
      <c r="S129" s="28">
        <f>SUM(S116:S128)</f>
        <v>13083.27078116176</v>
      </c>
      <c r="T129" s="23">
        <f>S129/S12</f>
        <v>1.3652197751606997E-2</v>
      </c>
      <c r="U129" s="76">
        <f>SUM(U116:U128)</f>
        <v>11101.512955340781</v>
      </c>
      <c r="V129" s="23">
        <f>U129/U12</f>
        <v>1.4604346556485074E-2</v>
      </c>
      <c r="W129" s="76">
        <f>SUM(W116:W128)</f>
        <v>11234.094966427161</v>
      </c>
      <c r="X129" s="23">
        <f>W129/W12</f>
        <v>1.4525416374111139E-2</v>
      </c>
      <c r="Y129" s="76">
        <f>SUM(Y116:Y128)</f>
        <v>15183.614834045098</v>
      </c>
      <c r="Z129" s="23">
        <f>Y129/Y12</f>
        <v>1.2995648221645657E-2</v>
      </c>
      <c r="AA129" s="196">
        <f>SUM(AA116:AA128)</f>
        <v>150866.92578104959</v>
      </c>
      <c r="AB129" s="23">
        <f>AA129/AA12</f>
        <v>1.3857921007567473E-2</v>
      </c>
      <c r="AC129" s="52">
        <f t="shared" si="56"/>
        <v>12572.243815087466</v>
      </c>
      <c r="AD129" s="23">
        <f>AC129/AC12</f>
        <v>1.3857921007567473E-2</v>
      </c>
      <c r="AE129" s="26"/>
      <c r="AF129" s="26"/>
      <c r="AG129" s="84">
        <f t="shared" si="54"/>
        <v>150866.92578104956</v>
      </c>
      <c r="AH129" s="84">
        <f t="shared" si="86"/>
        <v>0</v>
      </c>
    </row>
    <row r="130" spans="1:36" s="1" customFormat="1" ht="15.75" thickTop="1">
      <c r="A130" s="222"/>
      <c r="B130" s="230"/>
      <c r="C130" s="82"/>
      <c r="D130" s="233"/>
      <c r="E130" s="703"/>
      <c r="F130" s="233"/>
      <c r="G130" s="32"/>
      <c r="H130" s="233"/>
      <c r="I130" s="82"/>
      <c r="J130" s="233"/>
      <c r="K130" s="703"/>
      <c r="L130" s="233"/>
      <c r="M130" s="32"/>
      <c r="N130" s="233"/>
      <c r="O130" s="704"/>
      <c r="P130" s="233"/>
      <c r="Q130" s="32"/>
      <c r="R130" s="233"/>
      <c r="S130" s="32"/>
      <c r="T130" s="233"/>
      <c r="U130" s="82"/>
      <c r="V130" s="233"/>
      <c r="W130" s="82"/>
      <c r="X130" s="233"/>
      <c r="Y130" s="82"/>
      <c r="Z130" s="233"/>
      <c r="AA130" s="201"/>
      <c r="AB130" s="233"/>
      <c r="AC130" s="201">
        <f t="shared" si="56"/>
        <v>0</v>
      </c>
      <c r="AD130" s="233"/>
      <c r="AE130" s="26"/>
      <c r="AF130" s="26"/>
      <c r="AG130" s="84">
        <f t="shared" si="54"/>
        <v>0</v>
      </c>
      <c r="AH130" s="84">
        <f t="shared" si="86"/>
        <v>0</v>
      </c>
    </row>
    <row r="131" spans="1:36" s="1" customFormat="1" ht="15.75" thickBot="1">
      <c r="A131" s="4"/>
      <c r="B131" s="229" t="s">
        <v>133</v>
      </c>
      <c r="C131" s="287">
        <f>C37-C41-C76-C93-C115-C129</f>
        <v>128693.45859250543</v>
      </c>
      <c r="D131" s="259">
        <f>C131/C12</f>
        <v>0.1571723421454555</v>
      </c>
      <c r="E131" s="287">
        <f>E37-E41-E76-E93-E115-E129</f>
        <v>100442.61678118052</v>
      </c>
      <c r="F131" s="259">
        <f>E131/E12</f>
        <v>0.15767297315367193</v>
      </c>
      <c r="G131" s="287">
        <f>G37-G41-G76-G93-G115-G129</f>
        <v>210964.32531709835</v>
      </c>
      <c r="H131" s="259">
        <f>G131/G12</f>
        <v>0.19964576341455595</v>
      </c>
      <c r="I131" s="287">
        <f>I37-I41-I76-I93-I115-I129</f>
        <v>201951.3337401743</v>
      </c>
      <c r="J131" s="259">
        <f>I131/I12</f>
        <v>0.21644119344170282</v>
      </c>
      <c r="K131" s="287">
        <f>K37-K41-K76-K93-K115-K129</f>
        <v>235749.93257857894</v>
      </c>
      <c r="L131" s="259">
        <f>K131/K12</f>
        <v>0.27625661497163095</v>
      </c>
      <c r="M131" s="287">
        <f>M37-M41-M76-M93-M115-M129</f>
        <v>293689.82733374083</v>
      </c>
      <c r="N131" s="259">
        <f>M131/M12</f>
        <v>0.24270460820954218</v>
      </c>
      <c r="O131" s="287">
        <f>O37-O41-O76-O93-O115-O129</f>
        <v>151599.88163532413</v>
      </c>
      <c r="P131" s="259">
        <f>O131/O12</f>
        <v>0.1978829836045988</v>
      </c>
      <c r="Q131" s="287">
        <f>Q37-Q41-Q76-Q93-Q115-Q129</f>
        <v>179176.76601616718</v>
      </c>
      <c r="R131" s="259">
        <f>Q131/Q12</f>
        <v>0.188347971071889</v>
      </c>
      <c r="S131" s="287">
        <f>S37-S41-S76-S93-S115-S129</f>
        <v>264111.84375223756</v>
      </c>
      <c r="T131" s="259">
        <f>S131/S12</f>
        <v>0.2755967662642001</v>
      </c>
      <c r="U131" s="252">
        <f>U37-U41-U76-U93-U115-U129</f>
        <v>131375.20293244178</v>
      </c>
      <c r="V131" s="259">
        <f>U131/U12</f>
        <v>0.17282770377986176</v>
      </c>
      <c r="W131" s="252">
        <f>W37-W41-W76-W93-W115-W129</f>
        <v>163387.70022096724</v>
      </c>
      <c r="X131" s="259">
        <f>W131/W12</f>
        <v>0.21125639254523632</v>
      </c>
      <c r="Y131" s="252">
        <f>Y37-Y41-Y76-Y93-Y115-Y129</f>
        <v>277017.33974727528</v>
      </c>
      <c r="Z131" s="259">
        <f>Y131/Y12</f>
        <v>0.23709900033683876</v>
      </c>
      <c r="AA131" s="256">
        <f>AA37-AA41-AA76-AA93-AA115-AA129</f>
        <v>2338160.2286476912</v>
      </c>
      <c r="AB131" s="259">
        <f>AA131/AA12</f>
        <v>0.21477232059901646</v>
      </c>
      <c r="AC131" s="254">
        <f t="shared" si="56"/>
        <v>194846.68572064093</v>
      </c>
      <c r="AD131" s="259">
        <f>AC131/AC12</f>
        <v>0.21477232059901646</v>
      </c>
      <c r="AE131" s="26"/>
      <c r="AF131" s="26"/>
      <c r="AG131" s="84">
        <f t="shared" si="54"/>
        <v>2338160.2286476917</v>
      </c>
      <c r="AH131" s="84">
        <f t="shared" si="86"/>
        <v>0</v>
      </c>
    </row>
    <row r="132" spans="1:36" s="1" customFormat="1" ht="15.75" thickTop="1">
      <c r="A132" s="222"/>
      <c r="B132" s="230"/>
      <c r="C132" s="82"/>
      <c r="D132" s="233"/>
      <c r="E132" s="703"/>
      <c r="F132" s="233"/>
      <c r="G132" s="32"/>
      <c r="H132" s="233"/>
      <c r="I132" s="82"/>
      <c r="J132" s="233"/>
      <c r="K132" s="703"/>
      <c r="L132" s="233"/>
      <c r="M132" s="32"/>
      <c r="N132" s="233"/>
      <c r="O132" s="704"/>
      <c r="P132" s="233"/>
      <c r="Q132" s="32"/>
      <c r="R132" s="233"/>
      <c r="S132" s="32"/>
      <c r="T132" s="233"/>
      <c r="U132" s="82"/>
      <c r="V132" s="233"/>
      <c r="W132" s="82"/>
      <c r="X132" s="233"/>
      <c r="Y132" s="82"/>
      <c r="Z132" s="233"/>
      <c r="AA132" s="201"/>
      <c r="AB132" s="233"/>
      <c r="AC132" s="201">
        <f t="shared" si="56"/>
        <v>0</v>
      </c>
      <c r="AD132" s="233"/>
      <c r="AE132" s="26"/>
      <c r="AF132" s="26"/>
      <c r="AG132" s="84">
        <f t="shared" si="54"/>
        <v>0</v>
      </c>
      <c r="AH132" s="84">
        <f t="shared" si="86"/>
        <v>0</v>
      </c>
    </row>
    <row r="133" spans="1:36" s="1" customFormat="1" ht="15.75" thickBot="1">
      <c r="A133" s="72"/>
      <c r="B133" s="4" t="s">
        <v>149</v>
      </c>
      <c r="C133" s="76"/>
      <c r="D133" s="107"/>
      <c r="E133" s="274"/>
      <c r="F133" s="107"/>
      <c r="G133" s="71"/>
      <c r="H133" s="107"/>
      <c r="I133" s="274"/>
      <c r="J133" s="107"/>
      <c r="K133" s="274"/>
      <c r="L133" s="107"/>
      <c r="M133" s="71"/>
      <c r="N133" s="107"/>
      <c r="O133" s="71"/>
      <c r="P133" s="107"/>
      <c r="Q133" s="28"/>
      <c r="R133" s="107"/>
      <c r="S133" s="28"/>
      <c r="T133" s="107"/>
      <c r="U133" s="28"/>
      <c r="V133" s="107"/>
      <c r="W133" s="28"/>
      <c r="X133" s="107"/>
      <c r="Y133" s="28"/>
      <c r="Z133" s="107"/>
      <c r="AA133" s="197">
        <f>C133+E133+G133+I133+K133+M133+O133+Q133+S133+U133+W133+Y133</f>
        <v>0</v>
      </c>
      <c r="AB133" s="107"/>
      <c r="AC133" s="264">
        <f t="shared" si="56"/>
        <v>0</v>
      </c>
      <c r="AD133" s="107"/>
      <c r="AE133" s="26"/>
      <c r="AF133" s="26"/>
      <c r="AG133" s="84">
        <f t="shared" si="54"/>
        <v>0</v>
      </c>
      <c r="AH133" s="84">
        <f t="shared" si="86"/>
        <v>0</v>
      </c>
    </row>
    <row r="134" spans="1:36" s="1" customFormat="1" ht="15.75" thickTop="1">
      <c r="A134" s="222"/>
      <c r="B134" s="222"/>
      <c r="C134" s="82"/>
      <c r="D134" s="233"/>
      <c r="E134" s="703"/>
      <c r="F134" s="233"/>
      <c r="G134" s="32"/>
      <c r="H134" s="233"/>
      <c r="I134" s="82"/>
      <c r="J134" s="233"/>
      <c r="K134" s="703"/>
      <c r="L134" s="233"/>
      <c r="M134" s="32"/>
      <c r="N134" s="233"/>
      <c r="O134" s="704"/>
      <c r="P134" s="233"/>
      <c r="Q134" s="32"/>
      <c r="R134" s="233"/>
      <c r="S134" s="32"/>
      <c r="T134" s="233"/>
      <c r="U134" s="82"/>
      <c r="V134" s="233"/>
      <c r="W134" s="82"/>
      <c r="X134" s="233"/>
      <c r="Y134" s="82"/>
      <c r="Z134" s="233"/>
      <c r="AA134" s="201"/>
      <c r="AB134" s="233"/>
      <c r="AC134" s="201">
        <f t="shared" si="56"/>
        <v>0</v>
      </c>
      <c r="AD134" s="233"/>
      <c r="AE134" s="26"/>
      <c r="AF134" s="26"/>
      <c r="AG134" s="84">
        <f t="shared" si="54"/>
        <v>0</v>
      </c>
      <c r="AH134" s="84">
        <f t="shared" si="86"/>
        <v>0</v>
      </c>
    </row>
    <row r="135" spans="1:36" s="1" customFormat="1" ht="15.75" thickBot="1">
      <c r="A135" s="4"/>
      <c r="B135" s="4" t="s">
        <v>140</v>
      </c>
      <c r="C135" s="28">
        <f>C131-C133</f>
        <v>128693.45859250543</v>
      </c>
      <c r="D135" s="89">
        <f>C135/C12</f>
        <v>0.1571723421454555</v>
      </c>
      <c r="E135" s="28">
        <f>E131-E133</f>
        <v>100442.61678118052</v>
      </c>
      <c r="F135" s="89">
        <f>E135/E12</f>
        <v>0.15767297315367193</v>
      </c>
      <c r="G135" s="28">
        <f>G131-G133</f>
        <v>210964.32531709835</v>
      </c>
      <c r="H135" s="89">
        <f>G135/G12</f>
        <v>0.19964576341455595</v>
      </c>
      <c r="I135" s="28">
        <f>I131-I133</f>
        <v>201951.3337401743</v>
      </c>
      <c r="J135" s="89">
        <f>I135/I12</f>
        <v>0.21644119344170282</v>
      </c>
      <c r="K135" s="28">
        <f>K131-K133</f>
        <v>235749.93257857894</v>
      </c>
      <c r="L135" s="89">
        <f>K135/K12</f>
        <v>0.27625661497163095</v>
      </c>
      <c r="M135" s="28">
        <f>M131-M133</f>
        <v>293689.82733374083</v>
      </c>
      <c r="N135" s="89">
        <f>M135/M12</f>
        <v>0.24270460820954218</v>
      </c>
      <c r="O135" s="28">
        <f>O131-O133</f>
        <v>151599.88163532413</v>
      </c>
      <c r="P135" s="89">
        <f>O135/O12</f>
        <v>0.1978829836045988</v>
      </c>
      <c r="Q135" s="28">
        <f>Q131-Q133</f>
        <v>179176.76601616718</v>
      </c>
      <c r="R135" s="89">
        <f>Q135/Q12</f>
        <v>0.188347971071889</v>
      </c>
      <c r="S135" s="28">
        <f>S131-S133</f>
        <v>264111.84375223756</v>
      </c>
      <c r="T135" s="89">
        <f>S135/S12</f>
        <v>0.2755967662642001</v>
      </c>
      <c r="U135" s="52">
        <f>U131-U133</f>
        <v>131375.20293244178</v>
      </c>
      <c r="V135" s="89">
        <f>U135/U12</f>
        <v>0.17282770377986176</v>
      </c>
      <c r="W135" s="52">
        <f>W131-W133</f>
        <v>163387.70022096724</v>
      </c>
      <c r="X135" s="89">
        <f>W135/W12</f>
        <v>0.21125639254523632</v>
      </c>
      <c r="Y135" s="52">
        <f>Y131-Y133</f>
        <v>277017.33974727528</v>
      </c>
      <c r="Z135" s="89">
        <f>Y135/Y12</f>
        <v>0.23709900033683876</v>
      </c>
      <c r="AA135" s="52">
        <f>AA131-AA133</f>
        <v>2338160.2286476912</v>
      </c>
      <c r="AB135" s="89">
        <f>AA135/AA12</f>
        <v>0.21477232059901646</v>
      </c>
      <c r="AC135" s="52">
        <f t="shared" si="56"/>
        <v>194846.68572064093</v>
      </c>
      <c r="AD135" s="89">
        <f>AC135/AC12</f>
        <v>0.21477232059901646</v>
      </c>
      <c r="AE135" s="26"/>
      <c r="AF135" s="26"/>
      <c r="AG135" s="84">
        <f t="shared" si="54"/>
        <v>2338160.2286476917</v>
      </c>
      <c r="AH135" s="84">
        <f t="shared" si="86"/>
        <v>0</v>
      </c>
    </row>
    <row r="136" spans="1:36" s="1" customFormat="1" ht="15.75" thickTop="1">
      <c r="A136" s="21">
        <v>6501</v>
      </c>
      <c r="B136" s="21" t="s">
        <v>148</v>
      </c>
      <c r="C136" s="82"/>
      <c r="D136" s="24">
        <f>C136/C12</f>
        <v>0</v>
      </c>
      <c r="E136" s="703"/>
      <c r="F136" s="24">
        <f>E136/E12</f>
        <v>0</v>
      </c>
      <c r="G136" s="32"/>
      <c r="H136" s="24">
        <f>G136/G12</f>
        <v>0</v>
      </c>
      <c r="I136" s="82"/>
      <c r="J136" s="24">
        <f>I136/I12</f>
        <v>0</v>
      </c>
      <c r="K136" s="703"/>
      <c r="L136" s="24">
        <f>K136/K12</f>
        <v>0</v>
      </c>
      <c r="M136" s="32"/>
      <c r="N136" s="24">
        <f>M136/M12</f>
        <v>0</v>
      </c>
      <c r="O136" s="704"/>
      <c r="P136" s="24">
        <f>O136/O12</f>
        <v>0</v>
      </c>
      <c r="Q136" s="32"/>
      <c r="R136" s="24">
        <f>Q136/Q12</f>
        <v>0</v>
      </c>
      <c r="S136" s="32"/>
      <c r="T136" s="24">
        <f>S136/S12</f>
        <v>0</v>
      </c>
      <c r="U136" s="82"/>
      <c r="V136" s="24">
        <f>U136/U12</f>
        <v>0</v>
      </c>
      <c r="W136" s="82"/>
      <c r="X136" s="24">
        <f>W136/W12</f>
        <v>0</v>
      </c>
      <c r="Y136" s="82"/>
      <c r="Z136" s="24">
        <f>Y136/Y12</f>
        <v>0</v>
      </c>
      <c r="AA136" s="144">
        <f t="shared" ref="AA136:AA143" si="88">C136+E136+G136+I136+K136+M136+O136+Q136+S136+U136+W136+Y136</f>
        <v>0</v>
      </c>
      <c r="AB136" s="24">
        <f>AA136/AA12</f>
        <v>0</v>
      </c>
      <c r="AC136" s="128">
        <f t="shared" si="56"/>
        <v>0</v>
      </c>
      <c r="AD136" s="24">
        <f>AC136/AC12</f>
        <v>0</v>
      </c>
      <c r="AE136" s="26">
        <v>0</v>
      </c>
      <c r="AF136" s="26">
        <v>0</v>
      </c>
      <c r="AG136" s="84">
        <f t="shared" si="54"/>
        <v>0</v>
      </c>
      <c r="AH136" s="84">
        <f t="shared" si="86"/>
        <v>0</v>
      </c>
    </row>
    <row r="137" spans="1:36" s="1" customFormat="1">
      <c r="A137" s="188">
        <v>6502</v>
      </c>
      <c r="B137" s="21" t="s">
        <v>136</v>
      </c>
      <c r="C137" s="33">
        <v>63136</v>
      </c>
      <c r="D137" s="24">
        <f>C137/C12</f>
        <v>7.7107516591937847E-2</v>
      </c>
      <c r="E137" s="33">
        <v>63136</v>
      </c>
      <c r="F137" s="24">
        <f>E137/E12</f>
        <v>9.9109732024578484E-2</v>
      </c>
      <c r="G137" s="33">
        <v>63136</v>
      </c>
      <c r="H137" s="24">
        <f>G137/G12</f>
        <v>5.9748656081994929E-2</v>
      </c>
      <c r="I137" s="33">
        <v>63136</v>
      </c>
      <c r="J137" s="24">
        <f>I137/I12</f>
        <v>6.7665961576251363E-2</v>
      </c>
      <c r="K137" s="33">
        <v>63136</v>
      </c>
      <c r="L137" s="24">
        <f>K137/K12</f>
        <v>7.3984062061334011E-2</v>
      </c>
      <c r="M137" s="33">
        <v>63136</v>
      </c>
      <c r="N137" s="24">
        <f>M137/M12</f>
        <v>5.2175447420262797E-2</v>
      </c>
      <c r="O137" s="33">
        <v>63136</v>
      </c>
      <c r="P137" s="24">
        <f>O137/O12</f>
        <v>8.2411278413220365E-2</v>
      </c>
      <c r="Q137" s="33">
        <v>63136</v>
      </c>
      <c r="R137" s="24">
        <f>Q137/Q12</f>
        <v>6.6367631060613108E-2</v>
      </c>
      <c r="S137" s="33">
        <v>63136</v>
      </c>
      <c r="T137" s="24">
        <f>S137/S12</f>
        <v>6.5881473498702658E-2</v>
      </c>
      <c r="U137" s="33">
        <v>63136</v>
      </c>
      <c r="V137" s="24">
        <f>U137/U12</f>
        <v>8.3057149768640468E-2</v>
      </c>
      <c r="W137" s="33">
        <v>63136</v>
      </c>
      <c r="X137" s="24">
        <f>W137/W12</f>
        <v>8.1633339484537368E-2</v>
      </c>
      <c r="Y137" s="33">
        <v>63136</v>
      </c>
      <c r="Z137" s="24">
        <f>Y137/Y12</f>
        <v>5.4038070320520035E-2</v>
      </c>
      <c r="AA137" s="144">
        <f t="shared" si="88"/>
        <v>757632</v>
      </c>
      <c r="AB137" s="24">
        <f>AA137/AA12</f>
        <v>6.9592485923937117E-2</v>
      </c>
      <c r="AC137" s="128">
        <f t="shared" si="56"/>
        <v>63136</v>
      </c>
      <c r="AD137" s="24">
        <f>AC137/AC12</f>
        <v>6.9592485923937117E-2</v>
      </c>
      <c r="AE137" s="26"/>
      <c r="AF137" s="26" t="s">
        <v>157</v>
      </c>
      <c r="AG137" s="84">
        <f t="shared" si="54"/>
        <v>757632</v>
      </c>
      <c r="AH137" s="84">
        <f t="shared" si="86"/>
        <v>0</v>
      </c>
    </row>
    <row r="138" spans="1:36" s="1" customFormat="1">
      <c r="A138" s="188">
        <v>6503</v>
      </c>
      <c r="B138" s="21" t="s">
        <v>137</v>
      </c>
      <c r="C138" s="33">
        <v>0</v>
      </c>
      <c r="D138" s="24">
        <f>C138/C12</f>
        <v>0</v>
      </c>
      <c r="E138" s="33">
        <v>0</v>
      </c>
      <c r="F138" s="24">
        <f>E138/E12</f>
        <v>0</v>
      </c>
      <c r="G138" s="33">
        <v>0</v>
      </c>
      <c r="H138" s="24">
        <f>G138/G12</f>
        <v>0</v>
      </c>
      <c r="I138" s="33">
        <v>0</v>
      </c>
      <c r="J138" s="24">
        <f>I138/I12</f>
        <v>0</v>
      </c>
      <c r="K138" s="33">
        <v>0</v>
      </c>
      <c r="L138" s="24">
        <f>K138/K12</f>
        <v>0</v>
      </c>
      <c r="M138" s="33">
        <v>0</v>
      </c>
      <c r="N138" s="24">
        <f>M138/M12</f>
        <v>0</v>
      </c>
      <c r="O138" s="33">
        <v>0</v>
      </c>
      <c r="P138" s="24">
        <f>O138/O12</f>
        <v>0</v>
      </c>
      <c r="Q138" s="33">
        <v>0</v>
      </c>
      <c r="R138" s="24">
        <f>Q138/Q12</f>
        <v>0</v>
      </c>
      <c r="S138" s="33">
        <v>0</v>
      </c>
      <c r="T138" s="24">
        <f>S138/S12</f>
        <v>0</v>
      </c>
      <c r="U138" s="33">
        <v>0</v>
      </c>
      <c r="V138" s="24">
        <f>U138/U12</f>
        <v>0</v>
      </c>
      <c r="W138" s="33">
        <v>0</v>
      </c>
      <c r="X138" s="24">
        <f>W138/W12</f>
        <v>0</v>
      </c>
      <c r="Y138" s="33">
        <v>0</v>
      </c>
      <c r="Z138" s="24">
        <f>Y138/Y12</f>
        <v>0</v>
      </c>
      <c r="AA138" s="144">
        <f t="shared" si="88"/>
        <v>0</v>
      </c>
      <c r="AB138" s="326">
        <f>AA138/AA12</f>
        <v>0</v>
      </c>
      <c r="AC138" s="128">
        <f t="shared" si="56"/>
        <v>0</v>
      </c>
      <c r="AD138" s="326">
        <f>AC138/AC12</f>
        <v>0</v>
      </c>
      <c r="AE138" s="26"/>
      <c r="AF138" s="26" t="s">
        <v>157</v>
      </c>
      <c r="AG138" s="84">
        <f t="shared" si="54"/>
        <v>0</v>
      </c>
      <c r="AH138" s="84">
        <f t="shared" si="86"/>
        <v>0</v>
      </c>
      <c r="AJ138" s="686" t="e">
        <f>#REF!+#REF!</f>
        <v>#REF!</v>
      </c>
    </row>
    <row r="139" spans="1:36" s="1" customFormat="1">
      <c r="A139" s="188">
        <v>6504</v>
      </c>
      <c r="B139" s="21" t="s">
        <v>138</v>
      </c>
      <c r="C139" s="83"/>
      <c r="D139" s="24">
        <f>C139/C12</f>
        <v>0</v>
      </c>
      <c r="E139" s="121"/>
      <c r="F139" s="24">
        <f>E139/E12</f>
        <v>0</v>
      </c>
      <c r="G139" s="33"/>
      <c r="H139" s="24">
        <f>G139/G12</f>
        <v>0</v>
      </c>
      <c r="I139" s="83"/>
      <c r="J139" s="24">
        <f>I139/I12</f>
        <v>0</v>
      </c>
      <c r="K139" s="121"/>
      <c r="L139" s="24">
        <f>K139/K12</f>
        <v>0</v>
      </c>
      <c r="M139" s="33"/>
      <c r="N139" s="24">
        <f>M139/M12</f>
        <v>0</v>
      </c>
      <c r="O139" s="48"/>
      <c r="P139" s="24">
        <f>O139/O12</f>
        <v>0</v>
      </c>
      <c r="Q139" s="33"/>
      <c r="R139" s="24">
        <f>Q139/Q12</f>
        <v>0</v>
      </c>
      <c r="S139" s="33"/>
      <c r="T139" s="24">
        <f>S139/S12</f>
        <v>0</v>
      </c>
      <c r="U139" s="83"/>
      <c r="V139" s="24">
        <f>U139/U12</f>
        <v>0</v>
      </c>
      <c r="W139" s="83"/>
      <c r="X139" s="24">
        <f>W139/W12</f>
        <v>0</v>
      </c>
      <c r="Y139" s="83"/>
      <c r="Z139" s="24">
        <f>Y139/Y12</f>
        <v>0</v>
      </c>
      <c r="AA139" s="144">
        <f t="shared" si="88"/>
        <v>0</v>
      </c>
      <c r="AB139" s="24">
        <f>AA139/AA12</f>
        <v>0</v>
      </c>
      <c r="AC139" s="128">
        <f t="shared" si="56"/>
        <v>0</v>
      </c>
      <c r="AD139" s="24">
        <f>AC139/AC12</f>
        <v>0</v>
      </c>
      <c r="AE139" s="26">
        <v>0</v>
      </c>
      <c r="AF139" s="26">
        <v>0</v>
      </c>
      <c r="AG139" s="84">
        <f t="shared" si="54"/>
        <v>0</v>
      </c>
      <c r="AH139" s="84">
        <f t="shared" si="86"/>
        <v>0</v>
      </c>
    </row>
    <row r="140" spans="1:36" s="1" customFormat="1">
      <c r="A140" s="188">
        <v>6505</v>
      </c>
      <c r="B140" s="188" t="s">
        <v>139</v>
      </c>
      <c r="C140" s="83"/>
      <c r="D140" s="24">
        <f>C140/C12</f>
        <v>0</v>
      </c>
      <c r="E140" s="121"/>
      <c r="F140" s="24">
        <f>E140/E12</f>
        <v>0</v>
      </c>
      <c r="G140" s="33"/>
      <c r="H140" s="24">
        <f>G140/G12</f>
        <v>0</v>
      </c>
      <c r="I140" s="83"/>
      <c r="J140" s="24">
        <f>I140/I12</f>
        <v>0</v>
      </c>
      <c r="K140" s="121"/>
      <c r="L140" s="24">
        <f>K140/K12</f>
        <v>0</v>
      </c>
      <c r="M140" s="33"/>
      <c r="N140" s="24">
        <f>M140/M12</f>
        <v>0</v>
      </c>
      <c r="O140" s="48"/>
      <c r="P140" s="24">
        <f>O140/O12</f>
        <v>0</v>
      </c>
      <c r="Q140" s="33"/>
      <c r="R140" s="24">
        <f>Q140/Q12</f>
        <v>0</v>
      </c>
      <c r="S140" s="33"/>
      <c r="T140" s="24">
        <f>S140/S12</f>
        <v>0</v>
      </c>
      <c r="U140" s="83"/>
      <c r="V140" s="24">
        <f>U140/U12</f>
        <v>0</v>
      </c>
      <c r="W140" s="83"/>
      <c r="X140" s="24">
        <f>W140/W12</f>
        <v>0</v>
      </c>
      <c r="Y140" s="83"/>
      <c r="Z140" s="24">
        <f>Y140/Y12</f>
        <v>0</v>
      </c>
      <c r="AA140" s="144">
        <f t="shared" si="88"/>
        <v>0</v>
      </c>
      <c r="AB140" s="24">
        <f>AA140/AA12</f>
        <v>0</v>
      </c>
      <c r="AC140" s="128">
        <f t="shared" si="56"/>
        <v>0</v>
      </c>
      <c r="AD140" s="24">
        <f>AC140/AC12</f>
        <v>0</v>
      </c>
      <c r="AE140" s="26">
        <v>0</v>
      </c>
      <c r="AF140" s="26">
        <v>0</v>
      </c>
      <c r="AG140" s="84">
        <f t="shared" si="54"/>
        <v>0</v>
      </c>
      <c r="AH140" s="84">
        <f t="shared" si="86"/>
        <v>0</v>
      </c>
    </row>
    <row r="141" spans="1:36" s="1" customFormat="1">
      <c r="A141" s="188">
        <v>6506</v>
      </c>
      <c r="B141" s="188" t="s">
        <v>229</v>
      </c>
      <c r="C141" s="33"/>
      <c r="D141" s="106">
        <f>C141/C12</f>
        <v>0</v>
      </c>
      <c r="E141" s="33"/>
      <c r="F141" s="106">
        <f>E141/E12</f>
        <v>0</v>
      </c>
      <c r="G141" s="33"/>
      <c r="H141" s="106">
        <f>G141/G12</f>
        <v>0</v>
      </c>
      <c r="I141" s="33"/>
      <c r="J141" s="106">
        <f>I141/I12</f>
        <v>0</v>
      </c>
      <c r="K141" s="33"/>
      <c r="L141" s="106">
        <f>K141/K12</f>
        <v>0</v>
      </c>
      <c r="M141" s="33"/>
      <c r="N141" s="106">
        <f>M141/M12</f>
        <v>0</v>
      </c>
      <c r="O141" s="33"/>
      <c r="P141" s="106">
        <f>O141/O12</f>
        <v>0</v>
      </c>
      <c r="Q141" s="33"/>
      <c r="R141" s="106">
        <f>Q141/Q12</f>
        <v>0</v>
      </c>
      <c r="S141" s="33">
        <v>0</v>
      </c>
      <c r="T141" s="106">
        <f>S141/S12</f>
        <v>0</v>
      </c>
      <c r="U141" s="33">
        <v>0</v>
      </c>
      <c r="V141" s="106">
        <f>U141/U12</f>
        <v>0</v>
      </c>
      <c r="W141" s="33">
        <v>0</v>
      </c>
      <c r="X141" s="106">
        <f>W141/W12</f>
        <v>0</v>
      </c>
      <c r="Y141" s="33">
        <v>0</v>
      </c>
      <c r="Z141" s="106">
        <f>Y141/Y12</f>
        <v>0</v>
      </c>
      <c r="AA141" s="144">
        <f t="shared" si="88"/>
        <v>0</v>
      </c>
      <c r="AB141" s="106">
        <f>AA141/AA12</f>
        <v>0</v>
      </c>
      <c r="AC141" s="128">
        <f t="shared" si="56"/>
        <v>0</v>
      </c>
      <c r="AD141" s="106">
        <f>AC141/AC12</f>
        <v>0</v>
      </c>
      <c r="AE141" s="374"/>
      <c r="AF141" s="374"/>
      <c r="AG141" s="84">
        <f t="shared" si="54"/>
        <v>0</v>
      </c>
      <c r="AH141" s="84">
        <f t="shared" si="86"/>
        <v>0</v>
      </c>
    </row>
    <row r="142" spans="1:36" s="1" customFormat="1">
      <c r="A142" s="188">
        <v>6604</v>
      </c>
      <c r="B142" s="188" t="s">
        <v>145</v>
      </c>
      <c r="C142" s="26">
        <v>48373</v>
      </c>
      <c r="D142" s="106">
        <f>C142/C12</f>
        <v>5.9077576978297797E-2</v>
      </c>
      <c r="E142" s="26">
        <v>48373</v>
      </c>
      <c r="F142" s="106">
        <f>E142/E12</f>
        <v>7.5935046047024446E-2</v>
      </c>
      <c r="G142" s="26">
        <v>48373</v>
      </c>
      <c r="H142" s="106">
        <f>G142/G12</f>
        <v>4.5777713834489683E-2</v>
      </c>
      <c r="I142" s="26">
        <v>48373</v>
      </c>
      <c r="J142" s="106">
        <f>I142/I12</f>
        <v>5.1843727181449681E-2</v>
      </c>
      <c r="K142" s="26">
        <v>48373</v>
      </c>
      <c r="L142" s="106">
        <f>K142/K12</f>
        <v>5.6684475324583601E-2</v>
      </c>
      <c r="M142" s="26">
        <v>48373</v>
      </c>
      <c r="N142" s="106">
        <f>M142/M12</f>
        <v>3.9975337653008938E-2</v>
      </c>
      <c r="O142" s="26">
        <v>48373</v>
      </c>
      <c r="P142" s="106">
        <f>O142/O12</f>
        <v>6.3141167807316087E-2</v>
      </c>
      <c r="Q142" s="26">
        <v>48373</v>
      </c>
      <c r="R142" s="106">
        <f>Q142/Q12</f>
        <v>5.0848983421424195E-2</v>
      </c>
      <c r="S142" s="26">
        <v>48373</v>
      </c>
      <c r="T142" s="106">
        <f>S142/S12</f>
        <v>5.0476503382424348E-2</v>
      </c>
      <c r="U142" s="26">
        <v>48373</v>
      </c>
      <c r="V142" s="106">
        <f>U142/U12</f>
        <v>6.3636015993386419E-2</v>
      </c>
      <c r="W142" s="26">
        <v>48373</v>
      </c>
      <c r="X142" s="106">
        <f>W142/W12</f>
        <v>6.2545133218536594E-2</v>
      </c>
      <c r="Y142" s="26">
        <v>48373</v>
      </c>
      <c r="Z142" s="106">
        <f>Y142/Y12</f>
        <v>4.1402426121618659E-2</v>
      </c>
      <c r="AA142" s="144">
        <f t="shared" si="88"/>
        <v>580476</v>
      </c>
      <c r="AB142" s="106">
        <f>AA142/AA12</f>
        <v>5.3319775114017524E-2</v>
      </c>
      <c r="AC142" s="128">
        <f t="shared" si="56"/>
        <v>48373</v>
      </c>
      <c r="AD142" s="106">
        <f>AC142/AC12</f>
        <v>5.3319775114017517E-2</v>
      </c>
      <c r="AE142" s="374"/>
      <c r="AF142" s="374" t="s">
        <v>228</v>
      </c>
      <c r="AG142" s="84">
        <f t="shared" si="54"/>
        <v>580476</v>
      </c>
      <c r="AH142" s="84">
        <f t="shared" si="86"/>
        <v>0</v>
      </c>
    </row>
    <row r="143" spans="1:36" s="1" customFormat="1">
      <c r="A143" s="2"/>
      <c r="B143" s="2"/>
      <c r="C143" s="61"/>
      <c r="D143" s="24">
        <f>C143/C12</f>
        <v>0</v>
      </c>
      <c r="E143" s="703"/>
      <c r="F143" s="24">
        <f>E143/E12</f>
        <v>0</v>
      </c>
      <c r="G143" s="26"/>
      <c r="H143" s="24">
        <f>G143/G12</f>
        <v>0</v>
      </c>
      <c r="I143" s="61"/>
      <c r="J143" s="24">
        <f>I143/I12</f>
        <v>0</v>
      </c>
      <c r="K143" s="703"/>
      <c r="L143" s="24">
        <f>K143/K12</f>
        <v>0</v>
      </c>
      <c r="M143" s="26"/>
      <c r="N143" s="24">
        <f>M143/M12</f>
        <v>0</v>
      </c>
      <c r="O143" s="704"/>
      <c r="P143" s="24">
        <f>O143/O12</f>
        <v>0</v>
      </c>
      <c r="Q143" s="26"/>
      <c r="R143" s="24">
        <f>Q143/Q12</f>
        <v>0</v>
      </c>
      <c r="S143" s="26"/>
      <c r="T143" s="24">
        <f>S143/S12</f>
        <v>0</v>
      </c>
      <c r="U143" s="61"/>
      <c r="V143" s="24">
        <f>U143/U12</f>
        <v>0</v>
      </c>
      <c r="W143" s="61"/>
      <c r="X143" s="24">
        <f>W143/W12</f>
        <v>0</v>
      </c>
      <c r="Y143" s="61"/>
      <c r="Z143" s="24">
        <f>Y143/Y12</f>
        <v>0</v>
      </c>
      <c r="AA143" s="144">
        <f t="shared" si="88"/>
        <v>0</v>
      </c>
      <c r="AB143" s="24">
        <f>AA143/AA12</f>
        <v>0</v>
      </c>
      <c r="AC143" s="128">
        <f t="shared" si="56"/>
        <v>0</v>
      </c>
      <c r="AD143" s="24">
        <f>AC143/AC12</f>
        <v>0</v>
      </c>
      <c r="AE143" s="26">
        <v>0</v>
      </c>
      <c r="AF143" s="26">
        <v>0</v>
      </c>
      <c r="AG143" s="84">
        <f t="shared" si="54"/>
        <v>0</v>
      </c>
      <c r="AH143" s="84">
        <f t="shared" si="86"/>
        <v>0</v>
      </c>
    </row>
    <row r="144" spans="1:36" s="1" customFormat="1" ht="15" customHeight="1">
      <c r="A144" s="63">
        <v>6798</v>
      </c>
      <c r="B144" s="63" t="s">
        <v>205</v>
      </c>
      <c r="C144" s="79">
        <f>SUM(C136:C143)</f>
        <v>111509</v>
      </c>
      <c r="D144" s="87">
        <f t="shared" ref="D144" si="89">C144/C$12</f>
        <v>0.13618509357023564</v>
      </c>
      <c r="E144" s="79">
        <f>SUM(E136:E143)</f>
        <v>111509</v>
      </c>
      <c r="F144" s="87">
        <f t="shared" ref="F144" si="90">E144/E$12</f>
        <v>0.17504477807160293</v>
      </c>
      <c r="G144" s="29">
        <f>SUM(G136:G143)</f>
        <v>111509</v>
      </c>
      <c r="H144" s="87">
        <f t="shared" ref="H144" si="91">G144/G$12</f>
        <v>0.10552636991648461</v>
      </c>
      <c r="I144" s="79">
        <f>SUM(I136:I143)</f>
        <v>111509</v>
      </c>
      <c r="J144" s="87">
        <f t="shared" ref="J144" si="92">I144/I$12</f>
        <v>0.11950968875770103</v>
      </c>
      <c r="K144" s="79">
        <f>SUM(K136:K143)</f>
        <v>111509</v>
      </c>
      <c r="L144" s="87">
        <f t="shared" ref="L144" si="93">K144/K$12</f>
        <v>0.1306685373859176</v>
      </c>
      <c r="M144" s="29">
        <f>SUM(M136:M143)</f>
        <v>111509</v>
      </c>
      <c r="N144" s="87">
        <f t="shared" ref="N144" si="94">M144/M$12</f>
        <v>9.2150785073271735E-2</v>
      </c>
      <c r="O144" s="29">
        <f>SUM(O136:O143)</f>
        <v>111509</v>
      </c>
      <c r="P144" s="87">
        <f t="shared" ref="P144" si="95">O144/O$12</f>
        <v>0.14555244622053645</v>
      </c>
      <c r="Q144" s="79">
        <f>SUM(Q136:Q143)</f>
        <v>111509</v>
      </c>
      <c r="R144" s="87">
        <f t="shared" ref="R144:T144" si="96">Q144/Q$12</f>
        <v>0.11721661448203731</v>
      </c>
      <c r="S144" s="79">
        <f>SUM(S136:S143)</f>
        <v>111509</v>
      </c>
      <c r="T144" s="87">
        <f t="shared" si="96"/>
        <v>0.11635797688112701</v>
      </c>
      <c r="U144" s="79">
        <f>SUM(U136:U143)</f>
        <v>111509</v>
      </c>
      <c r="V144" s="87">
        <f>U144/U12</f>
        <v>0.1466931657620269</v>
      </c>
      <c r="W144" s="79">
        <f>SUM(W136:W143)</f>
        <v>111509</v>
      </c>
      <c r="X144" s="87">
        <f>W144/W12</f>
        <v>0.14417847270307396</v>
      </c>
      <c r="Y144" s="79">
        <f>SUM(Y136:Y143)</f>
        <v>111509</v>
      </c>
      <c r="Z144" s="87">
        <f t="shared" ref="Z144" si="97">Y144/Y$12</f>
        <v>9.54404964421387E-2</v>
      </c>
      <c r="AA144" s="152">
        <f>SUM(AA136:AA143)</f>
        <v>1338108</v>
      </c>
      <c r="AB144" s="153">
        <f t="shared" ref="AB144" si="98">AA144/AA$12</f>
        <v>0.12291226103795465</v>
      </c>
      <c r="AC144" s="137">
        <f t="shared" si="56"/>
        <v>111509</v>
      </c>
      <c r="AD144" s="138">
        <f t="shared" ref="AD144" si="99">AC144/AC$12</f>
        <v>0.12291226103795463</v>
      </c>
      <c r="AE144" s="26"/>
      <c r="AF144" s="26"/>
      <c r="AG144" s="84">
        <f t="shared" si="54"/>
        <v>1338108</v>
      </c>
      <c r="AH144" s="84">
        <f t="shared" si="86"/>
        <v>0</v>
      </c>
    </row>
    <row r="145" spans="1:36" s="1" customFormat="1">
      <c r="A145" s="200">
        <v>6799</v>
      </c>
      <c r="B145" s="63" t="s">
        <v>135</v>
      </c>
      <c r="C145" s="298">
        <f>C41+C76+C93+C115+C129+C144+C133</f>
        <v>356859.30714234902</v>
      </c>
      <c r="D145" s="202">
        <f>C145/C12</f>
        <v>0.43582955756566971</v>
      </c>
      <c r="E145" s="298">
        <f>E41+E76+E93+E115+E129+E144+E133</f>
        <v>359372.49640289578</v>
      </c>
      <c r="F145" s="202">
        <f>E145/E12</f>
        <v>0.56413633767572857</v>
      </c>
      <c r="G145" s="298">
        <f>G41+G76+G93+G115+G129+G144+G133</f>
        <v>372736.54562423896</v>
      </c>
      <c r="H145" s="202">
        <f>G145/G12</f>
        <v>0.35273865423361417</v>
      </c>
      <c r="I145" s="298">
        <f>I41+I76+I93+I115+I129+I144+I133</f>
        <v>378267.3301286205</v>
      </c>
      <c r="J145" s="202">
        <f>I145/I12</f>
        <v>0.40540773292629279</v>
      </c>
      <c r="K145" s="298">
        <f>K41+K76+K93+K115+K129+K144+K133</f>
        <v>377819.07001897291</v>
      </c>
      <c r="L145" s="202">
        <f>K145/K12</f>
        <v>0.44273614933222238</v>
      </c>
      <c r="M145" s="298">
        <f>M41+M76+M93+M115+M129+M144+M133</f>
        <v>375390.93335592397</v>
      </c>
      <c r="N145" s="202">
        <f>M145/M12</f>
        <v>0.31022221720342413</v>
      </c>
      <c r="O145" s="298">
        <f>O41+O76+O93+O115+O129+O144+O133</f>
        <v>347486.74758288858</v>
      </c>
      <c r="P145" s="202">
        <f>O145/O12</f>
        <v>0.45357366795422355</v>
      </c>
      <c r="Q145" s="298">
        <f>Q41+Q76+Q93+Q115+Q129+Q144+Q133</f>
        <v>387953.47542492457</v>
      </c>
      <c r="R145" s="202">
        <f>Q145/Q12</f>
        <v>0.40781096562474706</v>
      </c>
      <c r="S145" s="298">
        <f>S41+S76+S93+S115+S129+S144+S133</f>
        <v>371356.23526949901</v>
      </c>
      <c r="T145" s="202">
        <f>S145/S12</f>
        <v>0.38750468785614373</v>
      </c>
      <c r="U145" s="201">
        <f>U41+U76+U93+U115+U129+U144+U133</f>
        <v>359983.42970504379</v>
      </c>
      <c r="V145" s="202">
        <f>U145/U12</f>
        <v>0.47356813284403004</v>
      </c>
      <c r="W145" s="201">
        <f>W41+W76+W93+W115+W129+W144+W133</f>
        <v>360739.94813725026</v>
      </c>
      <c r="X145" s="202">
        <f>W145/W12</f>
        <v>0.46642813374180425</v>
      </c>
      <c r="Y145" s="201">
        <f>Y41+Y76+Y93+Y115+Y129+Y144+Y133</f>
        <v>381017.99833769479</v>
      </c>
      <c r="Z145" s="202">
        <f>Y145/Y12</f>
        <v>0.32611311118151509</v>
      </c>
      <c r="AA145" s="201">
        <f>AA41+AA76+AA93+AA115+AA129+AA144+AA133</f>
        <v>4428983.5171303023</v>
      </c>
      <c r="AB145" s="202">
        <f>AA145/AA12</f>
        <v>0.40682544173588242</v>
      </c>
      <c r="AC145" s="201">
        <f t="shared" si="56"/>
        <v>369081.9597608585</v>
      </c>
      <c r="AD145" s="202">
        <f>AC145/AC12</f>
        <v>0.40682544173588242</v>
      </c>
      <c r="AE145" s="26"/>
      <c r="AF145" s="26"/>
      <c r="AG145" s="84">
        <f t="shared" si="54"/>
        <v>4428983.5171303023</v>
      </c>
      <c r="AH145" s="84">
        <f t="shared" si="86"/>
        <v>0</v>
      </c>
      <c r="AJ145" s="686" t="e">
        <f>#REF!-#REF!</f>
        <v>#REF!</v>
      </c>
    </row>
    <row r="146" spans="1:36" s="1" customFormat="1" ht="15.75" thickBot="1">
      <c r="A146" s="11">
        <v>6999</v>
      </c>
      <c r="B146" s="11" t="s">
        <v>144</v>
      </c>
      <c r="C146" s="30">
        <f>C135-C144</f>
        <v>17184.458592505427</v>
      </c>
      <c r="D146" s="88">
        <f>C146/C12</f>
        <v>2.0987248575219861E-2</v>
      </c>
      <c r="E146" s="30">
        <f>E135-E144</f>
        <v>-11066.383218819479</v>
      </c>
      <c r="F146" s="88">
        <f>E146/E12</f>
        <v>-1.7371804917930989E-2</v>
      </c>
      <c r="G146" s="30">
        <f>G135-G144</f>
        <v>99455.325317098352</v>
      </c>
      <c r="H146" s="88">
        <f>G146/G12</f>
        <v>9.4119393498071344E-2</v>
      </c>
      <c r="I146" s="30">
        <f>I135-I144</f>
        <v>90442.333740174305</v>
      </c>
      <c r="J146" s="88">
        <f>I146/I12</f>
        <v>9.6931504684001774E-2</v>
      </c>
      <c r="K146" s="30">
        <f>K135-K144</f>
        <v>124240.93257857894</v>
      </c>
      <c r="L146" s="88">
        <f>K146/K12</f>
        <v>0.14558807758571338</v>
      </c>
      <c r="M146" s="30">
        <f>M135-M144</f>
        <v>182180.82733374083</v>
      </c>
      <c r="N146" s="88">
        <f>M146/M12</f>
        <v>0.15055382313627044</v>
      </c>
      <c r="O146" s="30">
        <f>O135-O144</f>
        <v>40090.881635324127</v>
      </c>
      <c r="P146" s="88">
        <f>O146/O12</f>
        <v>5.2330537384062341E-2</v>
      </c>
      <c r="Q146" s="30">
        <f>Q135-Q144</f>
        <v>67667.766016167181</v>
      </c>
      <c r="R146" s="88">
        <f>Q146/Q12</f>
        <v>7.1131356589851702E-2</v>
      </c>
      <c r="S146" s="30">
        <f>S135-S144</f>
        <v>152602.84375223756</v>
      </c>
      <c r="T146" s="88">
        <f>S146/S12</f>
        <v>0.15923878938307306</v>
      </c>
      <c r="U146" s="59">
        <f>U135-U144</f>
        <v>19866.202932441782</v>
      </c>
      <c r="V146" s="88">
        <f>U146/U12</f>
        <v>2.6134538017834857E-2</v>
      </c>
      <c r="W146" s="261">
        <f>W135-W144</f>
        <v>51878.700220967236</v>
      </c>
      <c r="X146" s="88">
        <f>W146/W12</f>
        <v>6.7077919842162353E-2</v>
      </c>
      <c r="Y146" s="59">
        <f>Y135-Y144</f>
        <v>165508.33974727528</v>
      </c>
      <c r="Z146" s="88">
        <f>Y146/Y12</f>
        <v>0.14165850389470006</v>
      </c>
      <c r="AA146" s="171">
        <f>AA135-AA144</f>
        <v>1000052.2286476912</v>
      </c>
      <c r="AB146" s="88">
        <f>AA146/AA12</f>
        <v>9.186005956106183E-2</v>
      </c>
      <c r="AC146" s="132">
        <f t="shared" si="56"/>
        <v>83337.685720640933</v>
      </c>
      <c r="AD146" s="88">
        <f>AC146/AC12</f>
        <v>9.186005956106183E-2</v>
      </c>
      <c r="AE146" s="26"/>
      <c r="AF146" s="26"/>
      <c r="AG146" s="84">
        <f t="shared" si="54"/>
        <v>1000052.2286476914</v>
      </c>
      <c r="AH146" s="84">
        <f t="shared" si="86"/>
        <v>0</v>
      </c>
    </row>
    <row r="147" spans="1:36" s="1" customFormat="1" ht="15.75" thickTop="1">
      <c r="C147" s="83"/>
      <c r="D147" s="19"/>
      <c r="E147" s="83"/>
      <c r="F147" s="19"/>
      <c r="G147" s="33"/>
      <c r="H147" s="19"/>
      <c r="I147" s="83"/>
      <c r="J147" s="19"/>
      <c r="K147" s="83"/>
      <c r="L147" s="19"/>
      <c r="M147" s="33"/>
      <c r="N147" s="19"/>
      <c r="O147" s="33"/>
      <c r="P147" s="19"/>
      <c r="Q147" s="33"/>
      <c r="R147" s="19"/>
      <c r="S147" s="33"/>
      <c r="T147" s="19"/>
      <c r="U147" s="83"/>
      <c r="V147" s="19"/>
      <c r="W147" s="83"/>
      <c r="X147" s="19"/>
      <c r="Y147" s="83"/>
      <c r="Z147" s="19"/>
      <c r="AA147" s="201"/>
      <c r="AB147" s="19"/>
      <c r="AC147" s="129">
        <f t="shared" si="56"/>
        <v>0</v>
      </c>
      <c r="AD147" s="19"/>
      <c r="AE147" s="26"/>
      <c r="AF147" s="26"/>
      <c r="AG147" s="84">
        <f t="shared" si="54"/>
        <v>0</v>
      </c>
      <c r="AH147" s="84">
        <f t="shared" si="86"/>
        <v>0</v>
      </c>
    </row>
    <row r="148" spans="1:36" s="1" customFormat="1" ht="15.75" thickBot="1">
      <c r="A148" s="224"/>
      <c r="B148" s="11" t="s">
        <v>233</v>
      </c>
      <c r="C148" s="237"/>
      <c r="D148" s="246">
        <f>C148/C12</f>
        <v>0</v>
      </c>
      <c r="E148" s="237"/>
      <c r="F148" s="246">
        <f>E148/E12</f>
        <v>0</v>
      </c>
      <c r="G148" s="237"/>
      <c r="H148" s="246">
        <f>G148/G12</f>
        <v>0</v>
      </c>
      <c r="I148" s="237"/>
      <c r="J148" s="246">
        <f>I148/I12</f>
        <v>0</v>
      </c>
      <c r="K148" s="237"/>
      <c r="L148" s="246">
        <f>K148/K12</f>
        <v>0</v>
      </c>
      <c r="M148" s="237"/>
      <c r="N148" s="246">
        <f>M148/M12</f>
        <v>0</v>
      </c>
      <c r="O148" s="237"/>
      <c r="P148" s="246">
        <f>O148/O12</f>
        <v>0</v>
      </c>
      <c r="Q148" s="237"/>
      <c r="R148" s="246">
        <f>Q148/Q12</f>
        <v>0</v>
      </c>
      <c r="S148" s="237"/>
      <c r="T148" s="246">
        <f>S148/S12</f>
        <v>0</v>
      </c>
      <c r="U148" s="237"/>
      <c r="V148" s="246">
        <f>U148/U12</f>
        <v>0</v>
      </c>
      <c r="W148" s="237"/>
      <c r="X148" s="246">
        <f>W148/W12</f>
        <v>0</v>
      </c>
      <c r="Y148" s="237"/>
      <c r="Z148" s="246">
        <f>Y148/Y12</f>
        <v>0</v>
      </c>
      <c r="AA148" s="369">
        <f>C148+E148+G148+I148+K148+M148+O148+Q148+S148+U148+W148+Y148</f>
        <v>0</v>
      </c>
      <c r="AB148" s="246">
        <f>AA148/AA12</f>
        <v>0</v>
      </c>
      <c r="AC148" s="360">
        <f t="shared" si="56"/>
        <v>0</v>
      </c>
      <c r="AD148" s="246">
        <f>AC148/AC12</f>
        <v>0</v>
      </c>
      <c r="AE148" s="26"/>
      <c r="AF148" s="26"/>
      <c r="AG148" s="84">
        <f t="shared" si="54"/>
        <v>0</v>
      </c>
      <c r="AH148" s="84">
        <f t="shared" ref="AH148:AH152" si="100">AA148-AG148</f>
        <v>0</v>
      </c>
    </row>
    <row r="149" spans="1:36" s="1" customFormat="1" ht="15.75" thickTop="1">
      <c r="B149" s="86"/>
      <c r="C149" s="83"/>
      <c r="D149" s="106"/>
      <c r="E149" s="83"/>
      <c r="F149" s="106"/>
      <c r="G149" s="33"/>
      <c r="H149" s="106"/>
      <c r="I149" s="83"/>
      <c r="J149" s="106"/>
      <c r="K149" s="33"/>
      <c r="L149" s="106"/>
      <c r="M149" s="33"/>
      <c r="N149" s="106"/>
      <c r="O149" s="33"/>
      <c r="P149" s="106"/>
      <c r="Q149" s="33"/>
      <c r="R149" s="106"/>
      <c r="S149" s="33"/>
      <c r="T149" s="106"/>
      <c r="U149" s="33"/>
      <c r="V149" s="106"/>
      <c r="W149" s="33"/>
      <c r="X149" s="106"/>
      <c r="Y149" s="33"/>
      <c r="Z149" s="106"/>
      <c r="AA149" s="142"/>
      <c r="AB149" s="106"/>
      <c r="AC149" s="126">
        <f t="shared" si="56"/>
        <v>0</v>
      </c>
      <c r="AD149" s="106"/>
      <c r="AE149" s="26"/>
      <c r="AF149" s="26"/>
      <c r="AG149" s="84">
        <f t="shared" ref="AG149:AG152" si="101">C149+E149+G149+I149+K149+M149+O149+Q149+S149+U149+W149+Y149</f>
        <v>0</v>
      </c>
      <c r="AH149" s="84">
        <f t="shared" si="100"/>
        <v>0</v>
      </c>
    </row>
    <row r="150" spans="1:36" s="1" customFormat="1" ht="15.75" customHeight="1" thickBot="1">
      <c r="A150" s="223"/>
      <c r="B150" s="404" t="s">
        <v>232</v>
      </c>
      <c r="C150" s="685">
        <f>C146*10%</f>
        <v>1718.4458592505428</v>
      </c>
      <c r="D150" s="406"/>
      <c r="E150" s="685">
        <f>E146*10%</f>
        <v>-1106.6383218819481</v>
      </c>
      <c r="F150" s="407"/>
      <c r="G150" s="685">
        <f>G146*10%</f>
        <v>9945.5325317098359</v>
      </c>
      <c r="H150" s="407"/>
      <c r="I150" s="685">
        <f>I146*10%</f>
        <v>9044.2333740174308</v>
      </c>
      <c r="J150" s="407"/>
      <c r="K150" s="685">
        <f>K146*10%</f>
        <v>12424.093257857894</v>
      </c>
      <c r="L150" s="407"/>
      <c r="M150" s="685">
        <f>M146*10%</f>
        <v>18218.082733374085</v>
      </c>
      <c r="N150" s="407"/>
      <c r="O150" s="685">
        <f>O146*10%</f>
        <v>4009.0881635324131</v>
      </c>
      <c r="P150" s="407"/>
      <c r="Q150" s="685">
        <f>Q146*10%</f>
        <v>6766.7766016167188</v>
      </c>
      <c r="R150" s="407"/>
      <c r="S150" s="685">
        <f>S146*10%</f>
        <v>15260.284375223757</v>
      </c>
      <c r="T150" s="407"/>
      <c r="U150" s="685">
        <f>U146*10%</f>
        <v>1986.6202932441784</v>
      </c>
      <c r="V150" s="407"/>
      <c r="W150" s="685">
        <f>W146*10%</f>
        <v>5187.8700220967239</v>
      </c>
      <c r="X150" s="407"/>
      <c r="Y150" s="685">
        <f>Y146*10%</f>
        <v>16550.833974727528</v>
      </c>
      <c r="Z150" s="407"/>
      <c r="AA150" s="405">
        <f>C150+E150+G150+I150+K150+M150+O150+Q150+S150+U150+W150+Y150</f>
        <v>100005.22286476917</v>
      </c>
      <c r="AB150" s="407"/>
      <c r="AC150" s="405">
        <f t="shared" ref="AC150" si="102">AA150/12</f>
        <v>8333.7685720640966</v>
      </c>
      <c r="AD150" s="407"/>
      <c r="AE150" s="649"/>
      <c r="AF150" s="363" t="s">
        <v>245</v>
      </c>
      <c r="AG150" s="363"/>
    </row>
    <row r="151" spans="1:36" s="1" customFormat="1" ht="15.75" thickTop="1">
      <c r="B151" s="86"/>
      <c r="C151" s="33"/>
      <c r="D151" s="106"/>
      <c r="E151" s="33"/>
      <c r="F151" s="106"/>
      <c r="G151" s="33"/>
      <c r="H151" s="106"/>
      <c r="I151" s="33"/>
      <c r="J151" s="106"/>
      <c r="K151" s="33"/>
      <c r="L151" s="106"/>
      <c r="M151" s="33"/>
      <c r="N151" s="106"/>
      <c r="O151" s="33"/>
      <c r="P151" s="106"/>
      <c r="Q151" s="33"/>
      <c r="R151" s="106"/>
      <c r="S151" s="33"/>
      <c r="T151" s="106"/>
      <c r="U151" s="33"/>
      <c r="V151" s="106"/>
      <c r="W151" s="33"/>
      <c r="X151" s="106"/>
      <c r="Y151" s="33"/>
      <c r="Z151" s="106"/>
      <c r="AA151" s="142"/>
      <c r="AB151" s="106"/>
      <c r="AC151" s="126">
        <f t="shared" ref="AC151:AC152" si="103">AA151/12</f>
        <v>0</v>
      </c>
      <c r="AD151" s="106"/>
      <c r="AE151" s="374"/>
      <c r="AF151" s="374"/>
      <c r="AG151" s="84">
        <f t="shared" si="101"/>
        <v>0</v>
      </c>
      <c r="AH151" s="84">
        <f t="shared" si="100"/>
        <v>0</v>
      </c>
    </row>
    <row r="152" spans="1:36" s="1" customFormat="1" ht="15.75" thickBot="1">
      <c r="A152" s="224"/>
      <c r="B152" s="232" t="s">
        <v>206</v>
      </c>
      <c r="C152" s="237">
        <f>C146-C148-C150</f>
        <v>15466.012733254884</v>
      </c>
      <c r="D152" s="246">
        <f>C152/C12</f>
        <v>1.8888523717697874E-2</v>
      </c>
      <c r="E152" s="237">
        <f>E146-E148-E150</f>
        <v>-9959.7448969375309</v>
      </c>
      <c r="F152" s="246">
        <f>E152/E12</f>
        <v>-1.5634624426137889E-2</v>
      </c>
      <c r="G152" s="237">
        <f>G146-G148-G150</f>
        <v>89509.792785388519</v>
      </c>
      <c r="H152" s="246">
        <f>G152/G12</f>
        <v>8.4707454148264208E-2</v>
      </c>
      <c r="I152" s="237">
        <f>I146-I148-I150</f>
        <v>81398.100366156868</v>
      </c>
      <c r="J152" s="246">
        <f>I152/I12</f>
        <v>8.7238354215601596E-2</v>
      </c>
      <c r="K152" s="237">
        <f>K146-K148-K150</f>
        <v>111816.83932072105</v>
      </c>
      <c r="L152" s="246">
        <f>K152/K12</f>
        <v>0.13102926982714203</v>
      </c>
      <c r="M152" s="237">
        <f>M146-M148-M150</f>
        <v>163962.74460036674</v>
      </c>
      <c r="N152" s="246">
        <f>M152/M12</f>
        <v>0.1354984408226434</v>
      </c>
      <c r="O152" s="237">
        <f>O146-O148-O150</f>
        <v>36081.793471791716</v>
      </c>
      <c r="P152" s="246">
        <f>O152/O12</f>
        <v>4.7097483645656107E-2</v>
      </c>
      <c r="Q152" s="237">
        <f>Q146-Q148-Q150</f>
        <v>60900.989414550466</v>
      </c>
      <c r="R152" s="246">
        <f>Q152/Q12</f>
        <v>6.4018220930866537E-2</v>
      </c>
      <c r="S152" s="237">
        <f>S146-S148-S150</f>
        <v>137342.55937701379</v>
      </c>
      <c r="T152" s="246">
        <f>S152/S12</f>
        <v>0.14331491044476574</v>
      </c>
      <c r="U152" s="237">
        <f>U146-U148-U150</f>
        <v>17879.582639197604</v>
      </c>
      <c r="V152" s="246">
        <f>U152/U12</f>
        <v>2.3521084216051372E-2</v>
      </c>
      <c r="W152" s="237">
        <f>W146-W148-W150</f>
        <v>46690.830198870513</v>
      </c>
      <c r="X152" s="246">
        <f>W152/W12</f>
        <v>6.037012785794612E-2</v>
      </c>
      <c r="Y152" s="237">
        <f>Y146-Y148-Y150</f>
        <v>148957.50577254777</v>
      </c>
      <c r="Z152" s="246">
        <f>Y152/Y12</f>
        <v>0.12749265350523006</v>
      </c>
      <c r="AA152" s="270">
        <f>AA146-AA148-AA150</f>
        <v>900047.00578292203</v>
      </c>
      <c r="AB152" s="246">
        <f>AA152/AA12</f>
        <v>8.2674053604955638E-2</v>
      </c>
      <c r="AC152" s="271">
        <f t="shared" si="103"/>
        <v>75003.917148576831</v>
      </c>
      <c r="AD152" s="246">
        <f>AC152/AC12</f>
        <v>8.2674053604955638E-2</v>
      </c>
      <c r="AE152" s="374"/>
      <c r="AF152" s="374"/>
      <c r="AG152" s="84">
        <f t="shared" si="101"/>
        <v>900047.00578292238</v>
      </c>
      <c r="AH152" s="84">
        <f t="shared" si="100"/>
        <v>0</v>
      </c>
    </row>
    <row r="153" spans="1:36" s="1" customFormat="1" ht="15.75" thickTop="1">
      <c r="C153" s="84"/>
      <c r="D153" s="20"/>
      <c r="E153" s="84"/>
      <c r="F153" s="20"/>
      <c r="G153" s="33"/>
      <c r="H153" s="20"/>
      <c r="I153" s="84"/>
      <c r="J153" s="20"/>
      <c r="K153" s="84"/>
      <c r="L153" s="20"/>
      <c r="M153" s="33"/>
      <c r="N153" s="20"/>
      <c r="O153" s="33"/>
      <c r="P153" s="93"/>
      <c r="Q153" s="33"/>
      <c r="R153" s="93"/>
      <c r="S153" s="33"/>
      <c r="T153" s="93"/>
      <c r="U153" s="84"/>
      <c r="V153" s="93"/>
      <c r="W153" s="84"/>
      <c r="X153" s="93"/>
      <c r="Y153" s="84"/>
      <c r="Z153" s="93"/>
      <c r="AA153" s="142"/>
      <c r="AB153" s="143"/>
      <c r="AC153" s="126"/>
      <c r="AD153" s="127"/>
      <c r="AE153" s="26"/>
      <c r="AF153" s="26"/>
    </row>
    <row r="154" spans="1:36" s="1" customFormat="1">
      <c r="C154" s="84">
        <f>C152</f>
        <v>15466.012733254884</v>
      </c>
      <c r="D154" s="20"/>
      <c r="E154" s="84">
        <f>E152+C154</f>
        <v>5506.2678363173527</v>
      </c>
      <c r="F154" s="20"/>
      <c r="G154" s="33">
        <f>G152+E154</f>
        <v>95016.060621705867</v>
      </c>
      <c r="H154" s="20"/>
      <c r="I154" s="84">
        <f>I152+G154</f>
        <v>176414.16098786274</v>
      </c>
      <c r="J154" s="20"/>
      <c r="K154" s="84">
        <f>K152+I154</f>
        <v>288231.00030858378</v>
      </c>
      <c r="L154" s="20"/>
      <c r="M154" s="33">
        <f>M152+K154</f>
        <v>452193.74490895052</v>
      </c>
      <c r="N154" s="20"/>
      <c r="O154" s="33">
        <f>O152+M154</f>
        <v>488275.53838074225</v>
      </c>
      <c r="P154" s="93"/>
      <c r="Q154" s="84">
        <f>Q152+O154</f>
        <v>549176.52779529267</v>
      </c>
      <c r="R154" s="93"/>
      <c r="S154" s="84">
        <f>S152+Q154</f>
        <v>686519.08717230649</v>
      </c>
      <c r="T154" s="93"/>
      <c r="U154" s="84">
        <f>U152+S154</f>
        <v>704398.66981150408</v>
      </c>
      <c r="V154" s="93"/>
      <c r="W154" s="84">
        <f>W152+U154</f>
        <v>751089.50001037458</v>
      </c>
      <c r="X154" s="93"/>
      <c r="Y154" s="84">
        <f>Y152+W154</f>
        <v>900047.00578292238</v>
      </c>
      <c r="Z154" s="93"/>
      <c r="AA154" s="679">
        <f>AA152-Y154</f>
        <v>0</v>
      </c>
      <c r="AB154" s="143"/>
      <c r="AC154" s="126"/>
      <c r="AD154" s="127"/>
      <c r="AE154" s="26"/>
      <c r="AF154" s="26"/>
    </row>
    <row r="155" spans="1:36" s="1" customFormat="1">
      <c r="C155" s="84"/>
      <c r="D155" s="20"/>
      <c r="E155" s="84"/>
      <c r="F155" s="20"/>
      <c r="G155" s="33"/>
      <c r="H155" s="20"/>
      <c r="I155" s="84"/>
      <c r="J155" s="20"/>
      <c r="K155" s="84"/>
      <c r="L155" s="20"/>
      <c r="M155" s="33"/>
      <c r="N155" s="20"/>
      <c r="O155" s="33"/>
      <c r="P155" s="93"/>
      <c r="Q155" s="33"/>
      <c r="R155" s="93"/>
      <c r="S155" s="33"/>
      <c r="T155" s="93"/>
      <c r="U155" s="84"/>
      <c r="V155" s="93"/>
      <c r="W155" s="84"/>
      <c r="X155" s="93"/>
      <c r="Y155" s="84"/>
      <c r="Z155" s="93"/>
      <c r="AA155" s="142"/>
      <c r="AB155" s="143"/>
      <c r="AC155" s="126"/>
      <c r="AD155" s="127"/>
      <c r="AE155" s="26"/>
      <c r="AF155" s="26"/>
    </row>
    <row r="156" spans="1:36">
      <c r="C156" s="269">
        <f>C152</f>
        <v>15466.012733254884</v>
      </c>
      <c r="E156" s="269">
        <f>E152</f>
        <v>-9959.7448969375309</v>
      </c>
      <c r="I156" s="269">
        <f>I36*0.985</f>
        <v>457379.22767782008</v>
      </c>
      <c r="K156" s="269"/>
      <c r="M156" s="32">
        <f>M36*0.985</f>
        <v>642711.82934471976</v>
      </c>
      <c r="O156" s="32">
        <f>O36*0.985</f>
        <v>372853.1361486112</v>
      </c>
      <c r="Q156" s="32">
        <f>Q152</f>
        <v>60900.989414550466</v>
      </c>
      <c r="S156" s="32">
        <f>S152</f>
        <v>137342.55937701379</v>
      </c>
    </row>
    <row r="157" spans="1:36">
      <c r="C157" s="269">
        <f>C150</f>
        <v>1718.4458592505428</v>
      </c>
      <c r="E157" s="269">
        <f>E150+E42</f>
        <v>37115.238809826609</v>
      </c>
      <c r="I157" s="269">
        <f>SUM(I145-I142+I150)*0.985</f>
        <v>333854.48505009833</v>
      </c>
      <c r="K157" s="269"/>
      <c r="M157" s="32">
        <f>SUM(M145-M142+M150)*0.985</f>
        <v>340057.47584795859</v>
      </c>
      <c r="O157" s="32">
        <f>SUM(O145-O142+O150)*0.985</f>
        <v>298575.99321022467</v>
      </c>
      <c r="Q157" s="32">
        <f>Q42</f>
        <v>57078.427231194961</v>
      </c>
      <c r="S157" s="32">
        <f>S87+S86+S85</f>
        <v>12394.965753424658</v>
      </c>
    </row>
    <row r="158" spans="1:36">
      <c r="C158" s="269">
        <f>C156+C157</f>
        <v>17184.458592505427</v>
      </c>
      <c r="E158" s="269">
        <f>E156+E157</f>
        <v>27155.493912889076</v>
      </c>
      <c r="I158" s="434">
        <f>SUM(I152+I142)*0.985</f>
        <v>127824.53386066451</v>
      </c>
      <c r="K158" s="269"/>
      <c r="M158" s="431">
        <f>SUM(M152+M142)*0.985</f>
        <v>209150.70843136124</v>
      </c>
      <c r="O158" s="431">
        <f>SUM(O152+O142)*0.985</f>
        <v>83187.971569714849</v>
      </c>
      <c r="Q158" s="32">
        <f>Q156+Q157</f>
        <v>117979.41664574543</v>
      </c>
      <c r="S158" s="32">
        <f>S157+S156</f>
        <v>149737.52513043844</v>
      </c>
    </row>
    <row r="159" spans="1:36">
      <c r="K159" s="269"/>
    </row>
    <row r="160" spans="1:36" hidden="1">
      <c r="B160" s="213" t="s">
        <v>144</v>
      </c>
      <c r="C160" s="32">
        <f>C152</f>
        <v>15466.012733254884</v>
      </c>
      <c r="D160" s="32"/>
      <c r="E160" s="32">
        <f>E152</f>
        <v>-9959.7448969375309</v>
      </c>
      <c r="F160" s="32"/>
      <c r="G160" s="32">
        <f>G152</f>
        <v>89509.792785388519</v>
      </c>
      <c r="H160" s="32"/>
      <c r="I160" s="32">
        <f>I152</f>
        <v>81398.100366156868</v>
      </c>
      <c r="J160" s="32"/>
      <c r="K160" s="32">
        <f>K152</f>
        <v>111816.83932072105</v>
      </c>
      <c r="L160" s="32"/>
      <c r="M160" s="32">
        <f>M152</f>
        <v>163962.74460036674</v>
      </c>
      <c r="N160" s="32"/>
      <c r="O160" s="32">
        <f>O152</f>
        <v>36081.793471791716</v>
      </c>
      <c r="P160" s="32"/>
      <c r="Q160" s="32">
        <f>Q152</f>
        <v>60900.989414550466</v>
      </c>
      <c r="R160" s="32"/>
      <c r="S160" s="32">
        <f>S152</f>
        <v>137342.55937701379</v>
      </c>
      <c r="T160" s="32"/>
      <c r="U160" s="32">
        <f>U152</f>
        <v>17879.582639197604</v>
      </c>
      <c r="V160" s="32"/>
      <c r="W160" s="32">
        <f>W152</f>
        <v>46690.830198870513</v>
      </c>
      <c r="X160" s="32"/>
      <c r="Y160" s="32">
        <f>Y152</f>
        <v>148957.50577254777</v>
      </c>
      <c r="Z160" s="32"/>
      <c r="AA160" s="32">
        <f>AA152</f>
        <v>900047.00578292203</v>
      </c>
      <c r="AB160" s="32"/>
      <c r="AC160" s="32">
        <f>AC152</f>
        <v>75003.917148576831</v>
      </c>
      <c r="AD160" s="32"/>
      <c r="AE160" s="213"/>
      <c r="AF160" s="213"/>
    </row>
    <row r="161" spans="2:32" hidden="1">
      <c r="C161" s="32"/>
      <c r="D161" s="226"/>
      <c r="E161" s="32"/>
      <c r="F161" s="218"/>
      <c r="H161" s="218"/>
      <c r="I161" s="32"/>
      <c r="J161" s="218"/>
      <c r="L161" s="218"/>
      <c r="N161" s="218"/>
      <c r="P161" s="218"/>
      <c r="R161" s="218"/>
      <c r="T161" s="218"/>
      <c r="U161" s="32"/>
      <c r="V161" s="218"/>
      <c r="W161" s="32"/>
      <c r="X161" s="218"/>
      <c r="Y161" s="32"/>
      <c r="Z161" s="218"/>
      <c r="AB161" s="218"/>
      <c r="AD161" s="218"/>
      <c r="AE161" s="213"/>
      <c r="AF161" s="213"/>
    </row>
    <row r="162" spans="2:32" hidden="1">
      <c r="B162" s="213" t="s">
        <v>237</v>
      </c>
      <c r="C162" s="32">
        <f>C150</f>
        <v>1718.4458592505428</v>
      </c>
      <c r="D162" s="226"/>
      <c r="E162" s="32">
        <f>E150</f>
        <v>-1106.6383218819481</v>
      </c>
      <c r="F162" s="218"/>
      <c r="G162" s="32">
        <f>G150</f>
        <v>9945.5325317098359</v>
      </c>
      <c r="H162" s="218"/>
      <c r="I162" s="32">
        <f>I150</f>
        <v>9044.2333740174308</v>
      </c>
      <c r="J162" s="218"/>
      <c r="K162" s="32">
        <f>K150</f>
        <v>12424.093257857894</v>
      </c>
      <c r="L162" s="218"/>
      <c r="M162" s="32">
        <f>M150</f>
        <v>18218.082733374085</v>
      </c>
      <c r="N162" s="218"/>
      <c r="O162" s="32">
        <f>O150</f>
        <v>4009.0881635324131</v>
      </c>
      <c r="P162" s="218"/>
      <c r="Q162" s="32">
        <f>Q150</f>
        <v>6766.7766016167188</v>
      </c>
      <c r="R162" s="218"/>
      <c r="S162" s="32">
        <f>S150</f>
        <v>15260.284375223757</v>
      </c>
      <c r="T162" s="218"/>
      <c r="U162" s="32">
        <f>U150</f>
        <v>1986.6202932441784</v>
      </c>
      <c r="V162" s="218"/>
      <c r="W162" s="32">
        <f>W150</f>
        <v>5187.8700220967239</v>
      </c>
      <c r="X162" s="218"/>
      <c r="Y162" s="32">
        <f>Y150</f>
        <v>16550.833974727528</v>
      </c>
      <c r="Z162" s="218"/>
      <c r="AA162" s="32">
        <f>AA150</f>
        <v>100005.22286476917</v>
      </c>
      <c r="AB162" s="218"/>
      <c r="AC162" s="32">
        <f>AC150</f>
        <v>8333.7685720640966</v>
      </c>
      <c r="AD162" s="218"/>
      <c r="AE162" s="213"/>
      <c r="AF162" s="213"/>
    </row>
    <row r="163" spans="2:32" hidden="1">
      <c r="C163" s="32"/>
      <c r="D163" s="226"/>
      <c r="E163" s="32"/>
      <c r="F163" s="218"/>
      <c r="H163" s="218"/>
      <c r="I163" s="32"/>
      <c r="J163" s="218"/>
      <c r="L163" s="218"/>
      <c r="N163" s="218"/>
      <c r="P163" s="218"/>
      <c r="R163" s="218"/>
      <c r="T163" s="218"/>
      <c r="U163" s="32"/>
      <c r="V163" s="218"/>
      <c r="W163" s="32"/>
      <c r="X163" s="218"/>
      <c r="Y163" s="32"/>
      <c r="Z163" s="218"/>
      <c r="AB163" s="218"/>
      <c r="AD163" s="218"/>
      <c r="AE163" s="213"/>
      <c r="AF163" s="213"/>
    </row>
    <row r="164" spans="2:32" hidden="1">
      <c r="B164" s="213" t="s">
        <v>241</v>
      </c>
      <c r="C164" s="32">
        <f>C142</f>
        <v>48373</v>
      </c>
      <c r="D164" s="32"/>
      <c r="E164" s="32">
        <f>E142</f>
        <v>48373</v>
      </c>
      <c r="F164" s="32"/>
      <c r="G164" s="32">
        <f>G142</f>
        <v>48373</v>
      </c>
      <c r="H164" s="32"/>
      <c r="I164" s="32">
        <f>I142</f>
        <v>48373</v>
      </c>
      <c r="J164" s="32"/>
      <c r="K164" s="32">
        <f>K142</f>
        <v>48373</v>
      </c>
      <c r="L164" s="32"/>
      <c r="M164" s="32">
        <f>M142</f>
        <v>48373</v>
      </c>
      <c r="N164" s="32"/>
      <c r="O164" s="32">
        <f>O142</f>
        <v>48373</v>
      </c>
      <c r="P164" s="32"/>
      <c r="Q164" s="32">
        <f>Q142</f>
        <v>48373</v>
      </c>
      <c r="R164" s="32"/>
      <c r="S164" s="32">
        <f>S142</f>
        <v>48373</v>
      </c>
      <c r="T164" s="32"/>
      <c r="U164" s="32">
        <f>U142</f>
        <v>48373</v>
      </c>
      <c r="V164" s="32"/>
      <c r="W164" s="32">
        <f>W142</f>
        <v>48373</v>
      </c>
      <c r="X164" s="32"/>
      <c r="Y164" s="32">
        <f>Y142</f>
        <v>48373</v>
      </c>
      <c r="Z164" s="32"/>
      <c r="AA164" s="32">
        <f>AA142</f>
        <v>580476</v>
      </c>
      <c r="AB164" s="32"/>
      <c r="AC164" s="32">
        <f>AC142</f>
        <v>48373</v>
      </c>
      <c r="AD164" s="32"/>
      <c r="AE164" s="213"/>
      <c r="AF164" s="213"/>
    </row>
    <row r="165" spans="2:32" hidden="1">
      <c r="C165" s="32"/>
      <c r="D165" s="226"/>
      <c r="E165" s="32"/>
      <c r="F165" s="218"/>
      <c r="H165" s="218"/>
      <c r="I165" s="32"/>
      <c r="J165" s="218"/>
      <c r="L165" s="218"/>
      <c r="N165" s="218"/>
      <c r="P165" s="218"/>
      <c r="R165" s="218"/>
      <c r="T165" s="218"/>
      <c r="U165" s="32"/>
      <c r="V165" s="218"/>
      <c r="W165" s="32"/>
      <c r="X165" s="218"/>
      <c r="Y165" s="32"/>
      <c r="Z165" s="218"/>
      <c r="AA165" s="32"/>
      <c r="AB165" s="218"/>
      <c r="AC165" s="32"/>
      <c r="AD165" s="218"/>
      <c r="AE165" s="213"/>
      <c r="AF165" s="213"/>
    </row>
    <row r="166" spans="2:32" hidden="1">
      <c r="B166" s="213" t="s">
        <v>238</v>
      </c>
      <c r="C166" s="32">
        <f>C144-C142</f>
        <v>63136</v>
      </c>
      <c r="D166" s="32"/>
      <c r="E166" s="32">
        <f>E144-E142</f>
        <v>63136</v>
      </c>
      <c r="F166" s="32"/>
      <c r="G166" s="32">
        <f>G144-G142</f>
        <v>63136</v>
      </c>
      <c r="H166" s="32"/>
      <c r="I166" s="32">
        <f>I144-I142</f>
        <v>63136</v>
      </c>
      <c r="J166" s="32"/>
      <c r="K166" s="32">
        <f>K144-K142</f>
        <v>63136</v>
      </c>
      <c r="L166" s="32"/>
      <c r="M166" s="32">
        <f>M144-M142</f>
        <v>63136</v>
      </c>
      <c r="N166" s="32"/>
      <c r="O166" s="32">
        <f>O144-O142</f>
        <v>63136</v>
      </c>
      <c r="P166" s="32"/>
      <c r="Q166" s="32">
        <f>Q144-Q142</f>
        <v>63136</v>
      </c>
      <c r="R166" s="32"/>
      <c r="S166" s="32">
        <f>S144-S142</f>
        <v>63136</v>
      </c>
      <c r="T166" s="32"/>
      <c r="U166" s="32">
        <f>U144-U142</f>
        <v>63136</v>
      </c>
      <c r="V166" s="32"/>
      <c r="W166" s="32">
        <f>W144-W142</f>
        <v>63136</v>
      </c>
      <c r="X166" s="32"/>
      <c r="Y166" s="32">
        <f>Y144-Y142</f>
        <v>63136</v>
      </c>
      <c r="Z166" s="32"/>
      <c r="AA166" s="32">
        <f>AA144-AA142</f>
        <v>757632</v>
      </c>
      <c r="AB166" s="32"/>
      <c r="AC166" s="32">
        <f>AC144-AC142</f>
        <v>63136</v>
      </c>
      <c r="AD166" s="32"/>
      <c r="AE166" s="213"/>
      <c r="AF166" s="213"/>
    </row>
    <row r="167" spans="2:32" hidden="1">
      <c r="C167" s="32"/>
      <c r="D167" s="226"/>
      <c r="E167" s="32"/>
      <c r="F167" s="218"/>
      <c r="H167" s="218"/>
      <c r="I167" s="32"/>
      <c r="J167" s="218"/>
      <c r="L167" s="218"/>
      <c r="N167" s="218"/>
      <c r="P167" s="218"/>
      <c r="R167" s="218"/>
      <c r="T167" s="218"/>
      <c r="U167" s="32"/>
      <c r="V167" s="218"/>
      <c r="W167" s="32"/>
      <c r="X167" s="218"/>
      <c r="Y167" s="32"/>
      <c r="Z167" s="218"/>
      <c r="AB167" s="218"/>
      <c r="AC167" s="32"/>
      <c r="AD167" s="218"/>
      <c r="AE167" s="213"/>
      <c r="AF167" s="213"/>
    </row>
    <row r="168" spans="2:32" hidden="1">
      <c r="C168" s="32"/>
      <c r="D168" s="226"/>
      <c r="E168" s="32"/>
      <c r="F168" s="218"/>
      <c r="H168" s="218"/>
      <c r="I168" s="32"/>
      <c r="J168" s="218"/>
      <c r="L168" s="218"/>
      <c r="N168" s="218"/>
      <c r="P168" s="218"/>
      <c r="R168" s="218"/>
      <c r="T168" s="218"/>
      <c r="U168" s="32"/>
      <c r="V168" s="218"/>
      <c r="W168" s="32"/>
      <c r="X168" s="218"/>
      <c r="Y168" s="32"/>
      <c r="Z168" s="218"/>
      <c r="AB168" s="218"/>
      <c r="AD168" s="218"/>
      <c r="AE168" s="213"/>
      <c r="AF168" s="213"/>
    </row>
    <row r="169" spans="2:32" hidden="1">
      <c r="B169" s="722" t="s">
        <v>239</v>
      </c>
      <c r="C169" s="723">
        <f>C162+C160+C164+C166</f>
        <v>128693.45859250543</v>
      </c>
      <c r="D169" s="724"/>
      <c r="E169" s="723">
        <f>E162+E160+E164+E166</f>
        <v>100442.61678118052</v>
      </c>
      <c r="F169" s="723"/>
      <c r="G169" s="723">
        <f>G162+G160+G164+G166</f>
        <v>210964.32531709835</v>
      </c>
      <c r="H169" s="723"/>
      <c r="I169" s="723">
        <f>I162+I160+I164+I166</f>
        <v>201951.3337401743</v>
      </c>
      <c r="J169" s="723"/>
      <c r="K169" s="723">
        <f>K162+K160+K164+K166</f>
        <v>235749.93257857894</v>
      </c>
      <c r="L169" s="723"/>
      <c r="M169" s="723">
        <f>M162+M160+M164+M166</f>
        <v>293689.82733374083</v>
      </c>
      <c r="N169" s="723"/>
      <c r="O169" s="723">
        <f>O162+O160+O164+O166</f>
        <v>151599.88163532413</v>
      </c>
      <c r="P169" s="723"/>
      <c r="Q169" s="723">
        <f>Q162+Q160+Q164+Q166</f>
        <v>179176.76601616718</v>
      </c>
      <c r="R169" s="723"/>
      <c r="S169" s="723">
        <f>S162+S160+S164+S166</f>
        <v>264111.84375223756</v>
      </c>
      <c r="T169" s="723"/>
      <c r="U169" s="723">
        <f>U162+U160+U164+U166</f>
        <v>131375.20293244178</v>
      </c>
      <c r="V169" s="723"/>
      <c r="W169" s="723">
        <f>W162+W160+W164+W166</f>
        <v>163387.70022096724</v>
      </c>
      <c r="X169" s="723"/>
      <c r="Y169" s="723">
        <f>Y162+Y160+Y164+Y166</f>
        <v>277017.33974727528</v>
      </c>
      <c r="Z169" s="723"/>
      <c r="AA169" s="723">
        <f>AA162+AA160+AA164+AA166</f>
        <v>2338160.2286476912</v>
      </c>
      <c r="AB169" s="218"/>
      <c r="AC169" s="32">
        <f>AA169/12</f>
        <v>194846.68572064093</v>
      </c>
      <c r="AD169" s="218"/>
      <c r="AE169" s="213"/>
      <c r="AF169" s="213"/>
    </row>
    <row r="170" spans="2:32" hidden="1">
      <c r="C170" s="32"/>
      <c r="D170" s="226"/>
      <c r="E170" s="32"/>
      <c r="F170" s="218"/>
      <c r="H170" s="218"/>
      <c r="I170" s="32"/>
      <c r="J170" s="218"/>
      <c r="L170" s="218"/>
      <c r="N170" s="218"/>
      <c r="P170" s="218"/>
      <c r="R170" s="218"/>
      <c r="T170" s="218"/>
      <c r="U170" s="32"/>
      <c r="V170" s="218"/>
      <c r="W170" s="32"/>
      <c r="X170" s="218"/>
      <c r="Y170" s="32"/>
      <c r="Z170" s="218"/>
      <c r="AB170" s="218"/>
      <c r="AD170" s="218"/>
      <c r="AE170" s="213"/>
      <c r="AF170" s="213"/>
    </row>
    <row r="171" spans="2:32" hidden="1">
      <c r="B171" s="722"/>
      <c r="C171" s="32"/>
      <c r="D171" s="226"/>
      <c r="E171" s="32"/>
      <c r="F171" s="218"/>
      <c r="H171" s="218"/>
      <c r="I171" s="32"/>
      <c r="J171" s="218"/>
      <c r="L171" s="218"/>
      <c r="N171" s="218"/>
      <c r="P171" s="218"/>
      <c r="R171" s="218"/>
      <c r="T171" s="218"/>
      <c r="U171" s="32"/>
      <c r="V171" s="218"/>
      <c r="W171" s="32"/>
      <c r="X171" s="218"/>
      <c r="Y171" s="32"/>
      <c r="Z171" s="218"/>
      <c r="AB171" s="218"/>
      <c r="AD171" s="218"/>
      <c r="AE171" s="213"/>
      <c r="AF171" s="213"/>
    </row>
    <row r="172" spans="2:32" hidden="1">
      <c r="B172" s="722" t="s">
        <v>240</v>
      </c>
      <c r="C172" s="32">
        <f>C169</f>
        <v>128693.45859250543</v>
      </c>
      <c r="D172" s="32"/>
      <c r="E172" s="32">
        <f>C172+E169</f>
        <v>229136.07537368595</v>
      </c>
      <c r="F172" s="32"/>
      <c r="G172" s="32">
        <f>E172+G169</f>
        <v>440100.40069078433</v>
      </c>
      <c r="H172" s="32"/>
      <c r="I172" s="32">
        <f>G172+I169</f>
        <v>642051.73443095863</v>
      </c>
      <c r="J172" s="32"/>
      <c r="K172" s="32">
        <f>I172+K169</f>
        <v>877801.66700953757</v>
      </c>
      <c r="L172" s="32"/>
      <c r="M172" s="32">
        <f>K172+M169</f>
        <v>1171491.4943432785</v>
      </c>
      <c r="N172" s="32"/>
      <c r="O172" s="32">
        <f>M172+O169</f>
        <v>1323091.3759786026</v>
      </c>
      <c r="P172" s="32"/>
      <c r="Q172" s="32">
        <f>O172+Q169</f>
        <v>1502268.1419947697</v>
      </c>
      <c r="R172" s="32"/>
      <c r="S172" s="32">
        <f>Q172+S169</f>
        <v>1766379.9857470072</v>
      </c>
      <c r="T172" s="32"/>
      <c r="U172" s="32">
        <f>S172+U169</f>
        <v>1897755.188679449</v>
      </c>
      <c r="V172" s="32"/>
      <c r="W172" s="32">
        <f>U172+W169</f>
        <v>2061142.8889004162</v>
      </c>
      <c r="X172" s="32"/>
      <c r="Y172" s="32">
        <f>W172+Y169</f>
        <v>2338160.2286476917</v>
      </c>
      <c r="Z172" s="32"/>
      <c r="AA172" s="32"/>
      <c r="AB172" s="32"/>
      <c r="AC172" s="32"/>
      <c r="AD172" s="32"/>
      <c r="AE172" s="213"/>
      <c r="AF172" s="213"/>
    </row>
    <row r="173" spans="2:32">
      <c r="O173" s="32">
        <f>O152</f>
        <v>36081.793471791716</v>
      </c>
    </row>
    <row r="174" spans="2:32">
      <c r="O174" s="32">
        <f>O65</f>
        <v>2500</v>
      </c>
    </row>
    <row r="175" spans="2:32">
      <c r="O175" s="32">
        <f>O173+O174</f>
        <v>38581.793471791716</v>
      </c>
    </row>
  </sheetData>
  <mergeCells count="1">
    <mergeCell ref="A1:AD1"/>
  </mergeCells>
  <conditionalFormatting sqref="W146">
    <cfRule type="cellIs" dxfId="4" priority="1" operator="lessThan">
      <formula>0</formula>
    </cfRule>
  </conditionalFormatting>
  <pageMargins left="0.7" right="0.7" top="0.75" bottom="0.75" header="0.3" footer="0.3"/>
  <pageSetup paperSize="8" scale="55" fitToWidth="2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26</vt:i4>
      </vt:variant>
    </vt:vector>
  </HeadingPairs>
  <TitlesOfParts>
    <vt:vector size="42" baseType="lpstr">
      <vt:lpstr>0401</vt:lpstr>
      <vt:lpstr>0402</vt:lpstr>
      <vt:lpstr>0403</vt:lpstr>
      <vt:lpstr>405</vt:lpstr>
      <vt:lpstr>0406</vt:lpstr>
      <vt:lpstr>0409</vt:lpstr>
      <vt:lpstr>410-sahara</vt:lpstr>
      <vt:lpstr>414-Al ghurair</vt:lpstr>
      <vt:lpstr>415</vt:lpstr>
      <vt:lpstr>Rak_417</vt:lpstr>
      <vt:lpstr>Al Foah_418</vt:lpstr>
      <vt:lpstr>Wafi _419</vt:lpstr>
      <vt:lpstr>D.C.</vt:lpstr>
      <vt:lpstr>Consoli</vt:lpstr>
      <vt:lpstr>Sheet2</vt:lpstr>
      <vt:lpstr>Sheet9</vt:lpstr>
      <vt:lpstr>'0401'!Print_Area</vt:lpstr>
      <vt:lpstr>'0402'!Print_Area</vt:lpstr>
      <vt:lpstr>'0403'!Print_Area</vt:lpstr>
      <vt:lpstr>'0406'!Print_Area</vt:lpstr>
      <vt:lpstr>'0409'!Print_Area</vt:lpstr>
      <vt:lpstr>'405'!Print_Area</vt:lpstr>
      <vt:lpstr>'410-sahara'!Print_Area</vt:lpstr>
      <vt:lpstr>'414-Al ghurair'!Print_Area</vt:lpstr>
      <vt:lpstr>'415'!Print_Area</vt:lpstr>
      <vt:lpstr>'Al Foah_418'!Print_Area</vt:lpstr>
      <vt:lpstr>D.C.!Print_Area</vt:lpstr>
      <vt:lpstr>Rak_417!Print_Area</vt:lpstr>
      <vt:lpstr>Sheet9!Print_Area</vt:lpstr>
      <vt:lpstr>'Wafi _419'!Print_Area</vt:lpstr>
      <vt:lpstr>'0401'!Print_Titles</vt:lpstr>
      <vt:lpstr>'0403'!Print_Titles</vt:lpstr>
      <vt:lpstr>'0406'!Print_Titles</vt:lpstr>
      <vt:lpstr>'0409'!Print_Titles</vt:lpstr>
      <vt:lpstr>'405'!Print_Titles</vt:lpstr>
      <vt:lpstr>'410-sahara'!Print_Titles</vt:lpstr>
      <vt:lpstr>'414-Al ghurair'!Print_Titles</vt:lpstr>
      <vt:lpstr>'415'!Print_Titles</vt:lpstr>
      <vt:lpstr>'Al Foah_418'!Print_Titles</vt:lpstr>
      <vt:lpstr>D.C.!Print_Titles</vt:lpstr>
      <vt:lpstr>Rak_417!Print_Titles</vt:lpstr>
      <vt:lpstr>'Wafi _419'!Print_Titles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Rajesh PC</cp:lastModifiedBy>
  <cp:lastPrinted>2016-01-25T09:24:40Z</cp:lastPrinted>
  <dcterms:created xsi:type="dcterms:W3CDTF">2010-03-10T02:36:12Z</dcterms:created>
  <dcterms:modified xsi:type="dcterms:W3CDTF">2016-12-29T13:43:32Z</dcterms:modified>
</cp:coreProperties>
</file>