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F2E740D8-404D-784B-9633-05650590DE97}" xr6:coauthVersionLast="43" xr6:coauthVersionMax="43" xr10:uidLastSave="{00000000-0000-0000-0000-000000000000}"/>
  <bookViews>
    <workbookView xWindow="5600" yWindow="2300" windowWidth="24060" windowHeight="16440" activeTab="1" xr2:uid="{00000000-000D-0000-FFFF-FFFF00000000}"/>
  </bookViews>
  <sheets>
    <sheet name="Sheet1" sheetId="1" r:id="rId1"/>
    <sheet name="Studies" sheetId="2" r:id="rId2"/>
    <sheet name="FromMGRsD" sheetId="3" r:id="rId3"/>
    <sheet name="UnitsConvertor" sheetId="4" r:id="rId4"/>
  </sheets>
  <definedNames>
    <definedName name="_0Raw" localSheetId="0">Sheet1!$AL$5:$AM$28</definedName>
    <definedName name="_0Raw_1" localSheetId="0">Sheet1!$AN$5:$AO$22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" i="1" l="1"/>
  <c r="AI8" i="1"/>
  <c r="AI7" i="1"/>
  <c r="AI6" i="1"/>
  <c r="AI5" i="1"/>
  <c r="AE9" i="1" l="1"/>
  <c r="AE8" i="1"/>
  <c r="AE7" i="1"/>
  <c r="AE6" i="1"/>
  <c r="AE5" i="1"/>
  <c r="AC9" i="1" l="1"/>
  <c r="AC8" i="1"/>
  <c r="AC7" i="1"/>
  <c r="AC5" i="1"/>
  <c r="AC6" i="1"/>
  <c r="AB9" i="1"/>
  <c r="AB8" i="1"/>
  <c r="AB7" i="1"/>
  <c r="AB6" i="1"/>
  <c r="AB5" i="1"/>
  <c r="AA9" i="1"/>
  <c r="AA8" i="1"/>
  <c r="AA7" i="1"/>
  <c r="AA6" i="1"/>
  <c r="AA5" i="1"/>
  <c r="Z10" i="1" l="1"/>
  <c r="Z9" i="1"/>
  <c r="Z8" i="1"/>
  <c r="Z7" i="1"/>
  <c r="Z6" i="1"/>
  <c r="Z5" i="1"/>
  <c r="Y10" i="1"/>
  <c r="Y9" i="1"/>
  <c r="Y8" i="1"/>
  <c r="Y7" i="1"/>
  <c r="Y6" i="1"/>
  <c r="Y5" i="1"/>
  <c r="W11" i="1" l="1"/>
  <c r="W10" i="1"/>
  <c r="W9" i="1"/>
  <c r="W8" i="1"/>
  <c r="W7" i="1"/>
  <c r="W6" i="1"/>
  <c r="W5" i="1"/>
  <c r="V9" i="1" l="1"/>
  <c r="V8" i="1"/>
  <c r="V7" i="1"/>
  <c r="V6" i="1"/>
  <c r="V5" i="1"/>
  <c r="U9" i="1"/>
  <c r="U8" i="1"/>
  <c r="U7" i="1"/>
  <c r="U6" i="1"/>
  <c r="U5" i="1"/>
  <c r="R11" i="1"/>
  <c r="R10" i="1"/>
  <c r="R9" i="1"/>
  <c r="R8" i="1"/>
  <c r="R7" i="1"/>
  <c r="R6" i="1"/>
  <c r="R5" i="1"/>
  <c r="M13" i="1" l="1"/>
  <c r="M12" i="1"/>
  <c r="M11" i="1"/>
  <c r="M10" i="1"/>
  <c r="M9" i="1"/>
  <c r="M8" i="1"/>
  <c r="M7" i="1"/>
  <c r="M6" i="1"/>
  <c r="M5" i="1"/>
  <c r="L13" i="1"/>
  <c r="L12" i="1"/>
  <c r="L11" i="1"/>
  <c r="L10" i="1"/>
  <c r="L9" i="1"/>
  <c r="L8" i="1"/>
  <c r="L7" i="1"/>
  <c r="L6" i="1"/>
  <c r="L5" i="1"/>
  <c r="E17" i="4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K10" i="1" l="1"/>
  <c r="K9" i="1"/>
  <c r="K8" i="1"/>
  <c r="K7" i="1"/>
  <c r="K6" i="1"/>
  <c r="K5" i="1"/>
  <c r="J10" i="1"/>
  <c r="J9" i="1"/>
  <c r="J8" i="1"/>
  <c r="J7" i="1"/>
  <c r="J6" i="1"/>
  <c r="J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Raw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  <connection id="2" xr16:uid="{00000000-0015-0000-FFFF-FFFF01000000}" name="0Raw1" type="6" refreshedVersion="4" background="1" saveData="1">
    <textPr codePage="437" firstRow="2" sourceFile="G:\My Drive\MyResearch\Papers\17.SRDB\SRDBPapers\Figures\0Raw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<sst xmlns="http://schemas.openxmlformats.org/spreadsheetml/2006/main" count="296" uniqueCount="244">
  <si>
    <t>StudyID</t>
  </si>
  <si>
    <t>First_name</t>
  </si>
  <si>
    <t>Last_name</t>
  </si>
  <si>
    <t>Title</t>
  </si>
  <si>
    <t>Journal</t>
  </si>
  <si>
    <t>Vol</t>
  </si>
  <si>
    <t>SiteID</t>
  </si>
  <si>
    <t>EMS</t>
  </si>
  <si>
    <t>HEM</t>
  </si>
  <si>
    <t>HardwoodForest</t>
  </si>
  <si>
    <t>Jerry</t>
  </si>
  <si>
    <t>Long-term pattern and magnitude of soil carbon feedback to the climate system in a warming world</t>
  </si>
  <si>
    <t>Science</t>
  </si>
  <si>
    <t>Issue</t>
  </si>
  <si>
    <t>Year</t>
  </si>
  <si>
    <t>Page</t>
  </si>
  <si>
    <t>101-105</t>
  </si>
  <si>
    <t>Melillo</t>
  </si>
  <si>
    <t>Soil respiration in a northeastern US temperate forest: a 22‐year synthesis</t>
  </si>
  <si>
    <t>Ecosphere</t>
  </si>
  <si>
    <t>1-28</t>
  </si>
  <si>
    <t>Giasson</t>
  </si>
  <si>
    <t>M. A.</t>
  </si>
  <si>
    <t>Comments</t>
  </si>
  <si>
    <t>Deciduous</t>
  </si>
  <si>
    <t>Hemlock</t>
  </si>
  <si>
    <t>Mixed</t>
  </si>
  <si>
    <t>Redpine</t>
  </si>
  <si>
    <t>Wetlands</t>
  </si>
  <si>
    <t>Figure 1</t>
  </si>
  <si>
    <t>Table 3</t>
  </si>
  <si>
    <t>Table 4</t>
  </si>
  <si>
    <t>StartYear</t>
  </si>
  <si>
    <t>StudyNumber</t>
  </si>
  <si>
    <t>obs_yr</t>
  </si>
  <si>
    <t>UC</t>
  </si>
  <si>
    <t>CC</t>
  </si>
  <si>
    <t>Table 1</t>
  </si>
  <si>
    <t>Source components and interannual variability of soil CO2 efflux under experimental warming and clipping in a grassland ecosystem</t>
  </si>
  <si>
    <t>Global Change Biology </t>
  </si>
  <si>
    <t>761-775</t>
  </si>
  <si>
    <t>Xuhui</t>
  </si>
  <si>
    <t>Zhou</t>
  </si>
  <si>
    <t>Spruce</t>
  </si>
  <si>
    <t>Felled</t>
  </si>
  <si>
    <t>Table 2</t>
  </si>
  <si>
    <t>Table 1 and 3</t>
  </si>
  <si>
    <t>Table 2 and 4</t>
  </si>
  <si>
    <t>Kulhavy</t>
  </si>
  <si>
    <t>Jiri</t>
  </si>
  <si>
    <t>CO2 respiration from soil under a spruce stand and in a deforested clear-felled area</t>
  </si>
  <si>
    <t>Ekologia</t>
  </si>
  <si>
    <t>Supplement 1</t>
  </si>
  <si>
    <t>21-44</t>
  </si>
  <si>
    <t>HowlandForest</t>
  </si>
  <si>
    <t>Unit</t>
    <phoneticPr fontId="0" type="noConversion"/>
  </si>
  <si>
    <t>Conversion_factor</t>
    <phoneticPr fontId="0" type="noConversion"/>
  </si>
  <si>
    <t>Sample_flux</t>
    <phoneticPr fontId="0" type="noConversion"/>
  </si>
  <si>
    <t>Flux_umol CO2/m2/s</t>
  </si>
  <si>
    <t>g C/m2/day</t>
    <phoneticPr fontId="0" type="noConversion"/>
  </si>
  <si>
    <t>g C/m2/hr</t>
    <phoneticPr fontId="0" type="noConversion"/>
  </si>
  <si>
    <t>g C/m2/yr</t>
    <phoneticPr fontId="0" type="noConversion"/>
  </si>
  <si>
    <t>g CO2/m2/day</t>
    <phoneticPr fontId="0" type="noConversion"/>
  </si>
  <si>
    <t>g CO2/m2/hr</t>
    <phoneticPr fontId="0" type="noConversion"/>
  </si>
  <si>
    <t>mg C/m2/day</t>
    <phoneticPr fontId="0" type="noConversion"/>
  </si>
  <si>
    <t>mg C/m2/hr</t>
    <phoneticPr fontId="0" type="noConversion"/>
  </si>
  <si>
    <t>mg CO2/m2/day</t>
    <phoneticPr fontId="0" type="noConversion"/>
  </si>
  <si>
    <t>mg CO2/m2/hr</t>
    <phoneticPr fontId="0" type="noConversion"/>
  </si>
  <si>
    <t>mg CO2/m2/s</t>
    <phoneticPr fontId="0" type="noConversion"/>
  </si>
  <si>
    <t>mmol CO2/m2/day</t>
    <phoneticPr fontId="0" type="noConversion"/>
  </si>
  <si>
    <t>mmol CO2/m2/hr</t>
    <phoneticPr fontId="0" type="noConversion"/>
  </si>
  <si>
    <t>mmol CO2/m2/s</t>
    <phoneticPr fontId="0" type="noConversion"/>
  </si>
  <si>
    <t>mol C/m2/yr</t>
    <phoneticPr fontId="0" type="noConversion"/>
  </si>
  <si>
    <t>umol CO2/m2/s</t>
    <phoneticPr fontId="0" type="noConversion"/>
  </si>
  <si>
    <t>A distinct seasonal pattern of the ratio of soil respiration to total ecosystem respiration in a spruce-dominated forest</t>
  </si>
  <si>
    <t>Davidson</t>
  </si>
  <si>
    <t>E. A.</t>
  </si>
  <si>
    <t>230-239</t>
  </si>
  <si>
    <t>HardwoodForest-Pit1</t>
  </si>
  <si>
    <t>HardwoodForest-Pit2</t>
  </si>
  <si>
    <t>Vertical partitioning of CO 2 production within a temperate forest soil</t>
  </si>
  <si>
    <t>944-956</t>
  </si>
  <si>
    <t>DukeForestFACE</t>
  </si>
  <si>
    <t>Bernhardt</t>
  </si>
  <si>
    <t>E. S.</t>
  </si>
  <si>
    <t>Long-term effects of free air CO2 enrichment (FACE) on soil respiration</t>
  </si>
  <si>
    <t>91-116</t>
  </si>
  <si>
    <t>MoorHouseNationalNatureReserve</t>
  </si>
  <si>
    <t>Figure 11</t>
  </si>
  <si>
    <t>Fluxes of dissolved carbon dioxide and inorganic carbon from an upland peat catchment: implications for soil respiration</t>
  </si>
  <si>
    <t>WORRALL</t>
  </si>
  <si>
    <t>Fred</t>
  </si>
  <si>
    <t>Biogeochemistry</t>
  </si>
  <si>
    <t xml:space="preserve"> 515-539</t>
  </si>
  <si>
    <t>DF49</t>
  </si>
  <si>
    <t>Rachhpal</t>
  </si>
  <si>
    <t>Jassal</t>
  </si>
  <si>
    <t>Biophysical controls of soil CO2 efflux in two coastal Douglas-fir stands at different temporal scales</t>
  </si>
  <si>
    <t xml:space="preserve">Agricultural and forest meteorology </t>
  </si>
  <si>
    <t>134-143</t>
  </si>
  <si>
    <t>YatirForest</t>
  </si>
  <si>
    <t>Water limitation to soil CO 2 efflux in a pine forest at the semiarid‘timberline’</t>
  </si>
  <si>
    <t>Grunzweig</t>
  </si>
  <si>
    <t>Jose</t>
  </si>
  <si>
    <t>JOURNAL OF GEOPHYSICAL RESEARCH</t>
  </si>
  <si>
    <t>G03008</t>
  </si>
  <si>
    <t>OldAlluvialSoil</t>
  </si>
  <si>
    <t>ResidualSoil</t>
  </si>
  <si>
    <t>Schwendenmann</t>
  </si>
  <si>
    <t xml:space="preserve"> Luitgard</t>
  </si>
  <si>
    <t>Global Change Biology</t>
  </si>
  <si>
    <t>Longterm CO2 production from deeply weathered soils of a tropical rain forest: Evidence for a potential positive feedback to climate warming</t>
  </si>
  <si>
    <t>1878-1893</t>
  </si>
  <si>
    <t>MGRsDID</t>
  </si>
  <si>
    <t>Wang</t>
  </si>
  <si>
    <t>Yidong</t>
  </si>
  <si>
    <t>Precipitation frequency controls interannual variation of soil respiration by affecting soil moisture in a subtropical forest plantation</t>
  </si>
  <si>
    <t xml:space="preserve">Canadian journal of forest research </t>
  </si>
  <si>
    <t>1897-1906</t>
  </si>
  <si>
    <t xml:space="preserve"> QianyanzhouEcologicalStation</t>
  </si>
  <si>
    <t>Table 7</t>
  </si>
  <si>
    <t>WindRiverExperimentalForest</t>
  </si>
  <si>
    <t>Falk</t>
  </si>
  <si>
    <t>Matthias</t>
  </si>
  <si>
    <t xml:space="preserve">Agricultural and Forest Meteorology </t>
  </si>
  <si>
    <t>269-283</t>
  </si>
  <si>
    <t>BlacklandResearchCenter</t>
  </si>
  <si>
    <t>Figure 3</t>
  </si>
  <si>
    <t>Soil CO2 flux in a tallgrass prairie</t>
  </si>
  <si>
    <t xml:space="preserve">Soil Biology and Biochemistry </t>
  </si>
  <si>
    <t>32</t>
  </si>
  <si>
    <t>2</t>
  </si>
  <si>
    <t>2927</t>
  </si>
  <si>
    <t>2000</t>
  </si>
  <si>
    <t>221-228</t>
  </si>
  <si>
    <t>P. C.</t>
  </si>
  <si>
    <t>Mielnick</t>
  </si>
  <si>
    <t>Is soil respiration a major contributor to the carbon budget within a Paciﬁc Northwest old-growth forest?</t>
  </si>
  <si>
    <t>LaoshanStation</t>
  </si>
  <si>
    <t>Zu</t>
  </si>
  <si>
    <t>YuanGang</t>
  </si>
  <si>
    <t>Soil CO 2 efflux, carbon dynamics, and change in thermal conditions from contrasting clear-cut sites during natural restoration and uncut larch forests in northeastern China</t>
  </si>
  <si>
    <t xml:space="preserve">Climatic change </t>
  </si>
  <si>
    <t>96</t>
  </si>
  <si>
    <t>1</t>
  </si>
  <si>
    <t>2009</t>
  </si>
  <si>
    <t>137-159</t>
  </si>
  <si>
    <t>Vordemwald</t>
  </si>
  <si>
    <t>Schanis</t>
  </si>
  <si>
    <t>Beatenberg</t>
  </si>
  <si>
    <t>Pannatier</t>
  </si>
  <si>
    <t xml:space="preserve"> Elisabeth Graf</t>
  </si>
  <si>
    <t>Response of carbon fluxes to the 2003 heat wave and drought in three mature forests in Switzerland</t>
  </si>
  <si>
    <t>107</t>
  </si>
  <si>
    <t>2012</t>
  </si>
  <si>
    <t>295-317</t>
  </si>
  <si>
    <t>BIO</t>
  </si>
  <si>
    <t>Herbst</t>
  </si>
  <si>
    <t>M.</t>
  </si>
  <si>
    <t>Multiyear heterotrophic soil respiration: Evaluation of a coupled CO2 transport and carbon turnover model</t>
  </si>
  <si>
    <t>Ecological Modelling</t>
  </si>
  <si>
    <t>214</t>
  </si>
  <si>
    <t>271-283</t>
  </si>
  <si>
    <t>2008</t>
  </si>
  <si>
    <t>Figure 2</t>
  </si>
  <si>
    <t>ClocaenongWales</t>
  </si>
  <si>
    <t>Sowerby</t>
  </si>
  <si>
    <t>Alwyn</t>
  </si>
  <si>
    <t>Contrasting effects of repeated summer drought on soil carbon efflux in hydric and mesic heathland soils</t>
  </si>
  <si>
    <t>14</t>
  </si>
  <si>
    <t>10</t>
  </si>
  <si>
    <t>2388-2404</t>
  </si>
  <si>
    <t>SMEAR-II</t>
  </si>
  <si>
    <t>Kolari</t>
  </si>
  <si>
    <t>CO2 exchange and component CO2 fluxes of a boreal Scots pine forest</t>
  </si>
  <si>
    <t xml:space="preserve">BOREAL ENVIRONMENT RESEARCH </t>
  </si>
  <si>
    <t>761-783</t>
  </si>
  <si>
    <t>HFEMS-Upland</t>
  </si>
  <si>
    <t>HFEMS-Wetland</t>
  </si>
  <si>
    <t>Phillips</t>
  </si>
  <si>
    <t>Stephen C.</t>
  </si>
  <si>
    <t>Pasi</t>
  </si>
  <si>
    <t>Interannual, seasonal, and diel variation in soil respiration relative to ecosystem respiration at a wetland to upland slope at Harvard Forest</t>
  </si>
  <si>
    <t>Journal of Geophysical Research: Biogeosciences</t>
  </si>
  <si>
    <t>2010</t>
  </si>
  <si>
    <t>115</t>
  </si>
  <si>
    <t>G2</t>
  </si>
  <si>
    <t>Table 8</t>
  </si>
  <si>
    <t>Neuglobsow</t>
  </si>
  <si>
    <t>Schulte-Bisping</t>
  </si>
  <si>
    <t>H. F</t>
  </si>
  <si>
    <r>
      <t>C-fluxes and C-turnover of a mature mixed beech and pine stand under increasing temperature at ICP Integrated Monitoring site in Neuglobsow (Brandenburg)</t>
    </r>
    <r>
      <rPr>
        <i/>
        <sz val="10"/>
        <color rgb="FF222222"/>
        <rFont val="Arial"/>
        <family val="2"/>
      </rPr>
      <t/>
    </r>
  </si>
  <si>
    <t>European journal of forest research</t>
  </si>
  <si>
    <t>131</t>
  </si>
  <si>
    <t>5</t>
  </si>
  <si>
    <t>1601-1609</t>
  </si>
  <si>
    <t>FACTS-I</t>
  </si>
  <si>
    <t>ORNL</t>
  </si>
  <si>
    <t>King</t>
  </si>
  <si>
    <t>John S</t>
  </si>
  <si>
    <r>
      <t>A multiyear synthesis of soil respiration responses to elevated atmospheric CO2 from four forest FACE experiments</t>
    </r>
    <r>
      <rPr>
        <i/>
        <sz val="10"/>
        <color rgb="FF222222"/>
        <rFont val="Arial"/>
        <family val="2"/>
      </rPr>
      <t/>
    </r>
  </si>
  <si>
    <t>6</t>
  </si>
  <si>
    <t>2004</t>
  </si>
  <si>
    <t>1027-1042</t>
  </si>
  <si>
    <t>PP1</t>
  </si>
  <si>
    <t>PP5</t>
  </si>
  <si>
    <t>PP6</t>
  </si>
  <si>
    <t>PP8</t>
  </si>
  <si>
    <t>PP</t>
  </si>
  <si>
    <t>HW</t>
  </si>
  <si>
    <t>Oishi</t>
  </si>
  <si>
    <t>Christopher</t>
  </si>
  <si>
    <t>171</t>
  </si>
  <si>
    <t>2013</t>
  </si>
  <si>
    <t>Spatial and temporal variability of soil CO2 efflux in three proximate temperate forest ecosystems."</t>
  </si>
  <si>
    <t>Agricultural and Forest Meteorology</t>
  </si>
  <si>
    <t>256-269</t>
  </si>
  <si>
    <t>Forest</t>
  </si>
  <si>
    <t>Grassland</t>
  </si>
  <si>
    <t>Five‐Year Soil Respiration Reflected Soil Quality Evolution in Different Forest and Grassland Vegetation Types in the Eastern Loess Plateau of China.</t>
  </si>
  <si>
    <t>Clean–Soil, Air, Water </t>
  </si>
  <si>
    <t>41</t>
  </si>
  <si>
    <t>7</t>
  </si>
  <si>
    <t>680-689</t>
  </si>
  <si>
    <t>Yan</t>
  </si>
  <si>
    <t>Junxia</t>
  </si>
  <si>
    <t>ChangwuStation</t>
  </si>
  <si>
    <t>Zhang</t>
  </si>
  <si>
    <t>Y</t>
  </si>
  <si>
    <t>Soil moisture influence on the interannual variation in temperature sensitivity of soil organic carbon mineralization in the Loess Plateau</t>
  </si>
  <si>
    <t>Biogeosciences</t>
  </si>
  <si>
    <t>12</t>
  </si>
  <si>
    <t>11</t>
  </si>
  <si>
    <t>2015</t>
  </si>
  <si>
    <t>3655-3664</t>
  </si>
  <si>
    <t xml:space="preserve">Paul </t>
  </si>
  <si>
    <t>Hanson</t>
  </si>
  <si>
    <t>163-189</t>
  </si>
  <si>
    <t>2003</t>
  </si>
  <si>
    <t>Soil respiration and litter decomposition, from North American temperate deciduous forest responses to changing precipitation regimes. Springer, New York, NY</t>
  </si>
  <si>
    <t>Table 10.4</t>
  </si>
  <si>
    <t>WBW--Ambient</t>
  </si>
  <si>
    <t>WBW-Dry</t>
  </si>
  <si>
    <t>WBW-Wet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</si>
</sst>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u/>
      <sz val="10"/>
      <name val="Verdana"/>
      <family val="2"/>
    </font>
    <font>
      <i/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/>
    <xf numFmtId="49" fontId="0" fillId="0" borderId="0" xfId="0" applyNumberFormat="1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1" fontId="0" fillId="0" borderId="0" xfId="0" applyNumberFormat="1" applyAlignment="1">
      <alignment horizontal="left"/>
    </xf>
    <xf numFmtId="2" fontId="1" fillId="2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Raw" connectionId="1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Raw_1" connectionId="2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6"/>
  <sheetViews>
    <sheetView topLeftCell="AI1" workbookViewId="0">
      <selection activeCell="AU1" sqref="AU1:AW1"/>
    </sheetView>
  </sheetViews>
  <sheetFormatPr baseColWidth="10" defaultColWidth="9.1640625" defaultRowHeight="15" x14ac:dyDescent="0.2"/>
  <cols>
    <col min="1" max="1" width="10.5" style="1" customWidth="1"/>
    <col min="2" max="2" width="14" style="1" customWidth="1"/>
    <col min="3" max="30" width="9.1640625" style="1"/>
    <col min="31" max="31" width="6" style="1" customWidth="1"/>
    <col min="32" max="32" width="8.5" style="1" customWidth="1"/>
    <col min="33" max="34" width="9.1640625" style="1"/>
    <col min="35" max="35" width="6" style="1" customWidth="1"/>
    <col min="36" max="36" width="8.5" style="1" customWidth="1"/>
    <col min="37" max="37" width="9.1640625" style="1"/>
    <col min="38" max="38" width="7" style="1" customWidth="1"/>
    <col min="39" max="39" width="9" style="1" customWidth="1"/>
    <col min="40" max="40" width="6" style="1" customWidth="1"/>
    <col min="41" max="41" width="12.1640625" style="21" customWidth="1"/>
    <col min="42" max="16384" width="9.1640625" style="1"/>
  </cols>
  <sheetData>
    <row r="1" spans="1:49" s="22" customFormat="1" x14ac:dyDescent="0.2">
      <c r="A1" s="22" t="s">
        <v>0</v>
      </c>
      <c r="B1" s="22">
        <v>1</v>
      </c>
      <c r="C1" s="22">
        <v>2</v>
      </c>
      <c r="D1" s="22">
        <v>2</v>
      </c>
      <c r="E1" s="22">
        <v>2</v>
      </c>
      <c r="F1" s="22">
        <v>2</v>
      </c>
      <c r="G1" s="22">
        <v>2</v>
      </c>
      <c r="H1" s="22">
        <v>2</v>
      </c>
      <c r="I1" s="22">
        <v>2</v>
      </c>
      <c r="J1" s="22">
        <v>3</v>
      </c>
      <c r="K1" s="22">
        <v>3</v>
      </c>
      <c r="L1" s="22">
        <v>4</v>
      </c>
      <c r="M1" s="22">
        <v>4</v>
      </c>
      <c r="N1" s="22">
        <v>5</v>
      </c>
      <c r="O1" s="22">
        <v>6</v>
      </c>
      <c r="P1" s="22">
        <v>6</v>
      </c>
      <c r="Q1" s="22">
        <v>7</v>
      </c>
      <c r="R1" s="22">
        <v>8</v>
      </c>
      <c r="S1" s="22">
        <v>9</v>
      </c>
      <c r="T1" s="22">
        <v>10</v>
      </c>
      <c r="U1" s="22">
        <v>11</v>
      </c>
      <c r="V1" s="22">
        <v>11</v>
      </c>
      <c r="W1" s="22">
        <v>12</v>
      </c>
      <c r="X1" s="22">
        <v>13</v>
      </c>
      <c r="Y1" s="22">
        <v>14</v>
      </c>
      <c r="Z1" s="22">
        <v>15</v>
      </c>
      <c r="AA1" s="22">
        <v>16</v>
      </c>
      <c r="AB1" s="22">
        <v>16</v>
      </c>
      <c r="AC1" s="22">
        <v>16</v>
      </c>
      <c r="AD1" s="22">
        <v>17</v>
      </c>
      <c r="AE1" s="22">
        <v>18</v>
      </c>
      <c r="AF1" s="22">
        <v>19</v>
      </c>
      <c r="AG1" s="22">
        <v>20</v>
      </c>
      <c r="AH1" s="22">
        <v>20</v>
      </c>
      <c r="AI1" s="22">
        <v>21</v>
      </c>
      <c r="AJ1" s="22">
        <v>22</v>
      </c>
      <c r="AK1" s="22">
        <v>22</v>
      </c>
      <c r="AL1" s="22">
        <v>23</v>
      </c>
      <c r="AM1" s="22">
        <v>23</v>
      </c>
      <c r="AN1" s="22">
        <v>23</v>
      </c>
      <c r="AO1" s="22">
        <v>23</v>
      </c>
      <c r="AP1" s="22">
        <v>23</v>
      </c>
      <c r="AQ1" s="22">
        <v>23</v>
      </c>
      <c r="AR1" s="22">
        <v>24</v>
      </c>
      <c r="AS1" s="22">
        <v>24</v>
      </c>
      <c r="AT1" s="22">
        <v>25</v>
      </c>
      <c r="AU1" s="22">
        <v>26</v>
      </c>
      <c r="AV1" s="22">
        <v>26</v>
      </c>
      <c r="AW1" s="22">
        <v>26</v>
      </c>
    </row>
    <row r="2" spans="1:49" s="3" customFormat="1" x14ac:dyDescent="0.2">
      <c r="A2" s="3" t="s">
        <v>6</v>
      </c>
      <c r="B2" s="3" t="s">
        <v>9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7</v>
      </c>
      <c r="I2" s="3" t="s">
        <v>8</v>
      </c>
      <c r="J2" s="3" t="s">
        <v>35</v>
      </c>
      <c r="K2" s="3" t="s">
        <v>36</v>
      </c>
      <c r="L2" s="3" t="s">
        <v>43</v>
      </c>
      <c r="M2" s="3" t="s">
        <v>44</v>
      </c>
      <c r="N2" s="3" t="s">
        <v>54</v>
      </c>
      <c r="O2" s="3" t="s">
        <v>78</v>
      </c>
      <c r="P2" s="3" t="s">
        <v>79</v>
      </c>
      <c r="Q2" s="3" t="s">
        <v>82</v>
      </c>
      <c r="R2" s="3" t="s">
        <v>87</v>
      </c>
      <c r="S2" s="3" t="s">
        <v>94</v>
      </c>
      <c r="T2" s="3" t="s">
        <v>100</v>
      </c>
      <c r="U2" s="3" t="s">
        <v>106</v>
      </c>
      <c r="V2" s="3" t="s">
        <v>107</v>
      </c>
      <c r="W2" s="3" t="s">
        <v>119</v>
      </c>
      <c r="X2" s="3" t="s">
        <v>121</v>
      </c>
      <c r="Y2" s="3" t="s">
        <v>126</v>
      </c>
      <c r="Z2" s="3" t="s">
        <v>138</v>
      </c>
      <c r="AA2" s="3" t="s">
        <v>147</v>
      </c>
      <c r="AB2" s="3" t="s">
        <v>148</v>
      </c>
      <c r="AC2" s="3" t="s">
        <v>149</v>
      </c>
      <c r="AD2" s="3" t="s">
        <v>156</v>
      </c>
      <c r="AE2" s="3" t="s">
        <v>165</v>
      </c>
      <c r="AF2" s="3" t="s">
        <v>172</v>
      </c>
      <c r="AG2" s="3" t="s">
        <v>177</v>
      </c>
      <c r="AH2" s="3" t="s">
        <v>178</v>
      </c>
      <c r="AI2" s="3" t="s">
        <v>188</v>
      </c>
      <c r="AJ2" s="3" t="s">
        <v>196</v>
      </c>
      <c r="AK2" s="3" t="s">
        <v>197</v>
      </c>
      <c r="AL2" s="3" t="s">
        <v>204</v>
      </c>
      <c r="AM2" s="3" t="s">
        <v>205</v>
      </c>
      <c r="AN2" s="3" t="s">
        <v>206</v>
      </c>
      <c r="AO2" s="20" t="s">
        <v>207</v>
      </c>
      <c r="AP2" s="3" t="s">
        <v>208</v>
      </c>
      <c r="AQ2" s="3" t="s">
        <v>209</v>
      </c>
      <c r="AR2" s="3" t="s">
        <v>217</v>
      </c>
      <c r="AS2" s="3" t="s">
        <v>218</v>
      </c>
      <c r="AT2" s="3" t="s">
        <v>226</v>
      </c>
      <c r="AU2" s="3" t="s">
        <v>241</v>
      </c>
      <c r="AV2" s="3" t="s">
        <v>242</v>
      </c>
      <c r="AW2" s="3" t="s">
        <v>243</v>
      </c>
    </row>
    <row r="3" spans="1:49" s="22" customFormat="1" x14ac:dyDescent="0.2">
      <c r="A3" s="22" t="s">
        <v>32</v>
      </c>
      <c r="B3" s="22">
        <v>1991</v>
      </c>
      <c r="C3" s="22">
        <v>1992</v>
      </c>
      <c r="D3" s="22">
        <v>1992</v>
      </c>
      <c r="E3" s="22">
        <v>1992</v>
      </c>
      <c r="F3" s="22">
        <v>1992</v>
      </c>
      <c r="G3" s="22">
        <v>1992</v>
      </c>
      <c r="H3" s="22">
        <v>1992</v>
      </c>
      <c r="I3" s="22">
        <v>2004</v>
      </c>
      <c r="J3" s="22">
        <v>2000</v>
      </c>
      <c r="K3" s="22">
        <v>2000</v>
      </c>
      <c r="L3" s="22">
        <v>1977</v>
      </c>
      <c r="M3" s="22">
        <v>1977</v>
      </c>
      <c r="N3" s="22">
        <v>1997</v>
      </c>
      <c r="O3" s="22">
        <v>1996</v>
      </c>
      <c r="P3" s="22">
        <v>1997</v>
      </c>
      <c r="Q3" s="22">
        <v>1997</v>
      </c>
      <c r="R3" s="22">
        <v>1994</v>
      </c>
      <c r="S3" s="22">
        <v>2003</v>
      </c>
      <c r="T3" s="22">
        <v>2000</v>
      </c>
      <c r="U3" s="22">
        <v>1998</v>
      </c>
      <c r="V3" s="22">
        <v>1998</v>
      </c>
      <c r="W3" s="22">
        <v>2004</v>
      </c>
      <c r="X3" s="22">
        <v>1999</v>
      </c>
      <c r="Y3" s="22">
        <v>1993</v>
      </c>
      <c r="Z3" s="22">
        <v>2001</v>
      </c>
      <c r="AA3" s="22">
        <v>2001</v>
      </c>
      <c r="AB3" s="22">
        <v>2001</v>
      </c>
      <c r="AC3" s="22">
        <v>2001</v>
      </c>
      <c r="AD3" s="22">
        <v>1999</v>
      </c>
      <c r="AE3" s="22">
        <v>1999</v>
      </c>
      <c r="AF3" s="22">
        <v>2002</v>
      </c>
      <c r="AG3" s="22">
        <v>2003</v>
      </c>
      <c r="AH3" s="22">
        <v>2003</v>
      </c>
      <c r="AI3" s="22">
        <v>2004</v>
      </c>
      <c r="AJ3" s="22">
        <v>1997</v>
      </c>
      <c r="AK3" s="22">
        <v>1997</v>
      </c>
      <c r="AL3" s="22">
        <v>2005</v>
      </c>
      <c r="AM3" s="22">
        <v>2005</v>
      </c>
      <c r="AN3" s="22">
        <v>2005</v>
      </c>
      <c r="AO3" s="22">
        <v>2001</v>
      </c>
      <c r="AP3" s="22">
        <v>2001</v>
      </c>
      <c r="AQ3" s="22">
        <v>2001</v>
      </c>
      <c r="AR3" s="22">
        <v>2005</v>
      </c>
      <c r="AS3" s="22">
        <v>2005</v>
      </c>
      <c r="AT3" s="22">
        <v>2008</v>
      </c>
      <c r="AU3" s="22">
        <v>1993</v>
      </c>
      <c r="AV3" s="22">
        <v>1993</v>
      </c>
      <c r="AW3" s="22">
        <v>1993</v>
      </c>
    </row>
    <row r="4" spans="1:49" s="3" customFormat="1" x14ac:dyDescent="0.2">
      <c r="A4" s="3" t="s">
        <v>23</v>
      </c>
      <c r="B4" s="3" t="s">
        <v>29</v>
      </c>
      <c r="C4" s="3" t="s">
        <v>30</v>
      </c>
      <c r="D4" s="3" t="s">
        <v>30</v>
      </c>
      <c r="E4" s="3" t="s">
        <v>30</v>
      </c>
      <c r="F4" s="3" t="s">
        <v>30</v>
      </c>
      <c r="G4" s="3" t="s">
        <v>30</v>
      </c>
      <c r="H4" s="3" t="s">
        <v>31</v>
      </c>
      <c r="I4" s="3" t="s">
        <v>31</v>
      </c>
      <c r="J4" s="3" t="s">
        <v>37</v>
      </c>
      <c r="K4" s="3" t="s">
        <v>37</v>
      </c>
      <c r="L4" s="3" t="s">
        <v>46</v>
      </c>
      <c r="M4" s="3" t="s">
        <v>47</v>
      </c>
      <c r="N4" s="3" t="s">
        <v>37</v>
      </c>
      <c r="O4" s="3" t="s">
        <v>37</v>
      </c>
      <c r="P4" s="3" t="s">
        <v>45</v>
      </c>
      <c r="Q4" s="3" t="s">
        <v>45</v>
      </c>
      <c r="R4" s="3" t="s">
        <v>88</v>
      </c>
      <c r="S4" s="3" t="s">
        <v>37</v>
      </c>
      <c r="T4" s="3" t="s">
        <v>37</v>
      </c>
      <c r="U4" s="3" t="s">
        <v>37</v>
      </c>
      <c r="V4" s="3" t="s">
        <v>45</v>
      </c>
      <c r="W4" s="3" t="s">
        <v>37</v>
      </c>
      <c r="X4" s="3" t="s">
        <v>120</v>
      </c>
      <c r="Y4" s="3" t="s">
        <v>127</v>
      </c>
      <c r="Z4" s="3" t="s">
        <v>30</v>
      </c>
      <c r="AA4" s="3" t="s">
        <v>29</v>
      </c>
      <c r="AB4" s="3" t="s">
        <v>29</v>
      </c>
      <c r="AC4" s="3" t="s">
        <v>29</v>
      </c>
      <c r="AD4" s="3" t="s">
        <v>31</v>
      </c>
      <c r="AE4" s="3" t="s">
        <v>164</v>
      </c>
      <c r="AF4" s="3" t="s">
        <v>45</v>
      </c>
      <c r="AG4" s="3" t="s">
        <v>45</v>
      </c>
      <c r="AH4" s="3" t="s">
        <v>45</v>
      </c>
      <c r="AI4" s="3" t="s">
        <v>187</v>
      </c>
      <c r="AJ4" s="3" t="s">
        <v>30</v>
      </c>
      <c r="AK4" s="3" t="s">
        <v>30</v>
      </c>
      <c r="AL4" s="3" t="s">
        <v>127</v>
      </c>
      <c r="AM4" s="3" t="s">
        <v>127</v>
      </c>
      <c r="AN4" s="3" t="s">
        <v>127</v>
      </c>
      <c r="AO4" s="20" t="s">
        <v>127</v>
      </c>
      <c r="AP4" s="3" t="s">
        <v>127</v>
      </c>
      <c r="AQ4" s="3" t="s">
        <v>127</v>
      </c>
      <c r="AR4" s="3" t="s">
        <v>37</v>
      </c>
      <c r="AS4" s="3" t="s">
        <v>37</v>
      </c>
      <c r="AT4" s="3" t="s">
        <v>31</v>
      </c>
      <c r="AU4" s="3" t="s">
        <v>240</v>
      </c>
      <c r="AV4" s="3" t="s">
        <v>240</v>
      </c>
      <c r="AW4" s="3" t="s">
        <v>240</v>
      </c>
    </row>
    <row r="5" spans="1:49" x14ac:dyDescent="0.2">
      <c r="A5" s="1">
        <v>1</v>
      </c>
      <c r="B5" s="2">
        <v>789.8</v>
      </c>
      <c r="C5" s="1">
        <v>913</v>
      </c>
      <c r="D5" s="1">
        <v>853</v>
      </c>
      <c r="E5" s="1">
        <v>842</v>
      </c>
      <c r="F5" s="1">
        <v>951</v>
      </c>
      <c r="G5" s="1">
        <v>647</v>
      </c>
      <c r="H5" s="1">
        <v>882</v>
      </c>
      <c r="I5" s="1">
        <v>667</v>
      </c>
      <c r="J5" s="1">
        <f>2.08/0.9645*365</f>
        <v>787.14359771902537</v>
      </c>
      <c r="K5" s="1">
        <f>1.95/0.9645*365</f>
        <v>737.94712286158631</v>
      </c>
      <c r="L5" s="1">
        <f>12/44*1822</f>
        <v>496.90909090909088</v>
      </c>
      <c r="M5" s="1">
        <f>12/44*1837.7</f>
        <v>501.19090909090909</v>
      </c>
      <c r="N5" s="1">
        <v>610</v>
      </c>
      <c r="O5" s="1">
        <v>864</v>
      </c>
      <c r="P5" s="1">
        <v>551</v>
      </c>
      <c r="Q5" s="1">
        <v>1230</v>
      </c>
      <c r="R5" s="1">
        <f>1.58/0.9645*365</f>
        <v>597.92638672887506</v>
      </c>
      <c r="S5" s="1">
        <v>938</v>
      </c>
      <c r="T5" s="1">
        <v>446.8</v>
      </c>
      <c r="U5" s="1">
        <f>2.82/0.9645*365</f>
        <v>1067.1850699844479</v>
      </c>
      <c r="V5" s="1">
        <f>3.92/0.9645*365</f>
        <v>1483.4629341627785</v>
      </c>
      <c r="W5" s="1">
        <f>279+301</f>
        <v>580</v>
      </c>
      <c r="X5" s="1">
        <v>870</v>
      </c>
      <c r="Y5" s="1">
        <f>3.147*365</f>
        <v>1148.655</v>
      </c>
      <c r="Z5" s="1">
        <f>68.2/0.9645*12</f>
        <v>848.52255054432351</v>
      </c>
      <c r="AA5" s="1">
        <f>1.57/0.9645*365</f>
        <v>594.1420425090721</v>
      </c>
      <c r="AB5" s="1">
        <f>1/0.9645*365</f>
        <v>378.43442198030067</v>
      </c>
      <c r="AC5" s="1">
        <f>2.57/0.9645*365</f>
        <v>972.5764644893726</v>
      </c>
      <c r="AD5" s="1">
        <v>406.1</v>
      </c>
      <c r="AE5" s="1">
        <f>1.285/0.9645*365</f>
        <v>486.2882322446863</v>
      </c>
      <c r="AF5" s="1">
        <v>602</v>
      </c>
      <c r="AG5" s="1">
        <v>879.75</v>
      </c>
      <c r="AH5" s="1">
        <v>751.75</v>
      </c>
      <c r="AI5" s="1">
        <f>5564*12/44</f>
        <v>1517.4545454545455</v>
      </c>
      <c r="AJ5" s="1">
        <v>1457</v>
      </c>
      <c r="AK5" s="1">
        <v>600</v>
      </c>
      <c r="AL5" s="1">
        <v>1480</v>
      </c>
      <c r="AM5" s="1">
        <v>1220</v>
      </c>
      <c r="AN5" s="1">
        <v>1610</v>
      </c>
      <c r="AO5" s="21">
        <v>1360</v>
      </c>
      <c r="AP5" s="1">
        <v>1440</v>
      </c>
      <c r="AQ5" s="1">
        <v>1190</v>
      </c>
      <c r="AR5" s="1">
        <v>1733.2296526697771</v>
      </c>
      <c r="AS5" s="1">
        <v>2051.1145671332297</v>
      </c>
      <c r="AT5" s="1">
        <v>293</v>
      </c>
      <c r="AU5" s="1">
        <v>789</v>
      </c>
      <c r="AV5" s="1">
        <v>754</v>
      </c>
      <c r="AW5" s="1">
        <v>799</v>
      </c>
    </row>
    <row r="6" spans="1:49" x14ac:dyDescent="0.2">
      <c r="A6" s="1">
        <v>2</v>
      </c>
      <c r="B6" s="2">
        <v>746.8</v>
      </c>
      <c r="C6" s="1">
        <v>663</v>
      </c>
      <c r="D6" s="1">
        <v>616</v>
      </c>
      <c r="E6" s="1">
        <v>618</v>
      </c>
      <c r="F6" s="1">
        <v>676</v>
      </c>
      <c r="G6" s="1">
        <v>483</v>
      </c>
      <c r="H6" s="1">
        <v>640</v>
      </c>
      <c r="I6" s="1">
        <v>711</v>
      </c>
      <c r="J6" s="1">
        <f>1.85/0.9645*365</f>
        <v>700.10368066355625</v>
      </c>
      <c r="K6" s="1">
        <f>1.83/0.9645*365</f>
        <v>692.53499222395021</v>
      </c>
      <c r="L6" s="1">
        <f>12/44*1654.9</f>
        <v>451.33636363636361</v>
      </c>
      <c r="M6" s="1">
        <f>12/44*1961.6</f>
        <v>534.98181818181808</v>
      </c>
      <c r="N6" s="1">
        <v>760</v>
      </c>
      <c r="O6" s="1">
        <v>682</v>
      </c>
      <c r="P6" s="1">
        <v>1180</v>
      </c>
      <c r="Q6" s="1">
        <v>1670</v>
      </c>
      <c r="R6" s="1">
        <f>1.678/0.9645*365</f>
        <v>635.01296008294446</v>
      </c>
      <c r="S6" s="1">
        <v>963</v>
      </c>
      <c r="T6" s="1">
        <v>440</v>
      </c>
      <c r="U6" s="1">
        <f>2.78/0.9645*365</f>
        <v>1052.0476931052358</v>
      </c>
      <c r="V6" s="1">
        <f>3.79/0.9645*365</f>
        <v>1434.2664593053396</v>
      </c>
      <c r="W6" s="1">
        <f>298+289</f>
        <v>587</v>
      </c>
      <c r="X6" s="1">
        <v>1120</v>
      </c>
      <c r="Y6" s="1">
        <f>2.825*365</f>
        <v>1031.125</v>
      </c>
      <c r="Z6" s="1">
        <f>69.4/0.9645*12</f>
        <v>863.45256609642308</v>
      </c>
      <c r="AA6" s="1">
        <f>1.75/0.9645*365</f>
        <v>662.26023846552619</v>
      </c>
      <c r="AB6" s="1">
        <f>1.06/0.9645*365</f>
        <v>401.14048729911872</v>
      </c>
      <c r="AC6" s="1">
        <f>2.44/0.9645*365</f>
        <v>923.37998963193365</v>
      </c>
      <c r="AD6" s="1">
        <v>537.5</v>
      </c>
      <c r="AE6" s="1">
        <f>1.212/0.9645*365</f>
        <v>458.66251944012436</v>
      </c>
      <c r="AF6" s="1">
        <v>634</v>
      </c>
      <c r="AG6" s="1">
        <v>845.25</v>
      </c>
      <c r="AH6" s="1">
        <v>642</v>
      </c>
      <c r="AI6" s="1">
        <f>6148*12/44</f>
        <v>1676.7272727272727</v>
      </c>
      <c r="AJ6" s="1">
        <v>1503</v>
      </c>
      <c r="AK6" s="1">
        <v>784</v>
      </c>
      <c r="AL6" s="1">
        <v>1840</v>
      </c>
      <c r="AM6" s="1">
        <v>1640</v>
      </c>
      <c r="AN6" s="1">
        <v>1690</v>
      </c>
      <c r="AO6" s="21">
        <v>1210</v>
      </c>
      <c r="AP6" s="1">
        <v>1330</v>
      </c>
      <c r="AQ6" s="1">
        <v>1250</v>
      </c>
      <c r="AR6" s="1">
        <v>1290.4613789528255</v>
      </c>
      <c r="AS6" s="1">
        <v>1271.5396578538102</v>
      </c>
      <c r="AT6" s="1">
        <v>298</v>
      </c>
      <c r="AU6" s="1">
        <v>958</v>
      </c>
      <c r="AV6" s="1">
        <v>950</v>
      </c>
      <c r="AW6" s="1">
        <v>957</v>
      </c>
    </row>
    <row r="7" spans="1:49" x14ac:dyDescent="0.2">
      <c r="A7" s="1">
        <v>3</v>
      </c>
      <c r="B7" s="2">
        <v>863</v>
      </c>
      <c r="C7" s="1">
        <v>839</v>
      </c>
      <c r="D7" s="1">
        <v>783</v>
      </c>
      <c r="E7" s="1">
        <v>777</v>
      </c>
      <c r="F7" s="1">
        <v>869</v>
      </c>
      <c r="G7" s="1">
        <v>600</v>
      </c>
      <c r="H7" s="1">
        <v>811</v>
      </c>
      <c r="I7" s="1">
        <v>682</v>
      </c>
      <c r="J7" s="1">
        <f>2.1/0.9645*365</f>
        <v>794.7122861586314</v>
      </c>
      <c r="K7" s="1">
        <f>2.04/0.9645*365</f>
        <v>772.0062208398133</v>
      </c>
      <c r="L7" s="1">
        <f>12/44*1613.2</f>
        <v>439.96363636363634</v>
      </c>
      <c r="M7" s="1">
        <f>12/44*1803.2</f>
        <v>491.78181818181815</v>
      </c>
      <c r="N7" s="1">
        <v>750</v>
      </c>
      <c r="O7" s="1">
        <v>830</v>
      </c>
      <c r="P7" s="1">
        <v>400</v>
      </c>
      <c r="Q7" s="1">
        <v>1650</v>
      </c>
      <c r="R7" s="1">
        <f>1.96/0.9645*365</f>
        <v>741.73146708138927</v>
      </c>
      <c r="S7" s="1">
        <v>990</v>
      </c>
      <c r="T7" s="1">
        <v>453.8</v>
      </c>
      <c r="U7" s="1">
        <f>3.55/0.9645*365</f>
        <v>1343.4421980300674</v>
      </c>
      <c r="V7" s="1">
        <f>3.69/0.9645*365</f>
        <v>1396.4230171073093</v>
      </c>
      <c r="W7" s="1">
        <f>319+331</f>
        <v>650</v>
      </c>
      <c r="X7" s="1">
        <v>1280</v>
      </c>
      <c r="Y7" s="1">
        <f>2.874*365</f>
        <v>1049.01</v>
      </c>
      <c r="Z7" s="1">
        <f>58.6/0.9645*12</f>
        <v>729.08242612752724</v>
      </c>
      <c r="AA7" s="1">
        <f>1.38/0.9645*365</f>
        <v>522.23950233281482</v>
      </c>
      <c r="AB7" s="1">
        <f>1.16/0.9645*365</f>
        <v>438.98392949714872</v>
      </c>
      <c r="AC7" s="1">
        <f>2.54/0.9645*365</f>
        <v>961.22343182996372</v>
      </c>
      <c r="AD7" s="1">
        <v>627</v>
      </c>
      <c r="AE7" s="1">
        <f>1.038/0.9645*365</f>
        <v>392.81493001555208</v>
      </c>
      <c r="AF7" s="1">
        <v>619</v>
      </c>
      <c r="AG7" s="1">
        <v>906.75</v>
      </c>
      <c r="AH7" s="1">
        <v>669.25</v>
      </c>
      <c r="AI7" s="1">
        <f>5131*12/44</f>
        <v>1399.3636363636363</v>
      </c>
      <c r="AJ7" s="1">
        <v>1591</v>
      </c>
      <c r="AK7" s="1">
        <v>898</v>
      </c>
      <c r="AL7" s="1">
        <v>1300</v>
      </c>
      <c r="AM7" s="1">
        <v>1120</v>
      </c>
      <c r="AN7" s="1">
        <v>1480</v>
      </c>
      <c r="AO7" s="21">
        <v>1480</v>
      </c>
      <c r="AP7" s="1">
        <v>1520</v>
      </c>
      <c r="AQ7" s="1">
        <v>1320</v>
      </c>
      <c r="AR7" s="1">
        <v>1487.2472783825817</v>
      </c>
      <c r="AS7" s="1">
        <v>1460.7568688439605</v>
      </c>
      <c r="AT7" s="1">
        <v>238</v>
      </c>
      <c r="AU7" s="1">
        <v>862</v>
      </c>
      <c r="AV7" s="1">
        <v>824</v>
      </c>
      <c r="AW7" s="1">
        <v>889</v>
      </c>
    </row>
    <row r="8" spans="1:49" x14ac:dyDescent="0.2">
      <c r="A8" s="1">
        <v>4</v>
      </c>
      <c r="B8" s="2">
        <v>982.2</v>
      </c>
      <c r="C8" s="1">
        <v>781</v>
      </c>
      <c r="D8" s="1">
        <v>728</v>
      </c>
      <c r="E8" s="1">
        <v>725</v>
      </c>
      <c r="F8" s="1">
        <v>804</v>
      </c>
      <c r="G8" s="1">
        <v>562</v>
      </c>
      <c r="H8" s="1">
        <v>754</v>
      </c>
      <c r="I8" s="1">
        <v>640</v>
      </c>
      <c r="J8" s="1">
        <f>2.2/0.9645*365</f>
        <v>832.55572835666158</v>
      </c>
      <c r="K8" s="1">
        <f>1.97/0.9645*365</f>
        <v>745.51581130119234</v>
      </c>
      <c r="L8" s="1">
        <f>12/44*1567</f>
        <v>427.36363636363632</v>
      </c>
      <c r="M8" s="1">
        <f>12/44*1849.7</f>
        <v>504.46363636363634</v>
      </c>
      <c r="N8" s="1">
        <v>730</v>
      </c>
      <c r="O8" s="1">
        <v>503</v>
      </c>
      <c r="P8" s="1">
        <v>952</v>
      </c>
      <c r="Q8" s="1">
        <v>1590</v>
      </c>
      <c r="R8" s="1">
        <f>1.87/0.9645*365</f>
        <v>707.67236910316228</v>
      </c>
      <c r="S8" s="1">
        <v>968</v>
      </c>
      <c r="T8" s="1">
        <v>364.3</v>
      </c>
      <c r="U8" s="1">
        <f>3.56/0.9645*365</f>
        <v>1347.2265422498704</v>
      </c>
      <c r="V8" s="1">
        <f>3.64/0.9645*365</f>
        <v>1377.5012960082945</v>
      </c>
      <c r="W8" s="1">
        <f>273+324</f>
        <v>597</v>
      </c>
      <c r="X8" s="1">
        <v>1110</v>
      </c>
      <c r="Y8" s="1">
        <f>2.175*365</f>
        <v>793.87499999999989</v>
      </c>
      <c r="Z8" s="1">
        <f>65.2/0.9645*12</f>
        <v>811.19751166407468</v>
      </c>
      <c r="AA8" s="1">
        <f>1.77/0.9645*365</f>
        <v>669.82892690513211</v>
      </c>
      <c r="AB8" s="1">
        <f>1.28/0.9645*365</f>
        <v>484.39606013478488</v>
      </c>
      <c r="AC8" s="1">
        <f>1.95/0.9645*365</f>
        <v>737.94712286158631</v>
      </c>
      <c r="AD8" s="1">
        <v>762.6</v>
      </c>
      <c r="AE8" s="1">
        <f>1.0215/0.9645*365</f>
        <v>386.57076205287711</v>
      </c>
      <c r="AF8" s="1">
        <v>637</v>
      </c>
      <c r="AG8" s="1">
        <v>745</v>
      </c>
      <c r="AH8" s="1">
        <v>581</v>
      </c>
      <c r="AI8" s="1">
        <f>7757*12/44</f>
        <v>2115.5454545454545</v>
      </c>
      <c r="AJ8" s="1">
        <v>2000</v>
      </c>
      <c r="AK8" s="1">
        <v>996</v>
      </c>
      <c r="AL8" s="1">
        <v>1510</v>
      </c>
      <c r="AM8" s="1">
        <v>1230</v>
      </c>
      <c r="AN8" s="1">
        <v>1410</v>
      </c>
      <c r="AO8" s="21">
        <v>1420</v>
      </c>
      <c r="AP8" s="1">
        <v>1550</v>
      </c>
      <c r="AQ8" s="1">
        <v>1280</v>
      </c>
      <c r="AR8" s="1">
        <v>1237.4805598755831</v>
      </c>
      <c r="AS8" s="1">
        <v>1260.1866251944014</v>
      </c>
      <c r="AT8" s="1">
        <v>234</v>
      </c>
      <c r="AU8" s="1">
        <v>960</v>
      </c>
      <c r="AV8" s="1">
        <v>954</v>
      </c>
      <c r="AW8" s="1">
        <v>962</v>
      </c>
    </row>
    <row r="9" spans="1:49" x14ac:dyDescent="0.2">
      <c r="A9" s="1">
        <v>5</v>
      </c>
      <c r="B9" s="2">
        <v>1086.2</v>
      </c>
      <c r="C9" s="1">
        <v>750</v>
      </c>
      <c r="D9" s="1">
        <v>698</v>
      </c>
      <c r="E9" s="1">
        <v>696</v>
      </c>
      <c r="F9" s="1">
        <v>770</v>
      </c>
      <c r="G9" s="1">
        <v>541</v>
      </c>
      <c r="H9" s="1">
        <v>724</v>
      </c>
      <c r="I9" s="1">
        <v>655</v>
      </c>
      <c r="J9" s="1">
        <f>2.36/0.9645*365</f>
        <v>893.10523587350951</v>
      </c>
      <c r="K9" s="1">
        <f>1.96/0.9645*365</f>
        <v>741.73146708138927</v>
      </c>
      <c r="L9" s="1">
        <f>12/44*1647.2</f>
        <v>449.23636363636359</v>
      </c>
      <c r="M9" s="1">
        <f>12/44*2683.5</f>
        <v>731.86363636363626</v>
      </c>
      <c r="N9" s="1">
        <v>730</v>
      </c>
      <c r="O9" s="1">
        <v>809</v>
      </c>
      <c r="P9" s="1">
        <v>752</v>
      </c>
      <c r="Q9" s="1">
        <v>1530</v>
      </c>
      <c r="R9" s="1">
        <f>1.29/0.9645*365</f>
        <v>488.18040435458789</v>
      </c>
      <c r="S9" s="1">
        <v>928</v>
      </c>
      <c r="T9" s="1">
        <v>423.5</v>
      </c>
      <c r="U9" s="1">
        <f>3.38/0.9645*365</f>
        <v>1279.1083462934162</v>
      </c>
      <c r="V9" s="1">
        <f>3.49/0.9645*365</f>
        <v>1320.7361327112494</v>
      </c>
      <c r="W9" s="1">
        <f>292+328</f>
        <v>620</v>
      </c>
      <c r="X9" s="1">
        <v>1190</v>
      </c>
      <c r="Y9" s="1">
        <f>3.665*365</f>
        <v>1337.7249999999999</v>
      </c>
      <c r="Z9" s="1">
        <f>65.6/0.9645*12</f>
        <v>816.17418351477443</v>
      </c>
      <c r="AA9" s="1">
        <f>1.79/0.9645*365</f>
        <v>677.39761534473814</v>
      </c>
      <c r="AB9" s="1">
        <f>1.06/0.9645*365</f>
        <v>401.14048729911872</v>
      </c>
      <c r="AC9" s="1">
        <f>2.5/0.9645*365</f>
        <v>946.08605495075165</v>
      </c>
      <c r="AD9" s="1">
        <v>428.3</v>
      </c>
      <c r="AE9" s="1">
        <f>0.933/0.9645*365</f>
        <v>353.07931570762054</v>
      </c>
      <c r="AF9" s="1">
        <v>537</v>
      </c>
      <c r="AG9" s="1">
        <v>716</v>
      </c>
      <c r="AH9" s="1">
        <v>488.75</v>
      </c>
      <c r="AI9" s="1">
        <f>5504*12/44</f>
        <v>1501.090909090909</v>
      </c>
      <c r="AJ9" s="1">
        <v>2194</v>
      </c>
      <c r="AK9" s="1">
        <v>698</v>
      </c>
      <c r="AL9" s="1">
        <v>1180</v>
      </c>
      <c r="AM9" s="1">
        <v>1220</v>
      </c>
      <c r="AN9" s="1">
        <v>1490</v>
      </c>
      <c r="AO9" s="21">
        <v>1100</v>
      </c>
      <c r="AP9" s="1">
        <v>1350</v>
      </c>
      <c r="AQ9" s="1">
        <v>1080</v>
      </c>
      <c r="AR9" s="1">
        <v>1343.4421980300674</v>
      </c>
      <c r="AS9" s="1">
        <v>1555.3654743390359</v>
      </c>
      <c r="AT9" s="1">
        <v>226</v>
      </c>
      <c r="AU9" s="1">
        <v>947</v>
      </c>
      <c r="AV9" s="1">
        <v>946</v>
      </c>
      <c r="AW9" s="1">
        <v>945</v>
      </c>
    </row>
    <row r="10" spans="1:49" x14ac:dyDescent="0.2">
      <c r="A10" s="1">
        <v>6</v>
      </c>
      <c r="B10" s="2">
        <v>495.3</v>
      </c>
      <c r="C10" s="1">
        <v>644</v>
      </c>
      <c r="D10" s="1">
        <v>598</v>
      </c>
      <c r="E10" s="1">
        <v>601</v>
      </c>
      <c r="F10" s="1">
        <v>656</v>
      </c>
      <c r="G10" s="1">
        <v>469</v>
      </c>
      <c r="H10" s="1">
        <v>621</v>
      </c>
      <c r="I10" s="1">
        <v>672</v>
      </c>
      <c r="J10" s="1">
        <f>2.5/0.9645*365</f>
        <v>946.08605495075165</v>
      </c>
      <c r="K10" s="1">
        <f>2.27/0.9645*365</f>
        <v>859.04613789528253</v>
      </c>
      <c r="L10" s="1">
        <f>12/44*1603.5</f>
        <v>437.31818181818181</v>
      </c>
      <c r="M10" s="1">
        <f>12/44*2332.9</f>
        <v>636.24545454545455</v>
      </c>
      <c r="N10" s="1">
        <v>750</v>
      </c>
      <c r="O10" s="1">
        <v>674</v>
      </c>
      <c r="P10" s="1">
        <v>955</v>
      </c>
      <c r="Q10" s="1">
        <v>1470</v>
      </c>
      <c r="R10" s="1">
        <f>1.57/0.9645*365</f>
        <v>594.1420425090721</v>
      </c>
      <c r="S10" s="1">
        <v>826</v>
      </c>
      <c r="T10" s="1">
        <v>306.89999999999998</v>
      </c>
      <c r="W10" s="1">
        <f>275+323</f>
        <v>598</v>
      </c>
      <c r="Y10" s="1">
        <f>3.233*365</f>
        <v>1180.0450000000001</v>
      </c>
      <c r="Z10" s="1">
        <f>67.6/0.9645*12</f>
        <v>841.05754276827361</v>
      </c>
      <c r="AD10" s="1">
        <v>626.29999999999995</v>
      </c>
      <c r="AL10" s="1">
        <v>1090</v>
      </c>
      <c r="AM10" s="1">
        <v>1210</v>
      </c>
      <c r="AN10" s="1">
        <v>1490</v>
      </c>
      <c r="AO10" s="21">
        <v>1410</v>
      </c>
      <c r="AP10" s="1">
        <v>1630</v>
      </c>
      <c r="AT10" s="1">
        <v>240</v>
      </c>
      <c r="AU10" s="1">
        <v>965</v>
      </c>
      <c r="AV10" s="1">
        <v>928</v>
      </c>
      <c r="AW10" s="1">
        <v>991</v>
      </c>
    </row>
    <row r="11" spans="1:49" x14ac:dyDescent="0.2">
      <c r="A11" s="1">
        <v>7</v>
      </c>
      <c r="B11" s="2">
        <v>544.1</v>
      </c>
      <c r="C11" s="1">
        <v>752</v>
      </c>
      <c r="D11" s="1">
        <v>700</v>
      </c>
      <c r="E11" s="1">
        <v>699</v>
      </c>
      <c r="F11" s="1">
        <v>772</v>
      </c>
      <c r="G11" s="1">
        <v>544</v>
      </c>
      <c r="H11" s="1">
        <v>726</v>
      </c>
      <c r="L11" s="1">
        <f>12/44*1569.3</f>
        <v>427.99090909090904</v>
      </c>
      <c r="M11" s="1">
        <f>12/44*2223.2</f>
        <v>606.32727272727266</v>
      </c>
      <c r="N11" s="1">
        <v>810</v>
      </c>
      <c r="O11" s="1">
        <v>733</v>
      </c>
      <c r="P11" s="1">
        <v>1040</v>
      </c>
      <c r="Q11" s="1">
        <v>1390</v>
      </c>
      <c r="R11" s="1">
        <f>1.61/0.9645*365</f>
        <v>609.27941938828417</v>
      </c>
      <c r="S11" s="1">
        <v>890</v>
      </c>
      <c r="W11" s="1">
        <f>289+316</f>
        <v>605</v>
      </c>
      <c r="AD11" s="1">
        <v>600.20000000000005</v>
      </c>
      <c r="AO11" s="21">
        <v>970.81</v>
      </c>
      <c r="AP11" s="1">
        <v>1180</v>
      </c>
      <c r="AU11" s="1">
        <v>972</v>
      </c>
      <c r="AV11" s="1">
        <v>953</v>
      </c>
      <c r="AW11" s="1">
        <v>984</v>
      </c>
    </row>
    <row r="12" spans="1:49" x14ac:dyDescent="0.2">
      <c r="A12" s="1">
        <v>8</v>
      </c>
      <c r="B12" s="2">
        <v>749.13</v>
      </c>
      <c r="C12" s="1">
        <v>818</v>
      </c>
      <c r="D12" s="1">
        <v>762</v>
      </c>
      <c r="E12" s="1">
        <v>758</v>
      </c>
      <c r="F12" s="1">
        <v>844</v>
      </c>
      <c r="G12" s="1">
        <v>587</v>
      </c>
      <c r="H12" s="1">
        <v>790</v>
      </c>
      <c r="L12" s="1">
        <f>12/44*1244.4</f>
        <v>339.38181818181818</v>
      </c>
      <c r="M12" s="1">
        <f>12/44*1936</f>
        <v>528</v>
      </c>
      <c r="O12" s="1">
        <v>662</v>
      </c>
      <c r="AD12" s="1">
        <v>502.3</v>
      </c>
      <c r="AO12" s="21">
        <v>1230</v>
      </c>
      <c r="AP12" s="1">
        <v>1310</v>
      </c>
      <c r="AU12" s="1">
        <v>976</v>
      </c>
      <c r="AV12" s="1">
        <v>950</v>
      </c>
      <c r="AW12" s="1">
        <v>981</v>
      </c>
    </row>
    <row r="13" spans="1:49" x14ac:dyDescent="0.2">
      <c r="A13" s="1">
        <v>9</v>
      </c>
      <c r="B13" s="2">
        <v>749</v>
      </c>
      <c r="C13" s="1">
        <v>696</v>
      </c>
      <c r="D13" s="1">
        <v>646</v>
      </c>
      <c r="E13" s="1">
        <v>648</v>
      </c>
      <c r="F13" s="1">
        <v>710</v>
      </c>
      <c r="G13" s="1">
        <v>506</v>
      </c>
      <c r="H13" s="1">
        <v>671</v>
      </c>
      <c r="L13" s="1">
        <f>12/44*1250.4</f>
        <v>341.0181818181818</v>
      </c>
      <c r="M13" s="1">
        <f>12/44*1727.6</f>
        <v>471.16363636363633</v>
      </c>
      <c r="AO13" s="21">
        <v>1180</v>
      </c>
      <c r="AP13" s="1">
        <v>1260</v>
      </c>
    </row>
    <row r="14" spans="1:49" x14ac:dyDescent="0.2">
      <c r="A14" s="1">
        <v>10</v>
      </c>
      <c r="B14" s="2">
        <v>644</v>
      </c>
      <c r="C14" s="1">
        <v>663</v>
      </c>
      <c r="D14" s="1">
        <v>616</v>
      </c>
      <c r="E14" s="1">
        <v>618</v>
      </c>
      <c r="F14" s="1">
        <v>676</v>
      </c>
      <c r="G14" s="1">
        <v>483</v>
      </c>
      <c r="H14" s="1">
        <v>640</v>
      </c>
      <c r="AO14" s="21">
        <v>1190</v>
      </c>
      <c r="AP14" s="1">
        <v>1240</v>
      </c>
    </row>
    <row r="15" spans="1:49" x14ac:dyDescent="0.2">
      <c r="A15" s="1">
        <v>11</v>
      </c>
      <c r="B15" s="2">
        <v>635.5</v>
      </c>
      <c r="C15" s="1">
        <v>748</v>
      </c>
      <c r="D15" s="1">
        <v>696</v>
      </c>
      <c r="E15" s="1">
        <v>695</v>
      </c>
      <c r="F15" s="1">
        <v>767</v>
      </c>
      <c r="G15" s="1">
        <v>541</v>
      </c>
      <c r="H15" s="1">
        <v>722</v>
      </c>
    </row>
    <row r="16" spans="1:49" x14ac:dyDescent="0.2">
      <c r="A16" s="1">
        <v>12</v>
      </c>
      <c r="B16" s="2">
        <v>552.70000000000005</v>
      </c>
      <c r="C16" s="1">
        <v>768</v>
      </c>
      <c r="D16" s="1">
        <v>715</v>
      </c>
      <c r="E16" s="1">
        <v>713</v>
      </c>
      <c r="F16" s="1">
        <v>789</v>
      </c>
      <c r="G16" s="1">
        <v>554</v>
      </c>
      <c r="H16" s="1">
        <v>741</v>
      </c>
      <c r="AF16" s="19"/>
      <c r="AJ16" s="19"/>
    </row>
    <row r="17" spans="1:39" x14ac:dyDescent="0.2">
      <c r="A17" s="1">
        <v>13</v>
      </c>
      <c r="B17" s="2">
        <v>577.1</v>
      </c>
      <c r="C17" s="1">
        <v>734</v>
      </c>
      <c r="D17" s="1">
        <v>682</v>
      </c>
      <c r="E17" s="1">
        <v>682</v>
      </c>
      <c r="F17" s="1">
        <v>752</v>
      </c>
      <c r="G17" s="1">
        <v>531</v>
      </c>
      <c r="H17" s="1">
        <v>708</v>
      </c>
      <c r="AF17" s="19"/>
      <c r="AJ17" s="19"/>
    </row>
    <row r="18" spans="1:39" x14ac:dyDescent="0.2">
      <c r="A18" s="1">
        <v>14</v>
      </c>
      <c r="B18" s="2">
        <v>525</v>
      </c>
      <c r="C18" s="1">
        <v>783</v>
      </c>
      <c r="D18" s="1">
        <v>729</v>
      </c>
      <c r="E18" s="1">
        <v>726</v>
      </c>
      <c r="F18" s="1">
        <v>806</v>
      </c>
      <c r="G18" s="1">
        <v>563</v>
      </c>
      <c r="H18" s="1">
        <v>756</v>
      </c>
      <c r="AF18" s="19"/>
      <c r="AJ18" s="19"/>
    </row>
    <row r="19" spans="1:39" x14ac:dyDescent="0.2">
      <c r="A19" s="1">
        <v>15</v>
      </c>
      <c r="B19" s="2">
        <v>546.29999999999995</v>
      </c>
      <c r="C19" s="1">
        <v>751</v>
      </c>
      <c r="D19" s="1">
        <v>699</v>
      </c>
      <c r="E19" s="1">
        <v>698</v>
      </c>
      <c r="F19" s="1">
        <v>770</v>
      </c>
      <c r="G19" s="1">
        <v>544</v>
      </c>
      <c r="H19" s="1">
        <v>725</v>
      </c>
      <c r="AF19" s="19"/>
      <c r="AJ19" s="19"/>
    </row>
    <row r="20" spans="1:39" x14ac:dyDescent="0.2">
      <c r="A20" s="1">
        <v>16</v>
      </c>
      <c r="B20" s="2">
        <v>579.79999999999995</v>
      </c>
      <c r="C20" s="1">
        <v>704</v>
      </c>
      <c r="D20" s="1">
        <v>655</v>
      </c>
      <c r="E20" s="1">
        <v>655</v>
      </c>
      <c r="F20" s="1">
        <v>720</v>
      </c>
      <c r="G20" s="1">
        <v>511</v>
      </c>
      <c r="H20" s="1">
        <v>680</v>
      </c>
      <c r="AF20" s="19"/>
      <c r="AJ20" s="19"/>
      <c r="AM20" s="19"/>
    </row>
    <row r="21" spans="1:39" x14ac:dyDescent="0.2">
      <c r="A21" s="1">
        <v>17</v>
      </c>
      <c r="B21" s="2">
        <v>500</v>
      </c>
      <c r="C21" s="1">
        <v>721</v>
      </c>
      <c r="D21" s="1">
        <v>670</v>
      </c>
      <c r="E21" s="1">
        <v>671</v>
      </c>
      <c r="F21" s="1">
        <v>736</v>
      </c>
      <c r="G21" s="1">
        <v>524</v>
      </c>
      <c r="H21" s="1">
        <v>695</v>
      </c>
      <c r="AF21" s="19"/>
      <c r="AJ21" s="19"/>
    </row>
    <row r="22" spans="1:39" x14ac:dyDescent="0.2">
      <c r="A22" s="1">
        <v>18</v>
      </c>
      <c r="B22" s="2">
        <v>561.20000000000005</v>
      </c>
      <c r="C22" s="1">
        <v>740</v>
      </c>
      <c r="D22" s="1">
        <v>688</v>
      </c>
      <c r="E22" s="1">
        <v>688</v>
      </c>
      <c r="F22" s="1">
        <v>757</v>
      </c>
      <c r="G22" s="1">
        <v>536</v>
      </c>
      <c r="H22" s="1">
        <v>714</v>
      </c>
      <c r="AJ22" s="19"/>
    </row>
    <row r="23" spans="1:39" x14ac:dyDescent="0.2">
      <c r="A23" s="1">
        <v>19</v>
      </c>
      <c r="B23" s="2">
        <v>588.70000000000005</v>
      </c>
      <c r="AF23" s="19"/>
      <c r="AJ23" s="19"/>
    </row>
    <row r="24" spans="1:39" x14ac:dyDescent="0.2">
      <c r="A24" s="1">
        <v>20</v>
      </c>
      <c r="B24" s="2">
        <v>576</v>
      </c>
      <c r="AF24" s="19"/>
      <c r="AJ24" s="19"/>
    </row>
    <row r="25" spans="1:39" x14ac:dyDescent="0.2">
      <c r="A25" s="1">
        <v>21</v>
      </c>
      <c r="B25" s="2">
        <v>570</v>
      </c>
      <c r="AF25" s="19"/>
      <c r="AJ25" s="19"/>
    </row>
    <row r="26" spans="1:39" x14ac:dyDescent="0.2">
      <c r="A26" s="1">
        <v>22</v>
      </c>
      <c r="B26" s="2">
        <v>511.8</v>
      </c>
      <c r="AJ26" s="19"/>
    </row>
    <row r="27" spans="1:39" x14ac:dyDescent="0.2">
      <c r="A27" s="1">
        <v>23</v>
      </c>
      <c r="B27" s="2">
        <v>468.8</v>
      </c>
      <c r="AJ27" s="19"/>
    </row>
    <row r="28" spans="1:39" x14ac:dyDescent="0.2">
      <c r="A28" s="1">
        <v>24</v>
      </c>
      <c r="B28" s="2">
        <v>526.79999999999995</v>
      </c>
      <c r="AJ28" s="19"/>
    </row>
    <row r="29" spans="1:39" x14ac:dyDescent="0.2">
      <c r="A29" s="1">
        <v>25</v>
      </c>
      <c r="B29" s="2">
        <v>716.5</v>
      </c>
      <c r="AJ29" s="19"/>
    </row>
    <row r="30" spans="1:39" x14ac:dyDescent="0.2">
      <c r="A30" s="1">
        <v>26</v>
      </c>
      <c r="B30" s="2">
        <v>698</v>
      </c>
      <c r="AJ30" s="19"/>
    </row>
    <row r="31" spans="1:39" x14ac:dyDescent="0.2">
      <c r="AJ31" s="19"/>
    </row>
    <row r="32" spans="1:39" x14ac:dyDescent="0.2">
      <c r="AJ32" s="19"/>
    </row>
    <row r="33" spans="36:36" x14ac:dyDescent="0.2">
      <c r="AJ33" s="19"/>
    </row>
    <row r="34" spans="36:36" x14ac:dyDescent="0.2">
      <c r="AJ34" s="19"/>
    </row>
    <row r="35" spans="36:36" x14ac:dyDescent="0.2">
      <c r="AJ35" s="19"/>
    </row>
    <row r="36" spans="36:36" x14ac:dyDescent="0.2">
      <c r="AJ3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tabSelected="1" topLeftCell="A2" workbookViewId="0">
      <selection activeCell="M31" sqref="M31"/>
    </sheetView>
  </sheetViews>
  <sheetFormatPr baseColWidth="10" defaultColWidth="8.83203125" defaultRowHeight="15" x14ac:dyDescent="0.2"/>
  <cols>
    <col min="1" max="1" width="8.83203125" style="1"/>
    <col min="2" max="2" width="11.5" customWidth="1"/>
    <col min="3" max="3" width="10.6640625" customWidth="1"/>
    <col min="6" max="6" width="8.83203125" style="8"/>
    <col min="7" max="7" width="9.33203125" style="8" customWidth="1"/>
    <col min="8" max="8" width="8.83203125" style="8"/>
    <col min="9" max="9" width="11.83203125" style="8" customWidth="1"/>
    <col min="10" max="10" width="11.5" style="17" customWidth="1"/>
  </cols>
  <sheetData>
    <row r="1" spans="1:10" s="5" customFormat="1" x14ac:dyDescent="0.2">
      <c r="A1" s="4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7" t="s">
        <v>5</v>
      </c>
      <c r="G1" s="7" t="s">
        <v>13</v>
      </c>
      <c r="H1" s="7" t="s">
        <v>14</v>
      </c>
      <c r="I1" s="7" t="s">
        <v>15</v>
      </c>
      <c r="J1" s="16" t="s">
        <v>113</v>
      </c>
    </row>
    <row r="2" spans="1:10" s="5" customFormat="1" x14ac:dyDescent="0.2">
      <c r="A2" s="4">
        <v>1</v>
      </c>
      <c r="B2" s="6" t="s">
        <v>17</v>
      </c>
      <c r="C2" s="5" t="s">
        <v>10</v>
      </c>
      <c r="D2" s="5" t="s">
        <v>11</v>
      </c>
      <c r="E2" s="5" t="s">
        <v>12</v>
      </c>
      <c r="F2" s="7">
        <v>358</v>
      </c>
      <c r="G2" s="7">
        <v>6359</v>
      </c>
      <c r="H2" s="7">
        <v>2017</v>
      </c>
      <c r="I2" s="7" t="s">
        <v>16</v>
      </c>
      <c r="J2" s="16"/>
    </row>
    <row r="3" spans="1:10" s="5" customFormat="1" x14ac:dyDescent="0.2">
      <c r="A3" s="4">
        <v>2</v>
      </c>
      <c r="B3" s="5" t="s">
        <v>21</v>
      </c>
      <c r="C3" s="5" t="s">
        <v>22</v>
      </c>
      <c r="D3" s="5" t="s">
        <v>18</v>
      </c>
      <c r="E3" s="5" t="s">
        <v>19</v>
      </c>
      <c r="F3" s="7">
        <v>4</v>
      </c>
      <c r="G3" s="7">
        <v>11</v>
      </c>
      <c r="H3" s="7">
        <v>2013</v>
      </c>
      <c r="I3" s="7" t="s">
        <v>20</v>
      </c>
      <c r="J3" s="16"/>
    </row>
    <row r="4" spans="1:10" x14ac:dyDescent="0.2">
      <c r="A4" s="1">
        <v>3</v>
      </c>
      <c r="B4" s="10" t="s">
        <v>42</v>
      </c>
      <c r="C4" t="s">
        <v>41</v>
      </c>
      <c r="D4" t="s">
        <v>38</v>
      </c>
      <c r="E4" t="s">
        <v>39</v>
      </c>
      <c r="F4" s="8">
        <v>13</v>
      </c>
      <c r="G4" s="8">
        <v>4</v>
      </c>
      <c r="H4" s="8">
        <v>2007</v>
      </c>
      <c r="I4" s="8" t="s">
        <v>40</v>
      </c>
    </row>
    <row r="5" spans="1:10" x14ac:dyDescent="0.2">
      <c r="A5" s="1">
        <v>4</v>
      </c>
      <c r="B5" t="s">
        <v>48</v>
      </c>
      <c r="C5" t="s">
        <v>49</v>
      </c>
      <c r="D5" t="s">
        <v>50</v>
      </c>
      <c r="E5" t="s">
        <v>51</v>
      </c>
      <c r="F5" s="8">
        <v>21</v>
      </c>
      <c r="G5" s="8" t="s">
        <v>52</v>
      </c>
      <c r="H5" s="8">
        <v>2002</v>
      </c>
      <c r="I5" s="8" t="s">
        <v>53</v>
      </c>
    </row>
    <row r="6" spans="1:10" x14ac:dyDescent="0.2">
      <c r="A6" s="1">
        <v>5</v>
      </c>
      <c r="B6" t="s">
        <v>75</v>
      </c>
      <c r="C6" t="s">
        <v>76</v>
      </c>
      <c r="D6" t="s">
        <v>74</v>
      </c>
      <c r="E6" t="s">
        <v>39</v>
      </c>
      <c r="F6" s="8">
        <v>12</v>
      </c>
      <c r="H6" s="8">
        <v>2006</v>
      </c>
      <c r="I6" s="8" t="s">
        <v>77</v>
      </c>
    </row>
    <row r="7" spans="1:10" x14ac:dyDescent="0.2">
      <c r="A7" s="1">
        <v>6</v>
      </c>
      <c r="B7" t="s">
        <v>75</v>
      </c>
      <c r="C7" t="s">
        <v>76</v>
      </c>
      <c r="D7" t="s">
        <v>80</v>
      </c>
      <c r="E7" t="s">
        <v>39</v>
      </c>
      <c r="F7" s="8">
        <v>12</v>
      </c>
      <c r="H7" s="8">
        <v>2006</v>
      </c>
      <c r="I7" s="8" t="s">
        <v>81</v>
      </c>
    </row>
    <row r="8" spans="1:10" x14ac:dyDescent="0.2">
      <c r="A8" s="1">
        <v>7</v>
      </c>
      <c r="B8" t="s">
        <v>83</v>
      </c>
      <c r="C8" t="s">
        <v>84</v>
      </c>
      <c r="D8" t="s">
        <v>85</v>
      </c>
      <c r="E8" t="s">
        <v>92</v>
      </c>
      <c r="F8" s="8">
        <v>77</v>
      </c>
      <c r="G8" s="8">
        <v>1</v>
      </c>
      <c r="H8" s="8">
        <v>2006</v>
      </c>
      <c r="I8" s="8" t="s">
        <v>86</v>
      </c>
    </row>
    <row r="9" spans="1:10" x14ac:dyDescent="0.2">
      <c r="A9" s="1">
        <v>8</v>
      </c>
      <c r="B9" t="s">
        <v>90</v>
      </c>
      <c r="C9" t="s">
        <v>91</v>
      </c>
      <c r="D9" t="s">
        <v>89</v>
      </c>
      <c r="E9" t="s">
        <v>92</v>
      </c>
      <c r="F9" s="8">
        <v>73</v>
      </c>
      <c r="H9" s="8">
        <v>2005</v>
      </c>
      <c r="I9" s="8" t="s">
        <v>93</v>
      </c>
    </row>
    <row r="10" spans="1:10" x14ac:dyDescent="0.2">
      <c r="A10" s="1">
        <v>9</v>
      </c>
      <c r="B10" t="s">
        <v>96</v>
      </c>
      <c r="C10" t="s">
        <v>95</v>
      </c>
      <c r="D10" t="s">
        <v>97</v>
      </c>
      <c r="E10" t="s">
        <v>98</v>
      </c>
      <c r="F10" s="8">
        <v>153</v>
      </c>
      <c r="H10" s="8">
        <v>2012</v>
      </c>
      <c r="I10" s="8" t="s">
        <v>99</v>
      </c>
    </row>
    <row r="11" spans="1:10" x14ac:dyDescent="0.2">
      <c r="A11" s="1">
        <v>10</v>
      </c>
      <c r="B11" t="s">
        <v>102</v>
      </c>
      <c r="C11" t="s">
        <v>103</v>
      </c>
      <c r="D11" t="s">
        <v>101</v>
      </c>
      <c r="E11" t="s">
        <v>104</v>
      </c>
      <c r="F11" s="8">
        <v>114</v>
      </c>
      <c r="H11" s="8">
        <v>2009</v>
      </c>
      <c r="I11" s="8" t="s">
        <v>105</v>
      </c>
    </row>
    <row r="12" spans="1:10" x14ac:dyDescent="0.2">
      <c r="A12" s="1">
        <v>11</v>
      </c>
      <c r="B12" t="s">
        <v>108</v>
      </c>
      <c r="C12" t="s">
        <v>109</v>
      </c>
      <c r="D12" t="s">
        <v>111</v>
      </c>
      <c r="E12" t="s">
        <v>110</v>
      </c>
      <c r="F12" s="8">
        <v>12</v>
      </c>
      <c r="G12" s="8">
        <v>10</v>
      </c>
      <c r="H12" s="8">
        <v>2006</v>
      </c>
      <c r="I12" s="8" t="s">
        <v>112</v>
      </c>
      <c r="J12" s="17">
        <v>3581</v>
      </c>
    </row>
    <row r="13" spans="1:10" x14ac:dyDescent="0.2">
      <c r="A13" s="1">
        <v>12</v>
      </c>
      <c r="B13" t="s">
        <v>114</v>
      </c>
      <c r="C13" t="s">
        <v>115</v>
      </c>
      <c r="D13" t="s">
        <v>116</v>
      </c>
      <c r="E13" t="s">
        <v>117</v>
      </c>
      <c r="F13" s="8">
        <v>41</v>
      </c>
      <c r="G13" s="8">
        <v>9</v>
      </c>
      <c r="H13" s="8">
        <v>2011</v>
      </c>
      <c r="I13" s="8" t="s">
        <v>118</v>
      </c>
      <c r="J13" s="17">
        <v>5935</v>
      </c>
    </row>
    <row r="14" spans="1:10" x14ac:dyDescent="0.2">
      <c r="A14" s="1">
        <v>13</v>
      </c>
      <c r="B14" t="s">
        <v>122</v>
      </c>
      <c r="C14" t="s">
        <v>123</v>
      </c>
      <c r="D14" t="s">
        <v>137</v>
      </c>
      <c r="E14" t="s">
        <v>124</v>
      </c>
      <c r="F14" s="8">
        <v>135</v>
      </c>
      <c r="G14" s="8">
        <v>1</v>
      </c>
      <c r="H14" s="8">
        <v>2005</v>
      </c>
      <c r="I14" s="8" t="s">
        <v>125</v>
      </c>
      <c r="J14" s="18" t="s">
        <v>132</v>
      </c>
    </row>
    <row r="15" spans="1:10" x14ac:dyDescent="0.2">
      <c r="A15" s="1">
        <v>14</v>
      </c>
      <c r="B15" t="s">
        <v>136</v>
      </c>
      <c r="C15" t="s">
        <v>135</v>
      </c>
      <c r="D15" t="s">
        <v>128</v>
      </c>
      <c r="E15" t="s">
        <v>129</v>
      </c>
      <c r="F15" s="8" t="s">
        <v>130</v>
      </c>
      <c r="G15" s="8" t="s">
        <v>131</v>
      </c>
      <c r="H15" s="8" t="s">
        <v>133</v>
      </c>
      <c r="I15" s="8" t="s">
        <v>134</v>
      </c>
      <c r="J15" s="17">
        <v>1654</v>
      </c>
    </row>
    <row r="16" spans="1:10" x14ac:dyDescent="0.2">
      <c r="A16" s="1">
        <v>15</v>
      </c>
      <c r="B16" t="s">
        <v>139</v>
      </c>
      <c r="C16" t="s">
        <v>140</v>
      </c>
      <c r="D16" t="s">
        <v>141</v>
      </c>
      <c r="E16" t="s">
        <v>142</v>
      </c>
      <c r="F16" s="8" t="s">
        <v>143</v>
      </c>
      <c r="G16" s="8" t="s">
        <v>144</v>
      </c>
      <c r="H16" s="8" t="s">
        <v>145</v>
      </c>
      <c r="I16" s="8" t="s">
        <v>146</v>
      </c>
      <c r="J16" s="17">
        <v>5278</v>
      </c>
    </row>
    <row r="17" spans="1:10" x14ac:dyDescent="0.2">
      <c r="A17" s="1">
        <v>16</v>
      </c>
      <c r="B17" t="s">
        <v>150</v>
      </c>
      <c r="C17" t="s">
        <v>151</v>
      </c>
      <c r="D17" t="s">
        <v>152</v>
      </c>
      <c r="E17" t="s">
        <v>92</v>
      </c>
      <c r="F17" s="8" t="s">
        <v>153</v>
      </c>
      <c r="G17" s="8" t="s">
        <v>144</v>
      </c>
      <c r="H17" s="8" t="s">
        <v>154</v>
      </c>
      <c r="I17" s="8" t="s">
        <v>155</v>
      </c>
      <c r="J17" s="17">
        <v>6451</v>
      </c>
    </row>
    <row r="18" spans="1:10" x14ac:dyDescent="0.2">
      <c r="A18" s="1">
        <v>17</v>
      </c>
      <c r="B18" t="s">
        <v>157</v>
      </c>
      <c r="C18" t="s">
        <v>158</v>
      </c>
      <c r="D18" t="s">
        <v>159</v>
      </c>
      <c r="E18" t="s">
        <v>160</v>
      </c>
      <c r="F18" s="8" t="s">
        <v>161</v>
      </c>
      <c r="G18" s="8" t="s">
        <v>131</v>
      </c>
      <c r="H18" s="8" t="s">
        <v>163</v>
      </c>
      <c r="I18" s="8" t="s">
        <v>162</v>
      </c>
      <c r="J18" s="17">
        <v>4333</v>
      </c>
    </row>
    <row r="19" spans="1:10" x14ac:dyDescent="0.2">
      <c r="A19" s="1">
        <v>18</v>
      </c>
      <c r="B19" t="s">
        <v>166</v>
      </c>
      <c r="C19" t="s">
        <v>167</v>
      </c>
      <c r="D19" s="10" t="s">
        <v>168</v>
      </c>
      <c r="E19" t="s">
        <v>110</v>
      </c>
      <c r="F19" s="8" t="s">
        <v>169</v>
      </c>
      <c r="G19" s="8" t="s">
        <v>170</v>
      </c>
      <c r="H19" s="8" t="s">
        <v>163</v>
      </c>
      <c r="I19" s="8" t="s">
        <v>171</v>
      </c>
      <c r="J19" s="17">
        <v>4564</v>
      </c>
    </row>
    <row r="20" spans="1:10" x14ac:dyDescent="0.2">
      <c r="A20" s="1">
        <v>19</v>
      </c>
      <c r="B20" t="s">
        <v>173</v>
      </c>
      <c r="C20" t="s">
        <v>181</v>
      </c>
      <c r="D20" s="10" t="s">
        <v>174</v>
      </c>
      <c r="E20" t="s">
        <v>175</v>
      </c>
      <c r="F20" s="8" t="s">
        <v>169</v>
      </c>
      <c r="H20" s="8" t="s">
        <v>145</v>
      </c>
      <c r="I20" s="8" t="s">
        <v>176</v>
      </c>
      <c r="J20" s="17">
        <v>4938</v>
      </c>
    </row>
    <row r="21" spans="1:10" x14ac:dyDescent="0.2">
      <c r="A21" s="1">
        <v>20</v>
      </c>
      <c r="B21" t="s">
        <v>179</v>
      </c>
      <c r="C21" t="s">
        <v>180</v>
      </c>
      <c r="D21" t="s">
        <v>182</v>
      </c>
      <c r="E21" t="s">
        <v>183</v>
      </c>
      <c r="F21" s="8" t="s">
        <v>185</v>
      </c>
      <c r="G21" s="8" t="s">
        <v>186</v>
      </c>
      <c r="H21" s="8" t="s">
        <v>184</v>
      </c>
      <c r="J21" s="17">
        <v>5519</v>
      </c>
    </row>
    <row r="22" spans="1:10" x14ac:dyDescent="0.2">
      <c r="A22" s="1">
        <v>21</v>
      </c>
      <c r="B22" t="s">
        <v>189</v>
      </c>
      <c r="C22" t="s">
        <v>190</v>
      </c>
      <c r="D22" s="10" t="s">
        <v>191</v>
      </c>
      <c r="E22" t="s">
        <v>192</v>
      </c>
      <c r="F22" s="8" t="s">
        <v>193</v>
      </c>
      <c r="G22" s="8" t="s">
        <v>194</v>
      </c>
      <c r="H22" s="8" t="s">
        <v>154</v>
      </c>
      <c r="I22" s="8" t="s">
        <v>195</v>
      </c>
      <c r="J22" s="17">
        <v>6504</v>
      </c>
    </row>
    <row r="23" spans="1:10" x14ac:dyDescent="0.2">
      <c r="A23" s="1">
        <v>22</v>
      </c>
      <c r="B23" t="s">
        <v>198</v>
      </c>
      <c r="C23" t="s">
        <v>199</v>
      </c>
      <c r="D23" s="10" t="s">
        <v>200</v>
      </c>
      <c r="E23" t="s">
        <v>110</v>
      </c>
      <c r="F23" s="8" t="s">
        <v>170</v>
      </c>
      <c r="G23" s="8" t="s">
        <v>201</v>
      </c>
      <c r="H23" s="8" t="s">
        <v>202</v>
      </c>
      <c r="I23" s="8" t="s">
        <v>203</v>
      </c>
      <c r="J23" s="17">
        <v>2656</v>
      </c>
    </row>
    <row r="24" spans="1:10" x14ac:dyDescent="0.2">
      <c r="A24" s="1">
        <v>23</v>
      </c>
      <c r="B24" t="s">
        <v>210</v>
      </c>
      <c r="C24" t="s">
        <v>211</v>
      </c>
      <c r="D24" t="s">
        <v>214</v>
      </c>
      <c r="E24" t="s">
        <v>215</v>
      </c>
      <c r="F24" s="8" t="s">
        <v>212</v>
      </c>
      <c r="H24" s="8" t="s">
        <v>213</v>
      </c>
      <c r="I24" s="8" t="s">
        <v>216</v>
      </c>
      <c r="J24" s="17">
        <v>7290</v>
      </c>
    </row>
    <row r="25" spans="1:10" x14ac:dyDescent="0.2">
      <c r="A25" s="1">
        <v>24</v>
      </c>
      <c r="B25" s="10" t="s">
        <v>224</v>
      </c>
      <c r="C25" t="s">
        <v>225</v>
      </c>
      <c r="D25" t="s">
        <v>219</v>
      </c>
      <c r="E25" t="s">
        <v>220</v>
      </c>
      <c r="F25" s="8" t="s">
        <v>221</v>
      </c>
      <c r="G25" s="8" t="s">
        <v>222</v>
      </c>
      <c r="H25" s="8" t="s">
        <v>213</v>
      </c>
      <c r="I25" s="8" t="s">
        <v>223</v>
      </c>
      <c r="J25" s="17">
        <v>7636</v>
      </c>
    </row>
    <row r="26" spans="1:10" x14ac:dyDescent="0.2">
      <c r="A26" s="1">
        <v>25</v>
      </c>
      <c r="B26" t="s">
        <v>227</v>
      </c>
      <c r="C26" t="s">
        <v>228</v>
      </c>
      <c r="D26" t="s">
        <v>229</v>
      </c>
      <c r="E26" t="s">
        <v>230</v>
      </c>
      <c r="F26" s="8" t="s">
        <v>231</v>
      </c>
      <c r="G26" s="8" t="s">
        <v>232</v>
      </c>
      <c r="H26" s="8" t="s">
        <v>233</v>
      </c>
      <c r="I26" s="8" t="s">
        <v>234</v>
      </c>
      <c r="J26" s="17">
        <v>10266</v>
      </c>
    </row>
    <row r="27" spans="1:10" x14ac:dyDescent="0.2">
      <c r="A27" s="1">
        <v>26</v>
      </c>
      <c r="B27" t="s">
        <v>235</v>
      </c>
      <c r="C27" t="s">
        <v>236</v>
      </c>
      <c r="D27" t="s">
        <v>239</v>
      </c>
      <c r="H27" s="8" t="s">
        <v>238</v>
      </c>
      <c r="I27" s="8" t="s">
        <v>237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A23" sqref="A23"/>
    </sheetView>
  </sheetViews>
  <sheetFormatPr baseColWidth="10" defaultColWidth="8.83203125" defaultRowHeight="15" x14ac:dyDescent="0.2"/>
  <sheetData>
    <row r="1" spans="1:2" x14ac:dyDescent="0.2">
      <c r="A1" t="s">
        <v>33</v>
      </c>
      <c r="B1" t="s">
        <v>34</v>
      </c>
    </row>
    <row r="2" spans="1:2" x14ac:dyDescent="0.2">
      <c r="A2">
        <v>2056</v>
      </c>
      <c r="B2">
        <v>12</v>
      </c>
    </row>
    <row r="3" spans="1:2" x14ac:dyDescent="0.2">
      <c r="A3">
        <v>3301</v>
      </c>
      <c r="B3">
        <v>8</v>
      </c>
    </row>
    <row r="4" spans="1:2" x14ac:dyDescent="0.2">
      <c r="A4">
        <v>4270</v>
      </c>
      <c r="B4">
        <v>8</v>
      </c>
    </row>
    <row r="5" spans="1:2" x14ac:dyDescent="0.2">
      <c r="A5">
        <v>3302</v>
      </c>
      <c r="B5">
        <v>8</v>
      </c>
    </row>
    <row r="6" spans="1:2" x14ac:dyDescent="0.2">
      <c r="A6">
        <v>3254</v>
      </c>
      <c r="B6">
        <v>8</v>
      </c>
    </row>
    <row r="7" spans="1:2" x14ac:dyDescent="0.2">
      <c r="A7">
        <v>3197</v>
      </c>
      <c r="B7">
        <v>7</v>
      </c>
    </row>
    <row r="8" spans="1:2" x14ac:dyDescent="0.2">
      <c r="A8">
        <v>6347</v>
      </c>
      <c r="B8">
        <v>7</v>
      </c>
    </row>
    <row r="9" spans="1:2" x14ac:dyDescent="0.2">
      <c r="A9">
        <v>4864</v>
      </c>
      <c r="B9">
        <v>7</v>
      </c>
    </row>
    <row r="10" spans="1:2" s="9" customFormat="1" x14ac:dyDescent="0.2">
      <c r="A10" s="9">
        <v>4174</v>
      </c>
      <c r="B10" s="9">
        <v>7</v>
      </c>
    </row>
    <row r="11" spans="1:2" x14ac:dyDescent="0.2">
      <c r="A11">
        <v>3581</v>
      </c>
      <c r="B11">
        <v>6</v>
      </c>
    </row>
    <row r="12" spans="1:2" x14ac:dyDescent="0.2">
      <c r="A12">
        <v>5935</v>
      </c>
      <c r="B12">
        <v>6</v>
      </c>
    </row>
    <row r="13" spans="1:2" x14ac:dyDescent="0.2">
      <c r="A13">
        <v>2927</v>
      </c>
      <c r="B13">
        <v>6</v>
      </c>
    </row>
    <row r="14" spans="1:2" x14ac:dyDescent="0.2">
      <c r="A14">
        <v>1654</v>
      </c>
      <c r="B14">
        <v>6</v>
      </c>
    </row>
    <row r="15" spans="1:2" x14ac:dyDescent="0.2">
      <c r="A15">
        <v>5278</v>
      </c>
      <c r="B15">
        <v>6</v>
      </c>
    </row>
    <row r="16" spans="1:2" x14ac:dyDescent="0.2">
      <c r="A16">
        <v>6451</v>
      </c>
      <c r="B16">
        <v>5</v>
      </c>
    </row>
    <row r="17" spans="1:2" x14ac:dyDescent="0.2">
      <c r="A17">
        <v>4333</v>
      </c>
      <c r="B17">
        <v>5</v>
      </c>
    </row>
    <row r="18" spans="1:2" x14ac:dyDescent="0.2">
      <c r="A18">
        <v>4564</v>
      </c>
      <c r="B18">
        <v>5</v>
      </c>
    </row>
    <row r="19" spans="1:2" x14ac:dyDescent="0.2">
      <c r="A19">
        <v>4938</v>
      </c>
      <c r="B19">
        <v>5</v>
      </c>
    </row>
    <row r="20" spans="1:2" x14ac:dyDescent="0.2">
      <c r="A20">
        <v>5519</v>
      </c>
      <c r="B20">
        <v>5</v>
      </c>
    </row>
    <row r="21" spans="1:2" x14ac:dyDescent="0.2">
      <c r="A21">
        <v>6504</v>
      </c>
      <c r="B21">
        <v>5</v>
      </c>
    </row>
    <row r="22" spans="1:2" x14ac:dyDescent="0.2">
      <c r="A22">
        <v>2656</v>
      </c>
      <c r="B22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7"/>
  <sheetViews>
    <sheetView workbookViewId="0">
      <selection activeCell="I20" sqref="I20"/>
    </sheetView>
  </sheetViews>
  <sheetFormatPr baseColWidth="10" defaultColWidth="8.83203125" defaultRowHeight="15" x14ac:dyDescent="0.2"/>
  <cols>
    <col min="2" max="2" width="16.6640625" customWidth="1"/>
    <col min="3" max="3" width="14" customWidth="1"/>
    <col min="4" max="4" width="14.33203125" customWidth="1"/>
    <col min="5" max="5" width="22.5" customWidth="1"/>
  </cols>
  <sheetData>
    <row r="2" spans="2:5" x14ac:dyDescent="0.2">
      <c r="B2" s="11" t="s">
        <v>55</v>
      </c>
      <c r="C2" s="11" t="s">
        <v>56</v>
      </c>
      <c r="D2" s="11" t="s">
        <v>57</v>
      </c>
      <c r="E2" s="11" t="s">
        <v>58</v>
      </c>
    </row>
    <row r="3" spans="2:5" x14ac:dyDescent="0.2">
      <c r="B3" s="12" t="s">
        <v>59</v>
      </c>
      <c r="C3" s="13">
        <f>1/12*10^6/24/60/60</f>
        <v>0.96450617283950613</v>
      </c>
      <c r="D3" s="14">
        <v>1</v>
      </c>
      <c r="E3" s="14">
        <f t="shared" ref="E3:E17" si="0">D3*C3</f>
        <v>0.96450617283950613</v>
      </c>
    </row>
    <row r="4" spans="2:5" x14ac:dyDescent="0.2">
      <c r="B4" s="12" t="s">
        <v>60</v>
      </c>
      <c r="C4" s="15">
        <f>1/12*10^6/60/60</f>
        <v>23.148148148148149</v>
      </c>
      <c r="D4" s="14">
        <v>0.1</v>
      </c>
      <c r="E4" s="14">
        <f t="shared" si="0"/>
        <v>2.3148148148148149</v>
      </c>
    </row>
    <row r="5" spans="2:5" x14ac:dyDescent="0.2">
      <c r="B5" s="12" t="s">
        <v>61</v>
      </c>
      <c r="C5" s="15">
        <f>1/12*10^6/24/60/60/365</f>
        <v>2.6424826653137154E-3</v>
      </c>
      <c r="D5" s="15">
        <v>500</v>
      </c>
      <c r="E5" s="14">
        <f t="shared" si="0"/>
        <v>1.3212413326568577</v>
      </c>
    </row>
    <row r="6" spans="2:5" x14ac:dyDescent="0.2">
      <c r="B6" s="12" t="s">
        <v>62</v>
      </c>
      <c r="C6" s="13">
        <f>1/44*10^6/60/60/24</f>
        <v>0.26304713804713803</v>
      </c>
      <c r="D6" s="15">
        <v>10</v>
      </c>
      <c r="E6" s="14">
        <f t="shared" si="0"/>
        <v>2.6304713804713802</v>
      </c>
    </row>
    <row r="7" spans="2:5" x14ac:dyDescent="0.2">
      <c r="B7" s="12" t="s">
        <v>63</v>
      </c>
      <c r="C7" s="13">
        <f>1/44*10^6/60/60</f>
        <v>6.3131313131313131</v>
      </c>
      <c r="D7" s="14">
        <v>1</v>
      </c>
      <c r="E7" s="14">
        <f t="shared" si="0"/>
        <v>6.3131313131313131</v>
      </c>
    </row>
    <row r="8" spans="2:5" x14ac:dyDescent="0.2">
      <c r="B8" s="12" t="s">
        <v>64</v>
      </c>
      <c r="C8" s="13">
        <f>1/1000/12*10^6/60/60/24</f>
        <v>9.6450617283950612E-4</v>
      </c>
      <c r="D8" s="14">
        <v>1000</v>
      </c>
      <c r="E8" s="14">
        <f t="shared" si="0"/>
        <v>0.96450617283950613</v>
      </c>
    </row>
    <row r="9" spans="2:5" x14ac:dyDescent="0.2">
      <c r="B9" s="12" t="s">
        <v>65</v>
      </c>
      <c r="C9" s="13">
        <f>1/1000/12*10^6/60/60</f>
        <v>2.3148148148148147E-2</v>
      </c>
      <c r="D9" s="14">
        <v>83</v>
      </c>
      <c r="E9" s="14">
        <f t="shared" si="0"/>
        <v>1.9212962962962963</v>
      </c>
    </row>
    <row r="10" spans="2:5" x14ac:dyDescent="0.2">
      <c r="B10" s="12" t="s">
        <v>66</v>
      </c>
      <c r="C10" s="13">
        <f>1/1000/44*10^6/24/60/60</f>
        <v>2.6304713804713804E-4</v>
      </c>
      <c r="D10" s="14">
        <v>1000</v>
      </c>
      <c r="E10" s="14">
        <f t="shared" si="0"/>
        <v>0.26304713804713803</v>
      </c>
    </row>
    <row r="11" spans="2:5" x14ac:dyDescent="0.2">
      <c r="B11" s="12" t="s">
        <v>67</v>
      </c>
      <c r="C11" s="13">
        <f>1/1000/44*10^6/60/60</f>
        <v>6.3131313131313139E-3</v>
      </c>
      <c r="D11" s="14">
        <v>100</v>
      </c>
      <c r="E11" s="14">
        <f t="shared" si="0"/>
        <v>0.63131313131313138</v>
      </c>
    </row>
    <row r="12" spans="2:5" x14ac:dyDescent="0.2">
      <c r="B12" s="12" t="s">
        <v>68</v>
      </c>
      <c r="C12" s="13">
        <f>1/1000/44*10^6</f>
        <v>22.72727272727273</v>
      </c>
      <c r="D12" s="15">
        <v>1</v>
      </c>
      <c r="E12" s="14">
        <f t="shared" si="0"/>
        <v>22.72727272727273</v>
      </c>
    </row>
    <row r="13" spans="2:5" x14ac:dyDescent="0.2">
      <c r="B13" s="12" t="s">
        <v>69</v>
      </c>
      <c r="C13" s="13">
        <f>1*1000/24/60/60</f>
        <v>1.1574074074074073E-2</v>
      </c>
      <c r="D13" s="14">
        <v>10</v>
      </c>
      <c r="E13" s="14">
        <f t="shared" si="0"/>
        <v>0.11574074074074073</v>
      </c>
    </row>
    <row r="14" spans="2:5" x14ac:dyDescent="0.2">
      <c r="B14" s="12" t="s">
        <v>70</v>
      </c>
      <c r="C14" s="15">
        <f>1*1000/60/60</f>
        <v>0.27777777777777779</v>
      </c>
      <c r="D14" s="14">
        <v>100</v>
      </c>
      <c r="E14" s="14">
        <f t="shared" si="0"/>
        <v>27.777777777777779</v>
      </c>
    </row>
    <row r="15" spans="2:5" x14ac:dyDescent="0.2">
      <c r="B15" s="12" t="s">
        <v>71</v>
      </c>
      <c r="C15" s="13">
        <f>1/1000</f>
        <v>1E-3</v>
      </c>
      <c r="D15" s="14">
        <v>1000</v>
      </c>
      <c r="E15" s="14">
        <f t="shared" si="0"/>
        <v>1</v>
      </c>
    </row>
    <row r="16" spans="2:5" x14ac:dyDescent="0.2">
      <c r="B16" s="12" t="s">
        <v>72</v>
      </c>
      <c r="C16" s="15">
        <f>1*10^6/365/24/60/60</f>
        <v>3.1709791983764585E-2</v>
      </c>
      <c r="D16" s="14">
        <v>10</v>
      </c>
      <c r="E16" s="14">
        <f t="shared" si="0"/>
        <v>0.31709791983764585</v>
      </c>
    </row>
    <row r="17" spans="2:5" x14ac:dyDescent="0.2">
      <c r="B17" s="12" t="s">
        <v>73</v>
      </c>
      <c r="C17" s="13">
        <v>1</v>
      </c>
      <c r="D17" s="14">
        <v>1</v>
      </c>
      <c r="E17" s="1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Studies</vt:lpstr>
      <vt:lpstr>FromMGRsD</vt:lpstr>
      <vt:lpstr>UnitsConvertor</vt:lpstr>
      <vt:lpstr>Sheet1!_0Raw</vt:lpstr>
      <vt:lpstr>Sheet1!_0Raw_1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2019-06-14T13:33:57Z</dcterms:modified>
</cp:coreProperties>
</file>