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IPOSOWYI\Desktop\Files\Files\Work\Capacity Model_2025\Simulation results\PCT lead in 2025, gdp from 26\1. Pure FIFO - WORST\"/>
    </mc:Choice>
  </mc:AlternateContent>
  <xr:revisionPtr revIDLastSave="0" documentId="13_ncr:1_{8937D17D-605C-43AC-A0B5-094AFA0E5209}" xr6:coauthVersionLast="47" xr6:coauthVersionMax="47" xr10:uidLastSave="{00000000-0000-0000-0000-000000000000}"/>
  <bookViews>
    <workbookView xWindow="-110" yWindow="-110" windowWidth="19420" windowHeight="11620" firstSheet="2" activeTab="3" xr2:uid="{00000000-000D-0000-FFFF-FFFF00000000}"/>
  </bookViews>
  <sheets>
    <sheet name="Point System" sheetId="2" r:id="rId1"/>
    <sheet name="Capacity Fig by Celine" sheetId="22" r:id="rId2"/>
    <sheet name="Qc" sheetId="21" r:id="rId3"/>
    <sheet name="Calculate Capacity" sheetId="17" r:id="rId4"/>
    <sheet name="Calculate FOA per Day" sheetId="19" r:id="rId5"/>
    <sheet name="Python-Cap" sheetId="18" r:id="rId6"/>
    <sheet name="Python-FOA" sheetId="2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7" l="1"/>
  <c r="C21" i="17"/>
  <c r="C2" i="17"/>
  <c r="D2" i="17"/>
  <c r="E2" i="17"/>
  <c r="F2" i="17"/>
  <c r="G2" i="17"/>
  <c r="B2" i="17"/>
  <c r="L66" i="22"/>
  <c r="M66" i="22"/>
  <c r="N66" i="22"/>
  <c r="O66" i="22"/>
  <c r="P66" i="22"/>
  <c r="L67" i="22"/>
  <c r="M67" i="22"/>
  <c r="N67" i="22"/>
  <c r="O67" i="22"/>
  <c r="P67" i="22"/>
  <c r="L68" i="22"/>
  <c r="M68" i="22"/>
  <c r="N68" i="22"/>
  <c r="O68" i="22"/>
  <c r="P68" i="22"/>
  <c r="L69" i="22"/>
  <c r="M69" i="22"/>
  <c r="N69" i="22"/>
  <c r="O69" i="22"/>
  <c r="P69" i="22"/>
  <c r="K67" i="22"/>
  <c r="K68" i="22"/>
  <c r="K69" i="22"/>
  <c r="K66" i="22"/>
  <c r="C66" i="22"/>
  <c r="D66" i="22"/>
  <c r="E66" i="22"/>
  <c r="F66" i="22"/>
  <c r="G66" i="22"/>
  <c r="C67" i="22"/>
  <c r="D67" i="22"/>
  <c r="E67" i="22"/>
  <c r="F67" i="22"/>
  <c r="G67" i="22"/>
  <c r="C68" i="22"/>
  <c r="D68" i="22"/>
  <c r="E68" i="22"/>
  <c r="F68" i="22"/>
  <c r="G68" i="22"/>
  <c r="C69" i="22"/>
  <c r="D69" i="22"/>
  <c r="E69" i="22"/>
  <c r="F69" i="22"/>
  <c r="G69" i="22"/>
  <c r="B67" i="22"/>
  <c r="B68" i="22"/>
  <c r="B69" i="22"/>
  <c r="B66" i="22"/>
  <c r="C27" i="17"/>
  <c r="D27" i="17"/>
  <c r="E27" i="17"/>
  <c r="F27" i="17"/>
  <c r="G27" i="17"/>
  <c r="B27" i="17"/>
  <c r="B6" i="17"/>
  <c r="C6" i="17" s="1"/>
  <c r="G4" i="17" l="1"/>
  <c r="B4" i="17"/>
  <c r="M3" i="17"/>
  <c r="C8" i="17" l="1"/>
  <c r="D8" i="17"/>
  <c r="E8" i="17"/>
  <c r="F8" i="17"/>
  <c r="G8" i="17"/>
  <c r="B8" i="17"/>
  <c r="N28" i="22"/>
  <c r="J28" i="22"/>
  <c r="K28" i="22"/>
  <c r="L28" i="22"/>
  <c r="M28" i="22"/>
  <c r="J29" i="22"/>
  <c r="K29" i="22"/>
  <c r="L29" i="22"/>
  <c r="M29" i="22"/>
  <c r="N29" i="22"/>
  <c r="J30" i="22"/>
  <c r="K30" i="22"/>
  <c r="L30" i="22"/>
  <c r="M30" i="22"/>
  <c r="N30" i="22"/>
  <c r="J31" i="22"/>
  <c r="K31" i="22"/>
  <c r="L31" i="22"/>
  <c r="M31" i="22"/>
  <c r="N31" i="22"/>
  <c r="I29" i="22"/>
  <c r="I30" i="22"/>
  <c r="I31" i="22"/>
  <c r="I28" i="22"/>
  <c r="B10" i="17" l="1"/>
  <c r="D6" i="17"/>
  <c r="E6" i="17" s="1"/>
  <c r="F6" i="17" s="1"/>
  <c r="G6" i="17" s="1"/>
  <c r="G10" i="17" s="1"/>
  <c r="G21" i="17" s="1"/>
  <c r="G23" i="17"/>
  <c r="E23" i="17"/>
  <c r="D23" i="17"/>
  <c r="F23" i="17"/>
  <c r="G14" i="17" l="1"/>
  <c r="G15" i="17"/>
  <c r="G18" i="17" s="1"/>
  <c r="B15" i="17"/>
  <c r="B18" i="17" s="1"/>
  <c r="B14" i="17"/>
  <c r="G19" i="22"/>
  <c r="C19" i="22"/>
  <c r="D19" i="22"/>
  <c r="E19" i="22"/>
  <c r="F19" i="22"/>
  <c r="C20" i="22"/>
  <c r="D20" i="22"/>
  <c r="E20" i="22"/>
  <c r="F20" i="22"/>
  <c r="G20" i="22"/>
  <c r="C21" i="22"/>
  <c r="D21" i="22"/>
  <c r="E21" i="22"/>
  <c r="F21" i="22"/>
  <c r="G21" i="22"/>
  <c r="C22" i="22"/>
  <c r="D22" i="22"/>
  <c r="E22" i="22"/>
  <c r="F22" i="22"/>
  <c r="G22" i="22"/>
  <c r="C23" i="22"/>
  <c r="D23" i="22"/>
  <c r="E23" i="22"/>
  <c r="F23" i="22"/>
  <c r="G23" i="22"/>
  <c r="B20" i="22"/>
  <c r="B21" i="22"/>
  <c r="B22" i="22"/>
  <c r="B23" i="22"/>
  <c r="B19" i="22"/>
  <c r="L19" i="22"/>
  <c r="B17" i="17" l="1"/>
  <c r="B16" i="17"/>
  <c r="G17" i="17"/>
  <c r="G16" i="17"/>
  <c r="M19" i="22"/>
  <c r="N19" i="22"/>
  <c r="O19" i="22"/>
  <c r="P19" i="22"/>
  <c r="Q19" i="22"/>
  <c r="M20" i="22"/>
  <c r="N20" i="22"/>
  <c r="O20" i="22"/>
  <c r="P20" i="22"/>
  <c r="Q20" i="22"/>
  <c r="M21" i="22"/>
  <c r="N21" i="22"/>
  <c r="O21" i="22"/>
  <c r="P21" i="22"/>
  <c r="Q21" i="22"/>
  <c r="M22" i="22"/>
  <c r="N22" i="22"/>
  <c r="O22" i="22"/>
  <c r="P22" i="22"/>
  <c r="Q22" i="22"/>
  <c r="M23" i="22"/>
  <c r="N23" i="22"/>
  <c r="O23" i="22"/>
  <c r="P23" i="22"/>
  <c r="Q23" i="22"/>
  <c r="L20" i="22"/>
  <c r="L21" i="22"/>
  <c r="L22" i="22"/>
  <c r="L23" i="22"/>
  <c r="C4" i="17" l="1"/>
  <c r="C10" i="17" s="1"/>
  <c r="D4" i="17"/>
  <c r="D10" i="17" s="1"/>
  <c r="D21" i="17" s="1"/>
  <c r="E4" i="17"/>
  <c r="E10" i="17" s="1"/>
  <c r="E21" i="17" s="1"/>
  <c r="F4" i="17"/>
  <c r="F10" i="17" s="1"/>
  <c r="F21" i="17" s="1"/>
  <c r="P30" i="17"/>
  <c r="C24" i="17"/>
  <c r="C25" i="17" s="1"/>
  <c r="B24" i="17"/>
  <c r="K28" i="17"/>
  <c r="M20" i="17"/>
  <c r="M19" i="17"/>
  <c r="C26" i="17" l="1"/>
  <c r="F15" i="17"/>
  <c r="F18" i="17" s="1"/>
  <c r="F14" i="17"/>
  <c r="E14" i="17"/>
  <c r="E15" i="17"/>
  <c r="E18" i="17" s="1"/>
  <c r="D15" i="17"/>
  <c r="D18" i="17" s="1"/>
  <c r="D14" i="17"/>
  <c r="C14" i="17"/>
  <c r="C15" i="17"/>
  <c r="C18" i="17" s="1"/>
  <c r="G24" i="17"/>
  <c r="G25" i="17" s="1"/>
  <c r="E24" i="17"/>
  <c r="E25" i="17" s="1"/>
  <c r="D24" i="17"/>
  <c r="D25" i="17" s="1"/>
  <c r="F24" i="17"/>
  <c r="F25" i="17" s="1"/>
  <c r="M12" i="17"/>
  <c r="M14" i="17"/>
  <c r="M15" i="17"/>
  <c r="M5" i="17"/>
  <c r="M6" i="17"/>
  <c r="M7" i="17"/>
  <c r="M9" i="17"/>
  <c r="M2" i="17"/>
  <c r="C31" i="17" l="1"/>
  <c r="C34" i="17"/>
  <c r="C33" i="17"/>
  <c r="C32" i="17"/>
  <c r="D17" i="17"/>
  <c r="D16" i="17"/>
  <c r="E17" i="17"/>
  <c r="E16" i="17"/>
  <c r="F17" i="17"/>
  <c r="F16" i="17"/>
  <c r="B26" i="17"/>
  <c r="C16" i="17"/>
  <c r="C17" i="17"/>
  <c r="G26" i="17"/>
  <c r="D26" i="17"/>
  <c r="E26" i="17"/>
  <c r="F26" i="17"/>
  <c r="M11" i="17"/>
  <c r="B31" i="17" l="1"/>
  <c r="B39" i="17" s="1"/>
  <c r="B33" i="17"/>
  <c r="B34" i="17"/>
  <c r="B32" i="17"/>
  <c r="E31" i="17"/>
  <c r="E34" i="17"/>
  <c r="E33" i="17"/>
  <c r="E32" i="17"/>
  <c r="D31" i="17"/>
  <c r="D34" i="17"/>
  <c r="D33" i="17"/>
  <c r="D32" i="17"/>
  <c r="G31" i="17"/>
  <c r="G34" i="17"/>
  <c r="G32" i="17"/>
  <c r="G33" i="17"/>
  <c r="F31" i="17"/>
  <c r="F34" i="17"/>
  <c r="F32" i="17"/>
  <c r="F33" i="17"/>
  <c r="H2" i="19"/>
  <c r="F11" i="19" s="1"/>
  <c r="G11" i="19" s="1"/>
  <c r="B11" i="19" s="1"/>
  <c r="B2" i="20" s="1"/>
  <c r="M21" i="17"/>
  <c r="N21" i="17" s="1"/>
  <c r="G32" i="21"/>
  <c r="E28" i="21"/>
  <c r="E32" i="21"/>
  <c r="D32" i="21"/>
  <c r="F15" i="19" l="1"/>
  <c r="G28" i="21"/>
  <c r="F28" i="21"/>
  <c r="H32" i="21"/>
  <c r="F32" i="21"/>
  <c r="C32" i="21"/>
  <c r="B32" i="21"/>
  <c r="H28" i="21" l="1"/>
  <c r="D28" i="21"/>
  <c r="C28" i="21"/>
  <c r="B28" i="21"/>
  <c r="H24" i="21" l="1"/>
  <c r="G24" i="21"/>
  <c r="F24" i="21"/>
  <c r="E24" i="21"/>
  <c r="D24" i="21"/>
  <c r="C24" i="21"/>
  <c r="B24" i="21"/>
  <c r="H20" i="21"/>
  <c r="G20" i="21"/>
  <c r="F20" i="21"/>
  <c r="E20" i="21"/>
  <c r="D20" i="21"/>
  <c r="C20" i="21"/>
  <c r="B20" i="21"/>
  <c r="H13" i="21" l="1"/>
  <c r="G13" i="21"/>
  <c r="F13" i="21"/>
  <c r="E13" i="21"/>
  <c r="D13" i="21"/>
  <c r="C13" i="21"/>
  <c r="B13" i="21"/>
  <c r="P29" i="17" l="1"/>
  <c r="P31" i="17"/>
  <c r="P28" i="17"/>
  <c r="O29" i="17"/>
  <c r="O30" i="17"/>
  <c r="O31" i="17"/>
  <c r="O28" i="17"/>
  <c r="N29" i="17"/>
  <c r="N30" i="17"/>
  <c r="N31" i="17"/>
  <c r="N28" i="17"/>
  <c r="M29" i="17"/>
  <c r="M30" i="17"/>
  <c r="M31" i="17"/>
  <c r="M28" i="17"/>
  <c r="L29" i="17"/>
  <c r="L30" i="17"/>
  <c r="L31" i="17"/>
  <c r="L28" i="17"/>
  <c r="K29" i="17"/>
  <c r="K30" i="17"/>
  <c r="K31" i="17"/>
  <c r="E62" i="17" l="1"/>
  <c r="F34" i="19"/>
  <c r="G34" i="19" s="1"/>
  <c r="F31" i="19"/>
  <c r="G31" i="19" s="1"/>
  <c r="B31" i="19" s="1"/>
  <c r="F32" i="19"/>
  <c r="G32" i="19" s="1"/>
  <c r="F33" i="19"/>
  <c r="G33" i="19" s="1"/>
  <c r="C62" i="17" l="1"/>
  <c r="C25" i="18" s="1"/>
  <c r="C60" i="17"/>
  <c r="C23" i="18" s="1"/>
  <c r="C61" i="17"/>
  <c r="C24" i="18" s="1"/>
  <c r="C59" i="17"/>
  <c r="C22" i="18" s="1"/>
  <c r="E61" i="17"/>
  <c r="E24" i="18" s="1"/>
  <c r="E60" i="17"/>
  <c r="E23" i="18" s="1"/>
  <c r="E25" i="18"/>
  <c r="E59" i="17"/>
  <c r="E22" i="18" s="1"/>
  <c r="D60" i="17"/>
  <c r="D23" i="18" s="1"/>
  <c r="D61" i="17"/>
  <c r="D24" i="18" s="1"/>
  <c r="D59" i="17"/>
  <c r="D22" i="18" s="1"/>
  <c r="D62" i="17"/>
  <c r="D25" i="18" s="1"/>
  <c r="C33" i="19"/>
  <c r="C24" i="20" s="1"/>
  <c r="E33" i="19"/>
  <c r="E24" i="20" s="1"/>
  <c r="D33" i="19"/>
  <c r="D24" i="20" s="1"/>
  <c r="B33" i="19"/>
  <c r="B24" i="20" s="1"/>
  <c r="E32" i="19"/>
  <c r="E23" i="20" s="1"/>
  <c r="D32" i="19"/>
  <c r="D23" i="20" s="1"/>
  <c r="C32" i="19"/>
  <c r="C23" i="20" s="1"/>
  <c r="B32" i="19"/>
  <c r="B23" i="20" s="1"/>
  <c r="E31" i="19"/>
  <c r="E22" i="20" s="1"/>
  <c r="C31" i="19"/>
  <c r="C22" i="20" s="1"/>
  <c r="D31" i="19"/>
  <c r="D22" i="20" s="1"/>
  <c r="B22" i="20"/>
  <c r="B34" i="19"/>
  <c r="B25" i="20" s="1"/>
  <c r="E34" i="19"/>
  <c r="E25" i="20" s="1"/>
  <c r="C34" i="19"/>
  <c r="C25" i="20" s="1"/>
  <c r="D34" i="19"/>
  <c r="D25" i="20" s="1"/>
  <c r="B60" i="17"/>
  <c r="B23" i="18" s="1"/>
  <c r="B61" i="17"/>
  <c r="B24" i="18" s="1"/>
  <c r="B62" i="17"/>
  <c r="B25" i="18" s="1"/>
  <c r="B59" i="17"/>
  <c r="B22" i="18" s="1"/>
  <c r="C39" i="17" l="1"/>
  <c r="B58" i="17"/>
  <c r="F30" i="19"/>
  <c r="G30" i="19" s="1"/>
  <c r="B30" i="19" s="1"/>
  <c r="F21" i="19"/>
  <c r="G21" i="19" s="1"/>
  <c r="F22" i="19"/>
  <c r="G22" i="19" s="1"/>
  <c r="F19" i="19"/>
  <c r="G19" i="19" s="1"/>
  <c r="B19" i="19" s="1"/>
  <c r="F20" i="19"/>
  <c r="G20" i="19" s="1"/>
  <c r="F28" i="19"/>
  <c r="G28" i="19" s="1"/>
  <c r="F27" i="19"/>
  <c r="G27" i="19" s="1"/>
  <c r="F29" i="19"/>
  <c r="G29" i="19" s="1"/>
  <c r="E57" i="17"/>
  <c r="F23" i="19"/>
  <c r="G23" i="19" s="1"/>
  <c r="F24" i="19"/>
  <c r="G24" i="19" s="1"/>
  <c r="F26" i="19"/>
  <c r="G26" i="19" s="1"/>
  <c r="F25" i="19"/>
  <c r="G25" i="19" s="1"/>
  <c r="F17" i="19"/>
  <c r="G17" i="19" s="1"/>
  <c r="F16" i="19"/>
  <c r="G16" i="19" s="1"/>
  <c r="F18" i="19"/>
  <c r="G18" i="19" s="1"/>
  <c r="G15" i="19"/>
  <c r="B15" i="19" s="1"/>
  <c r="F13" i="19"/>
  <c r="G13" i="19" s="1"/>
  <c r="F12" i="19"/>
  <c r="G12" i="19" s="1"/>
  <c r="F14" i="19"/>
  <c r="G14" i="19" s="1"/>
  <c r="E12" i="2"/>
  <c r="E3" i="2"/>
  <c r="E2" i="2"/>
  <c r="D12" i="2"/>
  <c r="D2" i="2"/>
  <c r="D3" i="2"/>
  <c r="D4" i="2"/>
  <c r="D5" i="2"/>
  <c r="D9" i="2"/>
  <c r="D1" i="2"/>
  <c r="B43" i="17" l="1"/>
  <c r="B6" i="18" s="1"/>
  <c r="B44" i="17"/>
  <c r="B7" i="18" s="1"/>
  <c r="B45" i="17"/>
  <c r="B8" i="18" s="1"/>
  <c r="B46" i="17"/>
  <c r="B9" i="18" s="1"/>
  <c r="C56" i="17"/>
  <c r="C19" i="18" s="1"/>
  <c r="C57" i="17"/>
  <c r="C20" i="18" s="1"/>
  <c r="C58" i="17"/>
  <c r="C21" i="18" s="1"/>
  <c r="C55" i="17"/>
  <c r="C18" i="18" s="1"/>
  <c r="B56" i="17"/>
  <c r="B19" i="18" s="1"/>
  <c r="B57" i="17"/>
  <c r="B20" i="18" s="1"/>
  <c r="B21" i="18"/>
  <c r="B55" i="17"/>
  <c r="B18" i="18" s="1"/>
  <c r="D58" i="17"/>
  <c r="D21" i="18" s="1"/>
  <c r="D56" i="17"/>
  <c r="D19" i="18" s="1"/>
  <c r="D57" i="17"/>
  <c r="D20" i="18" s="1"/>
  <c r="D55" i="17"/>
  <c r="D18" i="18" s="1"/>
  <c r="C27" i="19"/>
  <c r="C18" i="20" s="1"/>
  <c r="E27" i="19"/>
  <c r="E18" i="20" s="1"/>
  <c r="B27" i="19"/>
  <c r="B18" i="20" s="1"/>
  <c r="D27" i="19"/>
  <c r="D18" i="20" s="1"/>
  <c r="D46" i="17"/>
  <c r="D9" i="18" s="1"/>
  <c r="D45" i="17"/>
  <c r="D8" i="18" s="1"/>
  <c r="D44" i="17"/>
  <c r="D7" i="18" s="1"/>
  <c r="D43" i="17"/>
  <c r="D6" i="18" s="1"/>
  <c r="C29" i="19"/>
  <c r="C20" i="20" s="1"/>
  <c r="B29" i="19"/>
  <c r="B20" i="20" s="1"/>
  <c r="E29" i="19"/>
  <c r="E20" i="20" s="1"/>
  <c r="D29" i="19"/>
  <c r="D20" i="20" s="1"/>
  <c r="C18" i="19"/>
  <c r="C9" i="20" s="1"/>
  <c r="D18" i="19"/>
  <c r="D9" i="20" s="1"/>
  <c r="E18" i="19"/>
  <c r="E9" i="20" s="1"/>
  <c r="B18" i="19"/>
  <c r="B9" i="20" s="1"/>
  <c r="E16" i="19"/>
  <c r="E7" i="20" s="1"/>
  <c r="D16" i="19"/>
  <c r="D7" i="20" s="1"/>
  <c r="C16" i="19"/>
  <c r="C7" i="20" s="1"/>
  <c r="B16" i="19"/>
  <c r="B7" i="20" s="1"/>
  <c r="C28" i="19"/>
  <c r="C19" i="20" s="1"/>
  <c r="D28" i="19"/>
  <c r="D19" i="20" s="1"/>
  <c r="B28" i="19"/>
  <c r="B19" i="20" s="1"/>
  <c r="E28" i="19"/>
  <c r="E19" i="20" s="1"/>
  <c r="E20" i="18"/>
  <c r="E55" i="17"/>
  <c r="E18" i="18" s="1"/>
  <c r="E58" i="17"/>
  <c r="E21" i="18" s="1"/>
  <c r="E56" i="17"/>
  <c r="E19" i="18" s="1"/>
  <c r="C17" i="19"/>
  <c r="C8" i="20" s="1"/>
  <c r="D17" i="19"/>
  <c r="D8" i="20" s="1"/>
  <c r="B17" i="19"/>
  <c r="B8" i="20" s="1"/>
  <c r="E17" i="19"/>
  <c r="E8" i="20" s="1"/>
  <c r="C30" i="19"/>
  <c r="C21" i="20" s="1"/>
  <c r="D30" i="19"/>
  <c r="D21" i="20" s="1"/>
  <c r="B21" i="20"/>
  <c r="E30" i="19"/>
  <c r="E21" i="20" s="1"/>
  <c r="C46" i="17"/>
  <c r="C9" i="18" s="1"/>
  <c r="C45" i="17"/>
  <c r="C8" i="18" s="1"/>
  <c r="C43" i="17"/>
  <c r="C6" i="18" s="1"/>
  <c r="C44" i="17"/>
  <c r="C7" i="18" s="1"/>
  <c r="B40" i="17"/>
  <c r="B3" i="18" s="1"/>
  <c r="B41" i="17"/>
  <c r="B4" i="18" s="1"/>
  <c r="B42" i="17"/>
  <c r="B5" i="18" s="1"/>
  <c r="B2" i="18"/>
  <c r="C52" i="17"/>
  <c r="C15" i="18" s="1"/>
  <c r="C54" i="17"/>
  <c r="C17" i="18" s="1"/>
  <c r="C53" i="17"/>
  <c r="C16" i="18" s="1"/>
  <c r="C51" i="17"/>
  <c r="C14" i="18" s="1"/>
  <c r="E48" i="17"/>
  <c r="E11" i="18" s="1"/>
  <c r="E49" i="17"/>
  <c r="E12" i="18" s="1"/>
  <c r="E50" i="17"/>
  <c r="E13" i="18" s="1"/>
  <c r="E47" i="17"/>
  <c r="E10" i="18" s="1"/>
  <c r="D15" i="19"/>
  <c r="D6" i="20" s="1"/>
  <c r="B6" i="20"/>
  <c r="C15" i="19"/>
  <c r="C6" i="20" s="1"/>
  <c r="E15" i="19"/>
  <c r="E6" i="20" s="1"/>
  <c r="D41" i="17"/>
  <c r="D4" i="18" s="1"/>
  <c r="D42" i="17"/>
  <c r="D5" i="18" s="1"/>
  <c r="D39" i="17"/>
  <c r="D2" i="18" s="1"/>
  <c r="D40" i="17"/>
  <c r="D3" i="18" s="1"/>
  <c r="B54" i="17"/>
  <c r="B17" i="18" s="1"/>
  <c r="B53" i="17"/>
  <c r="B16" i="18" s="1"/>
  <c r="B52" i="17"/>
  <c r="B15" i="18" s="1"/>
  <c r="B51" i="17"/>
  <c r="B14" i="18" s="1"/>
  <c r="B50" i="17"/>
  <c r="B13" i="18" s="1"/>
  <c r="B49" i="17"/>
  <c r="B12" i="18" s="1"/>
  <c r="B47" i="17"/>
  <c r="B10" i="18" s="1"/>
  <c r="B48" i="17"/>
  <c r="B11" i="18" s="1"/>
  <c r="E46" i="17"/>
  <c r="E9" i="18" s="1"/>
  <c r="E44" i="17"/>
  <c r="E7" i="18" s="1"/>
  <c r="E45" i="17"/>
  <c r="E8" i="18" s="1"/>
  <c r="E43" i="17"/>
  <c r="E6" i="18" s="1"/>
  <c r="C40" i="17"/>
  <c r="C3" i="18" s="1"/>
  <c r="C41" i="17"/>
  <c r="C4" i="18" s="1"/>
  <c r="C42" i="17"/>
  <c r="C5" i="18" s="1"/>
  <c r="C2" i="18"/>
  <c r="E52" i="17"/>
  <c r="E15" i="18" s="1"/>
  <c r="E53" i="17"/>
  <c r="E16" i="18" s="1"/>
  <c r="E54" i="17"/>
  <c r="E17" i="18" s="1"/>
  <c r="E51" i="17"/>
  <c r="E14" i="18" s="1"/>
  <c r="D48" i="17"/>
  <c r="D11" i="18" s="1"/>
  <c r="D49" i="17"/>
  <c r="D12" i="18" s="1"/>
  <c r="D47" i="17"/>
  <c r="D10" i="18" s="1"/>
  <c r="D50" i="17"/>
  <c r="D13" i="18" s="1"/>
  <c r="E40" i="17"/>
  <c r="E3" i="18" s="1"/>
  <c r="E39" i="17"/>
  <c r="E2" i="18" s="1"/>
  <c r="E41" i="17"/>
  <c r="E4" i="18" s="1"/>
  <c r="E42" i="17"/>
  <c r="E5" i="18" s="1"/>
  <c r="D52" i="17"/>
  <c r="D15" i="18" s="1"/>
  <c r="D53" i="17"/>
  <c r="D16" i="18" s="1"/>
  <c r="D54" i="17"/>
  <c r="D17" i="18" s="1"/>
  <c r="D51" i="17"/>
  <c r="D14" i="18" s="1"/>
  <c r="C50" i="17"/>
  <c r="C13" i="18" s="1"/>
  <c r="C48" i="17"/>
  <c r="C11" i="18" s="1"/>
  <c r="C47" i="17"/>
  <c r="C10" i="18" s="1"/>
  <c r="C49" i="17"/>
  <c r="C12" i="18" s="1"/>
  <c r="E20" i="19"/>
  <c r="E11" i="20" s="1"/>
  <c r="C20" i="19"/>
  <c r="C11" i="20" s="1"/>
  <c r="B20" i="19"/>
  <c r="B11" i="20" s="1"/>
  <c r="D20" i="19"/>
  <c r="D11" i="20" s="1"/>
  <c r="D25" i="19"/>
  <c r="D16" i="20" s="1"/>
  <c r="C25" i="19"/>
  <c r="C16" i="20" s="1"/>
  <c r="E25" i="19"/>
  <c r="E16" i="20" s="1"/>
  <c r="B25" i="19"/>
  <c r="B16" i="20" s="1"/>
  <c r="B12" i="19"/>
  <c r="B3" i="20" s="1"/>
  <c r="C12" i="19"/>
  <c r="C3" i="20" s="1"/>
  <c r="D12" i="19"/>
  <c r="D3" i="20" s="1"/>
  <c r="E12" i="19"/>
  <c r="E3" i="20" s="1"/>
  <c r="B26" i="19"/>
  <c r="B17" i="20" s="1"/>
  <c r="C26" i="19"/>
  <c r="C17" i="20" s="1"/>
  <c r="D26" i="19"/>
  <c r="D17" i="20" s="1"/>
  <c r="E26" i="19"/>
  <c r="E17" i="20" s="1"/>
  <c r="B10" i="20"/>
  <c r="E19" i="19"/>
  <c r="E10" i="20" s="1"/>
  <c r="D19" i="19"/>
  <c r="D10" i="20" s="1"/>
  <c r="C19" i="19"/>
  <c r="C10" i="20" s="1"/>
  <c r="C14" i="19"/>
  <c r="C5" i="20" s="1"/>
  <c r="D14" i="19"/>
  <c r="D5" i="20" s="1"/>
  <c r="E14" i="19"/>
  <c r="E5" i="20" s="1"/>
  <c r="B14" i="19"/>
  <c r="B5" i="20" s="1"/>
  <c r="E11" i="19"/>
  <c r="E2" i="20" s="1"/>
  <c r="C11" i="19"/>
  <c r="C2" i="20" s="1"/>
  <c r="D11" i="19"/>
  <c r="D2" i="20" s="1"/>
  <c r="C24" i="19"/>
  <c r="C15" i="20" s="1"/>
  <c r="D24" i="19"/>
  <c r="D15" i="20" s="1"/>
  <c r="B24" i="19"/>
  <c r="B15" i="20" s="1"/>
  <c r="E24" i="19"/>
  <c r="E15" i="20" s="1"/>
  <c r="D22" i="19"/>
  <c r="D13" i="20" s="1"/>
  <c r="B22" i="19"/>
  <c r="B13" i="20" s="1"/>
  <c r="C22" i="19"/>
  <c r="C13" i="20" s="1"/>
  <c r="E22" i="19"/>
  <c r="E13" i="20" s="1"/>
  <c r="E13" i="19"/>
  <c r="E4" i="20" s="1"/>
  <c r="C13" i="19"/>
  <c r="C4" i="20" s="1"/>
  <c r="D13" i="19"/>
  <c r="D4" i="20" s="1"/>
  <c r="B13" i="19"/>
  <c r="B4" i="20" s="1"/>
  <c r="D23" i="19"/>
  <c r="D14" i="20" s="1"/>
  <c r="C23" i="19"/>
  <c r="C14" i="20" s="1"/>
  <c r="E23" i="19"/>
  <c r="E14" i="20" s="1"/>
  <c r="B23" i="19"/>
  <c r="B14" i="20" s="1"/>
  <c r="C21" i="19"/>
  <c r="C12" i="20" s="1"/>
  <c r="D21" i="19"/>
  <c r="D12" i="20" s="1"/>
  <c r="E21" i="19"/>
  <c r="E12" i="20" s="1"/>
  <c r="B21" i="19"/>
  <c r="B12" i="20" s="1"/>
</calcChain>
</file>

<file path=xl/sharedStrings.xml><?xml version="1.0" encoding="utf-8"?>
<sst xmlns="http://schemas.openxmlformats.org/spreadsheetml/2006/main" count="356" uniqueCount="126">
  <si>
    <t>PF10</t>
  </si>
  <si>
    <t>PF11</t>
  </si>
  <si>
    <t>PF12</t>
  </si>
  <si>
    <t>PF12A</t>
  </si>
  <si>
    <t>PF12B</t>
  </si>
  <si>
    <t>ACCELERATED</t>
  </si>
  <si>
    <t>ISA</t>
  </si>
  <si>
    <t>IPEA</t>
  </si>
  <si>
    <t>PF13A</t>
  </si>
  <si>
    <t>ASPEC</t>
  </si>
  <si>
    <t>PPH</t>
  </si>
  <si>
    <t>Accelerated</t>
  </si>
  <si>
    <t>Capacity for Secondary National Jobs</t>
  </si>
  <si>
    <t>Remaining Cap for National</t>
  </si>
  <si>
    <t>Point System</t>
  </si>
  <si>
    <t>Secondary NATIONAL JOBS</t>
  </si>
  <si>
    <t>SEA Base Capacity without AI</t>
  </si>
  <si>
    <t>Year 2025</t>
  </si>
  <si>
    <t>Year 2026</t>
  </si>
  <si>
    <t>Year 2027</t>
  </si>
  <si>
    <t>Year 2028</t>
  </si>
  <si>
    <t>Proportion by Division</t>
  </si>
  <si>
    <t>Div1</t>
  </si>
  <si>
    <t>Div2</t>
  </si>
  <si>
    <t>Div3</t>
  </si>
  <si>
    <t>Div4</t>
  </si>
  <si>
    <t>Remaining Cap for PF11/12 FOA dispursed in Divisions</t>
  </si>
  <si>
    <t>Division FOA capacity dispursed in Calendar quarter</t>
  </si>
  <si>
    <t>Row Labels</t>
  </si>
  <si>
    <t>Qtr1</t>
  </si>
  <si>
    <t>Qtr2</t>
  </si>
  <si>
    <t>Qtr3</t>
  </si>
  <si>
    <t>Qtr4</t>
  </si>
  <si>
    <t>Grand Total</t>
  </si>
  <si>
    <t>Div 1</t>
  </si>
  <si>
    <t>Div 2</t>
  </si>
  <si>
    <t>Div 3</t>
  </si>
  <si>
    <t>Div 4</t>
  </si>
  <si>
    <t>Q1</t>
  </si>
  <si>
    <t>Q2</t>
  </si>
  <si>
    <t>Q3</t>
  </si>
  <si>
    <t>Q4</t>
  </si>
  <si>
    <t>Calendar Quarter</t>
  </si>
  <si>
    <t>Raw Gain</t>
  </si>
  <si>
    <t>Net Gain</t>
  </si>
  <si>
    <t>Division FOA per workday adjusted and dispursed in Calendar quarter</t>
  </si>
  <si>
    <t>Cap put aside for QC/QA work</t>
  </si>
  <si>
    <t>Expected Outsource Exam Output</t>
  </si>
  <si>
    <t>Year 2029</t>
  </si>
  <si>
    <t>Year 2030</t>
  </si>
  <si>
    <t>6 MTHS QC</t>
  </si>
  <si>
    <t>3 MTH QC</t>
  </si>
  <si>
    <t>Div</t>
  </si>
  <si>
    <t>Total</t>
  </si>
  <si>
    <t>perpetal 50%</t>
  </si>
  <si>
    <t>100% QC 3 months (confirm outsource partner quality is satisfactory then proceed BAU as below)</t>
  </si>
  <si>
    <t>25% QC thereafter (1 out of every 4 reports is QC-ed)</t>
  </si>
  <si>
    <t>5% QA after the first 3 months</t>
  </si>
  <si>
    <t>6 mth qc, 50% qc after</t>
  </si>
  <si>
    <t>6 mth qc, 66%, 33%</t>
  </si>
  <si>
    <t>6 mth qc, 50%, 25%</t>
  </si>
  <si>
    <t>Expected Outsource Exam FOA</t>
  </si>
  <si>
    <t>Expected Outsource Exam SOA</t>
  </si>
  <si>
    <t>Total Outsource Exam to be QC</t>
  </si>
  <si>
    <t>fy23</t>
  </si>
  <si>
    <t>Remaining Cap for PF11/12 + AI</t>
  </si>
  <si>
    <t>CM4</t>
  </si>
  <si>
    <t>1. SEA forecasted in-house File capacity (in points) with hiring 20/20/10 in 2025/2026/2027:</t>
  </si>
  <si>
    <t>with 10% (hire 20+20+10)</t>
  </si>
  <si>
    <t>Baseline (hire 20+20+10)</t>
  </si>
  <si>
    <t>1. SEA forecasted in-house File capacity (in points) with hiring 20 only in 2025:</t>
  </si>
  <si>
    <t>with 10% (hire 20)</t>
  </si>
  <si>
    <t>Baseline (hire 20)</t>
  </si>
  <si>
    <t>ISA (original)</t>
  </si>
  <si>
    <t>25% is original stats, reduce to 12.5%</t>
  </si>
  <si>
    <t>PPH (90% FILED WITH s&amp;e)</t>
  </si>
  <si>
    <t>Outsourcing S vol</t>
  </si>
  <si>
    <t>Outsourcing S Carved out (about half of pf11 points)</t>
  </si>
  <si>
    <t>From FOA2024 stats</t>
  </si>
  <si>
    <t>Based on 2024</t>
  </si>
  <si>
    <t>Remaining Cap for PF11/12 in 2025</t>
  </si>
  <si>
    <t>ISA (diverted) -,50,25</t>
  </si>
  <si>
    <t>PPH growth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</si>
  <si>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</si>
  <si>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</si>
  <si>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</si>
  <si>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</si>
  <si>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</si>
  <si>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</si>
  <si>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</si>
  <si>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</si>
  <si>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</si>
  <si>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</si>
  <si>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</si>
  <si>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</si>
  <si>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</si>
  <si>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</si>
  <si>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</si>
  <si>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</si>
  <si>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</si>
  <si>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</si>
  <si>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</si>
  <si>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</si>
  <si>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Stretched Target (Baseline X110%)</t>
  </si>
  <si>
    <t>Baseline Target</t>
  </si>
  <si>
    <t>(with 5% Individual + 5% Division increase)</t>
  </si>
  <si>
    <t>stretched</t>
  </si>
  <si>
    <t>Stretch target success</t>
  </si>
  <si>
    <t>S&amp;E Productivity Gains from PAS -PF11</t>
  </si>
  <si>
    <t>S&amp;E Productivity Gains from Report Drafter - PF11</t>
  </si>
  <si>
    <t>S&amp;E Productivity Gains from Report Drafter - PF12</t>
  </si>
  <si>
    <t>Est PF11 for AI</t>
  </si>
  <si>
    <t>Est PF12 for AI</t>
  </si>
  <si>
    <t>PAS gains</t>
  </si>
  <si>
    <t>report drafter gains for pf11</t>
  </si>
  <si>
    <t>report drafter gains for pf12</t>
  </si>
  <si>
    <t>AI Gains total</t>
  </si>
  <si>
    <t>Diversion</t>
  </si>
  <si>
    <t>Stretch %</t>
  </si>
  <si>
    <t xml:space="preserve">Hire </t>
  </si>
  <si>
    <r>
      <t xml:space="preserve">1. Hiring </t>
    </r>
    <r>
      <rPr>
        <b/>
        <sz val="12"/>
        <color theme="1"/>
        <rFont val="Aptos"/>
        <family val="2"/>
      </rPr>
      <t>20 new examiners in July 2026</t>
    </r>
    <r>
      <rPr>
        <sz val="12"/>
        <color theme="1"/>
        <rFont val="Aptos"/>
        <family val="2"/>
      </rPr>
      <t>:</t>
    </r>
  </si>
  <si>
    <r>
      <t xml:space="preserve">1. Hiring </t>
    </r>
    <r>
      <rPr>
        <b/>
        <sz val="12"/>
        <color theme="1"/>
        <rFont val="Aptos"/>
        <family val="2"/>
      </rPr>
      <t>10 new examiners in Jan 2026</t>
    </r>
    <r>
      <rPr>
        <sz val="12"/>
        <color theme="1"/>
        <rFont val="Aptos"/>
        <family val="2"/>
      </rPr>
      <t>:</t>
    </r>
  </si>
  <si>
    <r>
      <t xml:space="preserve">1. Hiring </t>
    </r>
    <r>
      <rPr>
        <b/>
        <sz val="12"/>
        <color theme="1"/>
        <rFont val="Aptos"/>
        <family val="2"/>
      </rPr>
      <t>20 new examiners in Jan 2026</t>
    </r>
    <r>
      <rPr>
        <sz val="12"/>
        <color theme="1"/>
        <rFont val="Aptos"/>
        <family val="2"/>
      </rPr>
      <t>:</t>
    </r>
  </si>
  <si>
    <t>Moderate</t>
  </si>
  <si>
    <t>Slow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</si>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</sst>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ptos"/>
      <family val="2"/>
    </font>
    <font>
      <b/>
      <sz val="11"/>
      <color rgb="FF000000"/>
      <name val="Calibri"/>
      <family val="2"/>
    </font>
    <font>
      <sz val="11"/>
      <color rgb="FF0F9ED5"/>
      <name val="Calibri"/>
      <family val="2"/>
    </font>
    <font>
      <b/>
      <sz val="11"/>
      <color theme="1"/>
      <name val="Aptos"/>
      <family val="2"/>
    </font>
    <font>
      <b/>
      <sz val="8"/>
      <color theme="1"/>
      <name val="Aptos"/>
      <family val="2"/>
    </font>
    <font>
      <sz val="8"/>
      <color theme="1"/>
      <name val="Aptos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Aptos"/>
      <family val="2"/>
    </font>
    <font>
      <sz val="10"/>
      <color theme="1"/>
      <name val="Times New Roman"/>
      <family val="1"/>
    </font>
    <font>
      <b/>
      <sz val="12"/>
      <color theme="1"/>
      <name val="Aptos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D1D1D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9" fontId="5" fillId="0" borderId="0" applyFon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18" fillId="8" borderId="8" applyNumberFormat="0" applyFont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9" fillId="16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9" fillId="20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9" fillId="24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9" fillId="32" borderId="0" applyNumberFormat="0" applyBorder="0" applyAlignment="0" applyProtection="0"/>
  </cellStyleXfs>
  <cellXfs count="171">
    <xf numFmtId="0" fontId="0" fillId="0" borderId="0" xfId="0"/>
    <xf numFmtId="1" fontId="0" fillId="0" borderId="0" xfId="0" applyNumberFormat="1" applyAlignment="1">
      <alignment horizontal="center" vertical="center"/>
    </xf>
    <xf numFmtId="164" fontId="0" fillId="0" borderId="0" xfId="0" applyNumberFormat="1"/>
    <xf numFmtId="164" fontId="0" fillId="0" borderId="0" xfId="1" applyNumberFormat="1" applyFont="1"/>
    <xf numFmtId="0" fontId="20" fillId="0" borderId="0" xfId="0" applyFont="1"/>
    <xf numFmtId="0" fontId="24" fillId="0" borderId="10" xfId="0" applyFont="1" applyBorder="1"/>
    <xf numFmtId="0" fontId="23" fillId="0" borderId="10" xfId="0" applyFont="1" applyBorder="1"/>
    <xf numFmtId="0" fontId="0" fillId="0" borderId="0" xfId="0" applyAlignment="1">
      <alignment horizontal="left" vertical="top" wrapText="1"/>
    </xf>
    <xf numFmtId="1" fontId="0" fillId="0" borderId="0" xfId="0" applyNumberFormat="1" applyAlignment="1">
      <alignment horizontal="center"/>
    </xf>
    <xf numFmtId="0" fontId="18" fillId="0" borderId="0" xfId="0" applyFont="1"/>
    <xf numFmtId="1" fontId="18" fillId="0" borderId="0" xfId="0" applyNumberFormat="1" applyFont="1" applyAlignment="1">
      <alignment horizontal="center" vertical="center"/>
    </xf>
    <xf numFmtId="0" fontId="25" fillId="0" borderId="0" xfId="0" applyFont="1"/>
    <xf numFmtId="0" fontId="18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" fontId="18" fillId="0" borderId="0" xfId="0" applyNumberFormat="1" applyFont="1" applyAlignment="1">
      <alignment horizontal="center"/>
    </xf>
    <xf numFmtId="1" fontId="0" fillId="0" borderId="0" xfId="0" applyNumberFormat="1"/>
    <xf numFmtId="0" fontId="1" fillId="0" borderId="0" xfId="0" applyFont="1" applyAlignment="1">
      <alignment horizontal="center" vertical="center"/>
    </xf>
    <xf numFmtId="164" fontId="0" fillId="0" borderId="14" xfId="1" applyNumberFormat="1" applyFont="1" applyBorder="1"/>
    <xf numFmtId="164" fontId="18" fillId="0" borderId="0" xfId="1" applyNumberFormat="1" applyFont="1" applyBorder="1"/>
    <xf numFmtId="164" fontId="18" fillId="0" borderId="15" xfId="1" applyNumberFormat="1" applyFont="1" applyBorder="1"/>
    <xf numFmtId="164" fontId="18" fillId="0" borderId="14" xfId="1" applyNumberFormat="1" applyFont="1" applyBorder="1"/>
    <xf numFmtId="164" fontId="0" fillId="0" borderId="0" xfId="1" applyNumberFormat="1" applyFont="1" applyBorder="1"/>
    <xf numFmtId="164" fontId="0" fillId="0" borderId="15" xfId="1" applyNumberFormat="1" applyFont="1" applyBorder="1"/>
    <xf numFmtId="164" fontId="18" fillId="0" borderId="16" xfId="1" applyNumberFormat="1" applyFont="1" applyBorder="1"/>
    <xf numFmtId="0" fontId="3" fillId="0" borderId="0" xfId="0" applyFont="1" applyAlignment="1">
      <alignment horizontal="center" vertical="center"/>
    </xf>
    <xf numFmtId="164" fontId="5" fillId="0" borderId="0" xfId="1" applyNumberFormat="1" applyFont="1" applyBorder="1" applyAlignment="1">
      <alignment horizontal="center"/>
    </xf>
    <xf numFmtId="0" fontId="18" fillId="0" borderId="0" xfId="0" applyFont="1" applyAlignment="1">
      <alignment wrapText="1"/>
    </xf>
    <xf numFmtId="0" fontId="18" fillId="34" borderId="0" xfId="0" applyFont="1" applyFill="1"/>
    <xf numFmtId="0" fontId="0" fillId="34" borderId="0" xfId="0" applyFill="1"/>
    <xf numFmtId="1" fontId="5" fillId="0" borderId="0" xfId="1" applyNumberFormat="1" applyFont="1" applyBorder="1" applyAlignment="1">
      <alignment horizontal="center" vertical="center"/>
    </xf>
    <xf numFmtId="0" fontId="18" fillId="0" borderId="0" xfId="0" applyFont="1" applyAlignment="1">
      <alignment horizontal="left" vertical="top" wrapText="1"/>
    </xf>
    <xf numFmtId="0" fontId="1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27" fillId="0" borderId="0" xfId="0" applyFont="1" applyAlignment="1">
      <alignment horizontal="left" vertical="center" indent="1"/>
    </xf>
    <xf numFmtId="3" fontId="0" fillId="0" borderId="0" xfId="0" applyNumberFormat="1"/>
    <xf numFmtId="9" fontId="0" fillId="0" borderId="0" xfId="1" applyFont="1"/>
    <xf numFmtId="0" fontId="31" fillId="0" borderId="0" xfId="0" applyFont="1" applyAlignment="1">
      <alignment vertical="center" wrapText="1"/>
    </xf>
    <xf numFmtId="0" fontId="32" fillId="0" borderId="0" xfId="0" applyFont="1" applyAlignment="1">
      <alignment vertical="center" wrapText="1"/>
    </xf>
    <xf numFmtId="10" fontId="32" fillId="0" borderId="0" xfId="0" applyNumberFormat="1" applyFont="1" applyAlignment="1">
      <alignment vertical="center" wrapText="1"/>
    </xf>
    <xf numFmtId="10" fontId="31" fillId="0" borderId="0" xfId="0" applyNumberFormat="1" applyFont="1" applyAlignment="1">
      <alignment vertical="center" wrapText="1"/>
    </xf>
    <xf numFmtId="0" fontId="16" fillId="0" borderId="0" xfId="0" applyFont="1"/>
    <xf numFmtId="0" fontId="34" fillId="0" borderId="0" xfId="0" applyFont="1"/>
    <xf numFmtId="164" fontId="33" fillId="0" borderId="0" xfId="0" applyNumberFormat="1" applyFont="1"/>
    <xf numFmtId="165" fontId="33" fillId="0" borderId="0" xfId="0" applyNumberFormat="1" applyFont="1"/>
    <xf numFmtId="9" fontId="33" fillId="0" borderId="0" xfId="0" applyNumberFormat="1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36" borderId="0" xfId="0" applyFont="1" applyFill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37" borderId="0" xfId="0" applyFont="1" applyFill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35" fillId="0" borderId="0" xfId="0" applyFont="1" applyAlignment="1">
      <alignment horizontal="left" vertical="center" indent="1"/>
    </xf>
    <xf numFmtId="0" fontId="35" fillId="0" borderId="0" xfId="0" applyFont="1" applyAlignment="1">
      <alignment horizontal="left" vertical="center" indent="4"/>
    </xf>
    <xf numFmtId="0" fontId="35" fillId="0" borderId="18" xfId="0" applyFont="1" applyBorder="1" applyAlignment="1">
      <alignment vertical="center"/>
    </xf>
    <xf numFmtId="0" fontId="37" fillId="0" borderId="19" xfId="0" applyFont="1" applyBorder="1" applyAlignment="1">
      <alignment horizontal="center" vertical="center" wrapText="1"/>
    </xf>
    <xf numFmtId="0" fontId="35" fillId="0" borderId="20" xfId="0" applyFont="1" applyBorder="1" applyAlignment="1">
      <alignment vertical="center"/>
    </xf>
    <xf numFmtId="3" fontId="35" fillId="0" borderId="21" xfId="0" applyNumberFormat="1" applyFont="1" applyBorder="1" applyAlignment="1">
      <alignment horizontal="center" vertical="center" wrapText="1"/>
    </xf>
    <xf numFmtId="3" fontId="37" fillId="0" borderId="21" xfId="0" applyNumberFormat="1" applyFont="1" applyBorder="1" applyAlignment="1">
      <alignment horizontal="center" vertical="center" wrapText="1"/>
    </xf>
    <xf numFmtId="0" fontId="37" fillId="0" borderId="21" xfId="0" applyFont="1" applyBorder="1" applyAlignment="1">
      <alignment horizontal="center" vertical="center" wrapText="1"/>
    </xf>
    <xf numFmtId="0" fontId="35" fillId="0" borderId="0" xfId="0" applyFont="1" applyAlignment="1">
      <alignment vertical="center"/>
    </xf>
    <xf numFmtId="9" fontId="0" fillId="0" borderId="0" xfId="1" applyFont="1" applyFill="1"/>
    <xf numFmtId="0" fontId="36" fillId="0" borderId="0" xfId="0" applyFont="1"/>
    <xf numFmtId="0" fontId="28" fillId="0" borderId="18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35" fillId="0" borderId="0" xfId="0" applyFont="1" applyAlignment="1">
      <alignment vertical="center" wrapText="1"/>
    </xf>
    <xf numFmtId="0" fontId="36" fillId="0" borderId="0" xfId="0" applyFont="1" applyAlignment="1">
      <alignment vertical="center" wrapText="1"/>
    </xf>
    <xf numFmtId="0" fontId="3" fillId="0" borderId="20" xfId="0" applyFont="1" applyBorder="1" applyAlignment="1">
      <alignment horizontal="center" vertical="center"/>
    </xf>
    <xf numFmtId="3" fontId="3" fillId="0" borderId="21" xfId="0" applyNumberFormat="1" applyFont="1" applyBorder="1" applyAlignment="1">
      <alignment horizontal="center" vertical="center"/>
    </xf>
    <xf numFmtId="3" fontId="28" fillId="0" borderId="21" xfId="0" applyNumberFormat="1" applyFont="1" applyBorder="1" applyAlignment="1">
      <alignment horizontal="center" vertical="center"/>
    </xf>
    <xf numFmtId="0" fontId="28" fillId="0" borderId="25" xfId="0" applyFont="1" applyBorder="1" applyAlignment="1">
      <alignment horizontal="center" vertical="center" wrapText="1"/>
    </xf>
    <xf numFmtId="0" fontId="28" fillId="0" borderId="20" xfId="0" applyFont="1" applyBorder="1" applyAlignment="1">
      <alignment horizontal="center" vertical="center" wrapText="1"/>
    </xf>
    <xf numFmtId="3" fontId="36" fillId="0" borderId="0" xfId="0" applyNumberFormat="1" applyFont="1" applyAlignment="1">
      <alignment vertical="center" wrapText="1"/>
    </xf>
    <xf numFmtId="9" fontId="0" fillId="0" borderId="0" xfId="1" applyFont="1" applyAlignment="1">
      <alignment horizontal="center"/>
    </xf>
    <xf numFmtId="0" fontId="16" fillId="0" borderId="0" xfId="0" applyFont="1" applyAlignment="1">
      <alignment horizontal="center" wrapText="1"/>
    </xf>
    <xf numFmtId="0" fontId="27" fillId="38" borderId="0" xfId="0" applyFont="1" applyFill="1" applyAlignment="1">
      <alignment vertical="center" wrapText="1"/>
    </xf>
    <xf numFmtId="9" fontId="27" fillId="38" borderId="0" xfId="0" applyNumberFormat="1" applyFont="1" applyFill="1" applyAlignment="1">
      <alignment horizontal="center" vertical="center" wrapText="1"/>
    </xf>
    <xf numFmtId="10" fontId="27" fillId="38" borderId="0" xfId="0" applyNumberFormat="1" applyFont="1" applyFill="1" applyAlignment="1">
      <alignment horizontal="center" vertical="center" wrapText="1"/>
    </xf>
    <xf numFmtId="0" fontId="0" fillId="38" borderId="0" xfId="0" applyFill="1"/>
    <xf numFmtId="9" fontId="0" fillId="38" borderId="0" xfId="0" applyNumberFormat="1" applyFill="1" applyAlignment="1">
      <alignment horizontal="center"/>
    </xf>
    <xf numFmtId="1" fontId="0" fillId="38" borderId="0" xfId="0" applyNumberFormat="1" applyFill="1" applyAlignment="1">
      <alignment horizontal="center"/>
    </xf>
    <xf numFmtId="0" fontId="0" fillId="38" borderId="0" xfId="0" applyFill="1" applyAlignment="1">
      <alignment horizontal="center"/>
    </xf>
    <xf numFmtId="0" fontId="18" fillId="38" borderId="0" xfId="0" applyFont="1" applyFill="1" applyAlignment="1">
      <alignment horizontal="left"/>
    </xf>
    <xf numFmtId="1" fontId="28" fillId="38" borderId="0" xfId="0" applyNumberFormat="1" applyFont="1" applyFill="1" applyAlignment="1">
      <alignment horizontal="center" vertical="center"/>
    </xf>
    <xf numFmtId="1" fontId="18" fillId="38" borderId="0" xfId="0" applyNumberFormat="1" applyFont="1" applyFill="1" applyAlignment="1">
      <alignment horizontal="center"/>
    </xf>
    <xf numFmtId="164" fontId="0" fillId="38" borderId="0" xfId="0" applyNumberFormat="1" applyFill="1" applyAlignment="1">
      <alignment horizontal="center" vertical="center"/>
    </xf>
    <xf numFmtId="0" fontId="36" fillId="0" borderId="17" xfId="0" applyFont="1" applyBorder="1" applyAlignment="1">
      <alignment vertical="top"/>
    </xf>
    <xf numFmtId="0" fontId="35" fillId="0" borderId="20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3" fontId="35" fillId="0" borderId="21" xfId="0" applyNumberFormat="1" applyFont="1" applyBorder="1" applyAlignment="1">
      <alignment horizontal="center" vertical="center"/>
    </xf>
    <xf numFmtId="0" fontId="35" fillId="0" borderId="25" xfId="0" applyFont="1" applyBorder="1" applyAlignment="1">
      <alignment horizontal="center" vertical="center" wrapText="1"/>
    </xf>
    <xf numFmtId="0" fontId="35" fillId="0" borderId="20" xfId="0" applyFont="1" applyBorder="1" applyAlignment="1">
      <alignment horizontal="center" vertical="center" wrapText="1"/>
    </xf>
    <xf numFmtId="0" fontId="0" fillId="35" borderId="0" xfId="0" applyFill="1"/>
    <xf numFmtId="0" fontId="18" fillId="35" borderId="10" xfId="0" applyFont="1" applyFill="1" applyBorder="1" applyAlignment="1">
      <alignment horizontal="center"/>
    </xf>
    <xf numFmtId="0" fontId="30" fillId="35" borderId="18" xfId="0" applyFont="1" applyFill="1" applyBorder="1" applyAlignment="1">
      <alignment horizontal="center" vertical="center"/>
    </xf>
    <xf numFmtId="0" fontId="30" fillId="35" borderId="19" xfId="0" applyFont="1" applyFill="1" applyBorder="1" applyAlignment="1">
      <alignment horizontal="center" vertical="center"/>
    </xf>
    <xf numFmtId="0" fontId="30" fillId="35" borderId="23" xfId="0" applyFont="1" applyFill="1" applyBorder="1" applyAlignment="1">
      <alignment horizontal="center" vertical="center"/>
    </xf>
    <xf numFmtId="0" fontId="0" fillId="35" borderId="10" xfId="0" applyFill="1" applyBorder="1" applyAlignment="1">
      <alignment horizontal="center"/>
    </xf>
    <xf numFmtId="0" fontId="27" fillId="35" borderId="20" xfId="0" applyFont="1" applyFill="1" applyBorder="1" applyAlignment="1">
      <alignment horizontal="center" vertical="center"/>
    </xf>
    <xf numFmtId="0" fontId="27" fillId="35" borderId="21" xfId="0" applyFont="1" applyFill="1" applyBorder="1" applyAlignment="1">
      <alignment horizontal="center" vertical="center"/>
    </xf>
    <xf numFmtId="0" fontId="27" fillId="35" borderId="17" xfId="0" applyFont="1" applyFill="1" applyBorder="1" applyAlignment="1">
      <alignment horizontal="center" vertical="center"/>
    </xf>
    <xf numFmtId="0" fontId="30" fillId="35" borderId="20" xfId="0" applyFont="1" applyFill="1" applyBorder="1" applyAlignment="1">
      <alignment horizontal="center" vertical="center"/>
    </xf>
    <xf numFmtId="0" fontId="30" fillId="35" borderId="21" xfId="0" applyFont="1" applyFill="1" applyBorder="1" applyAlignment="1">
      <alignment horizontal="center" vertical="center"/>
    </xf>
    <xf numFmtId="0" fontId="30" fillId="35" borderId="17" xfId="0" applyFont="1" applyFill="1" applyBorder="1" applyAlignment="1">
      <alignment horizontal="center" vertical="center"/>
    </xf>
    <xf numFmtId="1" fontId="0" fillId="35" borderId="0" xfId="0" applyNumberFormat="1" applyFill="1"/>
    <xf numFmtId="1" fontId="0" fillId="35" borderId="0" xfId="1" applyNumberFormat="1" applyFont="1" applyFill="1"/>
    <xf numFmtId="0" fontId="0" fillId="39" borderId="0" xfId="0" applyFill="1"/>
    <xf numFmtId="0" fontId="18" fillId="39" borderId="10" xfId="0" applyFont="1" applyFill="1" applyBorder="1" applyAlignment="1">
      <alignment horizontal="center"/>
    </xf>
    <xf numFmtId="0" fontId="30" fillId="39" borderId="18" xfId="0" applyFont="1" applyFill="1" applyBorder="1" applyAlignment="1">
      <alignment horizontal="center" vertical="center"/>
    </xf>
    <xf numFmtId="0" fontId="30" fillId="39" borderId="19" xfId="0" applyFont="1" applyFill="1" applyBorder="1" applyAlignment="1">
      <alignment horizontal="center" vertical="center"/>
    </xf>
    <xf numFmtId="0" fontId="30" fillId="39" borderId="23" xfId="0" applyFont="1" applyFill="1" applyBorder="1" applyAlignment="1">
      <alignment horizontal="center" vertical="center"/>
    </xf>
    <xf numFmtId="0" fontId="0" fillId="39" borderId="10" xfId="0" applyFill="1" applyBorder="1" applyAlignment="1">
      <alignment horizontal="center"/>
    </xf>
    <xf numFmtId="0" fontId="27" fillId="39" borderId="20" xfId="0" applyFont="1" applyFill="1" applyBorder="1" applyAlignment="1">
      <alignment horizontal="center" vertical="center"/>
    </xf>
    <xf numFmtId="0" fontId="27" fillId="39" borderId="21" xfId="0" applyFont="1" applyFill="1" applyBorder="1" applyAlignment="1">
      <alignment horizontal="center" vertical="center"/>
    </xf>
    <xf numFmtId="0" fontId="27" fillId="39" borderId="17" xfId="0" applyFont="1" applyFill="1" applyBorder="1" applyAlignment="1">
      <alignment horizontal="center" vertical="center"/>
    </xf>
    <xf numFmtId="0" fontId="30" fillId="39" borderId="20" xfId="0" applyFont="1" applyFill="1" applyBorder="1" applyAlignment="1">
      <alignment horizontal="center" vertical="center"/>
    </xf>
    <xf numFmtId="0" fontId="30" fillId="39" borderId="21" xfId="0" applyFont="1" applyFill="1" applyBorder="1" applyAlignment="1">
      <alignment horizontal="center" vertical="center"/>
    </xf>
    <xf numFmtId="0" fontId="30" fillId="39" borderId="17" xfId="0" applyFont="1" applyFill="1" applyBorder="1" applyAlignment="1">
      <alignment horizontal="center" vertical="center"/>
    </xf>
    <xf numFmtId="1" fontId="0" fillId="39" borderId="0" xfId="0" applyNumberFormat="1" applyFill="1"/>
    <xf numFmtId="1" fontId="0" fillId="39" borderId="0" xfId="1" applyNumberFormat="1" applyFont="1" applyFill="1"/>
    <xf numFmtId="0" fontId="0" fillId="33" borderId="0" xfId="0" applyFill="1"/>
    <xf numFmtId="0" fontId="18" fillId="33" borderId="10" xfId="0" applyFont="1" applyFill="1" applyBorder="1" applyAlignment="1">
      <alignment horizontal="center"/>
    </xf>
    <xf numFmtId="0" fontId="30" fillId="33" borderId="18" xfId="0" applyFont="1" applyFill="1" applyBorder="1" applyAlignment="1">
      <alignment horizontal="center" vertical="center"/>
    </xf>
    <xf numFmtId="0" fontId="30" fillId="33" borderId="19" xfId="0" applyFont="1" applyFill="1" applyBorder="1" applyAlignment="1">
      <alignment horizontal="center" vertical="center"/>
    </xf>
    <xf numFmtId="0" fontId="30" fillId="33" borderId="23" xfId="0" applyFont="1" applyFill="1" applyBorder="1" applyAlignment="1">
      <alignment horizontal="center" vertical="center"/>
    </xf>
    <xf numFmtId="0" fontId="0" fillId="33" borderId="10" xfId="0" applyFill="1" applyBorder="1" applyAlignment="1">
      <alignment horizontal="center"/>
    </xf>
    <xf numFmtId="0" fontId="27" fillId="33" borderId="20" xfId="0" applyFont="1" applyFill="1" applyBorder="1" applyAlignment="1">
      <alignment horizontal="center" vertical="center"/>
    </xf>
    <xf numFmtId="0" fontId="27" fillId="33" borderId="21" xfId="0" applyFont="1" applyFill="1" applyBorder="1" applyAlignment="1">
      <alignment horizontal="center" vertical="center"/>
    </xf>
    <xf numFmtId="0" fontId="27" fillId="33" borderId="17" xfId="0" applyFont="1" applyFill="1" applyBorder="1" applyAlignment="1">
      <alignment horizontal="center" vertical="center"/>
    </xf>
    <xf numFmtId="0" fontId="30" fillId="33" borderId="20" xfId="0" applyFont="1" applyFill="1" applyBorder="1" applyAlignment="1">
      <alignment horizontal="center" vertical="center"/>
    </xf>
    <xf numFmtId="0" fontId="30" fillId="33" borderId="21" xfId="0" applyFont="1" applyFill="1" applyBorder="1" applyAlignment="1">
      <alignment horizontal="center" vertical="center"/>
    </xf>
    <xf numFmtId="0" fontId="30" fillId="33" borderId="17" xfId="0" applyFont="1" applyFill="1" applyBorder="1" applyAlignment="1">
      <alignment horizontal="center" vertical="center"/>
    </xf>
    <xf numFmtId="1" fontId="0" fillId="33" borderId="0" xfId="0" applyNumberFormat="1" applyFill="1"/>
    <xf numFmtId="1" fontId="0" fillId="33" borderId="0" xfId="1" applyNumberFormat="1" applyFont="1" applyFill="1"/>
    <xf numFmtId="0" fontId="36" fillId="0" borderId="17" xfId="0" applyFont="1" applyBorder="1" applyAlignment="1">
      <alignment vertical="top"/>
    </xf>
    <xf numFmtId="0" fontId="36" fillId="0" borderId="26" xfId="0" applyFont="1" applyBorder="1" applyAlignment="1">
      <alignment vertical="top"/>
    </xf>
    <xf numFmtId="0" fontId="35" fillId="0" borderId="29" xfId="0" applyFont="1" applyBorder="1" applyAlignment="1">
      <alignment horizontal="center" vertical="center"/>
    </xf>
    <xf numFmtId="0" fontId="35" fillId="0" borderId="20" xfId="0" applyFont="1" applyBorder="1" applyAlignment="1">
      <alignment horizontal="center" vertical="center"/>
    </xf>
    <xf numFmtId="0" fontId="36" fillId="0" borderId="22" xfId="0" applyFont="1" applyBorder="1" applyAlignment="1">
      <alignment vertical="top"/>
    </xf>
    <xf numFmtId="0" fontId="36" fillId="0" borderId="23" xfId="0" applyFont="1" applyBorder="1" applyAlignment="1">
      <alignment vertical="top"/>
    </xf>
    <xf numFmtId="0" fontId="36" fillId="0" borderId="19" xfId="0" applyFont="1" applyBorder="1" applyAlignment="1">
      <alignment vertical="top"/>
    </xf>
    <xf numFmtId="0" fontId="3" fillId="0" borderId="2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28" fillId="0" borderId="27" xfId="0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/>
    </xf>
    <xf numFmtId="0" fontId="36" fillId="0" borderId="28" xfId="0" applyFont="1" applyBorder="1" applyAlignment="1">
      <alignment vertical="center" wrapText="1"/>
    </xf>
    <xf numFmtId="0" fontId="3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18" fillId="33" borderId="0" xfId="0" applyFont="1" applyFill="1" applyAlignment="1">
      <alignment horizontal="center"/>
    </xf>
    <xf numFmtId="0" fontId="16" fillId="0" borderId="0" xfId="0" applyFont="1" applyAlignment="1">
      <alignment horizontal="center" wrapText="1"/>
    </xf>
    <xf numFmtId="0" fontId="18" fillId="0" borderId="0" xfId="0" applyFont="1" applyAlignment="1">
      <alignment horizontal="left" vertical="top" wrapText="1"/>
    </xf>
    <xf numFmtId="0" fontId="18" fillId="0" borderId="0" xfId="0" applyFont="1" applyAlignment="1">
      <alignment horizontal="center"/>
    </xf>
    <xf numFmtId="164" fontId="18" fillId="0" borderId="11" xfId="1" applyNumberFormat="1" applyFont="1" applyBorder="1" applyAlignment="1">
      <alignment horizontal="center"/>
    </xf>
    <xf numFmtId="164" fontId="18" fillId="0" borderId="12" xfId="1" applyNumberFormat="1" applyFont="1" applyBorder="1" applyAlignment="1">
      <alignment horizontal="center"/>
    </xf>
    <xf numFmtId="0" fontId="18" fillId="35" borderId="0" xfId="0" applyFont="1" applyFill="1" applyAlignment="1">
      <alignment horizontal="center"/>
    </xf>
    <xf numFmtId="0" fontId="18" fillId="39" borderId="0" xfId="0" applyFont="1" applyFill="1" applyAlignment="1">
      <alignment horizontal="center"/>
    </xf>
    <xf numFmtId="0" fontId="26" fillId="34" borderId="0" xfId="0" applyFont="1" applyFill="1" applyAlignment="1">
      <alignment horizontal="center"/>
    </xf>
    <xf numFmtId="0" fontId="26" fillId="35" borderId="0" xfId="0" applyFont="1" applyFill="1" applyAlignment="1">
      <alignment horizontal="center"/>
    </xf>
    <xf numFmtId="2" fontId="0" fillId="0" borderId="0" xfId="1" applyNumberFormat="1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43">
    <cellStyle name="20% - Accent1 2" xfId="25" xr:uid="{C54F1A95-644A-4C21-A927-F334D363B212}"/>
    <cellStyle name="20% - Accent2 2" xfId="28" xr:uid="{62B2E278-116A-41F5-9349-138056F075BB}"/>
    <cellStyle name="20% - Accent3 2" xfId="31" xr:uid="{141AFCA9-D6FA-4695-8626-2A2E0A3AC02B}"/>
    <cellStyle name="20% - Accent4 2" xfId="34" xr:uid="{ED438E89-C116-4FEB-BFD0-D4FE5C9E3116}"/>
    <cellStyle name="20% - Accent5 2" xfId="37" xr:uid="{69589DF8-6293-49EE-BB11-9E0514C6F48C}"/>
    <cellStyle name="20% - Accent6 2" xfId="40" xr:uid="{25F04E4D-9215-49D5-9B1E-BB83336EDCD1}"/>
    <cellStyle name="40% - Accent1 2" xfId="26" xr:uid="{B65980C1-82A5-4B2E-8F1F-C8886606EF8A}"/>
    <cellStyle name="40% - Accent2 2" xfId="29" xr:uid="{BA242A86-E801-48EA-B8EF-49EC9C32E817}"/>
    <cellStyle name="40% - Accent3 2" xfId="32" xr:uid="{D12A2E28-8B84-4225-B615-19332D6E0888}"/>
    <cellStyle name="40% - Accent4 2" xfId="35" xr:uid="{C0FC67D5-65A4-492E-AE22-42A898F6D8A5}"/>
    <cellStyle name="40% - Accent5 2" xfId="38" xr:uid="{A3BDCD0D-E7BC-46E7-A1CE-34DF97AFEA17}"/>
    <cellStyle name="40% - Accent6 2" xfId="41" xr:uid="{A22D285A-3260-4655-A7CF-C5050F23E0B0}"/>
    <cellStyle name="60% - Accent1 2" xfId="27" xr:uid="{65534A0E-4B11-44F4-A04F-923D4AC74975}"/>
    <cellStyle name="60% - Accent2 2" xfId="30" xr:uid="{D2FE4773-F3E3-4FA2-A4AF-48DF6AE93A56}"/>
    <cellStyle name="60% - Accent3 2" xfId="33" xr:uid="{922312BD-8C30-4AAE-A209-756036E74AB2}"/>
    <cellStyle name="60% - Accent4 2" xfId="36" xr:uid="{46E72D83-5D34-4B19-8CBE-6D5A39DD5B8F}"/>
    <cellStyle name="60% - Accent5 2" xfId="39" xr:uid="{AB4896A2-1C0F-4F6C-912A-363C4634FC92}"/>
    <cellStyle name="60% - Accent6 2" xfId="42" xr:uid="{51A7CBD0-F2FB-4A3E-921F-20E4BDD6B10D}"/>
    <cellStyle name="Accent1" xfId="16" builtinId="29" customBuiltin="1"/>
    <cellStyle name="Accent2" xfId="17" builtinId="33" customBuiltin="1"/>
    <cellStyle name="Accent3" xfId="18" builtinId="37" customBuiltin="1"/>
    <cellStyle name="Accent4" xfId="19" builtinId="41" customBuiltin="1"/>
    <cellStyle name="Accent5" xfId="20" builtinId="45" customBuiltin="1"/>
    <cellStyle name="Accent6" xfId="21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4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23" xr:uid="{49716BD1-C1B9-48BC-9B2E-EC1BE6CED27E}"/>
    <cellStyle name="Normal" xfId="0" builtinId="0"/>
    <cellStyle name="Note 2" xfId="24" xr:uid="{6D0B2D09-2D78-4321-BDA0-924E05AF02A6}"/>
    <cellStyle name="Output" xfId="9" builtinId="21" customBuiltin="1"/>
    <cellStyle name="Percent" xfId="1" builtinId="5"/>
    <cellStyle name="Title 2" xfId="22" xr:uid="{5F66E41B-B331-4652-9896-82F82C5F8B85}"/>
    <cellStyle name="Total" xfId="15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93930-936F-406D-82FB-FE343C289B10}">
  <dimension ref="A1:E12"/>
  <sheetViews>
    <sheetView workbookViewId="0">
      <selection sqref="A1:B11"/>
    </sheetView>
  </sheetViews>
  <sheetFormatPr defaultRowHeight="14.5" x14ac:dyDescent="0.35"/>
  <cols>
    <col min="2" max="2" width="13.7265625" customWidth="1"/>
  </cols>
  <sheetData>
    <row r="1" spans="1:5" ht="15.5" x14ac:dyDescent="0.35">
      <c r="A1" s="6" t="s">
        <v>0</v>
      </c>
      <c r="B1" s="5">
        <v>0.57999999999999996</v>
      </c>
      <c r="C1">
        <v>29</v>
      </c>
      <c r="D1">
        <f>C1*B1</f>
        <v>16.82</v>
      </c>
    </row>
    <row r="2" spans="1:5" ht="15.5" x14ac:dyDescent="0.35">
      <c r="A2" s="6" t="s">
        <v>1</v>
      </c>
      <c r="B2" s="5">
        <v>0.97</v>
      </c>
      <c r="C2">
        <v>1420</v>
      </c>
      <c r="D2">
        <f t="shared" ref="D2:D9" si="0">C2*B2</f>
        <v>1377.3999999999999</v>
      </c>
      <c r="E2" s="3">
        <f>D2/D12</f>
        <v>0.52791487988761032</v>
      </c>
    </row>
    <row r="3" spans="1:5" ht="15.5" x14ac:dyDescent="0.35">
      <c r="A3" s="6" t="s">
        <v>2</v>
      </c>
      <c r="B3" s="5">
        <v>0.47</v>
      </c>
      <c r="C3">
        <v>1316</v>
      </c>
      <c r="D3">
        <f t="shared" si="0"/>
        <v>618.52</v>
      </c>
      <c r="E3" s="3">
        <f>D3/D12</f>
        <v>0.23705961340793141</v>
      </c>
    </row>
    <row r="4" spans="1:5" ht="15.5" x14ac:dyDescent="0.35">
      <c r="A4" s="6" t="s">
        <v>3</v>
      </c>
      <c r="B4" s="5">
        <v>0.1</v>
      </c>
      <c r="C4">
        <v>1238</v>
      </c>
      <c r="D4">
        <f t="shared" si="0"/>
        <v>123.80000000000001</v>
      </c>
    </row>
    <row r="5" spans="1:5" ht="15.5" x14ac:dyDescent="0.35">
      <c r="A5" s="6" t="s">
        <v>4</v>
      </c>
      <c r="B5" s="5">
        <v>1.19</v>
      </c>
      <c r="C5">
        <v>47</v>
      </c>
      <c r="D5">
        <f t="shared" si="0"/>
        <v>55.93</v>
      </c>
    </row>
    <row r="6" spans="1:5" ht="15.5" x14ac:dyDescent="0.35">
      <c r="A6" s="6" t="s">
        <v>5</v>
      </c>
      <c r="B6" s="5">
        <v>1.2</v>
      </c>
    </row>
    <row r="7" spans="1:5" ht="15.5" x14ac:dyDescent="0.35">
      <c r="A7" s="6" t="s">
        <v>6</v>
      </c>
      <c r="B7" s="5">
        <v>1.2</v>
      </c>
    </row>
    <row r="8" spans="1:5" ht="15.5" x14ac:dyDescent="0.35">
      <c r="A8" s="6" t="s">
        <v>7</v>
      </c>
      <c r="B8" s="5">
        <v>0.2</v>
      </c>
    </row>
    <row r="9" spans="1:5" ht="15.5" x14ac:dyDescent="0.35">
      <c r="A9" s="6" t="s">
        <v>8</v>
      </c>
      <c r="B9" s="5">
        <v>0.16494962216624701</v>
      </c>
      <c r="C9">
        <v>2526</v>
      </c>
      <c r="D9">
        <f t="shared" si="0"/>
        <v>416.66274559193994</v>
      </c>
    </row>
    <row r="10" spans="1:5" ht="15.5" x14ac:dyDescent="0.35">
      <c r="A10" s="4" t="s">
        <v>9</v>
      </c>
      <c r="B10" s="5">
        <v>0.97</v>
      </c>
    </row>
    <row r="11" spans="1:5" ht="15.5" x14ac:dyDescent="0.35">
      <c r="A11" s="4" t="s">
        <v>10</v>
      </c>
      <c r="B11" s="5">
        <v>0.97</v>
      </c>
    </row>
    <row r="12" spans="1:5" x14ac:dyDescent="0.35">
      <c r="D12">
        <f>SUM(D1:D11)</f>
        <v>2609.13274559194</v>
      </c>
      <c r="E12" s="2">
        <f>E2+E3</f>
        <v>0.76497449329554179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6FCD-44EB-4D2D-A6CA-359EE89B9365}">
  <dimension ref="A2:Q70"/>
  <sheetViews>
    <sheetView topLeftCell="A52" zoomScale="90" zoomScaleNormal="90" workbookViewId="0">
      <selection activeCell="B66" sqref="B66:G69"/>
    </sheetView>
  </sheetViews>
  <sheetFormatPr defaultRowHeight="14.5" x14ac:dyDescent="0.35"/>
  <cols>
    <col min="1" max="1" width="33.453125" customWidth="1"/>
  </cols>
  <sheetData>
    <row r="2" spans="1:17" ht="16" x14ac:dyDescent="0.35">
      <c r="A2" s="61" t="s">
        <v>67</v>
      </c>
      <c r="K2" s="61" t="s">
        <v>70</v>
      </c>
    </row>
    <row r="3" spans="1:17" ht="16.5" thickBot="1" x14ac:dyDescent="0.4">
      <c r="A3" s="62"/>
      <c r="K3" s="69"/>
    </row>
    <row r="4" spans="1:17" ht="32.5" thickBot="1" x14ac:dyDescent="0.4">
      <c r="A4" s="63" t="s">
        <v>68</v>
      </c>
      <c r="B4" s="64" t="s">
        <v>17</v>
      </c>
      <c r="C4" s="64" t="s">
        <v>18</v>
      </c>
      <c r="D4" s="64" t="s">
        <v>19</v>
      </c>
      <c r="E4" s="64" t="s">
        <v>20</v>
      </c>
      <c r="F4" s="64" t="s">
        <v>48</v>
      </c>
      <c r="G4" s="64" t="s">
        <v>49</v>
      </c>
      <c r="K4" s="63" t="s">
        <v>71</v>
      </c>
      <c r="L4" s="64" t="s">
        <v>17</v>
      </c>
      <c r="M4" s="64" t="s">
        <v>18</v>
      </c>
      <c r="N4" s="64" t="s">
        <v>19</v>
      </c>
      <c r="O4" s="64" t="s">
        <v>20</v>
      </c>
      <c r="P4" s="64" t="s">
        <v>48</v>
      </c>
      <c r="Q4" s="64" t="s">
        <v>49</v>
      </c>
    </row>
    <row r="5" spans="1:17" ht="16.5" thickBot="1" x14ac:dyDescent="0.4">
      <c r="A5" s="65" t="s">
        <v>22</v>
      </c>
      <c r="B5" s="66">
        <v>2098</v>
      </c>
      <c r="C5" s="66">
        <v>2541</v>
      </c>
      <c r="D5" s="66">
        <v>2757</v>
      </c>
      <c r="E5" s="66">
        <v>3143</v>
      </c>
      <c r="F5" s="66">
        <v>3448</v>
      </c>
      <c r="G5" s="66">
        <v>3601</v>
      </c>
      <c r="K5" s="65" t="s">
        <v>22</v>
      </c>
      <c r="L5" s="66">
        <v>2098</v>
      </c>
      <c r="M5" s="66">
        <v>2544</v>
      </c>
      <c r="N5" s="66">
        <v>2676</v>
      </c>
      <c r="O5" s="66">
        <v>2827</v>
      </c>
      <c r="P5" s="66">
        <v>3070</v>
      </c>
      <c r="Q5" s="66">
        <v>3001</v>
      </c>
    </row>
    <row r="6" spans="1:17" ht="16.5" thickBot="1" x14ac:dyDescent="0.4">
      <c r="A6" s="65" t="s">
        <v>23</v>
      </c>
      <c r="B6" s="66">
        <v>1975</v>
      </c>
      <c r="C6" s="66">
        <v>2241</v>
      </c>
      <c r="D6" s="66">
        <v>2586</v>
      </c>
      <c r="E6" s="66">
        <v>2984</v>
      </c>
      <c r="F6" s="66">
        <v>3462</v>
      </c>
      <c r="G6" s="66">
        <v>3693</v>
      </c>
      <c r="K6" s="65" t="s">
        <v>23</v>
      </c>
      <c r="L6" s="66">
        <v>1975</v>
      </c>
      <c r="M6" s="66">
        <v>2207</v>
      </c>
      <c r="N6" s="66">
        <v>2286</v>
      </c>
      <c r="O6" s="66">
        <v>2549</v>
      </c>
      <c r="P6" s="66">
        <v>2638</v>
      </c>
      <c r="Q6" s="66">
        <v>2722</v>
      </c>
    </row>
    <row r="7" spans="1:17" ht="16.5" thickBot="1" x14ac:dyDescent="0.4">
      <c r="A7" s="65" t="s">
        <v>24</v>
      </c>
      <c r="B7" s="66">
        <v>1577</v>
      </c>
      <c r="C7" s="66">
        <v>1841</v>
      </c>
      <c r="D7" s="66">
        <v>2191</v>
      </c>
      <c r="E7" s="66">
        <v>2618</v>
      </c>
      <c r="F7" s="66">
        <v>3125</v>
      </c>
      <c r="G7" s="66">
        <v>3419</v>
      </c>
      <c r="K7" s="65" t="s">
        <v>24</v>
      </c>
      <c r="L7" s="66">
        <v>1577</v>
      </c>
      <c r="M7" s="66">
        <v>1808</v>
      </c>
      <c r="N7" s="66">
        <v>1891</v>
      </c>
      <c r="O7" s="66">
        <v>2090</v>
      </c>
      <c r="P7" s="66">
        <v>2302</v>
      </c>
      <c r="Q7" s="66">
        <v>2355</v>
      </c>
    </row>
    <row r="8" spans="1:17" ht="16.5" thickBot="1" x14ac:dyDescent="0.4">
      <c r="A8" s="65" t="s">
        <v>25</v>
      </c>
      <c r="B8" s="66">
        <v>2054</v>
      </c>
      <c r="C8" s="66">
        <v>2307</v>
      </c>
      <c r="D8" s="66">
        <v>2413</v>
      </c>
      <c r="E8" s="66">
        <v>2523</v>
      </c>
      <c r="F8" s="66">
        <v>2502</v>
      </c>
      <c r="G8" s="66">
        <v>2674</v>
      </c>
      <c r="K8" s="65" t="s">
        <v>25</v>
      </c>
      <c r="L8" s="66">
        <v>2054</v>
      </c>
      <c r="M8" s="66">
        <v>2335</v>
      </c>
      <c r="N8" s="66">
        <v>2457</v>
      </c>
      <c r="O8" s="66">
        <v>2541</v>
      </c>
      <c r="P8" s="66">
        <v>2476</v>
      </c>
      <c r="Q8" s="66">
        <v>2530</v>
      </c>
    </row>
    <row r="9" spans="1:17" ht="16.5" thickBot="1" x14ac:dyDescent="0.4">
      <c r="A9" s="65" t="s">
        <v>53</v>
      </c>
      <c r="B9" s="67">
        <v>7703</v>
      </c>
      <c r="C9" s="67">
        <v>8930</v>
      </c>
      <c r="D9" s="67">
        <v>9947</v>
      </c>
      <c r="E9" s="67">
        <v>11268</v>
      </c>
      <c r="F9" s="67">
        <v>12537</v>
      </c>
      <c r="G9" s="67">
        <v>13387</v>
      </c>
      <c r="K9" s="65" t="s">
        <v>53</v>
      </c>
      <c r="L9" s="67">
        <v>7703</v>
      </c>
      <c r="M9" s="67">
        <v>8893</v>
      </c>
      <c r="N9" s="67">
        <v>9311</v>
      </c>
      <c r="O9" s="67">
        <v>10007</v>
      </c>
      <c r="P9" s="67">
        <v>10486</v>
      </c>
      <c r="Q9" s="67">
        <v>10608</v>
      </c>
    </row>
    <row r="10" spans="1:17" ht="15" thickBot="1" x14ac:dyDescent="0.4">
      <c r="A10" s="147"/>
      <c r="B10" s="148"/>
      <c r="C10" s="148"/>
      <c r="D10" s="148"/>
      <c r="E10" s="148"/>
      <c r="F10" s="148"/>
      <c r="G10" s="149"/>
      <c r="K10" s="147"/>
      <c r="L10" s="148"/>
      <c r="M10" s="148"/>
      <c r="N10" s="148"/>
      <c r="O10" s="148"/>
      <c r="P10" s="148"/>
      <c r="Q10" s="149"/>
    </row>
    <row r="11" spans="1:17" ht="32.5" thickBot="1" x14ac:dyDescent="0.4">
      <c r="A11" s="65" t="s">
        <v>69</v>
      </c>
      <c r="B11" s="68" t="s">
        <v>17</v>
      </c>
      <c r="C11" s="68" t="s">
        <v>18</v>
      </c>
      <c r="D11" s="68" t="s">
        <v>19</v>
      </c>
      <c r="E11" s="68" t="s">
        <v>20</v>
      </c>
      <c r="F11" s="68" t="s">
        <v>48</v>
      </c>
      <c r="G11" s="68" t="s">
        <v>49</v>
      </c>
      <c r="K11" s="65" t="s">
        <v>72</v>
      </c>
      <c r="L11" s="68" t="s">
        <v>17</v>
      </c>
      <c r="M11" s="68" t="s">
        <v>18</v>
      </c>
      <c r="N11" s="68" t="s">
        <v>19</v>
      </c>
      <c r="O11" s="68" t="s">
        <v>20</v>
      </c>
      <c r="P11" s="68" t="s">
        <v>48</v>
      </c>
      <c r="Q11" s="68" t="s">
        <v>49</v>
      </c>
    </row>
    <row r="12" spans="1:17" ht="16.5" thickBot="1" x14ac:dyDescent="0.4">
      <c r="A12" s="65" t="s">
        <v>22</v>
      </c>
      <c r="B12" s="66">
        <v>1907</v>
      </c>
      <c r="C12" s="66">
        <v>2310</v>
      </c>
      <c r="D12" s="66">
        <v>2506</v>
      </c>
      <c r="E12" s="66">
        <v>2857</v>
      </c>
      <c r="F12" s="66">
        <v>3135</v>
      </c>
      <c r="G12" s="66">
        <v>3274</v>
      </c>
      <c r="K12" s="65" t="s">
        <v>22</v>
      </c>
      <c r="L12" s="66">
        <v>1907</v>
      </c>
      <c r="M12" s="66">
        <v>2312</v>
      </c>
      <c r="N12" s="66">
        <v>2433</v>
      </c>
      <c r="O12" s="66">
        <v>2570</v>
      </c>
      <c r="P12" s="66">
        <v>2791</v>
      </c>
      <c r="Q12" s="66">
        <v>2728</v>
      </c>
    </row>
    <row r="13" spans="1:17" ht="16.5" thickBot="1" x14ac:dyDescent="0.4">
      <c r="A13" s="65" t="s">
        <v>23</v>
      </c>
      <c r="B13" s="66">
        <v>1795</v>
      </c>
      <c r="C13" s="66">
        <v>2037</v>
      </c>
      <c r="D13" s="66">
        <v>2351</v>
      </c>
      <c r="E13" s="66">
        <v>2713</v>
      </c>
      <c r="F13" s="66">
        <v>3147</v>
      </c>
      <c r="G13" s="66">
        <v>3357</v>
      </c>
      <c r="K13" s="65" t="s">
        <v>23</v>
      </c>
      <c r="L13" s="66">
        <v>1795</v>
      </c>
      <c r="M13" s="66">
        <v>2007</v>
      </c>
      <c r="N13" s="66">
        <v>2079</v>
      </c>
      <c r="O13" s="66">
        <v>2317</v>
      </c>
      <c r="P13" s="66">
        <v>2398</v>
      </c>
      <c r="Q13" s="66">
        <v>2475</v>
      </c>
    </row>
    <row r="14" spans="1:17" ht="16.5" thickBot="1" x14ac:dyDescent="0.4">
      <c r="A14" s="65" t="s">
        <v>24</v>
      </c>
      <c r="B14" s="66">
        <v>1433</v>
      </c>
      <c r="C14" s="66">
        <v>1674</v>
      </c>
      <c r="D14" s="66">
        <v>1991</v>
      </c>
      <c r="E14" s="66">
        <v>2380</v>
      </c>
      <c r="F14" s="66">
        <v>2841</v>
      </c>
      <c r="G14" s="66">
        <v>3108</v>
      </c>
      <c r="K14" s="65" t="s">
        <v>24</v>
      </c>
      <c r="L14" s="66">
        <v>1433</v>
      </c>
      <c r="M14" s="66">
        <v>1644</v>
      </c>
      <c r="N14" s="66">
        <v>1719</v>
      </c>
      <c r="O14" s="66">
        <v>1900</v>
      </c>
      <c r="P14" s="66">
        <v>2092</v>
      </c>
      <c r="Q14" s="66">
        <v>2141</v>
      </c>
    </row>
    <row r="15" spans="1:17" ht="16.5" thickBot="1" x14ac:dyDescent="0.4">
      <c r="A15" s="65" t="s">
        <v>25</v>
      </c>
      <c r="B15" s="66">
        <v>1867</v>
      </c>
      <c r="C15" s="66">
        <v>2097</v>
      </c>
      <c r="D15" s="66">
        <v>2194</v>
      </c>
      <c r="E15" s="66">
        <v>2294</v>
      </c>
      <c r="F15" s="66">
        <v>2274</v>
      </c>
      <c r="G15" s="66">
        <v>2431</v>
      </c>
      <c r="K15" s="65" t="s">
        <v>25</v>
      </c>
      <c r="L15" s="66">
        <v>1867</v>
      </c>
      <c r="M15" s="66">
        <v>2122</v>
      </c>
      <c r="N15" s="66">
        <v>2233</v>
      </c>
      <c r="O15" s="66">
        <v>2310</v>
      </c>
      <c r="P15" s="66">
        <v>2251</v>
      </c>
      <c r="Q15" s="66">
        <v>2300</v>
      </c>
    </row>
    <row r="16" spans="1:17" ht="16.5" thickBot="1" x14ac:dyDescent="0.4">
      <c r="A16" s="65" t="s">
        <v>53</v>
      </c>
      <c r="B16" s="67">
        <v>7003</v>
      </c>
      <c r="C16" s="67">
        <v>8118</v>
      </c>
      <c r="D16" s="67">
        <v>9043</v>
      </c>
      <c r="E16" s="67">
        <v>10244</v>
      </c>
      <c r="F16" s="67">
        <v>11397</v>
      </c>
      <c r="G16" s="67">
        <v>12170</v>
      </c>
      <c r="K16" s="65" t="s">
        <v>53</v>
      </c>
      <c r="L16" s="67">
        <v>7003</v>
      </c>
      <c r="M16" s="67">
        <v>8085</v>
      </c>
      <c r="N16" s="67">
        <v>8464</v>
      </c>
      <c r="O16" s="67">
        <v>9097</v>
      </c>
      <c r="P16" s="67">
        <v>9532</v>
      </c>
      <c r="Q16" s="67">
        <v>9644</v>
      </c>
    </row>
    <row r="17" spans="1:17" ht="16" x14ac:dyDescent="0.35">
      <c r="A17" s="62"/>
      <c r="K17" s="54"/>
      <c r="L17" s="26"/>
      <c r="M17" s="26"/>
      <c r="N17" s="26"/>
      <c r="O17" s="26"/>
      <c r="P17" s="54"/>
      <c r="Q17" s="54"/>
    </row>
    <row r="18" spans="1:17" x14ac:dyDescent="0.35">
      <c r="A18" s="52"/>
      <c r="B18" s="18"/>
      <c r="C18" s="18"/>
      <c r="D18" s="18"/>
      <c r="E18" s="18"/>
      <c r="F18" s="52"/>
      <c r="G18" s="52"/>
      <c r="K18" s="55"/>
      <c r="L18" s="53"/>
      <c r="M18" s="53"/>
      <c r="N18" s="53"/>
      <c r="O18" s="53"/>
      <c r="P18" s="55"/>
      <c r="Q18" s="55"/>
    </row>
    <row r="19" spans="1:17" x14ac:dyDescent="0.35">
      <c r="A19" s="50"/>
      <c r="B19">
        <f>B12*1.15</f>
        <v>2193.0499999999997</v>
      </c>
      <c r="C19">
        <f t="shared" ref="C19:F19" si="0">C12*1.15</f>
        <v>2656.5</v>
      </c>
      <c r="D19">
        <f t="shared" si="0"/>
        <v>2881.8999999999996</v>
      </c>
      <c r="E19">
        <f t="shared" si="0"/>
        <v>3285.5499999999997</v>
      </c>
      <c r="F19">
        <f t="shared" si="0"/>
        <v>3605.2499999999995</v>
      </c>
      <c r="G19">
        <f>G12*1.15</f>
        <v>3765.1</v>
      </c>
      <c r="K19" t="s">
        <v>22</v>
      </c>
      <c r="L19">
        <f>L12*1.2</f>
        <v>2288.4</v>
      </c>
      <c r="M19">
        <f t="shared" ref="M19:Q19" si="1">M12*1.2</f>
        <v>2774.4</v>
      </c>
      <c r="N19">
        <f t="shared" si="1"/>
        <v>2919.6</v>
      </c>
      <c r="O19">
        <f t="shared" si="1"/>
        <v>3084</v>
      </c>
      <c r="P19">
        <f t="shared" si="1"/>
        <v>3349.2</v>
      </c>
      <c r="Q19">
        <f t="shared" si="1"/>
        <v>3273.6</v>
      </c>
    </row>
    <row r="20" spans="1:17" x14ac:dyDescent="0.35">
      <c r="A20" s="50"/>
      <c r="B20">
        <f t="shared" ref="B20:G23" si="2">B13*1.15</f>
        <v>2064.25</v>
      </c>
      <c r="C20">
        <f t="shared" si="2"/>
        <v>2342.5499999999997</v>
      </c>
      <c r="D20">
        <f t="shared" si="2"/>
        <v>2703.6499999999996</v>
      </c>
      <c r="E20">
        <f t="shared" si="2"/>
        <v>3119.95</v>
      </c>
      <c r="F20">
        <f t="shared" si="2"/>
        <v>3619.0499999999997</v>
      </c>
      <c r="G20">
        <f t="shared" si="2"/>
        <v>3860.5499999999997</v>
      </c>
      <c r="K20" t="s">
        <v>23</v>
      </c>
      <c r="L20">
        <f t="shared" ref="L20:Q23" si="3">L13*1.2</f>
        <v>2154</v>
      </c>
      <c r="M20">
        <f t="shared" si="3"/>
        <v>2408.4</v>
      </c>
      <c r="N20">
        <f t="shared" si="3"/>
        <v>2494.7999999999997</v>
      </c>
      <c r="O20">
        <f t="shared" si="3"/>
        <v>2780.4</v>
      </c>
      <c r="P20">
        <f t="shared" si="3"/>
        <v>2877.6</v>
      </c>
      <c r="Q20">
        <f t="shared" si="3"/>
        <v>2970</v>
      </c>
    </row>
    <row r="21" spans="1:17" x14ac:dyDescent="0.35">
      <c r="A21" s="49"/>
      <c r="B21">
        <f t="shared" si="2"/>
        <v>1647.9499999999998</v>
      </c>
      <c r="C21">
        <f t="shared" si="2"/>
        <v>1925.1</v>
      </c>
      <c r="D21">
        <f t="shared" si="2"/>
        <v>2289.6499999999996</v>
      </c>
      <c r="E21">
        <f t="shared" si="2"/>
        <v>2737</v>
      </c>
      <c r="F21">
        <f t="shared" si="2"/>
        <v>3267.1499999999996</v>
      </c>
      <c r="G21">
        <f t="shared" si="2"/>
        <v>3574.2</v>
      </c>
      <c r="K21" s="50" t="s">
        <v>24</v>
      </c>
      <c r="L21">
        <f t="shared" si="3"/>
        <v>1719.6</v>
      </c>
      <c r="M21">
        <f t="shared" si="3"/>
        <v>1972.8</v>
      </c>
      <c r="N21">
        <f t="shared" si="3"/>
        <v>2062.7999999999997</v>
      </c>
      <c r="O21">
        <f t="shared" si="3"/>
        <v>2280</v>
      </c>
      <c r="P21">
        <f t="shared" si="3"/>
        <v>2510.4</v>
      </c>
      <c r="Q21">
        <f t="shared" si="3"/>
        <v>2569.1999999999998</v>
      </c>
    </row>
    <row r="22" spans="1:17" x14ac:dyDescent="0.35">
      <c r="A22" s="51"/>
      <c r="B22">
        <f t="shared" si="2"/>
        <v>2147.0499999999997</v>
      </c>
      <c r="C22">
        <f t="shared" si="2"/>
        <v>2411.5499999999997</v>
      </c>
      <c r="D22">
        <f t="shared" si="2"/>
        <v>2523.1</v>
      </c>
      <c r="E22">
        <f t="shared" si="2"/>
        <v>2638.1</v>
      </c>
      <c r="F22">
        <f t="shared" si="2"/>
        <v>2615.1</v>
      </c>
      <c r="G22">
        <f t="shared" si="2"/>
        <v>2795.6499999999996</v>
      </c>
      <c r="K22" s="56" t="s">
        <v>25</v>
      </c>
      <c r="L22">
        <f t="shared" si="3"/>
        <v>2240.4</v>
      </c>
      <c r="M22">
        <f t="shared" si="3"/>
        <v>2546.4</v>
      </c>
      <c r="N22">
        <f t="shared" si="3"/>
        <v>2679.6</v>
      </c>
      <c r="O22">
        <f t="shared" si="3"/>
        <v>2772</v>
      </c>
      <c r="P22">
        <f t="shared" si="3"/>
        <v>2701.2</v>
      </c>
      <c r="Q22">
        <f t="shared" si="3"/>
        <v>2760</v>
      </c>
    </row>
    <row r="23" spans="1:17" x14ac:dyDescent="0.35">
      <c r="A23" s="52"/>
      <c r="B23">
        <f t="shared" si="2"/>
        <v>8053.45</v>
      </c>
      <c r="C23">
        <f t="shared" si="2"/>
        <v>9335.6999999999989</v>
      </c>
      <c r="D23">
        <f t="shared" si="2"/>
        <v>10399.449999999999</v>
      </c>
      <c r="E23">
        <f t="shared" si="2"/>
        <v>11780.599999999999</v>
      </c>
      <c r="F23">
        <f t="shared" si="2"/>
        <v>13106.55</v>
      </c>
      <c r="G23">
        <f t="shared" si="2"/>
        <v>13995.499999999998</v>
      </c>
      <c r="K23" s="18" t="s">
        <v>53</v>
      </c>
      <c r="L23">
        <f t="shared" si="3"/>
        <v>8403.6</v>
      </c>
      <c r="M23">
        <f t="shared" si="3"/>
        <v>9702</v>
      </c>
      <c r="N23">
        <f t="shared" si="3"/>
        <v>10156.799999999999</v>
      </c>
      <c r="O23">
        <f t="shared" si="3"/>
        <v>10916.4</v>
      </c>
      <c r="P23">
        <f t="shared" si="3"/>
        <v>11438.4</v>
      </c>
      <c r="Q23">
        <f t="shared" si="3"/>
        <v>11572.8</v>
      </c>
    </row>
    <row r="24" spans="1:17" x14ac:dyDescent="0.35">
      <c r="A24" s="52"/>
      <c r="B24" s="18"/>
      <c r="C24" s="18"/>
      <c r="D24" s="18"/>
      <c r="E24" s="18"/>
      <c r="F24" s="52"/>
      <c r="G24" s="52"/>
      <c r="K24" s="18"/>
      <c r="L24" s="18"/>
      <c r="M24" s="18"/>
      <c r="N24" s="18"/>
      <c r="O24" s="18"/>
    </row>
    <row r="25" spans="1:17" x14ac:dyDescent="0.35">
      <c r="A25" s="52"/>
      <c r="B25" s="18"/>
      <c r="C25" s="18"/>
      <c r="D25" s="18"/>
      <c r="E25" s="18"/>
      <c r="F25" s="52"/>
      <c r="G25" s="52"/>
      <c r="K25" s="18"/>
      <c r="L25" s="18"/>
      <c r="M25" s="18"/>
      <c r="N25" s="18"/>
      <c r="O25" s="18"/>
    </row>
    <row r="26" spans="1:17" ht="16.5" thickBot="1" x14ac:dyDescent="0.4">
      <c r="A26" s="61" t="s">
        <v>122</v>
      </c>
      <c r="B26" s="18"/>
      <c r="C26" s="18"/>
      <c r="D26" s="18"/>
      <c r="E26" s="18"/>
      <c r="F26" s="52"/>
      <c r="G26" s="52"/>
      <c r="K26" s="18"/>
      <c r="L26" s="18"/>
      <c r="M26" s="18"/>
      <c r="N26" s="18"/>
      <c r="O26" s="18"/>
    </row>
    <row r="27" spans="1:17" ht="16.5" thickBot="1" x14ac:dyDescent="0.4">
      <c r="A27" s="72" t="s">
        <v>103</v>
      </c>
      <c r="B27" s="73" t="s">
        <v>17</v>
      </c>
      <c r="C27" s="73" t="s">
        <v>18</v>
      </c>
      <c r="D27" s="73" t="s">
        <v>19</v>
      </c>
      <c r="E27" s="73" t="s">
        <v>20</v>
      </c>
      <c r="F27" s="73" t="s">
        <v>48</v>
      </c>
      <c r="G27" s="73" t="s">
        <v>49</v>
      </c>
      <c r="H27" s="74"/>
      <c r="I27" s="75"/>
      <c r="K27" s="18"/>
      <c r="L27" s="18"/>
      <c r="M27" s="18"/>
      <c r="N27" s="18"/>
      <c r="O27" s="18"/>
    </row>
    <row r="28" spans="1:17" ht="16.5" thickBot="1" x14ac:dyDescent="0.4">
      <c r="A28" s="76" t="s">
        <v>34</v>
      </c>
      <c r="B28" s="77">
        <v>2137</v>
      </c>
      <c r="C28" s="77">
        <v>2802</v>
      </c>
      <c r="D28" s="77">
        <v>3209</v>
      </c>
      <c r="E28" s="77">
        <v>3586</v>
      </c>
      <c r="F28" s="77">
        <v>3973</v>
      </c>
      <c r="G28" s="77">
        <v>4021</v>
      </c>
      <c r="H28" s="74"/>
      <c r="I28" s="81">
        <f>B28-B38</f>
        <v>102</v>
      </c>
      <c r="J28" s="81">
        <f t="shared" ref="J28:N31" si="4">C28-C38</f>
        <v>255</v>
      </c>
      <c r="K28" s="81">
        <f t="shared" si="4"/>
        <v>292</v>
      </c>
      <c r="L28" s="81">
        <f t="shared" si="4"/>
        <v>326</v>
      </c>
      <c r="M28" s="81">
        <f t="shared" si="4"/>
        <v>362</v>
      </c>
      <c r="N28" s="81">
        <f>G28-G38</f>
        <v>365</v>
      </c>
    </row>
    <row r="29" spans="1:17" ht="16.5" thickBot="1" x14ac:dyDescent="0.4">
      <c r="A29" s="76" t="s">
        <v>35</v>
      </c>
      <c r="B29" s="77">
        <v>2028</v>
      </c>
      <c r="C29" s="77">
        <v>2554</v>
      </c>
      <c r="D29" s="77">
        <v>2750</v>
      </c>
      <c r="E29" s="77">
        <v>3132</v>
      </c>
      <c r="F29" s="77">
        <v>3502</v>
      </c>
      <c r="G29" s="77">
        <v>3726</v>
      </c>
      <c r="H29" s="74"/>
      <c r="I29" s="81">
        <f t="shared" ref="I29:I31" si="5">B29-B39</f>
        <v>96</v>
      </c>
      <c r="J29" s="81">
        <f t="shared" si="4"/>
        <v>232</v>
      </c>
      <c r="K29" s="81">
        <f t="shared" si="4"/>
        <v>250</v>
      </c>
      <c r="L29" s="81">
        <f t="shared" si="4"/>
        <v>284</v>
      </c>
      <c r="M29" s="81">
        <f t="shared" si="4"/>
        <v>318</v>
      </c>
      <c r="N29" s="81">
        <f t="shared" si="4"/>
        <v>339</v>
      </c>
    </row>
    <row r="30" spans="1:17" ht="16.5" thickBot="1" x14ac:dyDescent="0.4">
      <c r="A30" s="76" t="s">
        <v>36</v>
      </c>
      <c r="B30" s="77">
        <v>1616</v>
      </c>
      <c r="C30" s="77">
        <v>1991</v>
      </c>
      <c r="D30" s="77">
        <v>2264</v>
      </c>
      <c r="E30" s="77">
        <v>2742</v>
      </c>
      <c r="F30" s="77">
        <v>3199</v>
      </c>
      <c r="G30" s="77">
        <v>3283</v>
      </c>
      <c r="H30" s="74"/>
      <c r="I30" s="81">
        <f t="shared" si="5"/>
        <v>77</v>
      </c>
      <c r="J30" s="81">
        <f t="shared" si="4"/>
        <v>181</v>
      </c>
      <c r="K30" s="81">
        <f t="shared" si="4"/>
        <v>206</v>
      </c>
      <c r="L30" s="81">
        <f t="shared" si="4"/>
        <v>249</v>
      </c>
      <c r="M30" s="81">
        <f t="shared" si="4"/>
        <v>291</v>
      </c>
      <c r="N30" s="81">
        <f t="shared" si="4"/>
        <v>299</v>
      </c>
    </row>
    <row r="31" spans="1:17" ht="16.5" thickBot="1" x14ac:dyDescent="0.4">
      <c r="A31" s="76" t="s">
        <v>37</v>
      </c>
      <c r="B31" s="77">
        <v>2094</v>
      </c>
      <c r="C31" s="77">
        <v>2531</v>
      </c>
      <c r="D31" s="77">
        <v>2955</v>
      </c>
      <c r="E31" s="77">
        <v>3054</v>
      </c>
      <c r="F31" s="77">
        <v>3405</v>
      </c>
      <c r="G31" s="77">
        <v>3489</v>
      </c>
      <c r="H31" s="74"/>
      <c r="I31" s="81">
        <f t="shared" si="5"/>
        <v>100</v>
      </c>
      <c r="J31" s="81">
        <f t="shared" si="4"/>
        <v>230</v>
      </c>
      <c r="K31" s="81">
        <f t="shared" si="4"/>
        <v>268</v>
      </c>
      <c r="L31" s="81">
        <f t="shared" si="4"/>
        <v>278</v>
      </c>
      <c r="M31" s="81">
        <f t="shared" si="4"/>
        <v>309</v>
      </c>
      <c r="N31" s="81">
        <f t="shared" si="4"/>
        <v>318</v>
      </c>
      <c r="O31" s="56"/>
    </row>
    <row r="32" spans="1:17" ht="16.5" thickBot="1" x14ac:dyDescent="0.4">
      <c r="A32" s="76" t="s">
        <v>53</v>
      </c>
      <c r="B32" s="78">
        <v>7875</v>
      </c>
      <c r="C32" s="78">
        <v>9877</v>
      </c>
      <c r="D32" s="78">
        <v>11178</v>
      </c>
      <c r="E32" s="78">
        <v>12515</v>
      </c>
      <c r="F32" s="78">
        <v>14079</v>
      </c>
      <c r="G32" s="78">
        <v>14518</v>
      </c>
      <c r="H32" s="74"/>
      <c r="I32" s="75"/>
      <c r="K32" s="57"/>
      <c r="L32" s="57"/>
      <c r="M32" s="57"/>
      <c r="N32" s="57"/>
      <c r="O32" s="57"/>
    </row>
    <row r="33" spans="1:17" ht="16" x14ac:dyDescent="0.35">
      <c r="A33" s="150"/>
      <c r="B33" s="150"/>
      <c r="C33" s="150"/>
      <c r="D33" s="150"/>
      <c r="E33" s="150"/>
      <c r="F33" s="150"/>
      <c r="G33" s="150"/>
      <c r="H33" s="74"/>
      <c r="I33" s="75"/>
      <c r="K33" s="57"/>
      <c r="L33" s="57"/>
      <c r="M33" s="57"/>
      <c r="N33" s="57"/>
      <c r="O33" s="57"/>
    </row>
    <row r="34" spans="1:17" x14ac:dyDescent="0.35">
      <c r="A34" s="151"/>
      <c r="B34" s="151"/>
      <c r="C34" s="151"/>
      <c r="D34" s="151"/>
      <c r="E34" s="151"/>
      <c r="F34" s="151"/>
      <c r="G34" s="151"/>
      <c r="H34" s="71"/>
      <c r="I34" s="75"/>
      <c r="K34" s="57"/>
      <c r="L34" s="57"/>
      <c r="M34" s="57"/>
      <c r="N34" s="57"/>
      <c r="O34" s="57"/>
    </row>
    <row r="35" spans="1:17" ht="15" thickBot="1" x14ac:dyDescent="0.4">
      <c r="A35" s="152"/>
      <c r="B35" s="152"/>
      <c r="C35" s="152"/>
      <c r="D35" s="152"/>
      <c r="E35" s="152"/>
      <c r="F35" s="152"/>
      <c r="G35" s="152"/>
      <c r="H35" s="71"/>
      <c r="I35" s="75"/>
      <c r="K35" s="57"/>
      <c r="L35" s="57"/>
      <c r="M35" s="57"/>
      <c r="N35" s="57"/>
      <c r="O35" s="57"/>
    </row>
    <row r="36" spans="1:17" x14ac:dyDescent="0.35">
      <c r="A36" s="79" t="s">
        <v>104</v>
      </c>
      <c r="B36" s="153" t="s">
        <v>17</v>
      </c>
      <c r="C36" s="153" t="s">
        <v>18</v>
      </c>
      <c r="D36" s="153" t="s">
        <v>19</v>
      </c>
      <c r="E36" s="153" t="s">
        <v>20</v>
      </c>
      <c r="F36" s="153" t="s">
        <v>48</v>
      </c>
      <c r="G36" s="153" t="s">
        <v>49</v>
      </c>
      <c r="H36" s="155"/>
      <c r="I36" s="156"/>
      <c r="K36" s="57"/>
      <c r="L36" s="57"/>
      <c r="M36" s="57"/>
      <c r="N36" s="57"/>
      <c r="O36" s="57"/>
    </row>
    <row r="37" spans="1:17" ht="29.5" thickBot="1" x14ac:dyDescent="0.4">
      <c r="A37" s="80" t="s">
        <v>105</v>
      </c>
      <c r="B37" s="154"/>
      <c r="C37" s="154"/>
      <c r="D37" s="154"/>
      <c r="E37" s="154"/>
      <c r="F37" s="154"/>
      <c r="G37" s="154"/>
      <c r="H37" s="155"/>
      <c r="I37" s="156"/>
    </row>
    <row r="38" spans="1:17" ht="15" thickBot="1" x14ac:dyDescent="0.4">
      <c r="A38" s="76" t="s">
        <v>34</v>
      </c>
      <c r="B38" s="77">
        <v>2035</v>
      </c>
      <c r="C38" s="77">
        <v>2547</v>
      </c>
      <c r="D38" s="77">
        <v>2917</v>
      </c>
      <c r="E38" s="77">
        <v>3260</v>
      </c>
      <c r="F38" s="77">
        <v>3611</v>
      </c>
      <c r="G38" s="77">
        <v>3656</v>
      </c>
      <c r="H38" s="75"/>
      <c r="I38" s="75"/>
    </row>
    <row r="39" spans="1:17" ht="15" thickBot="1" x14ac:dyDescent="0.4">
      <c r="A39" s="76" t="s">
        <v>35</v>
      </c>
      <c r="B39" s="77">
        <v>1932</v>
      </c>
      <c r="C39" s="77">
        <v>2322</v>
      </c>
      <c r="D39" s="77">
        <v>2500</v>
      </c>
      <c r="E39" s="77">
        <v>2848</v>
      </c>
      <c r="F39" s="77">
        <v>3184</v>
      </c>
      <c r="G39" s="77">
        <v>3387</v>
      </c>
      <c r="H39" s="75"/>
      <c r="I39" s="75"/>
    </row>
    <row r="40" spans="1:17" ht="15" thickBot="1" x14ac:dyDescent="0.4">
      <c r="A40" s="76" t="s">
        <v>36</v>
      </c>
      <c r="B40" s="77">
        <v>1539</v>
      </c>
      <c r="C40" s="77">
        <v>1810</v>
      </c>
      <c r="D40" s="77">
        <v>2058</v>
      </c>
      <c r="E40" s="77">
        <v>2493</v>
      </c>
      <c r="F40" s="77">
        <v>2908</v>
      </c>
      <c r="G40" s="77">
        <v>2984</v>
      </c>
      <c r="H40" s="75"/>
      <c r="I40" s="75"/>
      <c r="K40" s="50"/>
    </row>
    <row r="41" spans="1:17" ht="15" thickBot="1" x14ac:dyDescent="0.4">
      <c r="A41" s="76" t="s">
        <v>37</v>
      </c>
      <c r="B41" s="77">
        <v>1994</v>
      </c>
      <c r="C41" s="77">
        <v>2301</v>
      </c>
      <c r="D41" s="77">
        <v>2687</v>
      </c>
      <c r="E41" s="77">
        <v>2776</v>
      </c>
      <c r="F41" s="77">
        <v>3096</v>
      </c>
      <c r="G41" s="77">
        <v>3171</v>
      </c>
      <c r="H41" s="75"/>
      <c r="I41" s="75"/>
      <c r="K41" s="58"/>
      <c r="L41" s="58"/>
      <c r="M41" s="58"/>
      <c r="N41" s="58"/>
      <c r="O41" s="58"/>
      <c r="P41" s="58"/>
      <c r="Q41" s="58"/>
    </row>
    <row r="42" spans="1:17" ht="15" thickBot="1" x14ac:dyDescent="0.4">
      <c r="A42" s="76" t="s">
        <v>53</v>
      </c>
      <c r="B42" s="78">
        <v>7500</v>
      </c>
      <c r="C42" s="78">
        <v>8979</v>
      </c>
      <c r="D42" s="78">
        <v>10162</v>
      </c>
      <c r="E42" s="78">
        <v>11377</v>
      </c>
      <c r="F42" s="78">
        <v>12799</v>
      </c>
      <c r="G42" s="78">
        <v>13198</v>
      </c>
      <c r="H42" s="75"/>
      <c r="I42" s="75"/>
      <c r="K42" s="26"/>
      <c r="L42" s="26"/>
      <c r="M42" s="26"/>
      <c r="N42" s="26"/>
      <c r="O42" s="26"/>
      <c r="P42" s="26"/>
      <c r="Q42" s="26"/>
    </row>
    <row r="43" spans="1:17" x14ac:dyDescent="0.35">
      <c r="A43" s="52"/>
      <c r="B43" s="18"/>
      <c r="C43" s="18"/>
      <c r="D43" s="18"/>
      <c r="E43" s="18"/>
      <c r="F43" s="52"/>
      <c r="G43" s="52"/>
      <c r="K43" s="26"/>
      <c r="L43" s="26"/>
      <c r="M43" s="26"/>
      <c r="N43" s="26"/>
      <c r="O43" s="26"/>
      <c r="P43" s="26"/>
      <c r="Q43" s="26"/>
    </row>
    <row r="44" spans="1:17" x14ac:dyDescent="0.35">
      <c r="A44" s="52"/>
      <c r="B44" s="18"/>
      <c r="C44" s="18"/>
      <c r="D44" s="18"/>
      <c r="E44" s="18"/>
      <c r="F44" s="52"/>
      <c r="G44" s="52"/>
      <c r="K44" s="26"/>
      <c r="L44" s="26"/>
      <c r="M44" s="26"/>
      <c r="N44" s="26"/>
      <c r="O44" s="26"/>
      <c r="P44" s="26"/>
      <c r="Q44" s="26"/>
    </row>
    <row r="45" spans="1:17" x14ac:dyDescent="0.35">
      <c r="A45" s="52"/>
      <c r="B45" s="18"/>
      <c r="C45" s="18"/>
      <c r="D45" s="18"/>
      <c r="E45" s="18"/>
      <c r="F45" s="52"/>
      <c r="G45" s="52"/>
      <c r="K45" s="26"/>
      <c r="L45" s="26"/>
      <c r="M45" s="26"/>
      <c r="N45" s="26"/>
      <c r="O45" s="26"/>
      <c r="P45" s="26"/>
      <c r="Q45" s="26"/>
    </row>
    <row r="46" spans="1:17" x14ac:dyDescent="0.35">
      <c r="A46" s="50"/>
      <c r="K46" s="53"/>
      <c r="L46" s="53"/>
      <c r="M46" s="53"/>
      <c r="N46" s="53"/>
      <c r="O46" s="53"/>
      <c r="P46" s="53"/>
      <c r="Q46" s="53"/>
    </row>
    <row r="47" spans="1:17" ht="16" x14ac:dyDescent="0.35">
      <c r="A47" s="61" t="s">
        <v>120</v>
      </c>
      <c r="J47" s="61" t="s">
        <v>121</v>
      </c>
    </row>
    <row r="48" spans="1:17" ht="15" thickBot="1" x14ac:dyDescent="0.4">
      <c r="A48" s="95"/>
      <c r="B48" s="143"/>
      <c r="C48" s="143"/>
      <c r="D48" s="143"/>
      <c r="E48" s="143"/>
      <c r="F48" s="143"/>
      <c r="G48" s="143"/>
      <c r="J48" s="95"/>
      <c r="K48" s="143"/>
      <c r="L48" s="143"/>
      <c r="M48" s="143"/>
      <c r="N48" s="143"/>
      <c r="O48" s="143"/>
      <c r="P48" s="143"/>
    </row>
    <row r="49" spans="1:17" ht="16.5" thickBot="1" x14ac:dyDescent="0.4">
      <c r="A49" s="96" t="s">
        <v>103</v>
      </c>
      <c r="B49" s="97" t="s">
        <v>17</v>
      </c>
      <c r="C49" s="97" t="s">
        <v>18</v>
      </c>
      <c r="D49" s="97" t="s">
        <v>19</v>
      </c>
      <c r="E49" s="97" t="s">
        <v>20</v>
      </c>
      <c r="F49" s="97" t="s">
        <v>48</v>
      </c>
      <c r="G49" s="97" t="s">
        <v>49</v>
      </c>
      <c r="J49" s="96" t="s">
        <v>103</v>
      </c>
      <c r="K49" s="97" t="s">
        <v>17</v>
      </c>
      <c r="L49" s="97" t="s">
        <v>18</v>
      </c>
      <c r="M49" s="97" t="s">
        <v>19</v>
      </c>
      <c r="N49" s="97" t="s">
        <v>20</v>
      </c>
      <c r="O49" s="97" t="s">
        <v>48</v>
      </c>
      <c r="P49" s="97" t="s">
        <v>49</v>
      </c>
    </row>
    <row r="50" spans="1:17" ht="16.5" thickBot="1" x14ac:dyDescent="0.4">
      <c r="A50" s="96" t="s">
        <v>34</v>
      </c>
      <c r="B50" s="98">
        <v>2137</v>
      </c>
      <c r="C50" s="98">
        <v>2802</v>
      </c>
      <c r="D50" s="98">
        <v>3209</v>
      </c>
      <c r="E50" s="98">
        <v>3586</v>
      </c>
      <c r="F50" s="98">
        <v>3973</v>
      </c>
      <c r="G50" s="98">
        <v>4018</v>
      </c>
      <c r="J50" s="96" t="s">
        <v>34</v>
      </c>
      <c r="K50" s="98">
        <v>2137</v>
      </c>
      <c r="L50" s="98">
        <v>2799</v>
      </c>
      <c r="M50" s="98">
        <v>3116</v>
      </c>
      <c r="N50" s="98">
        <v>3442</v>
      </c>
      <c r="O50" s="98">
        <v>3703</v>
      </c>
      <c r="P50" s="98">
        <v>3740</v>
      </c>
      <c r="Q50" s="59"/>
    </row>
    <row r="51" spans="1:17" ht="16.5" thickBot="1" x14ac:dyDescent="0.4">
      <c r="A51" s="96" t="s">
        <v>35</v>
      </c>
      <c r="B51" s="98">
        <v>2028</v>
      </c>
      <c r="C51" s="98">
        <v>2554</v>
      </c>
      <c r="D51" s="98">
        <v>2750</v>
      </c>
      <c r="E51" s="98">
        <v>3132</v>
      </c>
      <c r="F51" s="98">
        <v>3502</v>
      </c>
      <c r="G51" s="98">
        <v>3722</v>
      </c>
      <c r="J51" s="96" t="s">
        <v>35</v>
      </c>
      <c r="K51" s="98">
        <v>2028</v>
      </c>
      <c r="L51" s="98">
        <v>2551</v>
      </c>
      <c r="M51" s="98">
        <v>2763</v>
      </c>
      <c r="N51" s="98">
        <v>2988</v>
      </c>
      <c r="O51" s="98">
        <v>3337</v>
      </c>
      <c r="P51" s="98">
        <v>3444</v>
      </c>
      <c r="Q51" s="60"/>
    </row>
    <row r="52" spans="1:17" ht="16.5" thickBot="1" x14ac:dyDescent="0.4">
      <c r="A52" s="96" t="s">
        <v>36</v>
      </c>
      <c r="B52" s="98">
        <v>1616</v>
      </c>
      <c r="C52" s="98">
        <v>1991</v>
      </c>
      <c r="D52" s="98">
        <v>2264</v>
      </c>
      <c r="E52" s="98">
        <v>2742</v>
      </c>
      <c r="F52" s="98">
        <v>3094</v>
      </c>
      <c r="G52" s="98">
        <v>3279</v>
      </c>
      <c r="J52" s="96" t="s">
        <v>36</v>
      </c>
      <c r="K52" s="98">
        <v>1616</v>
      </c>
      <c r="L52" s="98">
        <v>2091</v>
      </c>
      <c r="M52" s="98">
        <v>2276</v>
      </c>
      <c r="N52" s="98">
        <v>2703</v>
      </c>
      <c r="O52" s="98">
        <v>2929</v>
      </c>
      <c r="P52" s="98">
        <v>3001</v>
      </c>
      <c r="Q52" s="60"/>
    </row>
    <row r="53" spans="1:17" ht="16.5" thickBot="1" x14ac:dyDescent="0.4">
      <c r="A53" s="96" t="s">
        <v>37</v>
      </c>
      <c r="B53" s="98">
        <v>2094</v>
      </c>
      <c r="C53" s="98">
        <v>2531</v>
      </c>
      <c r="D53" s="98">
        <v>2955</v>
      </c>
      <c r="E53" s="98">
        <v>3054</v>
      </c>
      <c r="F53" s="98">
        <v>3300</v>
      </c>
      <c r="G53" s="98">
        <v>3485</v>
      </c>
      <c r="J53" s="96" t="s">
        <v>37</v>
      </c>
      <c r="K53" s="98">
        <v>2094</v>
      </c>
      <c r="L53" s="98">
        <v>2631</v>
      </c>
      <c r="M53" s="98">
        <v>2862</v>
      </c>
      <c r="N53" s="98">
        <v>3015</v>
      </c>
      <c r="O53" s="98">
        <v>3135</v>
      </c>
      <c r="P53" s="98">
        <v>3207</v>
      </c>
      <c r="Q53" s="60"/>
    </row>
    <row r="54" spans="1:17" ht="16.5" thickBot="1" x14ac:dyDescent="0.4">
      <c r="A54" s="96" t="s">
        <v>53</v>
      </c>
      <c r="B54" s="98">
        <v>7875</v>
      </c>
      <c r="C54" s="98">
        <v>9877</v>
      </c>
      <c r="D54" s="98">
        <v>11178</v>
      </c>
      <c r="E54" s="98">
        <v>12515</v>
      </c>
      <c r="F54" s="98">
        <v>13868</v>
      </c>
      <c r="G54" s="98">
        <v>14504</v>
      </c>
      <c r="J54" s="96" t="s">
        <v>53</v>
      </c>
      <c r="K54" s="98">
        <v>7875</v>
      </c>
      <c r="L54" s="98">
        <v>10073</v>
      </c>
      <c r="M54" s="98">
        <v>11017</v>
      </c>
      <c r="N54" s="98">
        <v>12148</v>
      </c>
      <c r="O54" s="98">
        <v>13105</v>
      </c>
      <c r="P54" s="98">
        <v>13392</v>
      </c>
      <c r="Q54" s="60"/>
    </row>
    <row r="55" spans="1:17" x14ac:dyDescent="0.35">
      <c r="A55" s="144"/>
      <c r="B55" s="144"/>
      <c r="C55" s="144"/>
      <c r="D55" s="144"/>
      <c r="E55" s="144"/>
      <c r="F55" s="144"/>
      <c r="G55" s="144"/>
      <c r="J55" s="144"/>
      <c r="K55" s="144"/>
      <c r="L55" s="144"/>
      <c r="M55" s="144"/>
      <c r="N55" s="144"/>
      <c r="O55" s="144"/>
      <c r="P55" s="144"/>
      <c r="Q55" s="59"/>
    </row>
    <row r="56" spans="1:17" ht="15" thickBot="1" x14ac:dyDescent="0.4">
      <c r="A56" s="95"/>
      <c r="B56" s="143"/>
      <c r="C56" s="143"/>
      <c r="D56" s="143"/>
      <c r="E56" s="143"/>
      <c r="F56" s="143"/>
      <c r="G56" s="143"/>
      <c r="J56" s="95"/>
      <c r="K56" s="143"/>
      <c r="L56" s="143"/>
      <c r="M56" s="143"/>
      <c r="N56" s="143"/>
      <c r="O56" s="143"/>
      <c r="P56" s="143"/>
    </row>
    <row r="57" spans="1:17" ht="32" x14ac:dyDescent="0.35">
      <c r="A57" s="99" t="s">
        <v>104</v>
      </c>
      <c r="B57" s="145" t="s">
        <v>17</v>
      </c>
      <c r="C57" s="145" t="s">
        <v>18</v>
      </c>
      <c r="D57" s="145" t="s">
        <v>19</v>
      </c>
      <c r="E57" s="145" t="s">
        <v>20</v>
      </c>
      <c r="F57" s="145" t="s">
        <v>48</v>
      </c>
      <c r="G57" s="145" t="s">
        <v>49</v>
      </c>
      <c r="J57" s="99" t="s">
        <v>104</v>
      </c>
      <c r="K57" s="145" t="s">
        <v>17</v>
      </c>
      <c r="L57" s="145" t="s">
        <v>18</v>
      </c>
      <c r="M57" s="145" t="s">
        <v>19</v>
      </c>
      <c r="N57" s="145" t="s">
        <v>20</v>
      </c>
      <c r="O57" s="145" t="s">
        <v>48</v>
      </c>
      <c r="P57" s="145" t="s">
        <v>49</v>
      </c>
    </row>
    <row r="58" spans="1:17" ht="112.5" thickBot="1" x14ac:dyDescent="0.4">
      <c r="A58" s="100" t="s">
        <v>105</v>
      </c>
      <c r="B58" s="146"/>
      <c r="C58" s="146"/>
      <c r="D58" s="146"/>
      <c r="E58" s="146"/>
      <c r="F58" s="146"/>
      <c r="G58" s="146"/>
      <c r="J58" s="100" t="s">
        <v>105</v>
      </c>
      <c r="K58" s="146"/>
      <c r="L58" s="146"/>
      <c r="M58" s="146"/>
      <c r="N58" s="146"/>
      <c r="O58" s="146"/>
      <c r="P58" s="146"/>
    </row>
    <row r="59" spans="1:17" ht="16.5" thickBot="1" x14ac:dyDescent="0.4">
      <c r="A59" s="96" t="s">
        <v>34</v>
      </c>
      <c r="B59" s="98">
        <v>2035</v>
      </c>
      <c r="C59" s="98">
        <v>2547</v>
      </c>
      <c r="D59" s="98">
        <v>2917</v>
      </c>
      <c r="E59" s="98">
        <v>3260</v>
      </c>
      <c r="F59" s="98">
        <v>3611</v>
      </c>
      <c r="G59" s="98">
        <v>3653</v>
      </c>
      <c r="J59" s="96" t="s">
        <v>34</v>
      </c>
      <c r="K59" s="98">
        <v>2035</v>
      </c>
      <c r="L59" s="98">
        <v>2544</v>
      </c>
      <c r="M59" s="98">
        <v>2832</v>
      </c>
      <c r="N59" s="98">
        <v>3129</v>
      </c>
      <c r="O59" s="98">
        <v>3366</v>
      </c>
      <c r="P59" s="98">
        <v>3400</v>
      </c>
    </row>
    <row r="60" spans="1:17" ht="16.5" thickBot="1" x14ac:dyDescent="0.4">
      <c r="A60" s="96" t="s">
        <v>35</v>
      </c>
      <c r="B60" s="98">
        <v>1932</v>
      </c>
      <c r="C60" s="98">
        <v>2322</v>
      </c>
      <c r="D60" s="98">
        <v>2500</v>
      </c>
      <c r="E60" s="98">
        <v>2848</v>
      </c>
      <c r="F60" s="98">
        <v>3184</v>
      </c>
      <c r="G60" s="98">
        <v>3384</v>
      </c>
      <c r="J60" s="96" t="s">
        <v>35</v>
      </c>
      <c r="K60" s="98">
        <v>1932</v>
      </c>
      <c r="L60" s="98">
        <v>2319</v>
      </c>
      <c r="M60" s="98">
        <v>2512</v>
      </c>
      <c r="N60" s="98">
        <v>2716</v>
      </c>
      <c r="O60" s="98">
        <v>3034</v>
      </c>
      <c r="P60" s="98">
        <v>3131</v>
      </c>
    </row>
    <row r="61" spans="1:17" ht="16.5" thickBot="1" x14ac:dyDescent="0.4">
      <c r="A61" s="96" t="s">
        <v>36</v>
      </c>
      <c r="B61" s="98">
        <v>1539</v>
      </c>
      <c r="C61" s="98">
        <v>1810</v>
      </c>
      <c r="D61" s="98">
        <v>2058</v>
      </c>
      <c r="E61" s="98">
        <v>2493</v>
      </c>
      <c r="F61" s="98">
        <v>2813</v>
      </c>
      <c r="G61" s="98">
        <v>2981</v>
      </c>
      <c r="J61" s="96" t="s">
        <v>36</v>
      </c>
      <c r="K61" s="98">
        <v>1539</v>
      </c>
      <c r="L61" s="98">
        <v>1901</v>
      </c>
      <c r="M61" s="98">
        <v>2069</v>
      </c>
      <c r="N61" s="98">
        <v>2458</v>
      </c>
      <c r="O61" s="98">
        <v>2663</v>
      </c>
      <c r="P61" s="98">
        <v>2728</v>
      </c>
    </row>
    <row r="62" spans="1:17" ht="16.5" thickBot="1" x14ac:dyDescent="0.4">
      <c r="A62" s="96" t="s">
        <v>37</v>
      </c>
      <c r="B62" s="98">
        <v>1994</v>
      </c>
      <c r="C62" s="98">
        <v>2301</v>
      </c>
      <c r="D62" s="98">
        <v>2687</v>
      </c>
      <c r="E62" s="98">
        <v>2776</v>
      </c>
      <c r="F62" s="98">
        <v>3000</v>
      </c>
      <c r="G62" s="98">
        <v>3168</v>
      </c>
      <c r="J62" s="96" t="s">
        <v>37</v>
      </c>
      <c r="K62" s="98">
        <v>1994</v>
      </c>
      <c r="L62" s="98">
        <v>2392</v>
      </c>
      <c r="M62" s="98">
        <v>2602</v>
      </c>
      <c r="N62" s="98">
        <v>2741</v>
      </c>
      <c r="O62" s="98">
        <v>2850</v>
      </c>
      <c r="P62" s="98">
        <v>2915</v>
      </c>
    </row>
    <row r="63" spans="1:17" ht="16.5" thickBot="1" x14ac:dyDescent="0.4">
      <c r="A63" s="96" t="s">
        <v>53</v>
      </c>
      <c r="B63" s="98">
        <v>7500</v>
      </c>
      <c r="C63" s="98">
        <v>8979</v>
      </c>
      <c r="D63" s="98">
        <v>10162</v>
      </c>
      <c r="E63" s="98">
        <v>11377</v>
      </c>
      <c r="F63" s="98">
        <v>12607</v>
      </c>
      <c r="G63" s="98">
        <v>13186</v>
      </c>
      <c r="J63" s="96" t="s">
        <v>53</v>
      </c>
      <c r="K63" s="98">
        <v>7500</v>
      </c>
      <c r="L63" s="98">
        <v>9157</v>
      </c>
      <c r="M63" s="98">
        <v>10016</v>
      </c>
      <c r="N63" s="98">
        <v>11043</v>
      </c>
      <c r="O63" s="98">
        <v>11914</v>
      </c>
      <c r="P63" s="98">
        <v>12174</v>
      </c>
    </row>
    <row r="66" spans="1:16" x14ac:dyDescent="0.35">
      <c r="A66" s="38"/>
      <c r="B66" s="38">
        <f>B50-B59</f>
        <v>102</v>
      </c>
      <c r="C66" s="38">
        <f t="shared" ref="C66:G66" si="6">C50-C59</f>
        <v>255</v>
      </c>
      <c r="D66" s="38">
        <f t="shared" si="6"/>
        <v>292</v>
      </c>
      <c r="E66" s="38">
        <f t="shared" si="6"/>
        <v>326</v>
      </c>
      <c r="F66" s="38">
        <f t="shared" si="6"/>
        <v>362</v>
      </c>
      <c r="G66" s="38">
        <f t="shared" si="6"/>
        <v>365</v>
      </c>
      <c r="K66" s="38">
        <f>K50-K59</f>
        <v>102</v>
      </c>
      <c r="L66" s="38">
        <f t="shared" ref="L66:P66" si="7">L50-L59</f>
        <v>255</v>
      </c>
      <c r="M66" s="38">
        <f t="shared" si="7"/>
        <v>284</v>
      </c>
      <c r="N66" s="38">
        <f t="shared" si="7"/>
        <v>313</v>
      </c>
      <c r="O66" s="38">
        <f t="shared" si="7"/>
        <v>337</v>
      </c>
      <c r="P66" s="38">
        <f t="shared" si="7"/>
        <v>340</v>
      </c>
    </row>
    <row r="67" spans="1:16" x14ac:dyDescent="0.35">
      <c r="B67" s="38">
        <f t="shared" ref="B67:G69" si="8">B51-B60</f>
        <v>96</v>
      </c>
      <c r="C67" s="38">
        <f t="shared" si="8"/>
        <v>232</v>
      </c>
      <c r="D67" s="38">
        <f t="shared" si="8"/>
        <v>250</v>
      </c>
      <c r="E67" s="38">
        <f t="shared" si="8"/>
        <v>284</v>
      </c>
      <c r="F67" s="38">
        <f t="shared" si="8"/>
        <v>318</v>
      </c>
      <c r="G67" s="38">
        <f t="shared" si="8"/>
        <v>338</v>
      </c>
      <c r="K67" s="38">
        <f t="shared" ref="K67:P69" si="9">K51-K60</f>
        <v>96</v>
      </c>
      <c r="L67" s="38">
        <f t="shared" si="9"/>
        <v>232</v>
      </c>
      <c r="M67" s="38">
        <f t="shared" si="9"/>
        <v>251</v>
      </c>
      <c r="N67" s="38">
        <f t="shared" si="9"/>
        <v>272</v>
      </c>
      <c r="O67" s="38">
        <f t="shared" si="9"/>
        <v>303</v>
      </c>
      <c r="P67" s="38">
        <f t="shared" si="9"/>
        <v>313</v>
      </c>
    </row>
    <row r="68" spans="1:16" x14ac:dyDescent="0.35">
      <c r="B68" s="38">
        <f t="shared" si="8"/>
        <v>77</v>
      </c>
      <c r="C68" s="38">
        <f t="shared" si="8"/>
        <v>181</v>
      </c>
      <c r="D68" s="38">
        <f t="shared" si="8"/>
        <v>206</v>
      </c>
      <c r="E68" s="38">
        <f t="shared" si="8"/>
        <v>249</v>
      </c>
      <c r="F68" s="38">
        <f t="shared" si="8"/>
        <v>281</v>
      </c>
      <c r="G68" s="38">
        <f t="shared" si="8"/>
        <v>298</v>
      </c>
      <c r="K68" s="38">
        <f t="shared" si="9"/>
        <v>77</v>
      </c>
      <c r="L68" s="38">
        <f t="shared" si="9"/>
        <v>190</v>
      </c>
      <c r="M68" s="38">
        <f t="shared" si="9"/>
        <v>207</v>
      </c>
      <c r="N68" s="38">
        <f t="shared" si="9"/>
        <v>245</v>
      </c>
      <c r="O68" s="38">
        <f t="shared" si="9"/>
        <v>266</v>
      </c>
      <c r="P68" s="38">
        <f t="shared" si="9"/>
        <v>273</v>
      </c>
    </row>
    <row r="69" spans="1:16" x14ac:dyDescent="0.35">
      <c r="B69" s="38">
        <f t="shared" si="8"/>
        <v>100</v>
      </c>
      <c r="C69" s="38">
        <f t="shared" si="8"/>
        <v>230</v>
      </c>
      <c r="D69" s="38">
        <f t="shared" si="8"/>
        <v>268</v>
      </c>
      <c r="E69" s="38">
        <f t="shared" si="8"/>
        <v>278</v>
      </c>
      <c r="F69" s="38">
        <f t="shared" si="8"/>
        <v>300</v>
      </c>
      <c r="G69" s="38">
        <f t="shared" si="8"/>
        <v>317</v>
      </c>
      <c r="K69" s="38">
        <f t="shared" si="9"/>
        <v>100</v>
      </c>
      <c r="L69" s="38">
        <f t="shared" si="9"/>
        <v>239</v>
      </c>
      <c r="M69" s="38">
        <f t="shared" si="9"/>
        <v>260</v>
      </c>
      <c r="N69" s="38">
        <f t="shared" si="9"/>
        <v>274</v>
      </c>
      <c r="O69" s="38">
        <f t="shared" si="9"/>
        <v>285</v>
      </c>
      <c r="P69" s="38">
        <f t="shared" si="9"/>
        <v>292</v>
      </c>
    </row>
    <row r="70" spans="1:16" x14ac:dyDescent="0.35">
      <c r="A70" s="38"/>
    </row>
  </sheetData>
  <mergeCells count="29">
    <mergeCell ref="A10:G10"/>
    <mergeCell ref="K10:Q10"/>
    <mergeCell ref="A33:G35"/>
    <mergeCell ref="B36:B37"/>
    <mergeCell ref="C36:C37"/>
    <mergeCell ref="D36:D37"/>
    <mergeCell ref="E36:E37"/>
    <mergeCell ref="F36:F37"/>
    <mergeCell ref="G36:G37"/>
    <mergeCell ref="H36:H37"/>
    <mergeCell ref="I36:I37"/>
    <mergeCell ref="B48:G48"/>
    <mergeCell ref="A55:G55"/>
    <mergeCell ref="B56:G56"/>
    <mergeCell ref="B57:B58"/>
    <mergeCell ref="C57:C58"/>
    <mergeCell ref="D57:D58"/>
    <mergeCell ref="E57:E58"/>
    <mergeCell ref="F57:F58"/>
    <mergeCell ref="G57:G58"/>
    <mergeCell ref="K48:P48"/>
    <mergeCell ref="J55:P55"/>
    <mergeCell ref="K56:P56"/>
    <mergeCell ref="K57:K58"/>
    <mergeCell ref="L57:L58"/>
    <mergeCell ref="M57:M58"/>
    <mergeCell ref="N57:N58"/>
    <mergeCell ref="O57:O58"/>
    <mergeCell ref="P57:P5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9B4E-C8B0-4A93-8F52-85DD286B22CC}">
  <dimension ref="A1:H32"/>
  <sheetViews>
    <sheetView topLeftCell="A10" workbookViewId="0">
      <selection activeCell="B31" sqref="B31:H32"/>
    </sheetView>
  </sheetViews>
  <sheetFormatPr defaultRowHeight="14.5" x14ac:dyDescent="0.35"/>
  <cols>
    <col min="1" max="1" width="34.7265625" customWidth="1"/>
    <col min="3" max="3" width="16.36328125" customWidth="1"/>
  </cols>
  <sheetData>
    <row r="1" spans="1:8" x14ac:dyDescent="0.35">
      <c r="A1" s="157" t="s">
        <v>50</v>
      </c>
      <c r="B1" s="157"/>
      <c r="C1" s="157"/>
      <c r="D1" s="157"/>
      <c r="E1" s="157"/>
      <c r="F1" s="157"/>
      <c r="G1" s="157"/>
      <c r="H1" s="157"/>
    </row>
    <row r="2" spans="1:8" x14ac:dyDescent="0.35">
      <c r="A2" t="s">
        <v>47</v>
      </c>
      <c r="B2" s="8">
        <v>0</v>
      </c>
      <c r="C2" s="8">
        <v>0</v>
      </c>
      <c r="D2" s="8">
        <v>2000</v>
      </c>
      <c r="E2" s="8">
        <v>3125</v>
      </c>
      <c r="F2" s="8">
        <v>3125</v>
      </c>
      <c r="G2" s="8">
        <v>750</v>
      </c>
      <c r="H2" s="8">
        <v>0</v>
      </c>
    </row>
    <row r="3" spans="1:8" x14ac:dyDescent="0.35">
      <c r="A3" t="s">
        <v>46</v>
      </c>
      <c r="B3" s="8">
        <v>0</v>
      </c>
      <c r="C3" s="8">
        <v>0</v>
      </c>
      <c r="D3" s="8">
        <v>500</v>
      </c>
      <c r="E3" s="8">
        <v>253.90625</v>
      </c>
      <c r="F3" s="8">
        <v>78.125</v>
      </c>
      <c r="G3" s="8">
        <v>18.75</v>
      </c>
      <c r="H3" s="8">
        <v>0</v>
      </c>
    </row>
    <row r="4" spans="1:8" x14ac:dyDescent="0.35">
      <c r="A4" s="9"/>
      <c r="B4" s="10"/>
      <c r="C4" s="10"/>
      <c r="D4" s="10"/>
      <c r="E4" s="10"/>
      <c r="F4" s="10"/>
      <c r="G4" s="10"/>
      <c r="H4" s="10"/>
    </row>
    <row r="6" spans="1:8" x14ac:dyDescent="0.35">
      <c r="A6" s="157" t="s">
        <v>51</v>
      </c>
      <c r="B6" s="157"/>
      <c r="C6" s="157"/>
      <c r="D6" s="157"/>
      <c r="E6" s="157"/>
      <c r="F6" s="157"/>
      <c r="G6" s="157"/>
      <c r="H6" s="157"/>
    </row>
    <row r="7" spans="1:8" x14ac:dyDescent="0.35">
      <c r="A7" t="s">
        <v>47</v>
      </c>
      <c r="B7" s="8">
        <v>0</v>
      </c>
      <c r="C7" s="8">
        <v>0</v>
      </c>
      <c r="D7" s="8">
        <v>2000</v>
      </c>
      <c r="E7" s="8">
        <v>3125</v>
      </c>
      <c r="F7" s="8">
        <v>3125</v>
      </c>
      <c r="G7" s="8">
        <v>750</v>
      </c>
      <c r="H7" s="8">
        <v>0</v>
      </c>
    </row>
    <row r="8" spans="1:8" x14ac:dyDescent="0.35">
      <c r="A8" t="s">
        <v>46</v>
      </c>
      <c r="B8" s="8">
        <v>0</v>
      </c>
      <c r="C8" s="8">
        <v>0</v>
      </c>
      <c r="D8" s="8">
        <v>500</v>
      </c>
      <c r="E8" s="8">
        <v>78.125</v>
      </c>
      <c r="F8" s="8">
        <v>78.125</v>
      </c>
      <c r="G8" s="8">
        <v>18.75</v>
      </c>
      <c r="H8" s="8">
        <v>0</v>
      </c>
    </row>
    <row r="11" spans="1:8" x14ac:dyDescent="0.35">
      <c r="C11" t="s">
        <v>54</v>
      </c>
    </row>
    <row r="12" spans="1:8" x14ac:dyDescent="0.35">
      <c r="A12" t="s">
        <v>47</v>
      </c>
      <c r="B12" s="8">
        <v>0</v>
      </c>
      <c r="C12" s="8">
        <v>0</v>
      </c>
      <c r="D12" s="8">
        <v>2000</v>
      </c>
      <c r="E12" s="8">
        <v>3125</v>
      </c>
      <c r="F12" s="8">
        <v>3125</v>
      </c>
      <c r="G12" s="8">
        <v>750</v>
      </c>
      <c r="H12" s="8">
        <v>0</v>
      </c>
    </row>
    <row r="13" spans="1:8" x14ac:dyDescent="0.35">
      <c r="A13" t="s">
        <v>46</v>
      </c>
      <c r="B13" s="8">
        <f t="shared" ref="B13:C13" si="0">B12*0.1*0.25</f>
        <v>0</v>
      </c>
      <c r="C13" s="8">
        <f t="shared" si="0"/>
        <v>0</v>
      </c>
      <c r="D13" s="8">
        <f>D12*0.5*0.25</f>
        <v>250</v>
      </c>
      <c r="E13" s="8">
        <f t="shared" ref="E13:H13" si="1">E12*0.5*0.25</f>
        <v>390.625</v>
      </c>
      <c r="F13" s="8">
        <f t="shared" si="1"/>
        <v>390.625</v>
      </c>
      <c r="G13" s="8">
        <f t="shared" si="1"/>
        <v>93.75</v>
      </c>
      <c r="H13" s="8">
        <f t="shared" si="1"/>
        <v>0</v>
      </c>
    </row>
    <row r="16" spans="1:8" x14ac:dyDescent="0.35">
      <c r="C16" s="37" t="s">
        <v>55</v>
      </c>
    </row>
    <row r="17" spans="1:8" x14ac:dyDescent="0.35">
      <c r="C17" s="37" t="s">
        <v>56</v>
      </c>
    </row>
    <row r="18" spans="1:8" x14ac:dyDescent="0.35">
      <c r="C18" s="37" t="s">
        <v>57</v>
      </c>
    </row>
    <row r="19" spans="1:8" x14ac:dyDescent="0.35">
      <c r="A19" t="s">
        <v>47</v>
      </c>
      <c r="B19" s="8">
        <v>0</v>
      </c>
      <c r="C19" s="8">
        <v>0</v>
      </c>
      <c r="D19" s="8">
        <v>2000</v>
      </c>
      <c r="E19" s="8">
        <v>3125</v>
      </c>
      <c r="F19" s="8">
        <v>3125</v>
      </c>
      <c r="G19" s="8">
        <v>750</v>
      </c>
      <c r="H19" s="8">
        <v>0</v>
      </c>
    </row>
    <row r="20" spans="1:8" x14ac:dyDescent="0.35">
      <c r="A20" t="s">
        <v>46</v>
      </c>
      <c r="B20" s="8">
        <f t="shared" ref="B20:C20" si="2">B19*0.1*0.25</f>
        <v>0</v>
      </c>
      <c r="C20" s="8">
        <f t="shared" si="2"/>
        <v>0</v>
      </c>
      <c r="D20" s="8">
        <f>D19*0.25</f>
        <v>500</v>
      </c>
      <c r="E20" s="8">
        <f>E19*0.25*0.25+E19*0.05*0.25</f>
        <v>234.375</v>
      </c>
      <c r="F20" s="8">
        <f t="shared" ref="F20:H20" si="3">F19*0.25*0.25+F19*0.05*0.25</f>
        <v>234.375</v>
      </c>
      <c r="G20" s="8">
        <f t="shared" si="3"/>
        <v>56.25</v>
      </c>
      <c r="H20" s="8">
        <f t="shared" si="3"/>
        <v>0</v>
      </c>
    </row>
    <row r="22" spans="1:8" x14ac:dyDescent="0.35">
      <c r="C22" t="s">
        <v>58</v>
      </c>
    </row>
    <row r="23" spans="1:8" x14ac:dyDescent="0.35">
      <c r="A23" t="s">
        <v>47</v>
      </c>
      <c r="B23" s="8">
        <v>0</v>
      </c>
      <c r="C23" s="8">
        <v>0</v>
      </c>
      <c r="D23" s="8">
        <v>2000</v>
      </c>
      <c r="E23" s="8">
        <v>3125</v>
      </c>
      <c r="F23" s="8">
        <v>3125</v>
      </c>
      <c r="G23" s="8">
        <v>750</v>
      </c>
      <c r="H23" s="8">
        <v>0</v>
      </c>
    </row>
    <row r="24" spans="1:8" x14ac:dyDescent="0.35">
      <c r="A24" t="s">
        <v>46</v>
      </c>
      <c r="B24" s="8">
        <f t="shared" ref="B24:C24" si="4">B23*0.1*0.25</f>
        <v>0</v>
      </c>
      <c r="C24" s="8">
        <f t="shared" si="4"/>
        <v>0</v>
      </c>
      <c r="D24" s="8">
        <f>D23*0.25</f>
        <v>500</v>
      </c>
      <c r="E24" s="8">
        <f>E23*3/12*0.25+E23*9/12*0.5*0.25</f>
        <v>488.28125</v>
      </c>
      <c r="F24" s="8">
        <f>F23*0.5*0.25</f>
        <v>390.625</v>
      </c>
      <c r="G24" s="8">
        <f>G23*0.5*0.25</f>
        <v>93.75</v>
      </c>
      <c r="H24" s="8">
        <f t="shared" ref="H24" si="5">H23*0.25*0.25+H23*0.05*0.25</f>
        <v>0</v>
      </c>
    </row>
    <row r="26" spans="1:8" x14ac:dyDescent="0.35">
      <c r="C26" t="s">
        <v>59</v>
      </c>
    </row>
    <row r="27" spans="1:8" x14ac:dyDescent="0.35">
      <c r="A27" t="s">
        <v>47</v>
      </c>
      <c r="B27" s="8">
        <v>0</v>
      </c>
      <c r="C27" s="8">
        <v>0</v>
      </c>
      <c r="D27" s="8">
        <v>2000</v>
      </c>
      <c r="E27" s="8">
        <v>3125</v>
      </c>
      <c r="F27" s="8">
        <v>3125</v>
      </c>
      <c r="G27" s="8">
        <v>750</v>
      </c>
      <c r="H27" s="8">
        <v>0</v>
      </c>
    </row>
    <row r="28" spans="1:8" x14ac:dyDescent="0.35">
      <c r="A28" t="s">
        <v>46</v>
      </c>
      <c r="B28" s="8">
        <f t="shared" ref="B28:C28" si="6">B27*0.1*0.25</f>
        <v>0</v>
      </c>
      <c r="C28" s="8">
        <f t="shared" si="6"/>
        <v>0</v>
      </c>
      <c r="D28" s="8">
        <f>D27*0.25</f>
        <v>500</v>
      </c>
      <c r="E28" s="8">
        <f>E27*3/12*0.25+E27*6/12*0.66*0.25+E27*3/12*0.33*0.25</f>
        <v>517.578125</v>
      </c>
      <c r="F28" s="8">
        <f>F27*0.33*0.25</f>
        <v>257.8125</v>
      </c>
      <c r="G28" s="8">
        <f>G27*0.33*0.25</f>
        <v>61.875</v>
      </c>
      <c r="H28" s="8">
        <f t="shared" ref="H28" si="7">H27*0.25*0.25+H27*0.05*0.25</f>
        <v>0</v>
      </c>
    </row>
    <row r="30" spans="1:8" x14ac:dyDescent="0.35">
      <c r="C30" t="s">
        <v>60</v>
      </c>
    </row>
    <row r="31" spans="1:8" x14ac:dyDescent="0.35">
      <c r="A31" t="s">
        <v>47</v>
      </c>
      <c r="B31" s="8">
        <v>0</v>
      </c>
      <c r="C31" s="8">
        <v>0</v>
      </c>
      <c r="D31" s="8">
        <v>2000</v>
      </c>
      <c r="E31" s="8">
        <v>3125</v>
      </c>
      <c r="F31" s="8">
        <v>3125</v>
      </c>
      <c r="G31" s="8">
        <v>750</v>
      </c>
      <c r="H31" s="8">
        <v>0</v>
      </c>
    </row>
    <row r="32" spans="1:8" x14ac:dyDescent="0.35">
      <c r="A32" t="s">
        <v>46</v>
      </c>
      <c r="B32" s="8">
        <f t="shared" ref="B32:C32" si="8">B31*0.1*0.25</f>
        <v>0</v>
      </c>
      <c r="C32" s="8">
        <f t="shared" si="8"/>
        <v>0</v>
      </c>
      <c r="D32" s="8">
        <f>D31*0.25</f>
        <v>500</v>
      </c>
      <c r="E32" s="8">
        <f>E31*3/12*0.25+E31*6/12*0.5*0.25+E31*3/12*0.25*0.25</f>
        <v>439.453125</v>
      </c>
      <c r="F32" s="8">
        <f>F31*0.25*0.25</f>
        <v>195.3125</v>
      </c>
      <c r="G32" s="8">
        <f>G31*0.25*0.25</f>
        <v>46.875</v>
      </c>
      <c r="H32" s="8">
        <f t="shared" ref="H32" si="9">H31*0.25*0.25+H31*0.05*0.25</f>
        <v>0</v>
      </c>
    </row>
  </sheetData>
  <mergeCells count="2">
    <mergeCell ref="A1:H1"/>
    <mergeCell ref="A6:H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38118-1ECA-407C-92C2-D2A618A59C9F}">
  <dimension ref="A1:AB66"/>
  <sheetViews>
    <sheetView tabSelected="1" zoomScale="110" zoomScaleNormal="110" workbookViewId="0">
      <selection activeCell="I27" sqref="I27"/>
    </sheetView>
  </sheetViews>
  <sheetFormatPr defaultRowHeight="14.5" x14ac:dyDescent="0.35"/>
  <cols>
    <col min="1" max="1" width="32.81640625" customWidth="1"/>
    <col min="2" max="2" width="14.54296875" customWidth="1"/>
    <col min="3" max="3" width="12.1796875" customWidth="1"/>
    <col min="4" max="4" width="11.7265625" customWidth="1"/>
    <col min="5" max="5" width="9.6328125" customWidth="1"/>
    <col min="6" max="8" width="11.7265625" customWidth="1"/>
    <col min="9" max="9" width="26.6328125" customWidth="1"/>
    <col min="10" max="10" width="13.6328125" customWidth="1"/>
    <col min="18" max="18" width="12.90625" customWidth="1"/>
    <col min="24" max="24" width="20.453125" customWidth="1"/>
  </cols>
  <sheetData>
    <row r="1" spans="1:24" x14ac:dyDescent="0.35">
      <c r="A1" s="13"/>
      <c r="B1" s="12">
        <v>2025</v>
      </c>
      <c r="C1" s="12">
        <v>2026</v>
      </c>
      <c r="D1" s="12">
        <v>2027</v>
      </c>
      <c r="E1" s="12">
        <v>2028</v>
      </c>
      <c r="F1" s="12">
        <v>2029</v>
      </c>
      <c r="G1" s="12">
        <v>2030</v>
      </c>
      <c r="H1" s="12"/>
      <c r="J1" s="158" t="s">
        <v>14</v>
      </c>
      <c r="K1" s="158"/>
      <c r="L1" t="s">
        <v>64</v>
      </c>
    </row>
    <row r="2" spans="1:24" ht="15" thickBot="1" x14ac:dyDescent="0.4">
      <c r="A2" t="s">
        <v>16</v>
      </c>
      <c r="B2" s="34">
        <f>IF($I$2="a",U31,IF($I$2="b",U45,U59))</f>
        <v>7500</v>
      </c>
      <c r="C2" s="34">
        <f t="shared" ref="C2:G2" si="0">IF($I$2="a",V31,IF($I$2="b",V45,V59))</f>
        <v>8979</v>
      </c>
      <c r="D2" s="34">
        <f t="shared" si="0"/>
        <v>10162</v>
      </c>
      <c r="E2" s="34">
        <f t="shared" si="0"/>
        <v>11377</v>
      </c>
      <c r="F2" s="34">
        <f t="shared" si="0"/>
        <v>12607</v>
      </c>
      <c r="G2" s="34">
        <f t="shared" si="0"/>
        <v>13186</v>
      </c>
      <c r="H2" t="s">
        <v>119</v>
      </c>
      <c r="I2" t="s">
        <v>125</v>
      </c>
      <c r="J2" t="s">
        <v>0</v>
      </c>
      <c r="K2">
        <v>0.57999999999999996</v>
      </c>
      <c r="L2">
        <v>74</v>
      </c>
      <c r="M2">
        <f>L2*K2</f>
        <v>42.919999999999995</v>
      </c>
      <c r="R2" s="40"/>
      <c r="S2" s="40"/>
      <c r="T2" s="40"/>
      <c r="U2" s="40"/>
      <c r="V2" s="40"/>
      <c r="W2" s="40"/>
    </row>
    <row r="3" spans="1:24" x14ac:dyDescent="0.35">
      <c r="A3" t="s">
        <v>76</v>
      </c>
      <c r="B3" s="26">
        <v>3000</v>
      </c>
      <c r="C3" s="14">
        <v>4200</v>
      </c>
      <c r="D3" s="14">
        <v>4656</v>
      </c>
      <c r="E3" s="14">
        <v>5232</v>
      </c>
      <c r="F3" s="14">
        <v>2000</v>
      </c>
      <c r="G3" s="14">
        <v>1000</v>
      </c>
      <c r="I3" s="39"/>
      <c r="J3" t="s">
        <v>1</v>
      </c>
      <c r="K3">
        <v>0.97</v>
      </c>
      <c r="L3">
        <v>2769</v>
      </c>
      <c r="M3">
        <f>L3*K3</f>
        <v>2685.93</v>
      </c>
      <c r="R3" s="41"/>
      <c r="S3" s="42"/>
      <c r="T3" s="42"/>
      <c r="U3" s="42"/>
      <c r="V3" s="42"/>
      <c r="W3" s="42"/>
    </row>
    <row r="4" spans="1:24" ht="29" x14ac:dyDescent="0.35">
      <c r="A4" s="15" t="s">
        <v>77</v>
      </c>
      <c r="B4" s="8">
        <f t="shared" ref="B4:G4" si="1">B3*$K$3*0.5</f>
        <v>1455</v>
      </c>
      <c r="C4" s="8">
        <f t="shared" si="1"/>
        <v>2037</v>
      </c>
      <c r="D4" s="8">
        <f t="shared" si="1"/>
        <v>2258.16</v>
      </c>
      <c r="E4" s="8">
        <f t="shared" si="1"/>
        <v>2537.52</v>
      </c>
      <c r="F4" s="8">
        <f t="shared" si="1"/>
        <v>970</v>
      </c>
      <c r="G4" s="8">
        <f t="shared" si="1"/>
        <v>485</v>
      </c>
      <c r="H4" s="14"/>
      <c r="I4" s="70"/>
      <c r="R4" s="41"/>
      <c r="S4" s="42"/>
      <c r="T4" s="42"/>
      <c r="U4" s="42"/>
      <c r="V4" s="42"/>
      <c r="W4" s="42"/>
    </row>
    <row r="5" spans="1:24" x14ac:dyDescent="0.35">
      <c r="A5" t="s">
        <v>11</v>
      </c>
      <c r="B5" s="8">
        <v>120</v>
      </c>
      <c r="C5" s="8">
        <v>120</v>
      </c>
      <c r="D5" s="8">
        <v>120</v>
      </c>
      <c r="E5" s="8">
        <v>120</v>
      </c>
      <c r="F5" s="8">
        <v>120</v>
      </c>
      <c r="G5" s="8">
        <v>120</v>
      </c>
      <c r="H5" s="14"/>
      <c r="J5" t="s">
        <v>2</v>
      </c>
      <c r="K5">
        <v>0.47</v>
      </c>
      <c r="L5">
        <v>2878</v>
      </c>
      <c r="M5">
        <f t="shared" ref="M5:M9" si="2">L5*K5</f>
        <v>1352.6599999999999</v>
      </c>
      <c r="R5" s="41"/>
      <c r="T5" s="42"/>
      <c r="U5" s="42"/>
      <c r="V5" s="42"/>
      <c r="W5" s="42"/>
    </row>
    <row r="6" spans="1:24" ht="15" thickBot="1" x14ac:dyDescent="0.4">
      <c r="A6" t="s">
        <v>75</v>
      </c>
      <c r="B6" s="8">
        <f>714*I6</f>
        <v>749.7</v>
      </c>
      <c r="C6" s="8">
        <f>B6*I6</f>
        <v>787.18500000000006</v>
      </c>
      <c r="D6" s="8">
        <f>C6*I6</f>
        <v>826.54425000000015</v>
      </c>
      <c r="E6" s="8">
        <f>D6*I6</f>
        <v>867.87146250000023</v>
      </c>
      <c r="F6" s="8">
        <f>E6*I6</f>
        <v>911.26503562500034</v>
      </c>
      <c r="G6" s="8">
        <f>F6*I6</f>
        <v>956.82828740625041</v>
      </c>
      <c r="H6" s="33" t="s">
        <v>82</v>
      </c>
      <c r="I6" s="18">
        <v>1.05</v>
      </c>
      <c r="J6" t="s">
        <v>3</v>
      </c>
      <c r="K6">
        <v>0.1</v>
      </c>
      <c r="L6">
        <v>1860</v>
      </c>
      <c r="M6">
        <f t="shared" si="2"/>
        <v>186</v>
      </c>
      <c r="R6" s="45"/>
      <c r="T6" s="46"/>
      <c r="U6" s="47"/>
      <c r="V6" s="48"/>
      <c r="W6" s="48"/>
    </row>
    <row r="7" spans="1:24" x14ac:dyDescent="0.35">
      <c r="A7" t="s">
        <v>73</v>
      </c>
      <c r="B7" s="8">
        <v>1200</v>
      </c>
      <c r="C7" s="8">
        <v>1200</v>
      </c>
      <c r="D7" s="8">
        <v>1200</v>
      </c>
      <c r="E7" s="8">
        <v>1200</v>
      </c>
      <c r="F7" s="8">
        <v>1200</v>
      </c>
      <c r="G7" s="8">
        <v>1200</v>
      </c>
      <c r="H7" s="8"/>
      <c r="I7" s="8"/>
      <c r="J7" t="s">
        <v>4</v>
      </c>
      <c r="K7">
        <v>1.19</v>
      </c>
      <c r="L7" s="8">
        <v>62</v>
      </c>
      <c r="M7">
        <f t="shared" si="2"/>
        <v>73.78</v>
      </c>
      <c r="R7" s="40"/>
      <c r="S7" s="43"/>
      <c r="T7" s="43"/>
      <c r="U7" s="43"/>
      <c r="V7" s="43"/>
      <c r="W7" s="43"/>
    </row>
    <row r="8" spans="1:24" x14ac:dyDescent="0.35">
      <c r="A8" t="s">
        <v>81</v>
      </c>
      <c r="B8" s="8">
        <f>B7</f>
        <v>1200</v>
      </c>
      <c r="C8" s="8">
        <f t="shared" ref="C8:G8" si="3">C7</f>
        <v>1200</v>
      </c>
      <c r="D8" s="8">
        <f t="shared" si="3"/>
        <v>1200</v>
      </c>
      <c r="E8" s="8">
        <f t="shared" si="3"/>
        <v>1200</v>
      </c>
      <c r="F8" s="8">
        <f t="shared" si="3"/>
        <v>1200</v>
      </c>
      <c r="G8" s="8">
        <f t="shared" si="3"/>
        <v>1200</v>
      </c>
      <c r="L8" s="8"/>
      <c r="R8" s="40"/>
      <c r="S8" s="43"/>
      <c r="T8" s="43"/>
      <c r="U8" s="43"/>
      <c r="V8" s="43"/>
      <c r="W8" s="43"/>
    </row>
    <row r="9" spans="1:24" x14ac:dyDescent="0.35">
      <c r="A9" t="s">
        <v>7</v>
      </c>
      <c r="B9" s="8">
        <v>53</v>
      </c>
      <c r="C9" s="8">
        <v>53</v>
      </c>
      <c r="D9" s="8">
        <v>51</v>
      </c>
      <c r="E9" s="8">
        <v>52</v>
      </c>
      <c r="F9" s="8">
        <v>52</v>
      </c>
      <c r="G9" s="8">
        <v>52</v>
      </c>
      <c r="H9" s="8"/>
      <c r="I9" s="8"/>
      <c r="J9" s="11" t="s">
        <v>5</v>
      </c>
      <c r="K9">
        <v>1.2</v>
      </c>
      <c r="M9">
        <f t="shared" si="2"/>
        <v>0</v>
      </c>
      <c r="R9" s="15"/>
    </row>
    <row r="10" spans="1:24" x14ac:dyDescent="0.35">
      <c r="A10" s="9" t="s">
        <v>13</v>
      </c>
      <c r="B10" s="16">
        <f t="shared" ref="B10:G10" si="4">B2-B4-(B5*$K$9)-(B6*$K$19)-(B8*$K$11)-(B9*$K$12)</f>
        <v>3723.1910000000003</v>
      </c>
      <c r="C10" s="16">
        <f t="shared" si="4"/>
        <v>4583.8305499999997</v>
      </c>
      <c r="D10" s="16">
        <f t="shared" si="4"/>
        <v>5507.8920775000006</v>
      </c>
      <c r="E10" s="16">
        <f t="shared" si="4"/>
        <v>6403.2446813749993</v>
      </c>
      <c r="F10" s="16">
        <f t="shared" si="4"/>
        <v>9158.6729154437508</v>
      </c>
      <c r="G10" s="16">
        <f t="shared" si="4"/>
        <v>10178.476561215937</v>
      </c>
      <c r="H10" s="8"/>
      <c r="I10" s="8"/>
      <c r="J10" s="11"/>
      <c r="R10" s="15"/>
    </row>
    <row r="11" spans="1:24" ht="29" x14ac:dyDescent="0.35">
      <c r="A11" s="84" t="s">
        <v>108</v>
      </c>
      <c r="B11" s="85">
        <v>0</v>
      </c>
      <c r="C11" s="86">
        <v>0.1</v>
      </c>
      <c r="D11" s="86">
        <v>0.15</v>
      </c>
      <c r="E11" s="86">
        <v>0.2</v>
      </c>
      <c r="F11" s="86">
        <v>0.25</v>
      </c>
      <c r="G11" s="86">
        <v>0.25</v>
      </c>
      <c r="H11" s="8"/>
      <c r="J11" t="s">
        <v>6</v>
      </c>
      <c r="K11">
        <v>1.2</v>
      </c>
      <c r="L11">
        <v>1033</v>
      </c>
      <c r="M11">
        <f>L11*K11</f>
        <v>1239.5999999999999</v>
      </c>
      <c r="R11" s="44"/>
      <c r="S11" s="44"/>
      <c r="T11" s="44"/>
      <c r="U11" s="44"/>
      <c r="V11" s="44"/>
      <c r="W11" s="44"/>
      <c r="X11" s="159"/>
    </row>
    <row r="12" spans="1:24" ht="29" x14ac:dyDescent="0.35">
      <c r="A12" s="84" t="s">
        <v>109</v>
      </c>
      <c r="B12" s="85">
        <v>0</v>
      </c>
      <c r="C12" s="94"/>
      <c r="D12" s="86">
        <v>0.03</v>
      </c>
      <c r="E12" s="86">
        <v>0.06</v>
      </c>
      <c r="F12" s="86">
        <v>0.1</v>
      </c>
      <c r="G12" s="86">
        <v>0.1</v>
      </c>
      <c r="H12" s="16"/>
      <c r="J12" t="s">
        <v>7</v>
      </c>
      <c r="K12">
        <v>0.2</v>
      </c>
      <c r="L12">
        <v>53</v>
      </c>
      <c r="M12">
        <f t="shared" ref="M12:M15" si="5">L12*K12</f>
        <v>10.600000000000001</v>
      </c>
      <c r="R12" s="44"/>
      <c r="S12" s="44"/>
      <c r="T12" s="44"/>
      <c r="U12" s="44"/>
      <c r="V12" s="44"/>
      <c r="W12" s="44"/>
      <c r="X12" s="159"/>
    </row>
    <row r="13" spans="1:24" x14ac:dyDescent="0.35">
      <c r="A13" s="87" t="s">
        <v>110</v>
      </c>
      <c r="B13" s="88">
        <v>0</v>
      </c>
      <c r="C13" s="94"/>
      <c r="D13" s="86">
        <v>0.03</v>
      </c>
      <c r="E13" s="86">
        <v>0.06</v>
      </c>
      <c r="F13" s="86">
        <v>0.1</v>
      </c>
      <c r="G13" s="86">
        <v>0.1</v>
      </c>
      <c r="H13" s="16"/>
      <c r="R13" s="44"/>
      <c r="S13" s="44"/>
      <c r="T13" s="44"/>
      <c r="U13" s="44"/>
      <c r="V13" s="44"/>
      <c r="W13" s="44"/>
      <c r="X13" s="83"/>
    </row>
    <row r="14" spans="1:24" x14ac:dyDescent="0.35">
      <c r="A14" s="87" t="s">
        <v>111</v>
      </c>
      <c r="B14" s="89">
        <f>B10*0.7/0.97</f>
        <v>2686.8388659793818</v>
      </c>
      <c r="C14" s="89">
        <f t="shared" ref="C14:G14" si="6">C10*0.7/0.97</f>
        <v>3307.9189536082467</v>
      </c>
      <c r="D14" s="89">
        <f t="shared" si="6"/>
        <v>3974.7674786082475</v>
      </c>
      <c r="E14" s="89">
        <f t="shared" si="6"/>
        <v>4620.8982236726797</v>
      </c>
      <c r="F14" s="89">
        <f t="shared" si="6"/>
        <v>6609.3515884645622</v>
      </c>
      <c r="G14" s="89">
        <f t="shared" si="6"/>
        <v>7345.2923637640779</v>
      </c>
      <c r="J14" t="s">
        <v>8</v>
      </c>
      <c r="K14">
        <v>0.16494962216624701</v>
      </c>
      <c r="L14">
        <v>6598</v>
      </c>
      <c r="M14">
        <f t="shared" si="5"/>
        <v>1088.3376070528977</v>
      </c>
    </row>
    <row r="15" spans="1:24" x14ac:dyDescent="0.35">
      <c r="A15" s="87" t="s">
        <v>112</v>
      </c>
      <c r="B15" s="89">
        <f>B10*0.3/0.47</f>
        <v>2376.5048936170215</v>
      </c>
      <c r="C15" s="89">
        <f t="shared" ref="C15:G15" si="7">C10*0.3/0.47</f>
        <v>2925.8492872340421</v>
      </c>
      <c r="D15" s="89">
        <f t="shared" si="7"/>
        <v>3515.6757941489368</v>
      </c>
      <c r="E15" s="89">
        <f t="shared" si="7"/>
        <v>4087.1774561968082</v>
      </c>
      <c r="F15" s="89">
        <f t="shared" si="7"/>
        <v>5845.9614353896286</v>
      </c>
      <c r="G15" s="89">
        <f t="shared" si="7"/>
        <v>6496.8999326910243</v>
      </c>
      <c r="H15" s="8"/>
      <c r="J15" t="s">
        <v>9</v>
      </c>
      <c r="K15">
        <v>0.97</v>
      </c>
      <c r="M15">
        <f t="shared" si="5"/>
        <v>0</v>
      </c>
    </row>
    <row r="16" spans="1:24" x14ac:dyDescent="0.35">
      <c r="A16" s="87" t="s">
        <v>113</v>
      </c>
      <c r="B16" s="90">
        <f>B14*0.5*B11</f>
        <v>0</v>
      </c>
      <c r="C16" s="89">
        <f t="shared" ref="C16:G16" si="8">C14*0.5*C11</f>
        <v>165.39594768041235</v>
      </c>
      <c r="D16" s="89">
        <f t="shared" si="8"/>
        <v>298.10756089561858</v>
      </c>
      <c r="E16" s="89">
        <f t="shared" si="8"/>
        <v>462.08982236726797</v>
      </c>
      <c r="F16" s="89">
        <f t="shared" si="8"/>
        <v>826.16894855807027</v>
      </c>
      <c r="G16" s="89">
        <f t="shared" si="8"/>
        <v>918.16154547050974</v>
      </c>
      <c r="H16" s="8"/>
    </row>
    <row r="17" spans="1:28" x14ac:dyDescent="0.35">
      <c r="A17" s="87" t="s">
        <v>114</v>
      </c>
      <c r="B17" s="90">
        <f>B14*0.47*B12*10%</f>
        <v>0</v>
      </c>
      <c r="C17" s="89">
        <f t="shared" ref="C17:G17" si="9">C14*0.47*C12*10%</f>
        <v>0</v>
      </c>
      <c r="D17" s="89">
        <f t="shared" si="9"/>
        <v>5.6044221448376286</v>
      </c>
      <c r="E17" s="89">
        <f t="shared" si="9"/>
        <v>13.030932990756956</v>
      </c>
      <c r="F17" s="89">
        <f t="shared" si="9"/>
        <v>31.063952465783444</v>
      </c>
      <c r="G17" s="89">
        <f t="shared" si="9"/>
        <v>34.522874109691166</v>
      </c>
      <c r="H17" s="8"/>
    </row>
    <row r="18" spans="1:28" x14ac:dyDescent="0.35">
      <c r="A18" s="87" t="s">
        <v>115</v>
      </c>
      <c r="B18" s="90">
        <f>B15*0.47*B13*10%</f>
        <v>0</v>
      </c>
      <c r="C18" s="89">
        <f t="shared" ref="C18:G18" si="10">C15*0.47*C13*10%</f>
        <v>0</v>
      </c>
      <c r="D18" s="89">
        <f t="shared" si="10"/>
        <v>4.9571028697500008</v>
      </c>
      <c r="E18" s="89">
        <f t="shared" si="10"/>
        <v>11.525840426475</v>
      </c>
      <c r="F18" s="89">
        <f t="shared" si="10"/>
        <v>27.476018746331256</v>
      </c>
      <c r="G18" s="89">
        <f t="shared" si="10"/>
        <v>30.535429683647813</v>
      </c>
      <c r="H18" s="8"/>
    </row>
    <row r="19" spans="1:28" x14ac:dyDescent="0.35">
      <c r="A19" s="91" t="s">
        <v>116</v>
      </c>
      <c r="B19" s="92"/>
      <c r="C19" s="93">
        <v>267.21264736649482</v>
      </c>
      <c r="D19" s="93">
        <v>467.31055664764824</v>
      </c>
      <c r="E19" s="93">
        <v>824.65978413242078</v>
      </c>
      <c r="F19" s="93">
        <v>1245.3844355655899</v>
      </c>
      <c r="G19" s="93">
        <v>1319.376400023086</v>
      </c>
      <c r="H19" s="8"/>
      <c r="J19" t="s">
        <v>10</v>
      </c>
      <c r="K19">
        <v>0.97</v>
      </c>
      <c r="M19">
        <f>L19*K19</f>
        <v>0</v>
      </c>
    </row>
    <row r="20" spans="1:28" x14ac:dyDescent="0.35">
      <c r="A20" t="s">
        <v>15</v>
      </c>
      <c r="B20" s="157" t="s">
        <v>74</v>
      </c>
      <c r="C20" s="157"/>
      <c r="D20" s="157"/>
      <c r="E20" s="157"/>
      <c r="F20" s="157"/>
      <c r="G20" s="157"/>
      <c r="H20" s="8"/>
      <c r="J20" t="s">
        <v>66</v>
      </c>
      <c r="K20">
        <v>0.1</v>
      </c>
      <c r="L20">
        <v>413</v>
      </c>
      <c r="M20">
        <f>L20*K20</f>
        <v>41.300000000000004</v>
      </c>
    </row>
    <row r="21" spans="1:28" x14ac:dyDescent="0.35">
      <c r="A21" t="s">
        <v>12</v>
      </c>
      <c r="B21" s="8">
        <f>B10*0.25-B10*0.25*$I$21</f>
        <v>465.39887500000003</v>
      </c>
      <c r="C21" s="8">
        <f>C10*0.25-C10*0.25*$I$21</f>
        <v>572.97881874999996</v>
      </c>
      <c r="D21" s="8">
        <f>D10*0.25</f>
        <v>1376.9730193750001</v>
      </c>
      <c r="E21" s="8">
        <f>E10*0.25</f>
        <v>1600.8111703437498</v>
      </c>
      <c r="F21" s="8">
        <f>F10*0.25</f>
        <v>2289.6682288609377</v>
      </c>
      <c r="G21" s="8">
        <f>G10*0.25</f>
        <v>2544.6191403039843</v>
      </c>
      <c r="H21" s="8" t="s">
        <v>117</v>
      </c>
      <c r="I21" s="168">
        <v>0.5</v>
      </c>
      <c r="M21">
        <f>SUM(M2:M20)</f>
        <v>6721.1276070528975</v>
      </c>
      <c r="N21">
        <f>(M3+M11)/M21</f>
        <v>0.58405824580397747</v>
      </c>
    </row>
    <row r="22" spans="1:28" x14ac:dyDescent="0.35">
      <c r="A22" t="s">
        <v>61</v>
      </c>
      <c r="B22" s="8">
        <v>0</v>
      </c>
      <c r="C22" s="8">
        <v>0</v>
      </c>
      <c r="D22" s="8">
        <v>1500</v>
      </c>
      <c r="E22" s="8">
        <v>2000</v>
      </c>
      <c r="F22" s="8">
        <v>3000</v>
      </c>
      <c r="G22" s="8">
        <v>3000</v>
      </c>
      <c r="H22" s="8"/>
      <c r="I22" s="169"/>
      <c r="R22" s="26"/>
      <c r="S22" s="26"/>
      <c r="T22" s="26"/>
      <c r="U22" s="26"/>
      <c r="V22" s="26"/>
      <c r="W22" s="26"/>
      <c r="X22" s="26"/>
    </row>
    <row r="23" spans="1:28" x14ac:dyDescent="0.35">
      <c r="A23" t="s">
        <v>62</v>
      </c>
      <c r="B23" s="8">
        <v>0</v>
      </c>
      <c r="C23" s="8">
        <v>0</v>
      </c>
      <c r="D23" s="8">
        <f>C22*0.85</f>
        <v>0</v>
      </c>
      <c r="E23" s="8">
        <f>D22*0.85</f>
        <v>1275</v>
      </c>
      <c r="F23" s="8">
        <f>E22*0.85</f>
        <v>1700</v>
      </c>
      <c r="G23" s="8">
        <f>F22*0.85</f>
        <v>2550</v>
      </c>
      <c r="H23" s="10"/>
      <c r="I23" s="169"/>
    </row>
    <row r="24" spans="1:28" x14ac:dyDescent="0.35">
      <c r="A24" t="s">
        <v>63</v>
      </c>
      <c r="B24" s="8">
        <f t="shared" ref="B24:C24" si="11">B22+B23</f>
        <v>0</v>
      </c>
      <c r="C24" s="8">
        <f t="shared" si="11"/>
        <v>0</v>
      </c>
      <c r="D24" s="8">
        <f>D22+D23</f>
        <v>1500</v>
      </c>
      <c r="E24" s="8">
        <f t="shared" ref="E24:F24" si="12">E22+E23</f>
        <v>3275</v>
      </c>
      <c r="F24" s="8">
        <f t="shared" si="12"/>
        <v>4700</v>
      </c>
      <c r="G24" s="8">
        <f>G22+G23</f>
        <v>5550</v>
      </c>
      <c r="H24" s="17"/>
      <c r="I24" s="169"/>
    </row>
    <row r="25" spans="1:28" ht="15" thickBot="1" x14ac:dyDescent="0.4">
      <c r="A25" t="s">
        <v>46</v>
      </c>
      <c r="B25" s="8">
        <v>0</v>
      </c>
      <c r="C25" s="8">
        <f>C24*0.25</f>
        <v>0</v>
      </c>
      <c r="D25" s="8">
        <f>D24/12*3*0.25+D24/12*6*0.66*0.25+D24/12*3*0.33*0.25</f>
        <v>248.4375</v>
      </c>
      <c r="E25" s="8">
        <f>E24*0.33*0.25</f>
        <v>270.1875</v>
      </c>
      <c r="F25" s="8">
        <f>F24*0.33*0.25</f>
        <v>387.75</v>
      </c>
      <c r="G25" s="8">
        <f>G24*0.33*0.25</f>
        <v>457.875</v>
      </c>
      <c r="I25" s="169"/>
      <c r="T25" s="101" t="s">
        <v>11</v>
      </c>
      <c r="U25" s="101"/>
      <c r="V25" s="101"/>
      <c r="W25" s="101"/>
      <c r="X25" s="101"/>
      <c r="Y25" s="101"/>
      <c r="Z25" s="101"/>
    </row>
    <row r="26" spans="1:28" ht="15" thickBot="1" x14ac:dyDescent="0.4">
      <c r="A26" s="9" t="s">
        <v>65</v>
      </c>
      <c r="B26" s="10">
        <f t="shared" ref="B26:G26" si="13">B10-B21-B25+B19</f>
        <v>3257.7921250000004</v>
      </c>
      <c r="C26" s="10">
        <f t="shared" si="13"/>
        <v>4278.0643786164947</v>
      </c>
      <c r="D26" s="10">
        <f t="shared" si="13"/>
        <v>4349.7921147726483</v>
      </c>
      <c r="E26" s="10">
        <f t="shared" si="13"/>
        <v>5356.9057951636705</v>
      </c>
      <c r="F26" s="10">
        <f t="shared" si="13"/>
        <v>7726.6391221484037</v>
      </c>
      <c r="G26" s="10">
        <f t="shared" si="13"/>
        <v>8495.3588209350382</v>
      </c>
      <c r="I26" s="169"/>
      <c r="J26" s="162" t="s">
        <v>21</v>
      </c>
      <c r="K26" s="163"/>
      <c r="L26" s="163"/>
      <c r="M26" s="163"/>
      <c r="N26" s="163"/>
      <c r="O26" s="163"/>
      <c r="P26" s="35"/>
      <c r="Q26" s="36"/>
      <c r="T26" s="102" t="s">
        <v>52</v>
      </c>
      <c r="U26" s="103" t="s">
        <v>17</v>
      </c>
      <c r="V26" s="104" t="s">
        <v>18</v>
      </c>
      <c r="W26" s="104" t="s">
        <v>19</v>
      </c>
      <c r="X26" s="104" t="s">
        <v>20</v>
      </c>
      <c r="Y26" s="104" t="s">
        <v>48</v>
      </c>
      <c r="Z26" s="105" t="s">
        <v>49</v>
      </c>
      <c r="AA26" s="59"/>
    </row>
    <row r="27" spans="1:28" ht="15" thickBot="1" x14ac:dyDescent="0.4">
      <c r="A27" t="s">
        <v>107</v>
      </c>
      <c r="B27" s="82">
        <f>$I$27</f>
        <v>0</v>
      </c>
      <c r="C27" s="82">
        <f t="shared" ref="C27:G27" si="14">$I$27</f>
        <v>0</v>
      </c>
      <c r="D27" s="82">
        <f t="shared" si="14"/>
        <v>0</v>
      </c>
      <c r="E27" s="82">
        <f t="shared" si="14"/>
        <v>0</v>
      </c>
      <c r="F27" s="82">
        <f t="shared" si="14"/>
        <v>0</v>
      </c>
      <c r="G27" s="82">
        <f t="shared" si="14"/>
        <v>0</v>
      </c>
      <c r="H27" s="14" t="s">
        <v>118</v>
      </c>
      <c r="I27" s="170">
        <v>0</v>
      </c>
      <c r="J27" s="19"/>
      <c r="K27" s="20" t="s">
        <v>17</v>
      </c>
      <c r="L27" s="20" t="s">
        <v>18</v>
      </c>
      <c r="M27" s="20" t="s">
        <v>19</v>
      </c>
      <c r="N27" s="20" t="s">
        <v>20</v>
      </c>
      <c r="O27" s="20" t="s">
        <v>48</v>
      </c>
      <c r="P27" s="21" t="s">
        <v>49</v>
      </c>
      <c r="Q27" s="21"/>
      <c r="T27" s="106">
        <v>1</v>
      </c>
      <c r="U27" s="107">
        <v>2035</v>
      </c>
      <c r="V27" s="108">
        <v>2547</v>
      </c>
      <c r="W27" s="108">
        <v>2917</v>
      </c>
      <c r="X27" s="108">
        <v>3260</v>
      </c>
      <c r="Y27" s="108">
        <v>3611</v>
      </c>
      <c r="Z27" s="109">
        <v>3656</v>
      </c>
      <c r="AA27" s="60"/>
    </row>
    <row r="28" spans="1:28" ht="15" thickBot="1" x14ac:dyDescent="0.4">
      <c r="H28" s="18"/>
      <c r="I28" s="7"/>
      <c r="J28" s="22" t="s">
        <v>22</v>
      </c>
      <c r="K28" s="23">
        <f>U27/$U$31</f>
        <v>0.27133333333333332</v>
      </c>
      <c r="L28" s="23">
        <f>V27/$V$31</f>
        <v>0.28366187771466755</v>
      </c>
      <c r="M28" s="23">
        <f>W27/$W$31</f>
        <v>0.2870497933477662</v>
      </c>
      <c r="N28" s="23">
        <f>X27/$X$31</f>
        <v>0.28654302540212712</v>
      </c>
      <c r="O28" s="23">
        <f>Y27/$Y$31</f>
        <v>0.28213141651691537</v>
      </c>
      <c r="P28" s="23">
        <f>Z27/$Z$31</f>
        <v>0.27701166843461128</v>
      </c>
      <c r="Q28" s="24"/>
      <c r="T28" s="106">
        <v>2</v>
      </c>
      <c r="U28" s="107">
        <v>1932</v>
      </c>
      <c r="V28" s="108">
        <v>2322</v>
      </c>
      <c r="W28" s="108">
        <v>2500</v>
      </c>
      <c r="X28" s="108">
        <v>2848</v>
      </c>
      <c r="Y28" s="108">
        <v>3184</v>
      </c>
      <c r="Z28" s="109">
        <v>3387</v>
      </c>
      <c r="AA28" s="60"/>
    </row>
    <row r="29" spans="1:28" ht="15" thickBot="1" x14ac:dyDescent="0.4">
      <c r="A29" s="29" t="s">
        <v>26</v>
      </c>
      <c r="B29" s="30"/>
      <c r="C29" s="30"/>
      <c r="D29" s="30"/>
      <c r="E29" s="30"/>
      <c r="F29" s="30"/>
      <c r="G29" s="30"/>
      <c r="H29" s="18"/>
      <c r="J29" s="22" t="s">
        <v>23</v>
      </c>
      <c r="K29" s="23">
        <f t="shared" ref="K29:K31" si="15">U28/$U$31</f>
        <v>0.2576</v>
      </c>
      <c r="L29" s="23">
        <f t="shared" ref="L29:L31" si="16">V28/$V$31</f>
        <v>0.25860340795188774</v>
      </c>
      <c r="M29" s="23">
        <f t="shared" ref="M29:M31" si="17">W28/$W$31</f>
        <v>0.24601456406219249</v>
      </c>
      <c r="N29" s="23">
        <f t="shared" ref="N29:N31" si="18">X28/$X$31</f>
        <v>0.250329612375846</v>
      </c>
      <c r="O29" s="23">
        <f t="shared" ref="O29:O31" si="19">Y28/$Y$31</f>
        <v>0.24876943511211813</v>
      </c>
      <c r="P29" s="23">
        <f>Z28/$Z$31</f>
        <v>0.25662979239278677</v>
      </c>
      <c r="Q29" s="24"/>
      <c r="T29" s="106">
        <v>3</v>
      </c>
      <c r="U29" s="107">
        <v>1539</v>
      </c>
      <c r="V29" s="108">
        <v>1810</v>
      </c>
      <c r="W29" s="108">
        <v>2058</v>
      </c>
      <c r="X29" s="108">
        <v>2493</v>
      </c>
      <c r="Y29" s="108">
        <v>2908</v>
      </c>
      <c r="Z29" s="109">
        <v>2984</v>
      </c>
      <c r="AA29" s="60"/>
    </row>
    <row r="30" spans="1:28" ht="15" thickBot="1" x14ac:dyDescent="0.4">
      <c r="A30" s="15"/>
      <c r="B30" s="28" t="s">
        <v>17</v>
      </c>
      <c r="C30" s="28" t="s">
        <v>18</v>
      </c>
      <c r="D30" s="28" t="s">
        <v>19</v>
      </c>
      <c r="E30" s="9" t="s">
        <v>20</v>
      </c>
      <c r="F30" s="28" t="s">
        <v>48</v>
      </c>
      <c r="G30" s="9" t="s">
        <v>49</v>
      </c>
      <c r="H30" s="18"/>
      <c r="J30" s="22" t="s">
        <v>24</v>
      </c>
      <c r="K30" s="23">
        <f t="shared" si="15"/>
        <v>0.20519999999999999</v>
      </c>
      <c r="L30" s="23">
        <f t="shared" si="16"/>
        <v>0.2015814678694732</v>
      </c>
      <c r="M30" s="23">
        <f t="shared" si="17"/>
        <v>0.20251918913599684</v>
      </c>
      <c r="N30" s="23">
        <f t="shared" si="18"/>
        <v>0.2191263074624242</v>
      </c>
      <c r="O30" s="23">
        <f t="shared" si="19"/>
        <v>0.2272052504101883</v>
      </c>
      <c r="P30" s="23">
        <f>Z29/$Z$31</f>
        <v>0.22609486285800878</v>
      </c>
      <c r="Q30" s="24"/>
      <c r="T30" s="106">
        <v>4</v>
      </c>
      <c r="U30" s="107">
        <v>1994</v>
      </c>
      <c r="V30" s="108">
        <v>2301</v>
      </c>
      <c r="W30" s="108">
        <v>2687</v>
      </c>
      <c r="X30" s="108">
        <v>2776</v>
      </c>
      <c r="Y30" s="108">
        <v>3096</v>
      </c>
      <c r="Z30" s="109">
        <v>3171</v>
      </c>
      <c r="AA30" s="60"/>
    </row>
    <row r="31" spans="1:28" ht="15" thickBot="1" x14ac:dyDescent="0.4">
      <c r="A31" s="9" t="s">
        <v>22</v>
      </c>
      <c r="B31" s="18">
        <f>IF($I$2="a",B$26*K28+U33*$B$27,IF($I$2="b",B$26*K28+U47*$B$27,B$26*K28+U61*$B$27))</f>
        <v>883.94759658333339</v>
      </c>
      <c r="C31" s="18">
        <f>IF($I$2="a",C$26*L28+V33*$B$27,IF($I$2="b",C$26*L28+V47*$B$27,C$26*L28+V61*$B$27))</f>
        <v>1213.5237746225873</v>
      </c>
      <c r="D31" s="18">
        <f t="shared" ref="D31:G31" si="20">IF($I$2="a",D$26*M28+W33*$B$27,IF($I$2="b",D$26*M28+W47*$B$27,D$26*M28+W61*$B$27))</f>
        <v>1248.6069276512317</v>
      </c>
      <c r="E31" s="18">
        <f t="shared" si="20"/>
        <v>1534.9839933403855</v>
      </c>
      <c r="F31" s="18">
        <f t="shared" si="20"/>
        <v>2179.9276404467446</v>
      </c>
      <c r="G31" s="18">
        <f t="shared" si="20"/>
        <v>2353.313520937907</v>
      </c>
      <c r="H31" s="18"/>
      <c r="J31" s="25" t="s">
        <v>25</v>
      </c>
      <c r="K31" s="23">
        <f t="shared" si="15"/>
        <v>0.26586666666666664</v>
      </c>
      <c r="L31" s="23">
        <f t="shared" si="16"/>
        <v>0.25626461744069495</v>
      </c>
      <c r="M31" s="23">
        <f t="shared" si="17"/>
        <v>0.26441645345404446</v>
      </c>
      <c r="N31" s="23">
        <f t="shared" si="18"/>
        <v>0.24400105475960271</v>
      </c>
      <c r="O31" s="23">
        <f t="shared" si="19"/>
        <v>0.24189389796077818</v>
      </c>
      <c r="P31" s="23">
        <f>Z30/$Z$31</f>
        <v>0.24026367631459311</v>
      </c>
      <c r="Q31" s="24"/>
      <c r="T31" s="102" t="s">
        <v>53</v>
      </c>
      <c r="U31" s="110">
        <v>7500</v>
      </c>
      <c r="V31" s="111">
        <v>8979</v>
      </c>
      <c r="W31" s="111">
        <v>10162</v>
      </c>
      <c r="X31" s="111">
        <v>11377</v>
      </c>
      <c r="Y31" s="111">
        <v>12799</v>
      </c>
      <c r="Z31" s="112">
        <v>13198</v>
      </c>
      <c r="AA31" s="59"/>
      <c r="AB31" s="3"/>
    </row>
    <row r="32" spans="1:28" x14ac:dyDescent="0.35">
      <c r="A32" s="9" t="s">
        <v>23</v>
      </c>
      <c r="B32" s="18">
        <f>IF($I$2="a",B$26*K29+U34*$B$27,IF($I$2="b",B$26*K29+U48*$B$27,B$26*K29+U62*$B$27))</f>
        <v>839.20725140000013</v>
      </c>
      <c r="C32" s="18">
        <f t="shared" ref="C32:G34" si="21">IF($I$2="a",C$26*L29+V34*$B$27,IF($I$2="b",C$26*L29+V48*$B$27,C$26*L29+V62*$B$27))</f>
        <v>1106.3220277478006</v>
      </c>
      <c r="D32" s="18">
        <f t="shared" si="21"/>
        <v>1070.1122108769555</v>
      </c>
      <c r="E32" s="18">
        <f t="shared" si="21"/>
        <v>1340.9921512372448</v>
      </c>
      <c r="F32" s="18">
        <f t="shared" si="21"/>
        <v>1922.1516497320506</v>
      </c>
      <c r="G32" s="18">
        <f t="shared" si="21"/>
        <v>2180.1621705187886</v>
      </c>
      <c r="H32" s="26"/>
      <c r="J32" s="3"/>
      <c r="K32" s="3"/>
      <c r="L32" s="3"/>
      <c r="M32" s="3"/>
      <c r="N32" s="3"/>
      <c r="O32" s="3"/>
      <c r="T32" s="164" t="s">
        <v>106</v>
      </c>
      <c r="U32" s="164"/>
      <c r="V32" s="164"/>
      <c r="W32" s="164"/>
      <c r="X32" s="164"/>
      <c r="Y32" s="164"/>
      <c r="Z32" s="164"/>
      <c r="AB32" s="3"/>
    </row>
    <row r="33" spans="1:28" x14ac:dyDescent="0.35">
      <c r="A33" s="9" t="s">
        <v>24</v>
      </c>
      <c r="B33" s="18">
        <f t="shared" ref="B33:B34" si="22">IF($I$2="a",B$26*K30+U35*$B$27,IF($I$2="b",B$26*K30+U49*$B$27,B$26*K30+U63*$B$27))</f>
        <v>668.49894405000009</v>
      </c>
      <c r="C33" s="18">
        <f t="shared" si="21"/>
        <v>862.37849708161878</v>
      </c>
      <c r="D33" s="18">
        <f t="shared" si="21"/>
        <v>880.91637199390959</v>
      </c>
      <c r="E33" s="18">
        <f t="shared" si="21"/>
        <v>1173.8389863182765</v>
      </c>
      <c r="F33" s="18">
        <f t="shared" si="21"/>
        <v>1755.5329765768856</v>
      </c>
      <c r="G33" s="18">
        <f t="shared" si="21"/>
        <v>1920.7569875488828</v>
      </c>
      <c r="T33" s="106">
        <v>1</v>
      </c>
      <c r="U33" s="113">
        <v>102</v>
      </c>
      <c r="V33" s="114">
        <v>255</v>
      </c>
      <c r="W33" s="114">
        <v>292</v>
      </c>
      <c r="X33" s="114">
        <v>326</v>
      </c>
      <c r="Y33" s="114">
        <v>362</v>
      </c>
      <c r="Z33" s="114">
        <v>365</v>
      </c>
      <c r="AA33" s="3"/>
      <c r="AB33" s="3"/>
    </row>
    <row r="34" spans="1:28" x14ac:dyDescent="0.35">
      <c r="A34" s="9" t="s">
        <v>25</v>
      </c>
      <c r="B34" s="18">
        <f t="shared" si="22"/>
        <v>866.13833296666667</v>
      </c>
      <c r="C34" s="18">
        <f t="shared" si="21"/>
        <v>1096.3165313728205</v>
      </c>
      <c r="D34" s="18">
        <f t="shared" si="21"/>
        <v>1150.1566042505517</v>
      </c>
      <c r="E34" s="18">
        <f t="shared" si="21"/>
        <v>1307.0906642677639</v>
      </c>
      <c r="F34" s="18">
        <f t="shared" si="21"/>
        <v>1869.0268553927226</v>
      </c>
      <c r="G34" s="18">
        <f t="shared" si="21"/>
        <v>2041.1261419294594</v>
      </c>
      <c r="H34" s="32"/>
      <c r="J34" s="161" t="s">
        <v>78</v>
      </c>
      <c r="K34" s="161"/>
      <c r="L34" s="161"/>
      <c r="M34" s="161"/>
      <c r="N34" s="161"/>
      <c r="O34" s="161"/>
      <c r="T34" s="106">
        <v>2</v>
      </c>
      <c r="U34" s="113">
        <v>96</v>
      </c>
      <c r="V34" s="114">
        <v>232</v>
      </c>
      <c r="W34" s="114">
        <v>250</v>
      </c>
      <c r="X34" s="114">
        <v>284</v>
      </c>
      <c r="Y34" s="114">
        <v>318</v>
      </c>
      <c r="Z34" s="114">
        <v>339</v>
      </c>
      <c r="AA34" s="3"/>
      <c r="AB34" s="3"/>
    </row>
    <row r="35" spans="1:28" x14ac:dyDescent="0.35">
      <c r="C35" s="26"/>
      <c r="D35" s="26"/>
      <c r="E35" s="26"/>
      <c r="F35" s="26"/>
      <c r="G35" s="26"/>
      <c r="H35" s="18"/>
      <c r="J35" t="s">
        <v>28</v>
      </c>
      <c r="K35" t="s">
        <v>22</v>
      </c>
      <c r="L35" t="s">
        <v>23</v>
      </c>
      <c r="M35" t="s">
        <v>24</v>
      </c>
      <c r="N35" t="s">
        <v>25</v>
      </c>
      <c r="T35" s="106">
        <v>3</v>
      </c>
      <c r="U35" s="113">
        <v>77</v>
      </c>
      <c r="V35" s="113">
        <v>181</v>
      </c>
      <c r="W35" s="113">
        <v>206</v>
      </c>
      <c r="X35" s="113">
        <v>249</v>
      </c>
      <c r="Y35" s="113">
        <v>291</v>
      </c>
      <c r="Z35" s="113">
        <v>299</v>
      </c>
    </row>
    <row r="36" spans="1:28" x14ac:dyDescent="0.35">
      <c r="H36" s="27"/>
      <c r="J36" t="s">
        <v>29</v>
      </c>
      <c r="K36" s="3">
        <v>0.30262172284644195</v>
      </c>
      <c r="L36" s="3">
        <v>0.2943089430894309</v>
      </c>
      <c r="M36" s="3">
        <v>0.24128862590401051</v>
      </c>
      <c r="N36" s="3">
        <v>0.25610482430017867</v>
      </c>
      <c r="T36" s="106">
        <v>4</v>
      </c>
      <c r="U36" s="113">
        <v>100</v>
      </c>
      <c r="V36" s="113">
        <v>230</v>
      </c>
      <c r="W36" s="113">
        <v>268</v>
      </c>
      <c r="X36" s="113">
        <v>278</v>
      </c>
      <c r="Y36" s="113">
        <v>309</v>
      </c>
      <c r="Z36" s="113">
        <v>318</v>
      </c>
    </row>
    <row r="37" spans="1:28" x14ac:dyDescent="0.35">
      <c r="A37" s="160" t="s">
        <v>27</v>
      </c>
      <c r="B37" s="160"/>
      <c r="C37" s="160"/>
      <c r="D37" s="160"/>
      <c r="E37" s="160"/>
      <c r="F37" s="160"/>
      <c r="G37" s="32"/>
      <c r="H37" s="27"/>
      <c r="J37" t="s">
        <v>30</v>
      </c>
      <c r="K37" s="3">
        <v>0.22097378277153559</v>
      </c>
      <c r="L37" s="3">
        <v>0.24796747967479674</v>
      </c>
      <c r="M37" s="3">
        <v>0.23208415516107825</v>
      </c>
      <c r="N37" s="3">
        <v>0.23168552709946397</v>
      </c>
    </row>
    <row r="38" spans="1:28" x14ac:dyDescent="0.35">
      <c r="A38" t="s">
        <v>42</v>
      </c>
      <c r="B38" s="18" t="s">
        <v>34</v>
      </c>
      <c r="C38" s="18" t="s">
        <v>35</v>
      </c>
      <c r="D38" s="18" t="s">
        <v>36</v>
      </c>
      <c r="E38" s="18" t="s">
        <v>37</v>
      </c>
      <c r="F38" s="18"/>
      <c r="G38" s="18"/>
      <c r="H38" s="27"/>
      <c r="J38" t="s">
        <v>31</v>
      </c>
      <c r="K38" s="3">
        <v>0.25168539325842698</v>
      </c>
      <c r="L38" s="3">
        <v>0.25203252032520324</v>
      </c>
      <c r="M38" s="3">
        <v>0.23405654174884943</v>
      </c>
      <c r="N38" s="3">
        <v>0.24419297200714712</v>
      </c>
    </row>
    <row r="39" spans="1:28" ht="15" thickBot="1" x14ac:dyDescent="0.4">
      <c r="A39">
        <v>1</v>
      </c>
      <c r="B39" s="31">
        <f>$B$31*K36</f>
        <v>267.50174458402</v>
      </c>
      <c r="C39" s="31">
        <f>$B$32*L36</f>
        <v>246.98619919252036</v>
      </c>
      <c r="D39" s="31">
        <f>$B$33*M36</f>
        <v>161.30119162810652</v>
      </c>
      <c r="E39" s="31">
        <f>$B$34*N36</f>
        <v>221.82220558407781</v>
      </c>
      <c r="F39" s="27"/>
      <c r="G39" s="27"/>
      <c r="H39" s="27"/>
      <c r="J39" t="s">
        <v>32</v>
      </c>
      <c r="K39" s="3">
        <v>0.2247191011235955</v>
      </c>
      <c r="L39" s="3">
        <v>0.2056910569105691</v>
      </c>
      <c r="M39" s="3">
        <v>0.29257067718606178</v>
      </c>
      <c r="N39" s="3">
        <v>0.26801667659321027</v>
      </c>
      <c r="T39" s="115" t="s">
        <v>123</v>
      </c>
      <c r="U39" s="115"/>
      <c r="V39" s="115"/>
      <c r="W39" s="115"/>
      <c r="X39" s="115"/>
      <c r="Y39" s="115"/>
      <c r="Z39" s="115"/>
    </row>
    <row r="40" spans="1:28" ht="15" thickBot="1" x14ac:dyDescent="0.4">
      <c r="A40">
        <v>2</v>
      </c>
      <c r="B40" s="31">
        <f t="shared" ref="B40:B42" si="23">$B$31*K37</f>
        <v>195.32924418882649</v>
      </c>
      <c r="C40" s="31">
        <f t="shared" ref="C40:C42" si="24">$B$32*L37</f>
        <v>208.09610705447156</v>
      </c>
      <c r="D40" s="31">
        <f t="shared" ref="D40:D42" si="25">$B$33*M37</f>
        <v>155.1480126559172</v>
      </c>
      <c r="E40" s="31">
        <f>$B$34*N37</f>
        <v>200.67171621443319</v>
      </c>
      <c r="F40" s="27"/>
      <c r="G40" s="27"/>
      <c r="H40" s="27"/>
      <c r="J40" t="s">
        <v>33</v>
      </c>
      <c r="K40" s="3">
        <v>1</v>
      </c>
      <c r="L40" s="3">
        <v>1</v>
      </c>
      <c r="M40" s="3">
        <v>1</v>
      </c>
      <c r="N40" s="3">
        <v>1</v>
      </c>
      <c r="T40" s="116" t="s">
        <v>52</v>
      </c>
      <c r="U40" s="117" t="s">
        <v>17</v>
      </c>
      <c r="V40" s="118" t="s">
        <v>18</v>
      </c>
      <c r="W40" s="118" t="s">
        <v>19</v>
      </c>
      <c r="X40" s="118" t="s">
        <v>20</v>
      </c>
      <c r="Y40" s="118" t="s">
        <v>48</v>
      </c>
      <c r="Z40" s="119" t="s">
        <v>49</v>
      </c>
    </row>
    <row r="41" spans="1:28" ht="15" thickBot="1" x14ac:dyDescent="0.4">
      <c r="A41">
        <v>3</v>
      </c>
      <c r="B41" s="31">
        <f t="shared" si="23"/>
        <v>222.47669846591762</v>
      </c>
      <c r="C41" s="31">
        <f t="shared" si="24"/>
        <v>211.50751864552848</v>
      </c>
      <c r="D41" s="31">
        <f t="shared" si="25"/>
        <v>156.46655100710061</v>
      </c>
      <c r="E41" s="31">
        <f>$B$34*N38</f>
        <v>211.50489369644632</v>
      </c>
      <c r="F41" s="27"/>
      <c r="G41" s="27"/>
      <c r="T41" s="120">
        <v>1</v>
      </c>
      <c r="U41" s="121">
        <v>2035</v>
      </c>
      <c r="V41" s="122">
        <v>2544</v>
      </c>
      <c r="W41" s="122">
        <v>2832</v>
      </c>
      <c r="X41" s="122">
        <v>3129</v>
      </c>
      <c r="Y41" s="122">
        <v>3366</v>
      </c>
      <c r="Z41" s="123">
        <v>3400</v>
      </c>
    </row>
    <row r="42" spans="1:28" ht="15" thickBot="1" x14ac:dyDescent="0.4">
      <c r="A42">
        <v>4</v>
      </c>
      <c r="B42" s="31">
        <f t="shared" si="23"/>
        <v>198.6399093445693</v>
      </c>
      <c r="C42" s="31">
        <f t="shared" si="24"/>
        <v>172.61742650747971</v>
      </c>
      <c r="D42" s="31">
        <f t="shared" si="25"/>
        <v>195.58318875887576</v>
      </c>
      <c r="E42" s="31">
        <f>$B$34*N39</f>
        <v>232.13951747170938</v>
      </c>
      <c r="F42" s="27"/>
      <c r="G42" s="27"/>
      <c r="T42" s="120">
        <v>2</v>
      </c>
      <c r="U42" s="121">
        <v>1932</v>
      </c>
      <c r="V42" s="122">
        <v>2319</v>
      </c>
      <c r="W42" s="122">
        <v>2512</v>
      </c>
      <c r="X42" s="122">
        <v>2716</v>
      </c>
      <c r="Y42" s="122">
        <v>3034</v>
      </c>
      <c r="Z42" s="123">
        <v>3131</v>
      </c>
    </row>
    <row r="43" spans="1:28" ht="15" thickBot="1" x14ac:dyDescent="0.4">
      <c r="A43">
        <v>5</v>
      </c>
      <c r="B43" s="31">
        <f>$C$31*K36</f>
        <v>367.23865539140473</v>
      </c>
      <c r="C43" s="31">
        <f>$C$32*L36</f>
        <v>325.60046670301125</v>
      </c>
      <c r="D43" s="31">
        <f>$C$33*M36</f>
        <v>208.08212256998954</v>
      </c>
      <c r="E43" s="31">
        <f>$C$34*N36</f>
        <v>280.7719526446175</v>
      </c>
      <c r="F43" s="27"/>
      <c r="G43" s="27"/>
      <c r="T43" s="120">
        <v>3</v>
      </c>
      <c r="U43" s="121">
        <v>1539</v>
      </c>
      <c r="V43" s="122">
        <v>1901</v>
      </c>
      <c r="W43" s="122">
        <v>2069</v>
      </c>
      <c r="X43" s="122">
        <v>2458</v>
      </c>
      <c r="Y43" s="122">
        <v>2663</v>
      </c>
      <c r="Z43" s="123">
        <v>2728</v>
      </c>
    </row>
    <row r="44" spans="1:28" ht="15" thickBot="1" x14ac:dyDescent="0.4">
      <c r="A44">
        <v>6</v>
      </c>
      <c r="B44" s="31">
        <f t="shared" ref="B44:B46" si="26">$C$31*K37</f>
        <v>268.15693896154551</v>
      </c>
      <c r="C44" s="31">
        <f t="shared" ref="C44:C46" si="27">$C$32*L37</f>
        <v>274.33188492933266</v>
      </c>
      <c r="D44" s="31">
        <f t="shared" ref="D44:D46" si="28">$C$33*M37</f>
        <v>200.14438492426788</v>
      </c>
      <c r="E44" s="31">
        <f t="shared" ref="E44:E46" si="29">$C$34*N37</f>
        <v>254.00067343896794</v>
      </c>
      <c r="T44" s="120">
        <v>4</v>
      </c>
      <c r="U44" s="121">
        <v>1994</v>
      </c>
      <c r="V44" s="122">
        <v>2392</v>
      </c>
      <c r="W44" s="122">
        <v>2602</v>
      </c>
      <c r="X44" s="122">
        <v>2741</v>
      </c>
      <c r="Y44" s="122">
        <v>2850</v>
      </c>
      <c r="Z44" s="123">
        <v>2915</v>
      </c>
    </row>
    <row r="45" spans="1:28" ht="15" thickBot="1" x14ac:dyDescent="0.4">
      <c r="A45">
        <v>7</v>
      </c>
      <c r="B45" s="31">
        <f t="shared" si="26"/>
        <v>305.42620844433662</v>
      </c>
      <c r="C45" s="31">
        <f t="shared" si="27"/>
        <v>278.82912894456763</v>
      </c>
      <c r="D45" s="31">
        <f t="shared" si="28"/>
        <v>201.84532870549393</v>
      </c>
      <c r="E45" s="31">
        <f t="shared" si="29"/>
        <v>267.7127920564958</v>
      </c>
      <c r="T45" s="116" t="s">
        <v>53</v>
      </c>
      <c r="U45" s="124">
        <v>7500</v>
      </c>
      <c r="V45" s="125">
        <v>9157</v>
      </c>
      <c r="W45" s="125">
        <v>10016</v>
      </c>
      <c r="X45" s="125">
        <v>11043</v>
      </c>
      <c r="Y45" s="125">
        <v>11914</v>
      </c>
      <c r="Z45" s="126">
        <v>12174</v>
      </c>
    </row>
    <row r="46" spans="1:28" x14ac:dyDescent="0.35">
      <c r="A46">
        <v>8</v>
      </c>
      <c r="B46" s="31">
        <f t="shared" si="26"/>
        <v>272.70197182530052</v>
      </c>
      <c r="C46" s="31">
        <f t="shared" si="27"/>
        <v>227.56054717088907</v>
      </c>
      <c r="D46" s="31">
        <f t="shared" si="28"/>
        <v>252.3066608818674</v>
      </c>
      <c r="E46" s="31">
        <f t="shared" si="29"/>
        <v>293.83111323273926</v>
      </c>
      <c r="T46" s="165" t="s">
        <v>106</v>
      </c>
      <c r="U46" s="165"/>
      <c r="V46" s="165"/>
      <c r="W46" s="165"/>
      <c r="X46" s="165"/>
      <c r="Y46" s="165"/>
      <c r="Z46" s="165"/>
    </row>
    <row r="47" spans="1:28" x14ac:dyDescent="0.35">
      <c r="A47">
        <v>9</v>
      </c>
      <c r="B47" s="1">
        <f>$D$31*K36</f>
        <v>377.85557960381846</v>
      </c>
      <c r="C47" s="1">
        <f>$D$32*L36</f>
        <v>314.94359377029099</v>
      </c>
      <c r="D47" s="1">
        <f>$D$33*M36</f>
        <v>212.55510093475661</v>
      </c>
      <c r="E47" s="1">
        <f>$D$34*N36</f>
        <v>294.56065504927767</v>
      </c>
      <c r="T47" s="120">
        <v>1</v>
      </c>
      <c r="U47" s="127">
        <v>102</v>
      </c>
      <c r="V47" s="128">
        <v>255</v>
      </c>
      <c r="W47" s="128">
        <v>284</v>
      </c>
      <c r="X47" s="128">
        <v>313</v>
      </c>
      <c r="Y47" s="128">
        <v>337</v>
      </c>
      <c r="Z47" s="128">
        <v>340</v>
      </c>
    </row>
    <row r="48" spans="1:28" x14ac:dyDescent="0.35">
      <c r="A48">
        <v>10</v>
      </c>
      <c r="B48" s="1">
        <f t="shared" ref="B48:B50" si="30">$D$31*K37</f>
        <v>275.90939599783775</v>
      </c>
      <c r="C48" s="1">
        <f t="shared" ref="C48:C50" si="31">$D$32*L37</f>
        <v>265.35302790038327</v>
      </c>
      <c r="D48" s="1">
        <f t="shared" ref="D48:D50" si="32">$D$33*M37</f>
        <v>204.44673196176865</v>
      </c>
      <c r="E48" s="1">
        <f t="shared" ref="E48:E50" si="33">$D$34*N37</f>
        <v>266.47463910271864</v>
      </c>
      <c r="T48" s="120">
        <v>2</v>
      </c>
      <c r="U48" s="127">
        <v>96</v>
      </c>
      <c r="V48" s="128">
        <v>232</v>
      </c>
      <c r="W48" s="128">
        <v>251</v>
      </c>
      <c r="X48" s="128">
        <v>272</v>
      </c>
      <c r="Y48" s="128">
        <v>303</v>
      </c>
      <c r="Z48" s="128">
        <v>313</v>
      </c>
    </row>
    <row r="49" spans="1:26" x14ac:dyDescent="0.35">
      <c r="A49">
        <v>11</v>
      </c>
      <c r="B49" s="1">
        <f t="shared" si="30"/>
        <v>314.25612561109654</v>
      </c>
      <c r="C49" s="1">
        <f t="shared" si="31"/>
        <v>269.70307753809448</v>
      </c>
      <c r="D49" s="1">
        <f t="shared" si="32"/>
        <v>206.18423959883748</v>
      </c>
      <c r="E49" s="1">
        <f t="shared" si="33"/>
        <v>280.86015946559036</v>
      </c>
      <c r="T49" s="120">
        <v>3</v>
      </c>
      <c r="U49" s="127">
        <v>77</v>
      </c>
      <c r="V49" s="127">
        <v>190</v>
      </c>
      <c r="W49" s="127">
        <v>207</v>
      </c>
      <c r="X49" s="127">
        <v>245</v>
      </c>
      <c r="Y49" s="127">
        <v>266</v>
      </c>
      <c r="Z49" s="127">
        <v>273</v>
      </c>
    </row>
    <row r="50" spans="1:26" x14ac:dyDescent="0.35">
      <c r="A50">
        <v>12</v>
      </c>
      <c r="B50" s="1">
        <f t="shared" si="30"/>
        <v>280.58582643847905</v>
      </c>
      <c r="C50" s="1">
        <f t="shared" si="31"/>
        <v>220.11251166818678</v>
      </c>
      <c r="D50" s="1">
        <f t="shared" si="32"/>
        <v>257.73029949854686</v>
      </c>
      <c r="E50" s="1">
        <f t="shared" si="33"/>
        <v>308.26115063296504</v>
      </c>
      <c r="T50" s="120">
        <v>4</v>
      </c>
      <c r="U50" s="127">
        <v>100</v>
      </c>
      <c r="V50" s="127">
        <v>239</v>
      </c>
      <c r="W50" s="127">
        <v>260</v>
      </c>
      <c r="X50" s="127">
        <v>274</v>
      </c>
      <c r="Y50" s="127">
        <v>285</v>
      </c>
      <c r="Z50" s="127">
        <v>292</v>
      </c>
    </row>
    <row r="51" spans="1:26" x14ac:dyDescent="0.35">
      <c r="A51">
        <v>13</v>
      </c>
      <c r="B51" s="1">
        <f>$E$31*K36</f>
        <v>464.51950060637887</v>
      </c>
      <c r="C51" s="1">
        <f>$E$32*L36</f>
        <v>394.66598272185581</v>
      </c>
      <c r="D51" s="1">
        <f>$E$33*M36</f>
        <v>283.23399604129355</v>
      </c>
      <c r="E51" s="1">
        <f>$E$34*N36</f>
        <v>334.7522249166995</v>
      </c>
    </row>
    <row r="52" spans="1:26" x14ac:dyDescent="0.35">
      <c r="A52">
        <v>14</v>
      </c>
      <c r="B52" s="1">
        <f t="shared" ref="B52:B54" si="34">$E$31*K37</f>
        <v>339.19121950218261</v>
      </c>
      <c r="C52" s="1">
        <f t="shared" ref="C52:C54" si="35">$E$32*L37</f>
        <v>332.52244400598346</v>
      </c>
      <c r="D52" s="1">
        <f t="shared" ref="D52:D54" si="36">$E$33*M37</f>
        <v>272.4294294348137</v>
      </c>
      <c r="E52" s="1">
        <f t="shared" ref="E52:E54" si="37">$E$34*N37</f>
        <v>302.83398951766537</v>
      </c>
    </row>
    <row r="53" spans="1:26" ht="15" thickBot="1" x14ac:dyDescent="0.4">
      <c r="A53">
        <v>15</v>
      </c>
      <c r="B53" s="1">
        <f t="shared" si="34"/>
        <v>386.33305000926561</v>
      </c>
      <c r="C53" s="1">
        <f t="shared" si="35"/>
        <v>337.97363161263888</v>
      </c>
      <c r="D53" s="1">
        <f t="shared" si="36"/>
        <v>274.7446937076308</v>
      </c>
      <c r="E53" s="1">
        <f t="shared" si="37"/>
        <v>319.18235399034143</v>
      </c>
      <c r="T53" s="129" t="s">
        <v>124</v>
      </c>
      <c r="U53" s="129"/>
      <c r="V53" s="129"/>
      <c r="W53" s="129"/>
      <c r="X53" s="129"/>
      <c r="Y53" s="129"/>
      <c r="Z53" s="129"/>
    </row>
    <row r="54" spans="1:26" ht="15" thickBot="1" x14ac:dyDescent="0.4">
      <c r="A54">
        <v>16</v>
      </c>
      <c r="B54" s="1">
        <f t="shared" si="34"/>
        <v>344.94022322255853</v>
      </c>
      <c r="C54" s="1">
        <f t="shared" si="35"/>
        <v>275.83009289676659</v>
      </c>
      <c r="D54" s="1">
        <f t="shared" si="36"/>
        <v>343.43086713453846</v>
      </c>
      <c r="E54" s="1">
        <f t="shared" si="37"/>
        <v>350.3220958430577</v>
      </c>
      <c r="T54" s="130" t="s">
        <v>52</v>
      </c>
      <c r="U54" s="131" t="s">
        <v>17</v>
      </c>
      <c r="V54" s="132" t="s">
        <v>18</v>
      </c>
      <c r="W54" s="132" t="s">
        <v>19</v>
      </c>
      <c r="X54" s="132" t="s">
        <v>20</v>
      </c>
      <c r="Y54" s="132" t="s">
        <v>48</v>
      </c>
      <c r="Z54" s="133" t="s">
        <v>49</v>
      </c>
    </row>
    <row r="55" spans="1:26" ht="15" thickBot="1" x14ac:dyDescent="0.4">
      <c r="A55">
        <v>17</v>
      </c>
      <c r="B55" s="1">
        <f>$F$31*K36</f>
        <v>659.69345823257288</v>
      </c>
      <c r="C55" s="1">
        <f>$F$32*L36</f>
        <v>565.70642049024582</v>
      </c>
      <c r="D55" s="1">
        <f>$F$33*M36</f>
        <v>423.59013964741422</v>
      </c>
      <c r="E55" s="1">
        <f>$F$34*N36</f>
        <v>478.66679441266865</v>
      </c>
      <c r="T55" s="134">
        <v>1</v>
      </c>
      <c r="U55" s="135">
        <v>2035</v>
      </c>
      <c r="V55" s="136">
        <v>2547</v>
      </c>
      <c r="W55" s="136">
        <v>2917</v>
      </c>
      <c r="X55" s="136">
        <v>3260</v>
      </c>
      <c r="Y55" s="136">
        <v>3611</v>
      </c>
      <c r="Z55" s="137">
        <v>3653</v>
      </c>
    </row>
    <row r="56" spans="1:26" ht="15" thickBot="1" x14ac:dyDescent="0.4">
      <c r="A56">
        <v>18</v>
      </c>
      <c r="B56" s="1">
        <f t="shared" ref="B56:B57" si="38">$F$31*K37</f>
        <v>481.70685687774511</v>
      </c>
      <c r="C56" s="1">
        <f t="shared" ref="C56:C58" si="39">$F$32*L37</f>
        <v>476.63110013680927</v>
      </c>
      <c r="D56" s="1">
        <f t="shared" ref="D56:D58" si="40">$F$33*M37</f>
        <v>407.43138772625946</v>
      </c>
      <c r="E56" s="1">
        <f t="shared" ref="E56:E58" si="41">$F$34*N37</f>
        <v>433.02647215471654</v>
      </c>
      <c r="T56" s="134">
        <v>2</v>
      </c>
      <c r="U56" s="135">
        <v>1932</v>
      </c>
      <c r="V56" s="136">
        <v>2322</v>
      </c>
      <c r="W56" s="136">
        <v>2500</v>
      </c>
      <c r="X56" s="136">
        <v>2848</v>
      </c>
      <c r="Y56" s="136">
        <v>3184</v>
      </c>
      <c r="Z56" s="137">
        <v>3384</v>
      </c>
    </row>
    <row r="57" spans="1:26" ht="15" thickBot="1" x14ac:dyDescent="0.4">
      <c r="A57">
        <v>19</v>
      </c>
      <c r="B57" s="1">
        <f t="shared" si="38"/>
        <v>548.65594546075374</v>
      </c>
      <c r="C57" s="1">
        <f t="shared" si="39"/>
        <v>484.44472472921598</v>
      </c>
      <c r="D57" s="1">
        <f t="shared" si="40"/>
        <v>410.89397742364974</v>
      </c>
      <c r="E57" s="1">
        <f>$F$34*N38</f>
        <v>456.40322257952135</v>
      </c>
      <c r="T57" s="134">
        <v>3</v>
      </c>
      <c r="U57" s="135">
        <v>1539</v>
      </c>
      <c r="V57" s="136">
        <v>1810</v>
      </c>
      <c r="W57" s="136">
        <v>2058</v>
      </c>
      <c r="X57" s="136">
        <v>2493</v>
      </c>
      <c r="Y57" s="136">
        <v>2813</v>
      </c>
      <c r="Z57" s="137">
        <v>2981</v>
      </c>
    </row>
    <row r="58" spans="1:26" ht="15" thickBot="1" x14ac:dyDescent="0.4">
      <c r="A58">
        <v>20</v>
      </c>
      <c r="B58" s="1">
        <f>$F$31*K39</f>
        <v>489.87137987567291</v>
      </c>
      <c r="C58" s="1">
        <f t="shared" si="39"/>
        <v>395.36940437577948</v>
      </c>
      <c r="D58" s="1">
        <f t="shared" si="40"/>
        <v>513.61747177956215</v>
      </c>
      <c r="E58" s="1">
        <f t="shared" si="41"/>
        <v>500.93036624581612</v>
      </c>
      <c r="T58" s="134">
        <v>4</v>
      </c>
      <c r="U58" s="135">
        <v>1994</v>
      </c>
      <c r="V58" s="136">
        <v>2301</v>
      </c>
      <c r="W58" s="136">
        <v>2687</v>
      </c>
      <c r="X58" s="136">
        <v>2776</v>
      </c>
      <c r="Y58" s="136">
        <v>3000</v>
      </c>
      <c r="Z58" s="137">
        <v>3168</v>
      </c>
    </row>
    <row r="59" spans="1:26" ht="15" thickBot="1" x14ac:dyDescent="0.4">
      <c r="A59">
        <v>21</v>
      </c>
      <c r="B59" s="1">
        <f>$G$31*K36</f>
        <v>712.1637921040558</v>
      </c>
      <c r="C59" s="1">
        <f>$G$32*L36</f>
        <v>641.64122416894429</v>
      </c>
      <c r="D59" s="1">
        <f>$G$33*M36</f>
        <v>463.45681422119657</v>
      </c>
      <c r="E59" s="1">
        <f>$G$34*N36</f>
        <v>522.74225195334577</v>
      </c>
      <c r="T59" s="130" t="s">
        <v>53</v>
      </c>
      <c r="U59" s="138">
        <v>7500</v>
      </c>
      <c r="V59" s="139">
        <v>8979</v>
      </c>
      <c r="W59" s="139">
        <v>10162</v>
      </c>
      <c r="X59" s="139">
        <v>11377</v>
      </c>
      <c r="Y59" s="139">
        <v>12607</v>
      </c>
      <c r="Z59" s="140">
        <v>13186</v>
      </c>
    </row>
    <row r="60" spans="1:26" x14ac:dyDescent="0.35">
      <c r="A60">
        <v>22</v>
      </c>
      <c r="B60" s="1">
        <f>$G$31*K37</f>
        <v>520.02059076905061</v>
      </c>
      <c r="C60" s="1">
        <f>$G$32*L37</f>
        <v>540.60931870587842</v>
      </c>
      <c r="D60" s="1">
        <f t="shared" ref="D60:D61" si="42">$G$33*M37</f>
        <v>445.77726272502014</v>
      </c>
      <c r="E60" s="1">
        <f>$G$34*N37</f>
        <v>472.89938606942212</v>
      </c>
      <c r="T60" s="158" t="s">
        <v>106</v>
      </c>
      <c r="U60" s="158"/>
      <c r="V60" s="158"/>
      <c r="W60" s="158"/>
      <c r="X60" s="158"/>
      <c r="Y60" s="158"/>
      <c r="Z60" s="158"/>
    </row>
    <row r="61" spans="1:26" x14ac:dyDescent="0.35">
      <c r="A61">
        <v>23</v>
      </c>
      <c r="B61" s="1">
        <f t="shared" ref="B61:B62" si="43">$G$31*K38</f>
        <v>592.2946389776306</v>
      </c>
      <c r="C61" s="1">
        <f t="shared" ref="C61" si="44">$G$32*L38</f>
        <v>549.47176655351575</v>
      </c>
      <c r="D61" s="1">
        <f t="shared" si="42"/>
        <v>449.56573804562936</v>
      </c>
      <c r="E61" s="1">
        <f>$G$34*N38</f>
        <v>498.42865883923668</v>
      </c>
      <c r="T61" s="134">
        <v>1</v>
      </c>
      <c r="U61" s="141">
        <v>102</v>
      </c>
      <c r="V61" s="142">
        <v>255</v>
      </c>
      <c r="W61" s="142">
        <v>292</v>
      </c>
      <c r="X61" s="142">
        <v>326</v>
      </c>
      <c r="Y61" s="142">
        <v>362</v>
      </c>
      <c r="Z61" s="142">
        <v>365</v>
      </c>
    </row>
    <row r="62" spans="1:26" x14ac:dyDescent="0.35">
      <c r="A62">
        <v>24</v>
      </c>
      <c r="B62" s="1">
        <f t="shared" si="43"/>
        <v>528.83449908717012</v>
      </c>
      <c r="C62" s="1">
        <f>$G$32*L39</f>
        <v>448.43986109044999</v>
      </c>
      <c r="D62" s="1">
        <f>$G$33*M39</f>
        <v>561.95717255703664</v>
      </c>
      <c r="E62" s="1">
        <f>$G$34*N39</f>
        <v>547.05584506745492</v>
      </c>
      <c r="T62" s="134">
        <v>2</v>
      </c>
      <c r="U62" s="141">
        <v>96</v>
      </c>
      <c r="V62" s="142">
        <v>232</v>
      </c>
      <c r="W62" s="142">
        <v>250</v>
      </c>
      <c r="X62" s="142">
        <v>284</v>
      </c>
      <c r="Y62" s="142">
        <v>318</v>
      </c>
      <c r="Z62" s="142">
        <v>338</v>
      </c>
    </row>
    <row r="63" spans="1:26" x14ac:dyDescent="0.35">
      <c r="B63" s="1"/>
      <c r="C63" s="1"/>
      <c r="D63" s="1"/>
      <c r="E63" s="1"/>
      <c r="T63" s="134">
        <v>3</v>
      </c>
      <c r="U63" s="141">
        <v>77</v>
      </c>
      <c r="V63" s="141">
        <v>181</v>
      </c>
      <c r="W63" s="141">
        <v>206</v>
      </c>
      <c r="X63" s="141">
        <v>249</v>
      </c>
      <c r="Y63" s="141">
        <v>281</v>
      </c>
      <c r="Z63" s="141">
        <v>298</v>
      </c>
    </row>
    <row r="64" spans="1:26" x14ac:dyDescent="0.35">
      <c r="B64" s="1"/>
      <c r="C64" s="1"/>
      <c r="D64" s="1"/>
      <c r="E64" s="1"/>
      <c r="T64" s="134">
        <v>4</v>
      </c>
      <c r="U64" s="141">
        <v>100</v>
      </c>
      <c r="V64" s="141">
        <v>230</v>
      </c>
      <c r="W64" s="141">
        <v>268</v>
      </c>
      <c r="X64" s="141">
        <v>278</v>
      </c>
      <c r="Y64" s="141">
        <v>300</v>
      </c>
      <c r="Z64" s="141">
        <v>317</v>
      </c>
    </row>
    <row r="65" spans="2:5" x14ac:dyDescent="0.35">
      <c r="B65" s="1"/>
      <c r="C65" s="1"/>
      <c r="D65" s="1"/>
      <c r="E65" s="1"/>
    </row>
    <row r="66" spans="2:5" x14ac:dyDescent="0.35">
      <c r="B66" s="1"/>
      <c r="C66" s="1"/>
      <c r="D66" s="1"/>
      <c r="E66" s="1"/>
    </row>
  </sheetData>
  <mergeCells count="9">
    <mergeCell ref="T60:Z60"/>
    <mergeCell ref="X11:X12"/>
    <mergeCell ref="A37:F37"/>
    <mergeCell ref="J34:O34"/>
    <mergeCell ref="J1:K1"/>
    <mergeCell ref="J26:O26"/>
    <mergeCell ref="B20:G20"/>
    <mergeCell ref="T32:Z32"/>
    <mergeCell ref="T46:Z46"/>
  </mergeCells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273D3-21BB-49EA-B058-C8755BF18758}">
  <dimension ref="A1:H38"/>
  <sheetViews>
    <sheetView workbookViewId="0">
      <selection activeCell="E4" sqref="E4"/>
    </sheetView>
  </sheetViews>
  <sheetFormatPr defaultRowHeight="14.5" x14ac:dyDescent="0.35"/>
  <cols>
    <col min="1" max="1" width="19.08984375" customWidth="1"/>
    <col min="6" max="6" width="10" customWidth="1"/>
    <col min="7" max="7" width="32.6328125" customWidth="1"/>
    <col min="8" max="8" width="14.90625" customWidth="1"/>
  </cols>
  <sheetData>
    <row r="1" spans="1:8" ht="15.5" x14ac:dyDescent="0.35">
      <c r="A1" s="166" t="s">
        <v>79</v>
      </c>
      <c r="B1" s="166"/>
      <c r="C1" s="166"/>
      <c r="D1" s="166"/>
      <c r="E1" s="166"/>
      <c r="F1" s="166"/>
      <c r="G1" s="166"/>
      <c r="H1" s="166"/>
    </row>
    <row r="2" spans="1:8" x14ac:dyDescent="0.35">
      <c r="B2" t="s">
        <v>22</v>
      </c>
      <c r="C2" t="s">
        <v>23</v>
      </c>
      <c r="D2" t="s">
        <v>24</v>
      </c>
      <c r="E2" t="s">
        <v>25</v>
      </c>
      <c r="G2" s="9" t="s">
        <v>80</v>
      </c>
      <c r="H2" s="17">
        <f>'Calculate Capacity'!B26</f>
        <v>3257.7921250000004</v>
      </c>
    </row>
    <row r="3" spans="1:8" x14ac:dyDescent="0.35">
      <c r="A3" t="s">
        <v>38</v>
      </c>
      <c r="B3" s="17">
        <v>6.5161290322580649</v>
      </c>
      <c r="C3" s="17">
        <v>5.838709677419355</v>
      </c>
      <c r="D3" s="17">
        <v>5.919354838709677</v>
      </c>
      <c r="E3" s="17">
        <v>6.8253968253968251</v>
      </c>
    </row>
    <row r="4" spans="1:8" x14ac:dyDescent="0.35">
      <c r="A4" t="s">
        <v>39</v>
      </c>
      <c r="B4" s="17">
        <v>5.6730769230769234</v>
      </c>
      <c r="C4" s="17">
        <v>5.9803921568627452</v>
      </c>
      <c r="D4" s="17">
        <v>6.9215686274509807</v>
      </c>
      <c r="E4" s="17">
        <v>7.4807692307692308</v>
      </c>
    </row>
    <row r="5" spans="1:8" x14ac:dyDescent="0.35">
      <c r="A5" t="s">
        <v>40</v>
      </c>
      <c r="B5" s="17">
        <v>5.419354838709677</v>
      </c>
      <c r="C5" s="17">
        <v>4.84375</v>
      </c>
      <c r="D5" s="17">
        <v>5.476923076923077</v>
      </c>
      <c r="E5" s="17">
        <v>6.3076923076923075</v>
      </c>
    </row>
    <row r="6" spans="1:8" x14ac:dyDescent="0.35">
      <c r="A6" t="s">
        <v>41</v>
      </c>
      <c r="B6" s="17">
        <v>4.6875</v>
      </c>
      <c r="C6" s="17">
        <v>4.2166666666666668</v>
      </c>
      <c r="D6" s="17">
        <v>6.8461538461538458</v>
      </c>
      <c r="E6" s="17">
        <v>7.03125</v>
      </c>
    </row>
    <row r="9" spans="1:8" ht="15.5" x14ac:dyDescent="0.35">
      <c r="A9" s="167" t="s">
        <v>45</v>
      </c>
      <c r="B9" s="167"/>
      <c r="C9" s="167"/>
      <c r="D9" s="167"/>
      <c r="E9" s="167"/>
      <c r="F9" s="167"/>
      <c r="G9" s="167"/>
      <c r="H9" s="167"/>
    </row>
    <row r="10" spans="1:8" x14ac:dyDescent="0.35">
      <c r="A10" t="s">
        <v>42</v>
      </c>
      <c r="B10" t="s">
        <v>34</v>
      </c>
      <c r="C10" t="s">
        <v>35</v>
      </c>
      <c r="D10" t="s">
        <v>36</v>
      </c>
      <c r="E10" t="s">
        <v>37</v>
      </c>
      <c r="F10" t="s">
        <v>43</v>
      </c>
      <c r="G10" t="s">
        <v>44</v>
      </c>
    </row>
    <row r="11" spans="1:8" x14ac:dyDescent="0.35">
      <c r="A11">
        <v>1</v>
      </c>
      <c r="B11" s="17">
        <f>B3*(100%+$G$11)</f>
        <v>6.5161290322580649</v>
      </c>
      <c r="C11" s="17">
        <f>C3*(100%+$G$11)</f>
        <v>5.838709677419355</v>
      </c>
      <c r="D11" s="17">
        <f>D3*(100%+$G$11)</f>
        <v>5.919354838709677</v>
      </c>
      <c r="E11" s="17">
        <f>E3*(100%+$G$11)</f>
        <v>6.8253968253968251</v>
      </c>
      <c r="F11" s="3">
        <f>'Calculate Capacity'!$B$26/'Calculate FOA per Day'!$H$2-1</f>
        <v>0</v>
      </c>
      <c r="G11" s="3">
        <f>IF(F11&lt;0,0,F11)</f>
        <v>0</v>
      </c>
    </row>
    <row r="12" spans="1:8" x14ac:dyDescent="0.35">
      <c r="A12">
        <v>2</v>
      </c>
      <c r="B12" s="17">
        <f>B4*(100%+$G$12)</f>
        <v>5.6730769230769234</v>
      </c>
      <c r="C12" s="17">
        <f>C4*(100%+$G$12)</f>
        <v>5.9803921568627452</v>
      </c>
      <c r="D12" s="17">
        <f>D4*(100%+$G$12)</f>
        <v>6.9215686274509807</v>
      </c>
      <c r="E12" s="17">
        <f>E4*(100%+$G$12)</f>
        <v>7.4807692307692308</v>
      </c>
      <c r="F12" s="3">
        <f>'Calculate Capacity'!$B$26/'Calculate FOA per Day'!$H$2-1</f>
        <v>0</v>
      </c>
      <c r="G12" s="3">
        <f t="shared" ref="G12:G29" si="0">IF(F12&lt;0,0,F12)</f>
        <v>0</v>
      </c>
    </row>
    <row r="13" spans="1:8" x14ac:dyDescent="0.35">
      <c r="A13">
        <v>3</v>
      </c>
      <c r="B13" s="17">
        <f>B5*(100%+$G$13)</f>
        <v>5.419354838709677</v>
      </c>
      <c r="C13" s="17">
        <f>C5*(100%+$G$13)</f>
        <v>4.84375</v>
      </c>
      <c r="D13" s="17">
        <f>D5*(100%+$G$13)</f>
        <v>5.476923076923077</v>
      </c>
      <c r="E13" s="17">
        <f>E5*(100%+$G$13)</f>
        <v>6.3076923076923075</v>
      </c>
      <c r="F13" s="3">
        <f>'Calculate Capacity'!$B$26/'Calculate FOA per Day'!$H$2-1</f>
        <v>0</v>
      </c>
      <c r="G13" s="3">
        <f t="shared" si="0"/>
        <v>0</v>
      </c>
    </row>
    <row r="14" spans="1:8" x14ac:dyDescent="0.35">
      <c r="A14">
        <v>4</v>
      </c>
      <c r="B14" s="17">
        <f>B6*(100%+$G$14)</f>
        <v>4.6875</v>
      </c>
      <c r="C14" s="17">
        <f t="shared" ref="C14:E14" si="1">C6*(100%+$G$14)</f>
        <v>4.2166666666666668</v>
      </c>
      <c r="D14" s="17">
        <f t="shared" si="1"/>
        <v>6.8461538461538458</v>
      </c>
      <c r="E14" s="17">
        <f t="shared" si="1"/>
        <v>7.03125</v>
      </c>
      <c r="F14" s="3">
        <f>'Calculate Capacity'!$B$26/'Calculate FOA per Day'!$H$2-1</f>
        <v>0</v>
      </c>
      <c r="G14" s="3">
        <f t="shared" si="0"/>
        <v>0</v>
      </c>
    </row>
    <row r="15" spans="1:8" x14ac:dyDescent="0.35">
      <c r="A15">
        <v>5</v>
      </c>
      <c r="B15" s="17">
        <f>B3*(100%+$G$15)</f>
        <v>8.5568441538828992</v>
      </c>
      <c r="C15" s="17">
        <f t="shared" ref="C15:E15" si="2">C3*(100%+$G$15)</f>
        <v>7.6672712467960631</v>
      </c>
      <c r="D15" s="17">
        <f t="shared" si="2"/>
        <v>7.7731727833540187</v>
      </c>
      <c r="E15" s="17">
        <f t="shared" si="2"/>
        <v>8.9629681416988092</v>
      </c>
      <c r="F15" s="3">
        <f>'Calculate Capacity'!$C$26/'Calculate FOA per Day'!$H$2-1</f>
        <v>0.31317905331866269</v>
      </c>
      <c r="G15" s="3">
        <f t="shared" si="0"/>
        <v>0.31317905331866269</v>
      </c>
    </row>
    <row r="16" spans="1:8" x14ac:dyDescent="0.35">
      <c r="A16">
        <v>6</v>
      </c>
      <c r="B16" s="17">
        <f>B4*(100%+$G$16)</f>
        <v>7.4497657832501059</v>
      </c>
      <c r="C16" s="17">
        <f>C4*(100%+$G$16)</f>
        <v>7.8533257110233752</v>
      </c>
      <c r="D16" s="17">
        <f>D4*(100%+$G$16)</f>
        <v>9.0892589376762345</v>
      </c>
      <c r="E16" s="17">
        <f>E4*(100%+$G$16)</f>
        <v>9.8235894565569186</v>
      </c>
      <c r="F16" s="3">
        <f>'Calculate Capacity'!$C$26/'Calculate FOA per Day'!$H$2-1</f>
        <v>0.31317905331866269</v>
      </c>
      <c r="G16" s="3">
        <f t="shared" si="0"/>
        <v>0.31317905331866269</v>
      </c>
    </row>
    <row r="17" spans="1:7" x14ac:dyDescent="0.35">
      <c r="A17">
        <v>7</v>
      </c>
      <c r="B17" s="17">
        <f>B5*(100%+$G$17)</f>
        <v>7.1165832566946881</v>
      </c>
      <c r="C17" s="17">
        <f t="shared" ref="C17:E17" si="3">C5*(100%+$G$17)</f>
        <v>6.3607110395122728</v>
      </c>
      <c r="D17" s="17">
        <f t="shared" si="3"/>
        <v>7.1921806612529835</v>
      </c>
      <c r="E17" s="17">
        <f t="shared" si="3"/>
        <v>8.2831294132407951</v>
      </c>
      <c r="F17" s="3">
        <f>'Calculate Capacity'!$C$26/'Calculate FOA per Day'!$H$2-1</f>
        <v>0.31317905331866269</v>
      </c>
      <c r="G17" s="3">
        <f t="shared" si="0"/>
        <v>0.31317905331866269</v>
      </c>
    </row>
    <row r="18" spans="1:7" x14ac:dyDescent="0.35">
      <c r="A18">
        <v>8</v>
      </c>
      <c r="B18" s="17">
        <f>B6*(100%+$G$18)</f>
        <v>6.1555268124312317</v>
      </c>
      <c r="C18" s="17">
        <f t="shared" ref="C18:E18" si="4">C6*(100%+$G$18)</f>
        <v>5.5372383414936941</v>
      </c>
      <c r="D18" s="17">
        <f t="shared" si="4"/>
        <v>8.9902258265662294</v>
      </c>
      <c r="E18" s="17">
        <f t="shared" si="4"/>
        <v>9.2332902186468466</v>
      </c>
      <c r="F18" s="3">
        <f>'Calculate Capacity'!$C$26/'Calculate FOA per Day'!$H$2-1</f>
        <v>0.31317905331866269</v>
      </c>
      <c r="G18" s="3">
        <f t="shared" si="0"/>
        <v>0.31317905331866269</v>
      </c>
    </row>
    <row r="19" spans="1:7" x14ac:dyDescent="0.35">
      <c r="A19">
        <v>9</v>
      </c>
      <c r="B19" s="17">
        <f>B3*(100%+$G$19)</f>
        <v>8.7003116208211893</v>
      </c>
      <c r="C19" s="17">
        <f t="shared" ref="C19:E19" si="5">C3*(100%+$G$19)</f>
        <v>7.7958237790526494</v>
      </c>
      <c r="D19" s="17">
        <f t="shared" si="5"/>
        <v>7.9035009030727128</v>
      </c>
      <c r="E19" s="17">
        <f t="shared" si="5"/>
        <v>9.1132448456346413</v>
      </c>
      <c r="F19" s="3">
        <f>'Calculate Capacity'!$D$26/'Calculate FOA per Day'!$H$2-1</f>
        <v>0.33519633784879632</v>
      </c>
      <c r="G19" s="3">
        <f t="shared" si="0"/>
        <v>0.33519633784879632</v>
      </c>
    </row>
    <row r="20" spans="1:7" x14ac:dyDescent="0.35">
      <c r="A20">
        <v>10</v>
      </c>
      <c r="B20" s="17">
        <f>B4*(100%+$G$20)</f>
        <v>7.5746715320268256</v>
      </c>
      <c r="C20" s="17">
        <f t="shared" ref="C20:E20" si="6">C4*(100%+$G$20)</f>
        <v>7.984997706742802</v>
      </c>
      <c r="D20" s="17">
        <f t="shared" si="6"/>
        <v>9.241653083541669</v>
      </c>
      <c r="E20" s="17">
        <f t="shared" si="6"/>
        <v>9.9882956812150336</v>
      </c>
      <c r="F20" s="3">
        <f>'Calculate Capacity'!$D$26/'Calculate FOA per Day'!$H$2-1</f>
        <v>0.33519633784879632</v>
      </c>
      <c r="G20" s="3">
        <f t="shared" si="0"/>
        <v>0.33519633784879632</v>
      </c>
    </row>
    <row r="21" spans="1:7" x14ac:dyDescent="0.35">
      <c r="A21">
        <v>11</v>
      </c>
      <c r="B21" s="17">
        <f>B5*(100%+$G$21)</f>
        <v>7.2359027341483149</v>
      </c>
      <c r="C21" s="17">
        <f t="shared" ref="C21:E21" si="7">C5*(100%+$G$21)</f>
        <v>6.4673572614551071</v>
      </c>
      <c r="D21" s="17">
        <f t="shared" si="7"/>
        <v>7.3127676349872539</v>
      </c>
      <c r="E21" s="17">
        <f t="shared" si="7"/>
        <v>8.4220076695077921</v>
      </c>
      <c r="F21" s="3">
        <f>'Calculate Capacity'!$D$26/'Calculate FOA per Day'!$H$2-1</f>
        <v>0.33519633784879632</v>
      </c>
      <c r="G21" s="3">
        <f t="shared" si="0"/>
        <v>0.33519633784879632</v>
      </c>
    </row>
    <row r="22" spans="1:7" x14ac:dyDescent="0.35">
      <c r="A22">
        <v>12</v>
      </c>
      <c r="B22" s="17">
        <f>B6*(100%+$G$22)</f>
        <v>6.2587328336662331</v>
      </c>
      <c r="C22" s="17">
        <f>C6*(100%+$G$22)</f>
        <v>5.6300778912624247</v>
      </c>
      <c r="D22" s="17">
        <f>D6*(100%+$G$22)</f>
        <v>9.1409595437340663</v>
      </c>
      <c r="E22" s="17">
        <f>E6*(100%+$G$22)</f>
        <v>9.3880992504993497</v>
      </c>
      <c r="F22" s="3">
        <f>'Calculate Capacity'!$D$26/'Calculate FOA per Day'!$H$2-1</f>
        <v>0.33519633784879632</v>
      </c>
      <c r="G22" s="3">
        <f t="shared" si="0"/>
        <v>0.33519633784879632</v>
      </c>
    </row>
    <row r="23" spans="1:7" x14ac:dyDescent="0.35">
      <c r="A23">
        <v>13</v>
      </c>
      <c r="B23" s="17">
        <f>B3*(100%+$G$23)</f>
        <v>10.71470739556087</v>
      </c>
      <c r="C23" s="17">
        <f t="shared" ref="C23:E23" si="8">C3*(100%+$G$23)</f>
        <v>9.6008021712698888</v>
      </c>
      <c r="D23" s="17">
        <f t="shared" si="8"/>
        <v>9.7334099360664332</v>
      </c>
      <c r="E23" s="17">
        <f t="shared" si="8"/>
        <v>11.223247649129842</v>
      </c>
      <c r="F23" s="3">
        <f>'Calculate Capacity'!$E$26/'Calculate FOA per Day'!$H$2-1</f>
        <v>0.6443362834771631</v>
      </c>
      <c r="G23" s="3">
        <f t="shared" si="0"/>
        <v>0.6443362834771631</v>
      </c>
    </row>
    <row r="24" spans="1:7" x14ac:dyDescent="0.35">
      <c r="A24">
        <v>14</v>
      </c>
      <c r="B24" s="17">
        <f>B4*(100%+$G$24)</f>
        <v>9.3284462235723673</v>
      </c>
      <c r="C24" s="17">
        <f t="shared" ref="C24:E24" si="9">C4*(100%+$G$24)</f>
        <v>9.8337758129516626</v>
      </c>
      <c r="D24" s="17">
        <f t="shared" si="9"/>
        <v>11.381386432694875</v>
      </c>
      <c r="E24" s="17">
        <f t="shared" si="9"/>
        <v>12.300900274473394</v>
      </c>
      <c r="F24" s="3">
        <f>'Calculate Capacity'!$E$26/'Calculate FOA per Day'!$H$2-1</f>
        <v>0.6443362834771631</v>
      </c>
      <c r="G24" s="3">
        <f t="shared" si="0"/>
        <v>0.6443362834771631</v>
      </c>
    </row>
    <row r="25" spans="1:7" x14ac:dyDescent="0.35">
      <c r="A25">
        <v>15</v>
      </c>
      <c r="B25" s="17">
        <f>B5*(100%+$G$25)</f>
        <v>8.9112417943278501</v>
      </c>
      <c r="C25" s="17">
        <f t="shared" ref="C25:E25" si="10">C5*(100%+$G$25)</f>
        <v>7.9647538730925085</v>
      </c>
      <c r="D25" s="17">
        <f t="shared" si="10"/>
        <v>9.0059033371980011</v>
      </c>
      <c r="E25" s="17">
        <f t="shared" si="10"/>
        <v>10.371967326548258</v>
      </c>
      <c r="F25" s="3">
        <f>'Calculate Capacity'!$E$26/'Calculate FOA per Day'!$H$2-1</f>
        <v>0.6443362834771631</v>
      </c>
      <c r="G25" s="3">
        <f t="shared" si="0"/>
        <v>0.6443362834771631</v>
      </c>
    </row>
    <row r="26" spans="1:7" x14ac:dyDescent="0.35">
      <c r="A26">
        <v>16</v>
      </c>
      <c r="B26" s="17">
        <f>B6*(100%+$G$26)</f>
        <v>7.7078263287992019</v>
      </c>
      <c r="C26" s="17">
        <f t="shared" ref="C26:E26" si="11">C6*(100%+$G$26)</f>
        <v>6.9336179953287047</v>
      </c>
      <c r="D26" s="17">
        <f t="shared" si="11"/>
        <v>11.257379171497501</v>
      </c>
      <c r="E26" s="17">
        <f t="shared" si="11"/>
        <v>11.561739493198804</v>
      </c>
      <c r="F26" s="3">
        <f>'Calculate Capacity'!$E$26/'Calculate FOA per Day'!$H$2-1</f>
        <v>0.6443362834771631</v>
      </c>
      <c r="G26" s="3">
        <f t="shared" si="0"/>
        <v>0.6443362834771631</v>
      </c>
    </row>
    <row r="27" spans="1:7" x14ac:dyDescent="0.35">
      <c r="A27">
        <v>17</v>
      </c>
      <c r="B27" s="17">
        <f>B3*(100%+$G$27)</f>
        <v>15.454570326709282</v>
      </c>
      <c r="C27" s="17">
        <f t="shared" ref="C27:E27" si="12">C3*(100%+$G$27)</f>
        <v>13.847907074922672</v>
      </c>
      <c r="D27" s="17">
        <f t="shared" si="12"/>
        <v>14.039176509659173</v>
      </c>
      <c r="E27" s="17">
        <f t="shared" si="12"/>
        <v>16.188073428809894</v>
      </c>
      <c r="F27" s="3">
        <f>'Calculate Capacity'!$F$26/'Calculate FOA per Day'!$H$2-1</f>
        <v>1.3717409907326124</v>
      </c>
      <c r="G27" s="3">
        <f t="shared" si="0"/>
        <v>1.3717409907326124</v>
      </c>
    </row>
    <row r="28" spans="1:7" x14ac:dyDescent="0.35">
      <c r="A28">
        <v>18</v>
      </c>
      <c r="B28" s="17">
        <f>B4*(100%+$G$28)</f>
        <v>13.455069082040783</v>
      </c>
      <c r="C28" s="17">
        <f t="shared" ref="C28:E28" si="13">C4*(100%+$G$28)</f>
        <v>14.183941219087192</v>
      </c>
      <c r="D28" s="17">
        <f t="shared" si="13"/>
        <v>16.416168033894358</v>
      </c>
      <c r="E28" s="17">
        <f t="shared" si="13"/>
        <v>17.742447026826657</v>
      </c>
      <c r="F28" s="3">
        <f>'Calculate Capacity'!$F$26/'Calculate FOA per Day'!$H$2-1</f>
        <v>1.3717409907326124</v>
      </c>
      <c r="G28" s="3">
        <f t="shared" si="0"/>
        <v>1.3717409907326124</v>
      </c>
    </row>
    <row r="29" spans="1:7" x14ac:dyDescent="0.35">
      <c r="A29">
        <v>19</v>
      </c>
      <c r="B29" s="17">
        <f>B5*(100%+$G$29)</f>
        <v>12.853306014292865</v>
      </c>
      <c r="C29" s="17">
        <f t="shared" ref="C29:E29" si="14">C5*(100%+$G$29)</f>
        <v>11.488120423861091</v>
      </c>
      <c r="D29" s="17">
        <f t="shared" si="14"/>
        <v>12.989842964627845</v>
      </c>
      <c r="E29" s="17">
        <f t="shared" si="14"/>
        <v>14.960212403082631</v>
      </c>
      <c r="F29" s="3">
        <f>'Calculate Capacity'!$F$26/'Calculate FOA per Day'!$H$2-1</f>
        <v>1.3717409907326124</v>
      </c>
      <c r="G29" s="3">
        <f t="shared" si="0"/>
        <v>1.3717409907326124</v>
      </c>
    </row>
    <row r="30" spans="1:7" x14ac:dyDescent="0.35">
      <c r="A30">
        <v>20</v>
      </c>
      <c r="B30" s="17">
        <f>B6*(100%+$G$30)</f>
        <v>11.11753589405912</v>
      </c>
      <c r="C30" s="17">
        <f t="shared" ref="C30:E30" si="15">C6*(100%+$G$30)</f>
        <v>10.000841177589182</v>
      </c>
      <c r="D30" s="17">
        <f t="shared" si="15"/>
        <v>16.237303705784807</v>
      </c>
      <c r="E30" s="17">
        <f t="shared" si="15"/>
        <v>16.676303841088682</v>
      </c>
      <c r="F30" s="3">
        <f>'Calculate Capacity'!$F$26/'Calculate FOA per Day'!$H$2-1</f>
        <v>1.3717409907326124</v>
      </c>
      <c r="G30" s="3">
        <f>IF(F30&lt;0,0,F30)</f>
        <v>1.3717409907326124</v>
      </c>
    </row>
    <row r="31" spans="1:7" x14ac:dyDescent="0.35">
      <c r="A31">
        <v>21</v>
      </c>
      <c r="B31" s="17">
        <f>B3*(100%+$G$31)</f>
        <v>16.992138272955163</v>
      </c>
      <c r="C31" s="17">
        <f>C3*(100%+$G$31)</f>
        <v>15.225628848539033</v>
      </c>
      <c r="D31" s="17">
        <f t="shared" ref="D31" si="16">D3*(100%+$G$31)</f>
        <v>15.435927589540952</v>
      </c>
      <c r="E31" s="17">
        <f>E3*(100%+$G$31)</f>
        <v>17.798617254321258</v>
      </c>
      <c r="F31" s="3">
        <f>'Calculate Capacity'!$G$26/'Calculate FOA per Day'!$H$2-1</f>
        <v>1.6077043884238122</v>
      </c>
      <c r="G31" s="3">
        <f t="shared" ref="G31:G34" si="17">IF(F31&lt;0,0,F31)</f>
        <v>1.6077043884238122</v>
      </c>
    </row>
    <row r="32" spans="1:7" x14ac:dyDescent="0.35">
      <c r="A32">
        <v>22</v>
      </c>
      <c r="B32" s="17">
        <f>B4*(100%+$G$32)</f>
        <v>14.79370758817355</v>
      </c>
      <c r="C32" s="17">
        <f>C4*(100%+$G$32)</f>
        <v>15.595094871946328</v>
      </c>
      <c r="D32" s="17">
        <f>D4*(100%+$G$32)</f>
        <v>18.049404884580504</v>
      </c>
      <c r="E32" s="17">
        <f>E4*(100%+$G$32)</f>
        <v>19.507634751862749</v>
      </c>
      <c r="F32" s="3">
        <f>'Calculate Capacity'!$G$26/'Calculate FOA per Day'!$H$2-1</f>
        <v>1.6077043884238122</v>
      </c>
      <c r="G32" s="3">
        <f t="shared" si="17"/>
        <v>1.6077043884238122</v>
      </c>
    </row>
    <row r="33" spans="1:7" x14ac:dyDescent="0.35">
      <c r="A33">
        <v>23</v>
      </c>
      <c r="B33" s="17">
        <f>B5*(100%+$G$33)</f>
        <v>14.132075395329046</v>
      </c>
      <c r="C33" s="17">
        <f>C5*(100%+$G$33)</f>
        <v>12.63106813142784</v>
      </c>
      <c r="D33" s="17">
        <f>D5*(100%+$G$33)</f>
        <v>14.282196342751957</v>
      </c>
      <c r="E33" s="17">
        <f>E5*(100%+$G$33)</f>
        <v>16.448596911596354</v>
      </c>
      <c r="F33" s="3">
        <f>'Calculate Capacity'!$G$26/'Calculate FOA per Day'!$H$2-1</f>
        <v>1.6077043884238122</v>
      </c>
      <c r="G33" s="3">
        <f t="shared" si="17"/>
        <v>1.6077043884238122</v>
      </c>
    </row>
    <row r="34" spans="1:7" x14ac:dyDescent="0.35">
      <c r="A34">
        <v>24</v>
      </c>
      <c r="B34" s="17">
        <f>B6*(100%+$G$34)</f>
        <v>12.223614320736619</v>
      </c>
      <c r="C34" s="17">
        <f>C6*(100%+$G$34)</f>
        <v>10.995820171187075</v>
      </c>
      <c r="D34" s="17">
        <f>D6*(100%+$G$34)</f>
        <v>17.852745428439945</v>
      </c>
      <c r="E34" s="17">
        <f>E6*(100%+$G$34)</f>
        <v>18.33542148110493</v>
      </c>
      <c r="F34" s="3">
        <f>'Calculate Capacity'!$G$26/'Calculate FOA per Day'!$H$2-1</f>
        <v>1.6077043884238122</v>
      </c>
      <c r="G34" s="3">
        <f t="shared" si="17"/>
        <v>1.6077043884238122</v>
      </c>
    </row>
    <row r="35" spans="1:7" x14ac:dyDescent="0.35">
      <c r="B35" s="17"/>
      <c r="C35" s="17"/>
      <c r="D35" s="17"/>
      <c r="E35" s="17"/>
      <c r="F35" s="3"/>
      <c r="G35" s="3"/>
    </row>
    <row r="36" spans="1:7" x14ac:dyDescent="0.35">
      <c r="B36" s="17"/>
      <c r="C36" s="17"/>
      <c r="D36" s="17"/>
      <c r="E36" s="17"/>
      <c r="F36" s="3"/>
      <c r="G36" s="3"/>
    </row>
    <row r="37" spans="1:7" x14ac:dyDescent="0.35">
      <c r="B37" s="17"/>
      <c r="C37" s="17"/>
      <c r="D37" s="17"/>
      <c r="E37" s="17"/>
      <c r="F37" s="3"/>
      <c r="G37" s="3"/>
    </row>
    <row r="38" spans="1:7" x14ac:dyDescent="0.35">
      <c r="B38" s="17"/>
      <c r="C38" s="17"/>
      <c r="D38" s="17"/>
      <c r="E38" s="17"/>
      <c r="F38" s="3"/>
      <c r="G38" s="3"/>
    </row>
  </sheetData>
  <mergeCells count="2">
    <mergeCell ref="A1:H1"/>
    <mergeCell ref="A9:H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6F78C-E205-4653-ABC7-E012500E6BBC}">
  <dimension ref="A1:E29"/>
  <sheetViews>
    <sheetView workbookViewId="0">
      <selection activeCell="M10" sqref="M10"/>
    </sheetView>
  </sheetViews>
  <sheetFormatPr defaultRowHeight="14.5" x14ac:dyDescent="0.35"/>
  <sheetData>
    <row r="1" spans="1:5" x14ac:dyDescent="0.35">
      <c r="B1" t="s">
        <v>22</v>
      </c>
      <c r="C1" t="s">
        <v>23</v>
      </c>
      <c r="D1" t="s">
        <v>24</v>
      </c>
      <c r="E1" t="s">
        <v>25</v>
      </c>
    </row>
    <row r="2" spans="1:5" x14ac:dyDescent="0.35">
      <c r="A2" t="s">
        <v>38</v>
      </c>
      <c r="B2" s="17">
        <f>ROUND('Calculate Capacity'!B39,0)</f>
        <v>268</v>
      </c>
      <c r="C2" s="17">
        <f>ROUND('Calculate Capacity'!C39,0)</f>
        <v>247</v>
      </c>
      <c r="D2" s="17">
        <f>ROUND('Calculate Capacity'!D39,0)</f>
        <v>161</v>
      </c>
      <c r="E2" s="17">
        <f>ROUND('Calculate Capacity'!E39,0)</f>
        <v>222</v>
      </c>
    </row>
    <row r="3" spans="1:5" x14ac:dyDescent="0.35">
      <c r="A3" t="s">
        <v>39</v>
      </c>
      <c r="B3" s="17">
        <f>ROUND('Calculate Capacity'!B40,0)</f>
        <v>195</v>
      </c>
      <c r="C3" s="17">
        <f>ROUND('Calculate Capacity'!C40,0)</f>
        <v>208</v>
      </c>
      <c r="D3" s="17">
        <f>ROUND('Calculate Capacity'!D40,0)</f>
        <v>155</v>
      </c>
      <c r="E3" s="17">
        <f>ROUND('Calculate Capacity'!E40,0)</f>
        <v>201</v>
      </c>
    </row>
    <row r="4" spans="1:5" x14ac:dyDescent="0.35">
      <c r="A4" t="s">
        <v>40</v>
      </c>
      <c r="B4" s="17">
        <f>ROUND('Calculate Capacity'!B41,0)</f>
        <v>222</v>
      </c>
      <c r="C4" s="17">
        <f>ROUND('Calculate Capacity'!C41,0)</f>
        <v>212</v>
      </c>
      <c r="D4" s="17">
        <f>ROUND('Calculate Capacity'!D41,0)</f>
        <v>156</v>
      </c>
      <c r="E4" s="17">
        <f>ROUND('Calculate Capacity'!E41,0)</f>
        <v>212</v>
      </c>
    </row>
    <row r="5" spans="1:5" x14ac:dyDescent="0.35">
      <c r="A5" t="s">
        <v>41</v>
      </c>
      <c r="B5" s="17">
        <f>ROUND('Calculate Capacity'!B42,0)</f>
        <v>199</v>
      </c>
      <c r="C5" s="17">
        <f>ROUND('Calculate Capacity'!C42,0)</f>
        <v>173</v>
      </c>
      <c r="D5" s="17">
        <f>ROUND('Calculate Capacity'!D42,0)</f>
        <v>196</v>
      </c>
      <c r="E5" s="17">
        <f>ROUND('Calculate Capacity'!E42,0)</f>
        <v>232</v>
      </c>
    </row>
    <row r="6" spans="1:5" x14ac:dyDescent="0.35">
      <c r="A6" t="s">
        <v>83</v>
      </c>
      <c r="B6" s="17">
        <f>ROUND('Calculate Capacity'!B43,0)</f>
        <v>367</v>
      </c>
      <c r="C6" s="17">
        <f>ROUND('Calculate Capacity'!C43,0)</f>
        <v>326</v>
      </c>
      <c r="D6" s="17">
        <f>ROUND('Calculate Capacity'!D43,0)</f>
        <v>208</v>
      </c>
      <c r="E6" s="17">
        <f>ROUND('Calculate Capacity'!E43,0)</f>
        <v>281</v>
      </c>
    </row>
    <row r="7" spans="1:5" x14ac:dyDescent="0.35">
      <c r="A7" t="s">
        <v>84</v>
      </c>
      <c r="B7" s="17">
        <f>ROUND('Calculate Capacity'!B44,0)</f>
        <v>268</v>
      </c>
      <c r="C7" s="17">
        <f>ROUND('Calculate Capacity'!C44,0)</f>
        <v>274</v>
      </c>
      <c r="D7" s="17">
        <f>ROUND('Calculate Capacity'!D44,0)</f>
        <v>200</v>
      </c>
      <c r="E7" s="17">
        <f>ROUND('Calculate Capacity'!E44,0)</f>
        <v>254</v>
      </c>
    </row>
    <row r="8" spans="1:5" x14ac:dyDescent="0.35">
      <c r="A8" t="s">
        <v>85</v>
      </c>
      <c r="B8" s="17">
        <f>ROUND('Calculate Capacity'!B45,0)</f>
        <v>305</v>
      </c>
      <c r="C8" s="17">
        <f>ROUND('Calculate Capacity'!C45,0)</f>
        <v>279</v>
      </c>
      <c r="D8" s="17">
        <f>ROUND('Calculate Capacity'!D45,0)</f>
        <v>202</v>
      </c>
      <c r="E8" s="17">
        <f>ROUND('Calculate Capacity'!E45,0)</f>
        <v>268</v>
      </c>
    </row>
    <row r="9" spans="1:5" x14ac:dyDescent="0.35">
      <c r="A9" t="s">
        <v>86</v>
      </c>
      <c r="B9" s="17">
        <f>ROUND('Calculate Capacity'!B46,0)</f>
        <v>273</v>
      </c>
      <c r="C9" s="17">
        <f>ROUND('Calculate Capacity'!C46,0)</f>
        <v>228</v>
      </c>
      <c r="D9" s="17">
        <f>ROUND('Calculate Capacity'!D46,0)</f>
        <v>252</v>
      </c>
      <c r="E9" s="17">
        <f>ROUND('Calculate Capacity'!E46,0)</f>
        <v>294</v>
      </c>
    </row>
    <row r="10" spans="1:5" x14ac:dyDescent="0.35">
      <c r="A10" t="s">
        <v>87</v>
      </c>
      <c r="B10" s="17">
        <f>ROUND('Calculate Capacity'!B47,0)</f>
        <v>378</v>
      </c>
      <c r="C10" s="17">
        <f>ROUND('Calculate Capacity'!C47,0)</f>
        <v>315</v>
      </c>
      <c r="D10" s="17">
        <f>ROUND('Calculate Capacity'!D47,0)</f>
        <v>213</v>
      </c>
      <c r="E10" s="17">
        <f>ROUND('Calculate Capacity'!E47,0)</f>
        <v>295</v>
      </c>
    </row>
    <row r="11" spans="1:5" x14ac:dyDescent="0.35">
      <c r="A11" t="s">
        <v>88</v>
      </c>
      <c r="B11" s="17">
        <f>ROUND('Calculate Capacity'!B48,0)</f>
        <v>276</v>
      </c>
      <c r="C11" s="17">
        <f>ROUND('Calculate Capacity'!C48,0)</f>
        <v>265</v>
      </c>
      <c r="D11" s="17">
        <f>ROUND('Calculate Capacity'!D48,0)</f>
        <v>204</v>
      </c>
      <c r="E11" s="17">
        <f>ROUND('Calculate Capacity'!E48,0)</f>
        <v>266</v>
      </c>
    </row>
    <row r="12" spans="1:5" x14ac:dyDescent="0.35">
      <c r="A12" t="s">
        <v>89</v>
      </c>
      <c r="B12" s="17">
        <f>ROUND('Calculate Capacity'!B49,0)</f>
        <v>314</v>
      </c>
      <c r="C12" s="17">
        <f>ROUND('Calculate Capacity'!C49,0)</f>
        <v>270</v>
      </c>
      <c r="D12" s="17">
        <f>ROUND('Calculate Capacity'!D49,0)</f>
        <v>206</v>
      </c>
      <c r="E12" s="17">
        <f>ROUND('Calculate Capacity'!E49,0)</f>
        <v>281</v>
      </c>
    </row>
    <row r="13" spans="1:5" x14ac:dyDescent="0.35">
      <c r="A13" t="s">
        <v>90</v>
      </c>
      <c r="B13" s="17">
        <f>ROUND('Calculate Capacity'!B50,0)</f>
        <v>281</v>
      </c>
      <c r="C13" s="17">
        <f>ROUND('Calculate Capacity'!C50,0)</f>
        <v>220</v>
      </c>
      <c r="D13" s="17">
        <f>ROUND('Calculate Capacity'!D50,0)</f>
        <v>258</v>
      </c>
      <c r="E13" s="17">
        <f>ROUND('Calculate Capacity'!E50,0)</f>
        <v>308</v>
      </c>
    </row>
    <row r="14" spans="1:5" x14ac:dyDescent="0.35">
      <c r="A14" t="s">
        <v>91</v>
      </c>
      <c r="B14" s="17">
        <f>ROUND('Calculate Capacity'!B51,0)</f>
        <v>465</v>
      </c>
      <c r="C14" s="17">
        <f>ROUND('Calculate Capacity'!C51,0)</f>
        <v>395</v>
      </c>
      <c r="D14" s="17">
        <f>ROUND('Calculate Capacity'!D51,0)</f>
        <v>283</v>
      </c>
      <c r="E14" s="17">
        <f>ROUND('Calculate Capacity'!E51,0)</f>
        <v>335</v>
      </c>
    </row>
    <row r="15" spans="1:5" x14ac:dyDescent="0.35">
      <c r="A15" t="s">
        <v>92</v>
      </c>
      <c r="B15" s="17">
        <f>ROUND('Calculate Capacity'!B52,0)</f>
        <v>339</v>
      </c>
      <c r="C15" s="17">
        <f>ROUND('Calculate Capacity'!C52,0)</f>
        <v>333</v>
      </c>
      <c r="D15" s="17">
        <f>ROUND('Calculate Capacity'!D52,0)</f>
        <v>272</v>
      </c>
      <c r="E15" s="17">
        <f>ROUND('Calculate Capacity'!E52,0)</f>
        <v>303</v>
      </c>
    </row>
    <row r="16" spans="1:5" x14ac:dyDescent="0.35">
      <c r="A16" t="s">
        <v>93</v>
      </c>
      <c r="B16" s="17">
        <f>ROUND('Calculate Capacity'!B53,0)</f>
        <v>386</v>
      </c>
      <c r="C16" s="17">
        <f>ROUND('Calculate Capacity'!C53,0)</f>
        <v>338</v>
      </c>
      <c r="D16" s="17">
        <f>ROUND('Calculate Capacity'!D53,0)</f>
        <v>275</v>
      </c>
      <c r="E16" s="17">
        <f>ROUND('Calculate Capacity'!E53,0)</f>
        <v>319</v>
      </c>
    </row>
    <row r="17" spans="1:5" x14ac:dyDescent="0.35">
      <c r="A17" t="s">
        <v>94</v>
      </c>
      <c r="B17" s="17">
        <f>ROUND('Calculate Capacity'!B54,0)</f>
        <v>345</v>
      </c>
      <c r="C17" s="17">
        <f>ROUND('Calculate Capacity'!C54,0)</f>
        <v>276</v>
      </c>
      <c r="D17" s="17">
        <f>ROUND('Calculate Capacity'!D54,0)</f>
        <v>343</v>
      </c>
      <c r="E17" s="17">
        <f>ROUND('Calculate Capacity'!E54,0)</f>
        <v>350</v>
      </c>
    </row>
    <row r="18" spans="1:5" x14ac:dyDescent="0.35">
      <c r="A18" t="s">
        <v>95</v>
      </c>
      <c r="B18" s="17">
        <f>ROUND('Calculate Capacity'!B55,0)</f>
        <v>660</v>
      </c>
      <c r="C18" s="17">
        <f>ROUND('Calculate Capacity'!C55,0)</f>
        <v>566</v>
      </c>
      <c r="D18" s="17">
        <f>ROUND('Calculate Capacity'!D55,0)</f>
        <v>424</v>
      </c>
      <c r="E18" s="17">
        <f>ROUND('Calculate Capacity'!E55,0)</f>
        <v>479</v>
      </c>
    </row>
    <row r="19" spans="1:5" x14ac:dyDescent="0.35">
      <c r="A19" t="s">
        <v>96</v>
      </c>
      <c r="B19" s="17">
        <f>ROUND('Calculate Capacity'!B56,0)</f>
        <v>482</v>
      </c>
      <c r="C19" s="17">
        <f>ROUND('Calculate Capacity'!C56,0)</f>
        <v>477</v>
      </c>
      <c r="D19" s="17">
        <f>ROUND('Calculate Capacity'!D56,0)</f>
        <v>407</v>
      </c>
      <c r="E19" s="17">
        <f>ROUND('Calculate Capacity'!E56,0)</f>
        <v>433</v>
      </c>
    </row>
    <row r="20" spans="1:5" x14ac:dyDescent="0.35">
      <c r="A20" t="s">
        <v>97</v>
      </c>
      <c r="B20" s="17">
        <f>ROUND('Calculate Capacity'!B57,0)</f>
        <v>549</v>
      </c>
      <c r="C20" s="17">
        <f>ROUND('Calculate Capacity'!C57,0)</f>
        <v>484</v>
      </c>
      <c r="D20" s="17">
        <f>ROUND('Calculate Capacity'!D57,0)</f>
        <v>411</v>
      </c>
      <c r="E20" s="17">
        <f>ROUND('Calculate Capacity'!E57,0)</f>
        <v>456</v>
      </c>
    </row>
    <row r="21" spans="1:5" x14ac:dyDescent="0.35">
      <c r="A21" t="s">
        <v>98</v>
      </c>
      <c r="B21" s="17">
        <f>ROUND('Calculate Capacity'!B58,0)</f>
        <v>490</v>
      </c>
      <c r="C21" s="17">
        <f>ROUND('Calculate Capacity'!C58,0)</f>
        <v>395</v>
      </c>
      <c r="D21" s="17">
        <f>ROUND('Calculate Capacity'!D58,0)</f>
        <v>514</v>
      </c>
      <c r="E21" s="17">
        <f>ROUND('Calculate Capacity'!E58,0)</f>
        <v>501</v>
      </c>
    </row>
    <row r="22" spans="1:5" x14ac:dyDescent="0.35">
      <c r="A22" t="s">
        <v>99</v>
      </c>
      <c r="B22" s="17">
        <f>ROUND('Calculate Capacity'!B59,0)</f>
        <v>712</v>
      </c>
      <c r="C22" s="17">
        <f>ROUND('Calculate Capacity'!C59,0)</f>
        <v>642</v>
      </c>
      <c r="D22" s="17">
        <f>ROUND('Calculate Capacity'!D59,0)</f>
        <v>463</v>
      </c>
      <c r="E22" s="17">
        <f>ROUND('Calculate Capacity'!E59,0)</f>
        <v>523</v>
      </c>
    </row>
    <row r="23" spans="1:5" x14ac:dyDescent="0.35">
      <c r="A23" t="s">
        <v>100</v>
      </c>
      <c r="B23" s="17">
        <f>ROUND('Calculate Capacity'!B60,0)</f>
        <v>520</v>
      </c>
      <c r="C23" s="17">
        <f>ROUND('Calculate Capacity'!C60,0)</f>
        <v>541</v>
      </c>
      <c r="D23" s="17">
        <f>ROUND('Calculate Capacity'!D60,0)</f>
        <v>446</v>
      </c>
      <c r="E23" s="17">
        <f>ROUND('Calculate Capacity'!E60,0)</f>
        <v>473</v>
      </c>
    </row>
    <row r="24" spans="1:5" x14ac:dyDescent="0.35">
      <c r="A24" t="s">
        <v>101</v>
      </c>
      <c r="B24" s="17">
        <f>ROUND('Calculate Capacity'!B61,0)</f>
        <v>592</v>
      </c>
      <c r="C24" s="17">
        <f>ROUND('Calculate Capacity'!C61,0)</f>
        <v>549</v>
      </c>
      <c r="D24" s="17">
        <f>ROUND('Calculate Capacity'!D61,0)</f>
        <v>450</v>
      </c>
      <c r="E24" s="17">
        <f>ROUND('Calculate Capacity'!E61,0)</f>
        <v>498</v>
      </c>
    </row>
    <row r="25" spans="1:5" x14ac:dyDescent="0.35">
      <c r="A25" t="s">
        <v>102</v>
      </c>
      <c r="B25" s="17">
        <f>ROUND('Calculate Capacity'!B62,0)</f>
        <v>529</v>
      </c>
      <c r="C25" s="17">
        <f>ROUND('Calculate Capacity'!C62,0)</f>
        <v>448</v>
      </c>
      <c r="D25" s="17">
        <f>ROUND('Calculate Capacity'!D62,0)</f>
        <v>562</v>
      </c>
      <c r="E25" s="17">
        <f>ROUND('Calculate Capacity'!E62,0)</f>
        <v>547</v>
      </c>
    </row>
    <row r="26" spans="1:5" x14ac:dyDescent="0.35">
      <c r="B26" s="17"/>
      <c r="C26" s="17"/>
      <c r="D26" s="17"/>
      <c r="E26" s="17"/>
    </row>
    <row r="27" spans="1:5" x14ac:dyDescent="0.35">
      <c r="B27" s="17"/>
      <c r="C27" s="17"/>
      <c r="D27" s="17"/>
      <c r="E27" s="17"/>
    </row>
    <row r="28" spans="1:5" x14ac:dyDescent="0.35">
      <c r="B28" s="17"/>
      <c r="C28" s="17"/>
      <c r="D28" s="17"/>
      <c r="E28" s="17"/>
    </row>
    <row r="29" spans="1:5" x14ac:dyDescent="0.35">
      <c r="B29" s="17"/>
      <c r="C29" s="17"/>
      <c r="D29" s="17"/>
      <c r="E29" s="17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7DE40-0831-4376-AE52-416A2814A619}">
  <dimension ref="A1:E29"/>
  <sheetViews>
    <sheetView workbookViewId="0">
      <selection activeCell="I17" sqref="I17"/>
    </sheetView>
  </sheetViews>
  <sheetFormatPr defaultRowHeight="14.5" x14ac:dyDescent="0.35"/>
  <sheetData>
    <row r="1" spans="1:5" x14ac:dyDescent="0.35">
      <c r="B1" t="s">
        <v>22</v>
      </c>
      <c r="C1" t="s">
        <v>23</v>
      </c>
      <c r="D1" t="s">
        <v>24</v>
      </c>
      <c r="E1" t="s">
        <v>25</v>
      </c>
    </row>
    <row r="2" spans="1:5" x14ac:dyDescent="0.35">
      <c r="A2" t="s">
        <v>38</v>
      </c>
      <c r="B2" s="17">
        <f>ROUND('Calculate FOA per Day'!B11,0)</f>
        <v>7</v>
      </c>
      <c r="C2" s="17">
        <f>ROUND('Calculate FOA per Day'!C11,0)</f>
        <v>6</v>
      </c>
      <c r="D2" s="17">
        <f>ROUND('Calculate FOA per Day'!D11,0)</f>
        <v>6</v>
      </c>
      <c r="E2" s="17">
        <f>ROUND('Calculate FOA per Day'!E11,0)</f>
        <v>7</v>
      </c>
    </row>
    <row r="3" spans="1:5" x14ac:dyDescent="0.35">
      <c r="A3" t="s">
        <v>39</v>
      </c>
      <c r="B3" s="17">
        <f>ROUND('Calculate FOA per Day'!B12,0)</f>
        <v>6</v>
      </c>
      <c r="C3" s="17">
        <f>ROUND('Calculate FOA per Day'!C12,0)</f>
        <v>6</v>
      </c>
      <c r="D3" s="17">
        <f>ROUND('Calculate FOA per Day'!D12,0)</f>
        <v>7</v>
      </c>
      <c r="E3" s="17">
        <f>ROUND('Calculate FOA per Day'!E12,0)</f>
        <v>7</v>
      </c>
    </row>
    <row r="4" spans="1:5" x14ac:dyDescent="0.35">
      <c r="A4" t="s">
        <v>40</v>
      </c>
      <c r="B4" s="17">
        <f>ROUND('Calculate FOA per Day'!B13,0)</f>
        <v>5</v>
      </c>
      <c r="C4" s="17">
        <f>ROUND('Calculate FOA per Day'!C13,0)</f>
        <v>5</v>
      </c>
      <c r="D4" s="17">
        <f>ROUND('Calculate FOA per Day'!D13,0)</f>
        <v>5</v>
      </c>
      <c r="E4" s="17">
        <f>ROUND('Calculate FOA per Day'!E13,0)</f>
        <v>6</v>
      </c>
    </row>
    <row r="5" spans="1:5" x14ac:dyDescent="0.35">
      <c r="A5" t="s">
        <v>41</v>
      </c>
      <c r="B5" s="17">
        <f>ROUND('Calculate FOA per Day'!B14,0)</f>
        <v>5</v>
      </c>
      <c r="C5" s="17">
        <f>ROUND('Calculate FOA per Day'!C14,0)</f>
        <v>4</v>
      </c>
      <c r="D5" s="17">
        <f>ROUND('Calculate FOA per Day'!D14,0)</f>
        <v>7</v>
      </c>
      <c r="E5" s="17">
        <f>ROUND('Calculate FOA per Day'!E14,0)</f>
        <v>7</v>
      </c>
    </row>
    <row r="6" spans="1:5" x14ac:dyDescent="0.35">
      <c r="A6" t="s">
        <v>83</v>
      </c>
      <c r="B6" s="17">
        <f>ROUND('Calculate FOA per Day'!B15,0)</f>
        <v>9</v>
      </c>
      <c r="C6" s="17">
        <f>ROUND('Calculate FOA per Day'!C15,0)</f>
        <v>8</v>
      </c>
      <c r="D6" s="17">
        <f>ROUND('Calculate FOA per Day'!D15,0)</f>
        <v>8</v>
      </c>
      <c r="E6" s="17">
        <f>ROUND('Calculate FOA per Day'!E15,0)</f>
        <v>9</v>
      </c>
    </row>
    <row r="7" spans="1:5" x14ac:dyDescent="0.35">
      <c r="A7" t="s">
        <v>84</v>
      </c>
      <c r="B7" s="17">
        <f>ROUND('Calculate FOA per Day'!B16,0)</f>
        <v>7</v>
      </c>
      <c r="C7" s="17">
        <f>ROUND('Calculate FOA per Day'!C16,0)</f>
        <v>8</v>
      </c>
      <c r="D7" s="17">
        <f>ROUND('Calculate FOA per Day'!D16,0)</f>
        <v>9</v>
      </c>
      <c r="E7" s="17">
        <f>ROUND('Calculate FOA per Day'!E16,0)</f>
        <v>10</v>
      </c>
    </row>
    <row r="8" spans="1:5" x14ac:dyDescent="0.35">
      <c r="A8" t="s">
        <v>85</v>
      </c>
      <c r="B8" s="17">
        <f>ROUND('Calculate FOA per Day'!B17,0)</f>
        <v>7</v>
      </c>
      <c r="C8" s="17">
        <f>ROUND('Calculate FOA per Day'!C17,0)</f>
        <v>6</v>
      </c>
      <c r="D8" s="17">
        <f>ROUND('Calculate FOA per Day'!D17,0)</f>
        <v>7</v>
      </c>
      <c r="E8" s="17">
        <f>ROUND('Calculate FOA per Day'!E17,0)</f>
        <v>8</v>
      </c>
    </row>
    <row r="9" spans="1:5" x14ac:dyDescent="0.35">
      <c r="A9" t="s">
        <v>86</v>
      </c>
      <c r="B9" s="17">
        <f>ROUND('Calculate FOA per Day'!B18,0)</f>
        <v>6</v>
      </c>
      <c r="C9" s="17">
        <f>ROUND('Calculate FOA per Day'!C18,0)</f>
        <v>6</v>
      </c>
      <c r="D9" s="17">
        <f>ROUND('Calculate FOA per Day'!D18,0)</f>
        <v>9</v>
      </c>
      <c r="E9" s="17">
        <f>ROUND('Calculate FOA per Day'!E18,0)</f>
        <v>9</v>
      </c>
    </row>
    <row r="10" spans="1:5" x14ac:dyDescent="0.35">
      <c r="A10" t="s">
        <v>87</v>
      </c>
      <c r="B10" s="17">
        <f>ROUND('Calculate FOA per Day'!B19,0)</f>
        <v>9</v>
      </c>
      <c r="C10" s="17">
        <f>ROUND('Calculate FOA per Day'!C19,0)</f>
        <v>8</v>
      </c>
      <c r="D10" s="17">
        <f>ROUND('Calculate FOA per Day'!D19,0)</f>
        <v>8</v>
      </c>
      <c r="E10" s="17">
        <f>ROUND('Calculate FOA per Day'!E19,0)</f>
        <v>9</v>
      </c>
    </row>
    <row r="11" spans="1:5" x14ac:dyDescent="0.35">
      <c r="A11" t="s">
        <v>88</v>
      </c>
      <c r="B11" s="17">
        <f>ROUND('Calculate FOA per Day'!B20,0)</f>
        <v>8</v>
      </c>
      <c r="C11" s="17">
        <f>ROUND('Calculate FOA per Day'!C20,0)</f>
        <v>8</v>
      </c>
      <c r="D11" s="17">
        <f>ROUND('Calculate FOA per Day'!D20,0)</f>
        <v>9</v>
      </c>
      <c r="E11" s="17">
        <f>ROUND('Calculate FOA per Day'!E20,0)</f>
        <v>10</v>
      </c>
    </row>
    <row r="12" spans="1:5" x14ac:dyDescent="0.35">
      <c r="A12" t="s">
        <v>89</v>
      </c>
      <c r="B12" s="17">
        <f>ROUND('Calculate FOA per Day'!B21,0)</f>
        <v>7</v>
      </c>
      <c r="C12" s="17">
        <f>ROUND('Calculate FOA per Day'!C21,0)</f>
        <v>6</v>
      </c>
      <c r="D12" s="17">
        <f>ROUND('Calculate FOA per Day'!D21,0)</f>
        <v>7</v>
      </c>
      <c r="E12" s="17">
        <f>ROUND('Calculate FOA per Day'!E21,0)</f>
        <v>8</v>
      </c>
    </row>
    <row r="13" spans="1:5" x14ac:dyDescent="0.35">
      <c r="A13" t="s">
        <v>90</v>
      </c>
      <c r="B13" s="17">
        <f>ROUND('Calculate FOA per Day'!B22,0)</f>
        <v>6</v>
      </c>
      <c r="C13" s="17">
        <f>ROUND('Calculate FOA per Day'!C22,0)</f>
        <v>6</v>
      </c>
      <c r="D13" s="17">
        <f>ROUND('Calculate FOA per Day'!D22,0)</f>
        <v>9</v>
      </c>
      <c r="E13" s="17">
        <f>ROUND('Calculate FOA per Day'!E22,0)</f>
        <v>9</v>
      </c>
    </row>
    <row r="14" spans="1:5" x14ac:dyDescent="0.35">
      <c r="A14" t="s">
        <v>91</v>
      </c>
      <c r="B14" s="17">
        <f>ROUND('Calculate FOA per Day'!B23,0)</f>
        <v>11</v>
      </c>
      <c r="C14" s="17">
        <f>ROUND('Calculate FOA per Day'!C23,0)</f>
        <v>10</v>
      </c>
      <c r="D14" s="17">
        <f>ROUND('Calculate FOA per Day'!D23,0)</f>
        <v>10</v>
      </c>
      <c r="E14" s="17">
        <f>ROUND('Calculate FOA per Day'!E23,0)</f>
        <v>11</v>
      </c>
    </row>
    <row r="15" spans="1:5" x14ac:dyDescent="0.35">
      <c r="A15" t="s">
        <v>92</v>
      </c>
      <c r="B15" s="17">
        <f>ROUND('Calculate FOA per Day'!B24,0)</f>
        <v>9</v>
      </c>
      <c r="C15" s="17">
        <f>ROUND('Calculate FOA per Day'!C24,0)</f>
        <v>10</v>
      </c>
      <c r="D15" s="17">
        <f>ROUND('Calculate FOA per Day'!D24,0)</f>
        <v>11</v>
      </c>
      <c r="E15" s="17">
        <f>ROUND('Calculate FOA per Day'!E24,0)</f>
        <v>12</v>
      </c>
    </row>
    <row r="16" spans="1:5" x14ac:dyDescent="0.35">
      <c r="A16" t="s">
        <v>93</v>
      </c>
      <c r="B16" s="17">
        <f>ROUND('Calculate FOA per Day'!B25,0)</f>
        <v>9</v>
      </c>
      <c r="C16" s="17">
        <f>ROUND('Calculate FOA per Day'!C25,0)</f>
        <v>8</v>
      </c>
      <c r="D16" s="17">
        <f>ROUND('Calculate FOA per Day'!D25,0)</f>
        <v>9</v>
      </c>
      <c r="E16" s="17">
        <f>ROUND('Calculate FOA per Day'!E25,0)</f>
        <v>10</v>
      </c>
    </row>
    <row r="17" spans="1:5" x14ac:dyDescent="0.35">
      <c r="A17" t="s">
        <v>94</v>
      </c>
      <c r="B17" s="17">
        <f>ROUND('Calculate FOA per Day'!B26,0)</f>
        <v>8</v>
      </c>
      <c r="C17" s="17">
        <f>ROUND('Calculate FOA per Day'!C26,0)</f>
        <v>7</v>
      </c>
      <c r="D17" s="17">
        <f>ROUND('Calculate FOA per Day'!D26,0)</f>
        <v>11</v>
      </c>
      <c r="E17" s="17">
        <f>ROUND('Calculate FOA per Day'!E26,0)</f>
        <v>12</v>
      </c>
    </row>
    <row r="18" spans="1:5" x14ac:dyDescent="0.35">
      <c r="A18" t="s">
        <v>95</v>
      </c>
      <c r="B18" s="17">
        <f>ROUND('Calculate FOA per Day'!B27,0)</f>
        <v>15</v>
      </c>
      <c r="C18" s="17">
        <f>ROUND('Calculate FOA per Day'!C27,0)</f>
        <v>14</v>
      </c>
      <c r="D18" s="17">
        <f>ROUND('Calculate FOA per Day'!D27,0)</f>
        <v>14</v>
      </c>
      <c r="E18" s="17">
        <f>ROUND('Calculate FOA per Day'!E27,0)</f>
        <v>16</v>
      </c>
    </row>
    <row r="19" spans="1:5" x14ac:dyDescent="0.35">
      <c r="A19" t="s">
        <v>96</v>
      </c>
      <c r="B19" s="17">
        <f>ROUND('Calculate FOA per Day'!B28,0)</f>
        <v>13</v>
      </c>
      <c r="C19" s="17">
        <f>ROUND('Calculate FOA per Day'!C28,0)</f>
        <v>14</v>
      </c>
      <c r="D19" s="17">
        <f>ROUND('Calculate FOA per Day'!D28,0)</f>
        <v>16</v>
      </c>
      <c r="E19" s="17">
        <f>ROUND('Calculate FOA per Day'!E28,0)</f>
        <v>18</v>
      </c>
    </row>
    <row r="20" spans="1:5" x14ac:dyDescent="0.35">
      <c r="A20" t="s">
        <v>97</v>
      </c>
      <c r="B20" s="17">
        <f>ROUND('Calculate FOA per Day'!B29,0)</f>
        <v>13</v>
      </c>
      <c r="C20" s="17">
        <f>ROUND('Calculate FOA per Day'!C29,0)</f>
        <v>11</v>
      </c>
      <c r="D20" s="17">
        <f>ROUND('Calculate FOA per Day'!D29,0)</f>
        <v>13</v>
      </c>
      <c r="E20" s="17">
        <f>ROUND('Calculate FOA per Day'!E29,0)</f>
        <v>15</v>
      </c>
    </row>
    <row r="21" spans="1:5" x14ac:dyDescent="0.35">
      <c r="A21" t="s">
        <v>98</v>
      </c>
      <c r="B21" s="17">
        <f>ROUND('Calculate FOA per Day'!B30,0)</f>
        <v>11</v>
      </c>
      <c r="C21" s="17">
        <f>ROUND('Calculate FOA per Day'!C30,0)</f>
        <v>10</v>
      </c>
      <c r="D21" s="17">
        <f>ROUND('Calculate FOA per Day'!D30,0)</f>
        <v>16</v>
      </c>
      <c r="E21" s="17">
        <f>ROUND('Calculate FOA per Day'!E30,0)</f>
        <v>17</v>
      </c>
    </row>
    <row r="22" spans="1:5" x14ac:dyDescent="0.35">
      <c r="A22" t="s">
        <v>99</v>
      </c>
      <c r="B22" s="17">
        <f>ROUND('Calculate FOA per Day'!B31,0)</f>
        <v>17</v>
      </c>
      <c r="C22" s="17">
        <f>ROUND('Calculate FOA per Day'!C31,0)</f>
        <v>15</v>
      </c>
      <c r="D22" s="17">
        <f>ROUND('Calculate FOA per Day'!D31,0)</f>
        <v>15</v>
      </c>
      <c r="E22" s="17">
        <f>ROUND('Calculate FOA per Day'!E31,0)</f>
        <v>18</v>
      </c>
    </row>
    <row r="23" spans="1:5" x14ac:dyDescent="0.35">
      <c r="A23" t="s">
        <v>100</v>
      </c>
      <c r="B23" s="17">
        <f>ROUND('Calculate FOA per Day'!B32,0)</f>
        <v>15</v>
      </c>
      <c r="C23" s="17">
        <f>ROUND('Calculate FOA per Day'!C32,0)</f>
        <v>16</v>
      </c>
      <c r="D23" s="17">
        <f>ROUND('Calculate FOA per Day'!D32,0)</f>
        <v>18</v>
      </c>
      <c r="E23" s="17">
        <f>ROUND('Calculate FOA per Day'!E32,0)</f>
        <v>20</v>
      </c>
    </row>
    <row r="24" spans="1:5" x14ac:dyDescent="0.35">
      <c r="A24" t="s">
        <v>101</v>
      </c>
      <c r="B24" s="17">
        <f>ROUND('Calculate FOA per Day'!B33,0)</f>
        <v>14</v>
      </c>
      <c r="C24" s="17">
        <f>ROUND('Calculate FOA per Day'!C33,0)</f>
        <v>13</v>
      </c>
      <c r="D24" s="17">
        <f>ROUND('Calculate FOA per Day'!D33,0)</f>
        <v>14</v>
      </c>
      <c r="E24" s="17">
        <f>ROUND('Calculate FOA per Day'!E33,0)</f>
        <v>16</v>
      </c>
    </row>
    <row r="25" spans="1:5" x14ac:dyDescent="0.35">
      <c r="A25" t="s">
        <v>102</v>
      </c>
      <c r="B25" s="17">
        <f>ROUND('Calculate FOA per Day'!B34,0)</f>
        <v>12</v>
      </c>
      <c r="C25" s="17">
        <f>ROUND('Calculate FOA per Day'!C34,0)</f>
        <v>11</v>
      </c>
      <c r="D25" s="17">
        <f>ROUND('Calculate FOA per Day'!D34,0)</f>
        <v>18</v>
      </c>
      <c r="E25" s="17">
        <f>ROUND('Calculate FOA per Day'!E34,0)</f>
        <v>18</v>
      </c>
    </row>
    <row r="26" spans="1:5" x14ac:dyDescent="0.35">
      <c r="B26" s="17"/>
      <c r="C26" s="17"/>
      <c r="D26" s="17"/>
      <c r="E26" s="17"/>
    </row>
    <row r="27" spans="1:5" x14ac:dyDescent="0.35">
      <c r="B27" s="17"/>
      <c r="C27" s="17"/>
      <c r="D27" s="17"/>
      <c r="E27" s="17"/>
    </row>
    <row r="28" spans="1:5" x14ac:dyDescent="0.35">
      <c r="B28" s="17"/>
      <c r="C28" s="17"/>
      <c r="D28" s="17"/>
      <c r="E28" s="17"/>
    </row>
    <row r="29" spans="1:5" x14ac:dyDescent="0.35">
      <c r="B29" s="17"/>
      <c r="C29" s="17"/>
      <c r="D29" s="17"/>
      <c r="E29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Point System</vt:lpstr>
      <vt:lpstr>Capacity Fig by Celine</vt:lpstr>
      <vt:lpstr>Qc</vt:lpstr>
      <vt:lpstr>Calculate Capacity</vt:lpstr>
      <vt:lpstr>Calculate FOA per Day</vt:lpstr>
      <vt:lpstr>Python-Cap</vt:lpstr>
      <vt:lpstr>Python-FOA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Yi ONG (IPOS)</dc:creator>
  <cp:lastModifiedBy>Wei Yi ONG (IPOS)</cp:lastModifiedBy>
  <dcterms:created xsi:type="dcterms:W3CDTF">2015-06-05T18:17:20Z</dcterms:created>
  <dcterms:modified xsi:type="dcterms:W3CDTF">2025-05-26T03:01:48Z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70f46e1-5fba-47ae-991f-a0785d9c0dac_Enabled">
    <vt:lpwstr>true</vt:lpwstr>
  </property>
  <property fmtid="{D5CDD505-2E9C-101B-9397-08002B2CF9AE}" pid="3" name="MSIP_Label_770f46e1-5fba-47ae-991f-a0785d9c0dac_SetDate">
    <vt:lpwstr>2023-11-06T09:50:42Z</vt:lpwstr>
  </property>
  <property fmtid="{D5CDD505-2E9C-101B-9397-08002B2CF9AE}" pid="4" name="MSIP_Label_770f46e1-5fba-47ae-991f-a0785d9c0dac_Method">
    <vt:lpwstr>Privileged</vt:lpwstr>
  </property>
  <property fmtid="{D5CDD505-2E9C-101B-9397-08002B2CF9AE}" pid="5" name="MSIP_Label_770f46e1-5fba-47ae-991f-a0785d9c0dac_Name">
    <vt:lpwstr>Sensitive Normal_1</vt:lpwstr>
  </property>
  <property fmtid="{D5CDD505-2E9C-101B-9397-08002B2CF9AE}" pid="6" name="MSIP_Label_770f46e1-5fba-47ae-991f-a0785d9c0dac_SiteId">
    <vt:lpwstr>0b11c524-9a1c-4e1b-84cb-6336aefc2243</vt:lpwstr>
  </property>
  <property fmtid="{D5CDD505-2E9C-101B-9397-08002B2CF9AE}" pid="7" name="MSIP_Label_770f46e1-5fba-47ae-991f-a0785d9c0dac_ActionId">
    <vt:lpwstr>ac5ae23f-fd01-407b-9f19-165230fa2c72</vt:lpwstr>
  </property>
  <property fmtid="{D5CDD505-2E9C-101B-9397-08002B2CF9AE}" pid="8" name="MSIP_Label_770f46e1-5fba-47ae-991f-a0785d9c0dac_ContentBits">
    <vt:lpwstr>0</vt:lpwstr>
  </property>
</Properties>
</file>