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Z:\Gestione\Antonella\2024\natale2024\"/>
    </mc:Choice>
  </mc:AlternateContent>
  <xr:revisionPtr revIDLastSave="0" documentId="13_ncr:1_{4025C3A7-15E3-4A94-AB71-BC5E7BAC23E6}" xr6:coauthVersionLast="47" xr6:coauthVersionMax="47" xr10:uidLastSave="{00000000-0000-0000-0000-000000000000}"/>
  <bookViews>
    <workbookView xWindow="-108" yWindow="-108" windowWidth="30936" windowHeight="16896" tabRatio="601" firstSheet="1" activeTab="2" xr2:uid="{00000000-000D-0000-FFFF-FFFF00000000}"/>
  </bookViews>
  <sheets>
    <sheet name="LUGLIO" sheetId="24" r:id="rId1"/>
    <sheet name="AGOSTO" sheetId="25" r:id="rId2"/>
    <sheet name="SETTEMBRE" sheetId="26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S440" i="26" l="1"/>
  <c r="SQ440" i="26"/>
  <c r="SQ406" i="26"/>
  <c r="SQ88" i="26"/>
  <c r="SO571" i="26"/>
  <c r="SO440" i="26"/>
  <c r="SK220" i="26"/>
  <c r="SK582" i="26"/>
  <c r="SK574" i="26"/>
  <c r="SI574" i="26"/>
  <c r="SG574" i="26"/>
  <c r="SG212" i="26"/>
  <c r="SE213" i="26"/>
  <c r="SE212" i="26"/>
  <c r="SC213" i="26"/>
  <c r="SC211" i="26"/>
  <c r="RW211" i="26"/>
  <c r="RU211" i="26"/>
  <c r="RS213" i="26"/>
  <c r="RE220" i="26"/>
  <c r="RQ212" i="26"/>
  <c r="RO211" i="26"/>
  <c r="RE212" i="26"/>
  <c r="RC573" i="26"/>
  <c r="RC212" i="26"/>
  <c r="RC574" i="26"/>
  <c r="RA220" i="26"/>
  <c r="RA574" i="26"/>
  <c r="QW574" i="26"/>
  <c r="QU572" i="26"/>
  <c r="QR571" i="26"/>
  <c r="QS570" i="26"/>
  <c r="QS572" i="26"/>
  <c r="QS571" i="26"/>
  <c r="QO211" i="26"/>
  <c r="QO212" i="26"/>
  <c r="QM211" i="26"/>
  <c r="QI289" i="26"/>
  <c r="QG211" i="26"/>
  <c r="QE582" i="26"/>
  <c r="QE574" i="26"/>
  <c r="QE220" i="26"/>
  <c r="QC220" i="26"/>
  <c r="QC574" i="26"/>
  <c r="QA220" i="26"/>
  <c r="QA366" i="26"/>
  <c r="QA572" i="26"/>
  <c r="PY573" i="26"/>
  <c r="PY571" i="26"/>
  <c r="PU366" i="26"/>
  <c r="PS366" i="26"/>
  <c r="PS289" i="26"/>
  <c r="PS582" i="26"/>
  <c r="PS572" i="26"/>
  <c r="PQ374" i="26"/>
  <c r="PQ212" i="26"/>
  <c r="PO211" i="26"/>
  <c r="PE289" i="26"/>
  <c r="PK573" i="26"/>
  <c r="PE220" i="26"/>
  <c r="PE374" i="26"/>
  <c r="PA374" i="26"/>
  <c r="PA298" i="26"/>
  <c r="PA296" i="26"/>
  <c r="PA294" i="26"/>
  <c r="OY574" i="26"/>
  <c r="OM293" i="26"/>
  <c r="OM574" i="26"/>
  <c r="OK293" i="26"/>
  <c r="OI299" i="26"/>
  <c r="OI292" i="26"/>
  <c r="OI300" i="26"/>
  <c r="OI574" i="26"/>
  <c r="OE582" i="26"/>
  <c r="OE302" i="26"/>
  <c r="OC211" i="26"/>
  <c r="OC295" i="26"/>
  <c r="OC570" i="26"/>
  <c r="OA394" i="26"/>
  <c r="OA393" i="26"/>
  <c r="OA212" i="26"/>
  <c r="NY213" i="26"/>
  <c r="NW570" i="26"/>
  <c r="NU396" i="26"/>
  <c r="NU220" i="26"/>
  <c r="NU570" i="26"/>
  <c r="NQ220" i="26"/>
  <c r="NO211" i="26"/>
  <c r="NO573" i="26"/>
  <c r="NO582" i="26"/>
  <c r="NM570" i="26"/>
  <c r="NL299" i="26"/>
  <c r="NK299" i="26"/>
  <c r="NI294" i="26"/>
  <c r="NG297" i="26"/>
  <c r="NG295" i="26"/>
  <c r="NG293" i="26"/>
  <c r="NC293" i="26"/>
  <c r="NA289" i="26"/>
  <c r="MW220" i="26"/>
  <c r="MW571" i="26"/>
  <c r="MU582" i="26"/>
  <c r="MS571" i="26"/>
  <c r="MO220" i="26"/>
  <c r="MO212" i="26"/>
  <c r="MO213" i="26"/>
  <c r="MG374" i="26"/>
  <c r="ME571" i="26"/>
  <c r="MA368" i="26"/>
  <c r="MA220" i="26"/>
  <c r="LU438" i="26"/>
  <c r="LS438" i="26"/>
  <c r="LS212" i="26"/>
  <c r="LQ220" i="26"/>
  <c r="LM365" i="26"/>
  <c r="LI357" i="26"/>
  <c r="LI310" i="26"/>
  <c r="LG361" i="26"/>
  <c r="LG359" i="26"/>
  <c r="LG366" i="26"/>
  <c r="LE358" i="26"/>
  <c r="LE309" i="26"/>
  <c r="LE308" i="26"/>
  <c r="LE582" i="26"/>
  <c r="LE304" i="26"/>
  <c r="LC187" i="26"/>
  <c r="LC374" i="26"/>
  <c r="LC188" i="26"/>
  <c r="KY374" i="26"/>
  <c r="KY366" i="26"/>
  <c r="KU366" i="26"/>
  <c r="KS609" i="26"/>
  <c r="KR211" i="26"/>
  <c r="KR213" i="26"/>
  <c r="KQ213" i="26"/>
  <c r="KK211" i="26"/>
  <c r="KI289" i="26"/>
  <c r="KI211" i="26"/>
  <c r="KG289" i="26"/>
  <c r="KG212" i="26"/>
  <c r="KE373" i="26"/>
  <c r="KE374" i="26"/>
  <c r="KC374" i="26"/>
  <c r="JU582" i="26"/>
  <c r="JS582" i="26"/>
  <c r="JQ582" i="26"/>
  <c r="JQ88" i="26"/>
  <c r="JO609" i="26"/>
  <c r="JG289" i="26"/>
  <c r="JE289" i="26"/>
  <c r="JE220" i="26"/>
  <c r="JC220" i="26"/>
  <c r="JA220" i="26"/>
  <c r="TH609" i="26"/>
  <c r="TG609" i="26"/>
  <c r="TH608" i="26"/>
  <c r="TG608" i="26"/>
  <c r="JA212" i="26"/>
  <c r="IU212" i="26"/>
  <c r="IQ187" i="26"/>
  <c r="IQ188" i="26"/>
  <c r="IQ396" i="26"/>
  <c r="IQ182" i="26"/>
  <c r="IQ181" i="26"/>
  <c r="IK212" i="26"/>
  <c r="HT35" i="26"/>
  <c r="HT36" i="26"/>
  <c r="HP28" i="26"/>
  <c r="HO211" i="26"/>
  <c r="HO574" i="26"/>
  <c r="HM574" i="26"/>
  <c r="HM295" i="26"/>
  <c r="HM297" i="26"/>
  <c r="HL24" i="26"/>
  <c r="HL68" i="26"/>
  <c r="HL60" i="26"/>
  <c r="HL59" i="26"/>
  <c r="HL85" i="26"/>
  <c r="HL83" i="26"/>
  <c r="HL77" i="26"/>
  <c r="HL46" i="26"/>
  <c r="HL26" i="26"/>
  <c r="HL20" i="26"/>
  <c r="HL31" i="26"/>
  <c r="HL19" i="26"/>
  <c r="HL18" i="26"/>
  <c r="HL17" i="26"/>
  <c r="HL23" i="26"/>
  <c r="HL21" i="26"/>
  <c r="HL150" i="26"/>
  <c r="HL50" i="26"/>
  <c r="HL45" i="26"/>
  <c r="HL51" i="26"/>
  <c r="HL44" i="26"/>
  <c r="HL53" i="26"/>
  <c r="HL112" i="26"/>
  <c r="HK295" i="26"/>
  <c r="HK289" i="26"/>
  <c r="HK294" i="26"/>
  <c r="HK572" i="26"/>
  <c r="HK292" i="26"/>
  <c r="HI220" i="26"/>
  <c r="HI292" i="26"/>
  <c r="HI300" i="26"/>
  <c r="HI573" i="26"/>
  <c r="HI301" i="26"/>
  <c r="HD528" i="26"/>
  <c r="HD277" i="26"/>
  <c r="HE396" i="26"/>
  <c r="HE220" i="26"/>
  <c r="HE212" i="26"/>
  <c r="HE293" i="26"/>
  <c r="HD79" i="26"/>
  <c r="HD46" i="26"/>
  <c r="HD203" i="26"/>
  <c r="HD207" i="26"/>
  <c r="HD140" i="26"/>
  <c r="HD152" i="26"/>
  <c r="HD150" i="26"/>
  <c r="HD12" i="26"/>
  <c r="HD45" i="26"/>
  <c r="HC73" i="26"/>
  <c r="HC289" i="26"/>
  <c r="HC302" i="26"/>
  <c r="HB83" i="26"/>
  <c r="HB111" i="26"/>
  <c r="HB81" i="26"/>
  <c r="HB46" i="26"/>
  <c r="HB84" i="26"/>
  <c r="HB47" i="26"/>
  <c r="HB28" i="26"/>
  <c r="HB85" i="26"/>
  <c r="HB112" i="26"/>
  <c r="HB21" i="26"/>
  <c r="HB17" i="26"/>
  <c r="HB27" i="26"/>
  <c r="HB20" i="26"/>
  <c r="HA289" i="26"/>
  <c r="GZ111" i="26"/>
  <c r="GZ46" i="26"/>
  <c r="GZ45" i="26"/>
  <c r="GZ84" i="26"/>
  <c r="GZ47" i="26"/>
  <c r="GZ28" i="26"/>
  <c r="GZ85" i="26"/>
  <c r="GZ112" i="26"/>
  <c r="GZ21" i="26"/>
  <c r="GZ60" i="26"/>
  <c r="GZ17" i="26"/>
  <c r="GZ27" i="26"/>
  <c r="GZ20" i="26"/>
  <c r="GY180" i="26"/>
  <c r="GY574" i="26"/>
  <c r="GY571" i="26"/>
  <c r="GW179" i="26"/>
  <c r="GW396" i="26"/>
  <c r="GW26" i="26"/>
  <c r="GW206" i="26"/>
  <c r="GW208" i="26"/>
  <c r="GW209" i="26"/>
  <c r="GW506" i="26"/>
  <c r="GU73" i="26"/>
  <c r="GQ73" i="26"/>
  <c r="GQ75" i="26"/>
  <c r="GQ366" i="26"/>
  <c r="GQ74" i="26"/>
  <c r="GQ573" i="26"/>
  <c r="GQ152" i="26"/>
  <c r="GO289" i="26"/>
  <c r="GO74" i="26"/>
  <c r="GO573" i="26"/>
  <c r="GO135" i="26"/>
  <c r="GO207" i="26"/>
  <c r="GO226" i="26"/>
  <c r="GN21" i="26"/>
  <c r="GM571" i="26"/>
  <c r="GM126" i="26"/>
  <c r="GL77" i="26"/>
  <c r="GL85" i="26"/>
  <c r="GL71" i="26"/>
  <c r="GL45" i="26"/>
  <c r="GL47" i="26"/>
  <c r="GL27" i="26"/>
  <c r="GL24" i="26"/>
  <c r="GL20" i="26"/>
  <c r="GL26" i="26"/>
  <c r="GL17" i="26"/>
  <c r="GK220" i="26"/>
  <c r="GK142" i="26"/>
  <c r="GK570" i="26"/>
  <c r="GD26" i="26"/>
  <c r="GD24" i="26"/>
  <c r="GG574" i="26"/>
  <c r="GG208" i="26"/>
  <c r="GC574" i="26"/>
  <c r="GC366" i="26"/>
  <c r="GC50" i="26"/>
  <c r="GC26" i="26"/>
  <c r="GC24" i="26"/>
  <c r="GB20" i="26"/>
  <c r="GB21" i="26"/>
  <c r="GB45" i="26"/>
  <c r="GB47" i="26"/>
  <c r="GB46" i="26"/>
  <c r="GB52" i="26"/>
  <c r="GA366" i="26"/>
  <c r="GA582" i="26"/>
  <c r="GA206" i="26"/>
  <c r="GA202" i="26"/>
  <c r="GA207" i="26"/>
  <c r="GA203" i="26"/>
  <c r="GA240" i="26"/>
  <c r="FZ83" i="26"/>
  <c r="FZ59" i="26"/>
  <c r="FZ20" i="26"/>
  <c r="FY374" i="26"/>
  <c r="FY59" i="26"/>
  <c r="FY496" i="26"/>
  <c r="FY126" i="26"/>
  <c r="FY208" i="26"/>
  <c r="FY224" i="26"/>
  <c r="FW74" i="26"/>
  <c r="FW126" i="26"/>
  <c r="FW67" i="26"/>
  <c r="FW20" i="26"/>
  <c r="FW573" i="26"/>
  <c r="FW572" i="26"/>
  <c r="FW570" i="26"/>
  <c r="FU220" i="26"/>
  <c r="FU128" i="26"/>
  <c r="FU572" i="26"/>
  <c r="FU137" i="26"/>
  <c r="FU136" i="26"/>
  <c r="FT20" i="26"/>
  <c r="FT17" i="26"/>
  <c r="FT51" i="26"/>
  <c r="FT112" i="26"/>
  <c r="FT50" i="26"/>
  <c r="FO233" i="26"/>
  <c r="FO229" i="26"/>
  <c r="FS137" i="26"/>
  <c r="FS168" i="26"/>
  <c r="FS570" i="26"/>
  <c r="FS46" i="26"/>
  <c r="FS574" i="26"/>
  <c r="FS571" i="26"/>
  <c r="FO142" i="26"/>
  <c r="FM74" i="26"/>
  <c r="FM571" i="26"/>
  <c r="FM148" i="26"/>
  <c r="FM242" i="26"/>
  <c r="FK577" i="26"/>
  <c r="FK48" i="26"/>
  <c r="FK236" i="26"/>
  <c r="FL60" i="26"/>
  <c r="FI229" i="26"/>
  <c r="FI233" i="26"/>
  <c r="FI74" i="26"/>
  <c r="FI232" i="26"/>
  <c r="FI228" i="26"/>
  <c r="FI213" i="26"/>
  <c r="FI212" i="26"/>
  <c r="DI212" i="26"/>
  <c r="FG230" i="26"/>
  <c r="FG105" i="26"/>
  <c r="FG88" i="26"/>
  <c r="FG19" i="26"/>
  <c r="FG511" i="26"/>
  <c r="FE105" i="26"/>
  <c r="FE398" i="26"/>
  <c r="FE513" i="26"/>
  <c r="FA220" i="26"/>
  <c r="FA398" i="26"/>
  <c r="FA524" i="26"/>
  <c r="FA510" i="26"/>
  <c r="EY512" i="26"/>
  <c r="EY45" i="26"/>
  <c r="EY61" i="26"/>
  <c r="EY398" i="26"/>
  <c r="EY222" i="26"/>
  <c r="EV45" i="26"/>
  <c r="ES63" i="26"/>
  <c r="EW289" i="26"/>
  <c r="EW276" i="26"/>
  <c r="EW35" i="26"/>
  <c r="EU289" i="26"/>
  <c r="EU367" i="26"/>
  <c r="EU371" i="26"/>
  <c r="EU60" i="26"/>
  <c r="EU267" i="26"/>
  <c r="EU606" i="26"/>
  <c r="D606" i="26" s="1"/>
  <c r="EU572" i="26"/>
  <c r="EU202" i="26"/>
  <c r="ET27" i="26"/>
  <c r="ET29" i="26"/>
  <c r="ET26" i="26"/>
  <c r="ET24" i="26"/>
  <c r="ET20" i="26"/>
  <c r="ET17" i="26"/>
  <c r="ES243" i="26"/>
  <c r="ES529" i="26"/>
  <c r="ES128" i="26"/>
  <c r="ES573" i="26"/>
  <c r="D607" i="26"/>
  <c r="D605" i="26"/>
  <c r="TG604" i="26"/>
  <c r="TH607" i="26"/>
  <c r="TG607" i="26"/>
  <c r="TH606" i="26"/>
  <c r="TG606" i="26"/>
  <c r="TH605" i="26"/>
  <c r="TG605" i="26"/>
  <c r="TH604" i="26"/>
  <c r="ET23" i="26"/>
  <c r="ET78" i="26"/>
  <c r="ET47" i="26"/>
  <c r="ET46" i="26"/>
  <c r="ET45" i="26"/>
  <c r="ET83" i="26"/>
  <c r="ET77" i="26"/>
  <c r="ET21" i="26"/>
  <c r="ET113" i="26"/>
  <c r="EQ75" i="26"/>
  <c r="EQ276" i="26"/>
  <c r="EQ73" i="26"/>
  <c r="EQ159" i="26"/>
  <c r="EO21" i="26"/>
  <c r="EQ254" i="26"/>
  <c r="EM128" i="26"/>
  <c r="EM159" i="26"/>
  <c r="EM523" i="26"/>
  <c r="EM47" i="26"/>
  <c r="EM63" i="26"/>
  <c r="EM574" i="26"/>
  <c r="EM64" i="26"/>
  <c r="EM20" i="26"/>
  <c r="EK81" i="26"/>
  <c r="EK83" i="26"/>
  <c r="EK85" i="26"/>
  <c r="EK369" i="26"/>
  <c r="EK368" i="26"/>
  <c r="EK365" i="26"/>
  <c r="EK363" i="26"/>
  <c r="EK357" i="26"/>
  <c r="EK358" i="26"/>
  <c r="EK21" i="26"/>
  <c r="EK20" i="26"/>
  <c r="EI78" i="26"/>
  <c r="EI371" i="26"/>
  <c r="EI577" i="26"/>
  <c r="EI90" i="26"/>
  <c r="EI24" i="26"/>
  <c r="EI22" i="26"/>
  <c r="EJ30" i="26"/>
  <c r="EJ31" i="26"/>
  <c r="EJ28" i="26"/>
  <c r="EJ27" i="26"/>
  <c r="EJ25" i="26"/>
  <c r="EJ26" i="26"/>
  <c r="EJ24" i="26"/>
  <c r="EJ20" i="26"/>
  <c r="EJ22" i="26"/>
  <c r="EJ17" i="26"/>
  <c r="EJ21" i="26"/>
  <c r="EJ23" i="26"/>
  <c r="EG529" i="26"/>
  <c r="EG90" i="26"/>
  <c r="EH23" i="26"/>
  <c r="EH25" i="26"/>
  <c r="EG64" i="26"/>
  <c r="EE90" i="26"/>
  <c r="EE374" i="26"/>
  <c r="EE220" i="26"/>
  <c r="EE599" i="26"/>
  <c r="EE18" i="26"/>
  <c r="EE51" i="26"/>
  <c r="EE50" i="26"/>
  <c r="EE570" i="26"/>
  <c r="EE600" i="26"/>
  <c r="EC365" i="26"/>
  <c r="EC292" i="26"/>
  <c r="EC359" i="26"/>
  <c r="EC135" i="26"/>
  <c r="EC297" i="26"/>
  <c r="EC600" i="26"/>
  <c r="EC570" i="26"/>
  <c r="EC141" i="26"/>
  <c r="EC298" i="26"/>
  <c r="EC597" i="26"/>
  <c r="EC57" i="26"/>
  <c r="DU596" i="26"/>
  <c r="DW276" i="26"/>
  <c r="DW366" i="26"/>
  <c r="DW302" i="26"/>
  <c r="DW88" i="26"/>
  <c r="DW271" i="26"/>
  <c r="DW135" i="26"/>
  <c r="DW299" i="26"/>
  <c r="DV24" i="26"/>
  <c r="TH603" i="26"/>
  <c r="TG603" i="26"/>
  <c r="C603" i="26"/>
  <c r="D603" i="26" s="1"/>
  <c r="TH602" i="26"/>
  <c r="TG602" i="26"/>
  <c r="C602" i="26"/>
  <c r="D602" i="26" s="1"/>
  <c r="TH601" i="26"/>
  <c r="TG601" i="26"/>
  <c r="TH600" i="26"/>
  <c r="TG600" i="26"/>
  <c r="C600" i="26"/>
  <c r="TH599" i="26"/>
  <c r="TG599" i="26"/>
  <c r="C599" i="26"/>
  <c r="TH598" i="26"/>
  <c r="TG598" i="26"/>
  <c r="DV81" i="26"/>
  <c r="DV79" i="26"/>
  <c r="DV80" i="26"/>
  <c r="DV77" i="26"/>
  <c r="DV85" i="26"/>
  <c r="DV83" i="26"/>
  <c r="DV70" i="26"/>
  <c r="DV69" i="26"/>
  <c r="DV68" i="26"/>
  <c r="DV67" i="26"/>
  <c r="DV66" i="26"/>
  <c r="DV113" i="26"/>
  <c r="DV111" i="26"/>
  <c r="DV63" i="26"/>
  <c r="DV61" i="26"/>
  <c r="DV59" i="26"/>
  <c r="DV57" i="26"/>
  <c r="DV56" i="26"/>
  <c r="DV52" i="26"/>
  <c r="DV47" i="26"/>
  <c r="DV45" i="26"/>
  <c r="DV44" i="26"/>
  <c r="DV48" i="26"/>
  <c r="DV30" i="26"/>
  <c r="DV31" i="26"/>
  <c r="DV28" i="26"/>
  <c r="DV27" i="26"/>
  <c r="DV25" i="26"/>
  <c r="DV26" i="26"/>
  <c r="DV20" i="26"/>
  <c r="DV22" i="26"/>
  <c r="DV17" i="26"/>
  <c r="DV16" i="26"/>
  <c r="DV21" i="26"/>
  <c r="DV23" i="26"/>
  <c r="DU360" i="26"/>
  <c r="DU74" i="26"/>
  <c r="DU300" i="26"/>
  <c r="DU128" i="26"/>
  <c r="DU209" i="26"/>
  <c r="DU211" i="26"/>
  <c r="DU597" i="26"/>
  <c r="DU571" i="26"/>
  <c r="DU293" i="26"/>
  <c r="TH597" i="26"/>
  <c r="TG597" i="26"/>
  <c r="C597" i="26"/>
  <c r="TH596" i="26"/>
  <c r="TG596" i="26"/>
  <c r="C596" i="26"/>
  <c r="TH595" i="26"/>
  <c r="TG595" i="26"/>
  <c r="TH594" i="26"/>
  <c r="TG594" i="26"/>
  <c r="C594" i="26"/>
  <c r="D594" i="26" s="1"/>
  <c r="TH593" i="26"/>
  <c r="TG593" i="26"/>
  <c r="C593" i="26"/>
  <c r="D593" i="26" s="1"/>
  <c r="TH592" i="26"/>
  <c r="TG592" i="26"/>
  <c r="DS220" i="26"/>
  <c r="DS128" i="26"/>
  <c r="DS27" i="26"/>
  <c r="DS296" i="26"/>
  <c r="DS354" i="26"/>
  <c r="DS20" i="26"/>
  <c r="DT226" i="26"/>
  <c r="DQ88" i="26"/>
  <c r="DQ87" i="26"/>
  <c r="DQ80" i="26"/>
  <c r="DQ159" i="26"/>
  <c r="DQ164" i="26"/>
  <c r="DQ148" i="26"/>
  <c r="DQ20" i="26"/>
  <c r="DP31" i="26"/>
  <c r="DP206" i="26"/>
  <c r="DO164" i="26"/>
  <c r="DO85" i="26"/>
  <c r="DO158" i="26"/>
  <c r="DO220" i="26"/>
  <c r="DO126" i="26"/>
  <c r="DO295" i="26"/>
  <c r="DO271" i="26"/>
  <c r="DO209" i="26"/>
  <c r="DO112" i="26"/>
  <c r="DO22" i="26"/>
  <c r="DO212" i="26"/>
  <c r="DK28" i="26"/>
  <c r="DK22" i="26"/>
  <c r="DK574" i="26"/>
  <c r="DK29" i="26"/>
  <c r="DK211" i="26"/>
  <c r="DK148" i="26"/>
  <c r="DL25" i="26"/>
  <c r="DL30" i="26"/>
  <c r="DL28" i="26"/>
  <c r="DL21" i="26"/>
  <c r="DI83" i="26"/>
  <c r="DI90" i="26"/>
  <c r="DI73" i="26"/>
  <c r="DI438" i="26"/>
  <c r="DI151" i="26"/>
  <c r="DI59" i="26"/>
  <c r="DI147" i="26"/>
  <c r="DI211" i="26"/>
  <c r="DG211" i="26"/>
  <c r="DG213" i="26"/>
  <c r="DG90" i="26"/>
  <c r="DG438" i="26"/>
  <c r="DG152" i="26"/>
  <c r="DG63" i="26"/>
  <c r="DG572" i="26"/>
  <c r="DE90" i="26"/>
  <c r="DE343" i="26"/>
  <c r="DE437" i="26"/>
  <c r="DE127" i="26"/>
  <c r="DE211" i="26"/>
  <c r="DF344" i="26"/>
  <c r="DE213" i="26"/>
  <c r="DE573" i="26"/>
  <c r="D584" i="26"/>
  <c r="D585" i="26"/>
  <c r="D586" i="26"/>
  <c r="D587" i="26"/>
  <c r="D588" i="26"/>
  <c r="D589" i="26"/>
  <c r="D590" i="26"/>
  <c r="D591" i="26"/>
  <c r="TG583" i="26"/>
  <c r="TH583" i="26"/>
  <c r="TG584" i="26"/>
  <c r="TH584" i="26"/>
  <c r="TG585" i="26"/>
  <c r="TH585" i="26"/>
  <c r="TG586" i="26"/>
  <c r="TH586" i="26"/>
  <c r="TG587" i="26"/>
  <c r="TH587" i="26"/>
  <c r="TG588" i="26"/>
  <c r="TH588" i="26"/>
  <c r="TG589" i="26"/>
  <c r="TH589" i="26"/>
  <c r="TG590" i="26"/>
  <c r="TH590" i="26"/>
  <c r="TG591" i="26"/>
  <c r="TH591" i="26"/>
  <c r="DC135" i="26"/>
  <c r="DC577" i="26"/>
  <c r="DC87" i="26"/>
  <c r="DC75" i="26"/>
  <c r="DC90" i="26"/>
  <c r="DC74" i="26"/>
  <c r="DC212" i="26"/>
  <c r="DC150" i="26"/>
  <c r="DC140" i="26"/>
  <c r="DC147" i="26"/>
  <c r="DC25" i="26"/>
  <c r="DC211" i="26"/>
  <c r="DA78" i="26"/>
  <c r="DA74" i="26"/>
  <c r="DA220" i="26"/>
  <c r="DA140" i="26"/>
  <c r="DA147" i="26"/>
  <c r="DA213" i="26"/>
  <c r="CX213" i="26"/>
  <c r="CX220" i="26"/>
  <c r="CW531" i="26"/>
  <c r="CW532" i="26"/>
  <c r="CW135" i="26"/>
  <c r="CW506" i="26"/>
  <c r="CU223" i="26"/>
  <c r="CU224" i="26"/>
  <c r="CU226" i="26"/>
  <c r="CU221" i="26"/>
  <c r="CU220" i="26"/>
  <c r="CU211" i="26"/>
  <c r="CU532" i="26"/>
  <c r="CU506" i="26"/>
  <c r="CU202" i="26"/>
  <c r="CU23" i="26"/>
  <c r="CU126" i="26"/>
  <c r="CU151" i="26"/>
  <c r="CU54" i="26"/>
  <c r="CS212" i="26"/>
  <c r="CS73" i="26"/>
  <c r="CS140" i="26"/>
  <c r="CS136" i="26"/>
  <c r="CS137" i="26"/>
  <c r="CS271" i="26"/>
  <c r="CS150" i="26"/>
  <c r="CS202" i="26"/>
  <c r="CS192" i="26"/>
  <c r="CS147" i="26"/>
  <c r="CS148" i="26"/>
  <c r="CQ582" i="26"/>
  <c r="CQ531" i="26"/>
  <c r="CQ141" i="26"/>
  <c r="CQ16" i="26"/>
  <c r="CQ45" i="26"/>
  <c r="CQ151" i="26"/>
  <c r="CQ138" i="26"/>
  <c r="CQ150" i="26"/>
  <c r="CQ47" i="26"/>
  <c r="CQ127" i="26"/>
  <c r="CQ36" i="26"/>
  <c r="CQ61" i="26"/>
  <c r="CO85" i="26"/>
  <c r="CO17" i="26"/>
  <c r="CO45" i="26"/>
  <c r="CO150" i="26"/>
  <c r="CO36" i="26"/>
  <c r="CO574" i="26"/>
  <c r="CO573" i="26"/>
  <c r="CO27" i="26"/>
  <c r="CO126" i="26"/>
  <c r="CO47" i="26"/>
  <c r="CN27" i="26"/>
  <c r="CN24" i="26"/>
  <c r="CN26" i="26"/>
  <c r="CN23" i="26"/>
  <c r="CN21" i="26"/>
  <c r="CM79" i="26"/>
  <c r="CM87" i="26"/>
  <c r="CM88" i="26"/>
  <c r="CM81" i="26"/>
  <c r="CM128" i="26"/>
  <c r="CM127" i="26"/>
  <c r="TH582" i="26"/>
  <c r="TG582" i="26"/>
  <c r="TH581" i="26"/>
  <c r="TG581" i="26"/>
  <c r="C581" i="26"/>
  <c r="D581" i="26" s="1"/>
  <c r="C582" i="26"/>
  <c r="CM22" i="26"/>
  <c r="CM126" i="26"/>
  <c r="CM574" i="26"/>
  <c r="CM141" i="26"/>
  <c r="CM64" i="26"/>
  <c r="CM150" i="26"/>
  <c r="CM35" i="26"/>
  <c r="CM152" i="26"/>
  <c r="CI78" i="26"/>
  <c r="CI163" i="26"/>
  <c r="CI64" i="26"/>
  <c r="CI20" i="26"/>
  <c r="CI193" i="26"/>
  <c r="CI152" i="26"/>
  <c r="CJ47" i="26"/>
  <c r="CJ45" i="26"/>
  <c r="CJ46" i="26"/>
  <c r="CJ61" i="26"/>
  <c r="CJ20" i="26"/>
  <c r="CJ78" i="26"/>
  <c r="CJ79" i="26"/>
  <c r="CJ195" i="26"/>
  <c r="CJ80" i="26"/>
  <c r="CJ77" i="26"/>
  <c r="CG220" i="26"/>
  <c r="CG128" i="26"/>
  <c r="CG90" i="26"/>
  <c r="CG17" i="26"/>
  <c r="CG163" i="26"/>
  <c r="CG126" i="26"/>
  <c r="CG570" i="26"/>
  <c r="CG64" i="26"/>
  <c r="CG112" i="26"/>
  <c r="CG215" i="26"/>
  <c r="CG53" i="26"/>
  <c r="CF31" i="26"/>
  <c r="CE346" i="26"/>
  <c r="CE343" i="26"/>
  <c r="CE352" i="26"/>
  <c r="CE86" i="26"/>
  <c r="CE128" i="26"/>
  <c r="CE158" i="26"/>
  <c r="CE17" i="26"/>
  <c r="CE112" i="26"/>
  <c r="CE570" i="26"/>
  <c r="CE60" i="26"/>
  <c r="CE578" i="26"/>
  <c r="CE140" i="26"/>
  <c r="CD73" i="26"/>
  <c r="CD75" i="26"/>
  <c r="CD74" i="26"/>
  <c r="CD85" i="26"/>
  <c r="CD84" i="26"/>
  <c r="CD83" i="26"/>
  <c r="CD86" i="26"/>
  <c r="CD80" i="26"/>
  <c r="CD79" i="26"/>
  <c r="CD78" i="26"/>
  <c r="CD81" i="26"/>
  <c r="CD82" i="26"/>
  <c r="CD77" i="26"/>
  <c r="CD70" i="26"/>
  <c r="CD69" i="26"/>
  <c r="CD71" i="26"/>
  <c r="CD68" i="26"/>
  <c r="CD67" i="26"/>
  <c r="CD66" i="26"/>
  <c r="CD60" i="26"/>
  <c r="CD46" i="26"/>
  <c r="CD45" i="26"/>
  <c r="CD47" i="26"/>
  <c r="CD44" i="26"/>
  <c r="CD30" i="26"/>
  <c r="CD31" i="26"/>
  <c r="CD28" i="26"/>
  <c r="CD29" i="26"/>
  <c r="CD27" i="26"/>
  <c r="CD23" i="26"/>
  <c r="CD21" i="26"/>
  <c r="CD112" i="26"/>
  <c r="CD48" i="26"/>
  <c r="CD25" i="26"/>
  <c r="CD24" i="26"/>
  <c r="CD26" i="26"/>
  <c r="CD36" i="26"/>
  <c r="CD35" i="26"/>
  <c r="CD20" i="26"/>
  <c r="CD16" i="26"/>
  <c r="CD17" i="26"/>
  <c r="CD22" i="26"/>
  <c r="CC213" i="26"/>
  <c r="CC128" i="26"/>
  <c r="CC80" i="26"/>
  <c r="CC17" i="26"/>
  <c r="CC140" i="26"/>
  <c r="CC112" i="26"/>
  <c r="CC20" i="26"/>
  <c r="CC79" i="26"/>
  <c r="CA77" i="26"/>
  <c r="CA83" i="26"/>
  <c r="CA87" i="26"/>
  <c r="CA85" i="26"/>
  <c r="CA135" i="26"/>
  <c r="CA48" i="26"/>
  <c r="CB545" i="26"/>
  <c r="CB60" i="26"/>
  <c r="CB59" i="26"/>
  <c r="CB46" i="26"/>
  <c r="CB45" i="26"/>
  <c r="CB27" i="26"/>
  <c r="CB25" i="26"/>
  <c r="CB26" i="26"/>
  <c r="CB17" i="26"/>
  <c r="CB572" i="26"/>
  <c r="CB571" i="26"/>
  <c r="CB211" i="26"/>
  <c r="CB213" i="26"/>
  <c r="CB212" i="26"/>
  <c r="CB61" i="26"/>
  <c r="CB58" i="26"/>
  <c r="CB113" i="26"/>
  <c r="CB111" i="26"/>
  <c r="BT60" i="26"/>
  <c r="BT63" i="26"/>
  <c r="CA47" i="26"/>
  <c r="CA524" i="26"/>
  <c r="CA570" i="26"/>
  <c r="CA154" i="26"/>
  <c r="BZ63" i="26"/>
  <c r="BZ59" i="26"/>
  <c r="BZ60" i="26"/>
  <c r="BZ46" i="26"/>
  <c r="BZ45" i="26"/>
  <c r="BZ47" i="26"/>
  <c r="BZ28" i="26"/>
  <c r="BZ27" i="26"/>
  <c r="BZ25" i="26"/>
  <c r="BZ24" i="26"/>
  <c r="BZ26" i="26"/>
  <c r="BZ17" i="26"/>
  <c r="BZ529" i="26"/>
  <c r="BZ527" i="26"/>
  <c r="BZ523" i="26"/>
  <c r="BZ9" i="26"/>
  <c r="BZ6" i="26"/>
  <c r="BY212" i="26"/>
  <c r="BY74" i="26"/>
  <c r="BY85" i="26"/>
  <c r="BY529" i="26"/>
  <c r="BY73" i="26"/>
  <c r="BY84" i="26"/>
  <c r="BY140" i="26"/>
  <c r="BY63" i="26"/>
  <c r="BY524" i="26"/>
  <c r="BY47" i="26"/>
  <c r="BY154" i="26"/>
  <c r="BY327" i="26"/>
  <c r="BY48" i="26"/>
  <c r="BY127" i="26"/>
  <c r="BY523" i="26"/>
  <c r="BY46" i="26"/>
  <c r="BY59" i="26"/>
  <c r="BT530" i="26"/>
  <c r="BU220" i="26"/>
  <c r="BU74" i="26"/>
  <c r="BU576" i="26"/>
  <c r="BV111" i="26"/>
  <c r="BV17" i="26"/>
  <c r="BV20" i="26"/>
  <c r="BV22" i="26"/>
  <c r="BV27" i="26"/>
  <c r="BV26" i="26"/>
  <c r="BV23" i="26"/>
  <c r="BV21" i="26"/>
  <c r="BV523" i="26"/>
  <c r="BV527" i="26"/>
  <c r="BV524" i="26"/>
  <c r="BU47" i="26"/>
  <c r="BU60" i="26"/>
  <c r="BU22" i="26"/>
  <c r="BU523" i="26"/>
  <c r="BU151" i="26"/>
  <c r="BT526" i="26"/>
  <c r="BT529" i="26"/>
  <c r="BT528" i="26"/>
  <c r="BT111" i="26"/>
  <c r="BT115" i="26"/>
  <c r="BT112" i="26"/>
  <c r="BT113" i="26"/>
  <c r="BT47" i="26"/>
  <c r="BT45" i="26"/>
  <c r="BT28" i="26"/>
  <c r="BT24" i="26"/>
  <c r="BT26" i="26"/>
  <c r="BT20" i="26"/>
  <c r="BT22" i="26"/>
  <c r="BT17" i="26"/>
  <c r="BT90" i="26"/>
  <c r="BT59" i="26"/>
  <c r="BT29" i="26"/>
  <c r="BT27" i="26"/>
  <c r="BT25" i="26"/>
  <c r="BU75" i="26"/>
  <c r="BS78" i="26"/>
  <c r="BS79" i="26"/>
  <c r="BS83" i="26"/>
  <c r="BS528" i="26"/>
  <c r="BS90" i="26"/>
  <c r="BS75" i="26"/>
  <c r="BS540" i="26"/>
  <c r="BS151" i="26"/>
  <c r="BS152" i="26"/>
  <c r="BS530" i="26"/>
  <c r="BS524" i="26"/>
  <c r="BS154" i="26"/>
  <c r="BS115" i="26"/>
  <c r="BS63" i="26"/>
  <c r="BS45" i="26"/>
  <c r="BQ75" i="26"/>
  <c r="BR75" i="26"/>
  <c r="BR73" i="26"/>
  <c r="BR113" i="26"/>
  <c r="BR111" i="26"/>
  <c r="BR26" i="26"/>
  <c r="BR160" i="26"/>
  <c r="BR158" i="26"/>
  <c r="BR74" i="26"/>
  <c r="BQ90" i="26"/>
  <c r="BQ540" i="26"/>
  <c r="BQ47" i="26"/>
  <c r="BQ63" i="26"/>
  <c r="BQ60" i="26"/>
  <c r="BQ35" i="26"/>
  <c r="BO540" i="26"/>
  <c r="BP115" i="26"/>
  <c r="BP112" i="26"/>
  <c r="BP28" i="26"/>
  <c r="BP31" i="26"/>
  <c r="BP25" i="26"/>
  <c r="BP35" i="26"/>
  <c r="BP16" i="26"/>
  <c r="BP579" i="26"/>
  <c r="BP578" i="26"/>
  <c r="BP88" i="26"/>
  <c r="BP113" i="26"/>
  <c r="BP78" i="26"/>
  <c r="BP79" i="26"/>
  <c r="BP73" i="26"/>
  <c r="BP75" i="26"/>
  <c r="BP74" i="26"/>
  <c r="BO75" i="26"/>
  <c r="BO90" i="26"/>
  <c r="BO74" i="26"/>
  <c r="BO32" i="26"/>
  <c r="BO47" i="26"/>
  <c r="BO579" i="26"/>
  <c r="BN113" i="26"/>
  <c r="BN85" i="26"/>
  <c r="BN84" i="26"/>
  <c r="BN577" i="26"/>
  <c r="BN573" i="26"/>
  <c r="BN572" i="26"/>
  <c r="BN571" i="26"/>
  <c r="BN570" i="26"/>
  <c r="BM576" i="26"/>
  <c r="BM73" i="26"/>
  <c r="BM220" i="26"/>
  <c r="BM88" i="26"/>
  <c r="BM74" i="26"/>
  <c r="BM578" i="26"/>
  <c r="BM573" i="26"/>
  <c r="BM138" i="26"/>
  <c r="BM45" i="26"/>
  <c r="BM135" i="26"/>
  <c r="BM36" i="26"/>
  <c r="BL289" i="26"/>
  <c r="BL57" i="26"/>
  <c r="BL223" i="26"/>
  <c r="BL221" i="26"/>
  <c r="BL222" i="26"/>
  <c r="BL206" i="26"/>
  <c r="BL203" i="26"/>
  <c r="BL209" i="26"/>
  <c r="BL142" i="26"/>
  <c r="BL138" i="26"/>
  <c r="BL141" i="26"/>
  <c r="BL140" i="26"/>
  <c r="BL225" i="26"/>
  <c r="BL224" i="26"/>
  <c r="BL226" i="26"/>
  <c r="BL202" i="26"/>
  <c r="BL136" i="26"/>
  <c r="BL137" i="26"/>
  <c r="BL134" i="26"/>
  <c r="BL135" i="26"/>
  <c r="BL148" i="26"/>
  <c r="BL147" i="26"/>
  <c r="BL208" i="26"/>
  <c r="BL207" i="26"/>
  <c r="BK111" i="26"/>
  <c r="BK88" i="26"/>
  <c r="BK108" i="26"/>
  <c r="BK289" i="26"/>
  <c r="BK45" i="26"/>
  <c r="BK36" i="26"/>
  <c r="BK46" i="26"/>
  <c r="BK137" i="26"/>
  <c r="BK9" i="26"/>
  <c r="BK112" i="26"/>
  <c r="BK57" i="26"/>
  <c r="BH47" i="26"/>
  <c r="BH46" i="26"/>
  <c r="TH46" i="26" s="1"/>
  <c r="BH138" i="26"/>
  <c r="TH138" i="26" s="1"/>
  <c r="BH224" i="26"/>
  <c r="TH224" i="26" s="1"/>
  <c r="BH226" i="26"/>
  <c r="TH226" i="26" s="1"/>
  <c r="BH207" i="26"/>
  <c r="TH207" i="26" s="1"/>
  <c r="BH136" i="26"/>
  <c r="TH136" i="26" s="1"/>
  <c r="BH137" i="26"/>
  <c r="TH137" i="26" s="1"/>
  <c r="BH134" i="26"/>
  <c r="TH134" i="26" s="1"/>
  <c r="BH135" i="26"/>
  <c r="TH135" i="26" s="1"/>
  <c r="BH148" i="26"/>
  <c r="TH148" i="26" s="1"/>
  <c r="BH147" i="26"/>
  <c r="TH147" i="26" s="1"/>
  <c r="BH208" i="26"/>
  <c r="TH208" i="26" s="1"/>
  <c r="BH128" i="26"/>
  <c r="TH128" i="26" s="1"/>
  <c r="BH209" i="26"/>
  <c r="TH209" i="26" s="1"/>
  <c r="BH223" i="26"/>
  <c r="TH223" i="26" s="1"/>
  <c r="BH221" i="26"/>
  <c r="TH221" i="26" s="1"/>
  <c r="BH222" i="26"/>
  <c r="TH222" i="26" s="1"/>
  <c r="BH206" i="26"/>
  <c r="TH206" i="26" s="1"/>
  <c r="BH142" i="26"/>
  <c r="TH142" i="26" s="1"/>
  <c r="BH141" i="26"/>
  <c r="TH141" i="26" s="1"/>
  <c r="BH140" i="26"/>
  <c r="TH140" i="26" s="1"/>
  <c r="BG289" i="26"/>
  <c r="BG135" i="26"/>
  <c r="BG136" i="26"/>
  <c r="BG137" i="26"/>
  <c r="BG525" i="26"/>
  <c r="BG530" i="26"/>
  <c r="BF524" i="26"/>
  <c r="TH524" i="26" s="1"/>
  <c r="BF527" i="26"/>
  <c r="TH527" i="26" s="1"/>
  <c r="BF528" i="26"/>
  <c r="TH528" i="26" s="1"/>
  <c r="BF523" i="26"/>
  <c r="TH523" i="26" s="1"/>
  <c r="BF526" i="26"/>
  <c r="TH526" i="26" s="1"/>
  <c r="BF525" i="26"/>
  <c r="TH525" i="26" s="1"/>
  <c r="BF529" i="26"/>
  <c r="TH529" i="26" s="1"/>
  <c r="BE529" i="26"/>
  <c r="TG529" i="26" s="1"/>
  <c r="BE148" i="26"/>
  <c r="BE545" i="26"/>
  <c r="TG545" i="26" s="1"/>
  <c r="BE138" i="26"/>
  <c r="BE136" i="26"/>
  <c r="BE523" i="26"/>
  <c r="BE530" i="26"/>
  <c r="BE525" i="26"/>
  <c r="TH580" i="26"/>
  <c r="TG580" i="26"/>
  <c r="C580" i="26"/>
  <c r="D580" i="26" s="1"/>
  <c r="BD70" i="26"/>
  <c r="TH70" i="26" s="1"/>
  <c r="BD69" i="26"/>
  <c r="TH69" i="26" s="1"/>
  <c r="BD67" i="26"/>
  <c r="TH67" i="26" s="1"/>
  <c r="BD66" i="26"/>
  <c r="TH66" i="26" s="1"/>
  <c r="BD47" i="26"/>
  <c r="BD45" i="26"/>
  <c r="BD44" i="26"/>
  <c r="TH44" i="26" s="1"/>
  <c r="BD28" i="26"/>
  <c r="BD26" i="26"/>
  <c r="BD24" i="26"/>
  <c r="BD22" i="26"/>
  <c r="TH22" i="26" s="1"/>
  <c r="BD17" i="26"/>
  <c r="BD23" i="26"/>
  <c r="BD21" i="26"/>
  <c r="BD59" i="26"/>
  <c r="TH59" i="26" s="1"/>
  <c r="BD61" i="26"/>
  <c r="TH61" i="26" s="1"/>
  <c r="BD164" i="26"/>
  <c r="TH164" i="26" s="1"/>
  <c r="BD160" i="26"/>
  <c r="TH160" i="26" s="1"/>
  <c r="BB21" i="26"/>
  <c r="BB25" i="26"/>
  <c r="TH25" i="26" s="1"/>
  <c r="BB27" i="26"/>
  <c r="TH27" i="26" s="1"/>
  <c r="BB26" i="26"/>
  <c r="BB17" i="26"/>
  <c r="BB20" i="26"/>
  <c r="TH20" i="26" s="1"/>
  <c r="BB28" i="26"/>
  <c r="TH579" i="26"/>
  <c r="TG579" i="26"/>
  <c r="C579" i="26"/>
  <c r="TH578" i="26"/>
  <c r="TG578" i="26"/>
  <c r="C578" i="26"/>
  <c r="BC80" i="26"/>
  <c r="BC528" i="26"/>
  <c r="TG528" i="26" s="1"/>
  <c r="BC79" i="26"/>
  <c r="BC526" i="26"/>
  <c r="TG526" i="26" s="1"/>
  <c r="BC136" i="26"/>
  <c r="BC530" i="26"/>
  <c r="BC523" i="26"/>
  <c r="BC134" i="26"/>
  <c r="BC138" i="26"/>
  <c r="BC36" i="26"/>
  <c r="TG36" i="26" s="1"/>
  <c r="BB267" i="26"/>
  <c r="TH267" i="26" s="1"/>
  <c r="BB78" i="26"/>
  <c r="BB276" i="26"/>
  <c r="TH276" i="26" s="1"/>
  <c r="BB60" i="26"/>
  <c r="TH60" i="26" s="1"/>
  <c r="BB45" i="26"/>
  <c r="BB24" i="26"/>
  <c r="BA78" i="26"/>
  <c r="BA577" i="26"/>
  <c r="TG577" i="26" s="1"/>
  <c r="BA77" i="26"/>
  <c r="BA158" i="26"/>
  <c r="BA136" i="26"/>
  <c r="BA134" i="26"/>
  <c r="BA270" i="26"/>
  <c r="TG270" i="26" s="1"/>
  <c r="BA523" i="26"/>
  <c r="BA525" i="26"/>
  <c r="BA266" i="26"/>
  <c r="TG266" i="26" s="1"/>
  <c r="AY527" i="26"/>
  <c r="TG527" i="26" s="1"/>
  <c r="AY77" i="26"/>
  <c r="AY85" i="26"/>
  <c r="AY128" i="26"/>
  <c r="AY158" i="26"/>
  <c r="AY138" i="26"/>
  <c r="AY525" i="26"/>
  <c r="AY134" i="26"/>
  <c r="AY523" i="26"/>
  <c r="AY524" i="26"/>
  <c r="AW128" i="26"/>
  <c r="AW88" i="26"/>
  <c r="TG88" i="26" s="1"/>
  <c r="AW87" i="26"/>
  <c r="TG87" i="26" s="1"/>
  <c r="AW158" i="26"/>
  <c r="AW147" i="26"/>
  <c r="AW267" i="26"/>
  <c r="TG267" i="26" s="1"/>
  <c r="AW524" i="26"/>
  <c r="AW47" i="26"/>
  <c r="TG47" i="26" s="1"/>
  <c r="AW209" i="26"/>
  <c r="AW134" i="26"/>
  <c r="AS158" i="26"/>
  <c r="AS576" i="26"/>
  <c r="TG576" i="26" s="1"/>
  <c r="AS81" i="26"/>
  <c r="TG81" i="26" s="1"/>
  <c r="AS209" i="26"/>
  <c r="AS135" i="26"/>
  <c r="AS207" i="26"/>
  <c r="AS136" i="26"/>
  <c r="AS137" i="26"/>
  <c r="AS150" i="26"/>
  <c r="TG150" i="26" s="1"/>
  <c r="AS148" i="26"/>
  <c r="AR78" i="26"/>
  <c r="AR24" i="26"/>
  <c r="AR26" i="26"/>
  <c r="AR17" i="26"/>
  <c r="AR16" i="26"/>
  <c r="TH16" i="26" s="1"/>
  <c r="AR23" i="26"/>
  <c r="AR21" i="26"/>
  <c r="AR63" i="26"/>
  <c r="TH63" i="26" s="1"/>
  <c r="AQ80" i="26"/>
  <c r="AQ78" i="26"/>
  <c r="AQ74" i="26"/>
  <c r="TG74" i="26" s="1"/>
  <c r="AQ158" i="26"/>
  <c r="AQ211" i="26"/>
  <c r="AQ213" i="26"/>
  <c r="AQ206" i="26"/>
  <c r="AQ115" i="26"/>
  <c r="TG115" i="26" s="1"/>
  <c r="AQ148" i="26"/>
  <c r="AQ207" i="26"/>
  <c r="AQ141" i="26"/>
  <c r="AQ135" i="26"/>
  <c r="AO213" i="26"/>
  <c r="AO211" i="26"/>
  <c r="AM211" i="26"/>
  <c r="AO75" i="26"/>
  <c r="TG75" i="26" s="1"/>
  <c r="AO158" i="26"/>
  <c r="AO73" i="26"/>
  <c r="TG73" i="26" s="1"/>
  <c r="AO154" i="26"/>
  <c r="TG154" i="26" s="1"/>
  <c r="AO141" i="26"/>
  <c r="AO112" i="26"/>
  <c r="AO142" i="26"/>
  <c r="AM220" i="26"/>
  <c r="TG220" i="26" s="1"/>
  <c r="AM213" i="26"/>
  <c r="AM212" i="26"/>
  <c r="AM148" i="26"/>
  <c r="AM112" i="26"/>
  <c r="AM142" i="26"/>
  <c r="AM35" i="26"/>
  <c r="TG35" i="26" s="1"/>
  <c r="AM140" i="26"/>
  <c r="AK80" i="26"/>
  <c r="AK212" i="26"/>
  <c r="AK51" i="26"/>
  <c r="TG51" i="26" s="1"/>
  <c r="AK20" i="26"/>
  <c r="AK142" i="26"/>
  <c r="AK112" i="26"/>
  <c r="AK140" i="26"/>
  <c r="AK135" i="26"/>
  <c r="AI213" i="26"/>
  <c r="AI212" i="26"/>
  <c r="AI336" i="26"/>
  <c r="AI79" i="26"/>
  <c r="AI134" i="26"/>
  <c r="AI147" i="26"/>
  <c r="AI137" i="26"/>
  <c r="AI135" i="26"/>
  <c r="AE78" i="26"/>
  <c r="AE147" i="26"/>
  <c r="AE142" i="26"/>
  <c r="AE137" i="26"/>
  <c r="AC86" i="26"/>
  <c r="TG86" i="26" s="1"/>
  <c r="AC336" i="26"/>
  <c r="AC17" i="26"/>
  <c r="AC570" i="26"/>
  <c r="TG570" i="26" s="1"/>
  <c r="TH577" i="26"/>
  <c r="C577" i="26"/>
  <c r="TH576" i="26"/>
  <c r="C576" i="26"/>
  <c r="TH575" i="26"/>
  <c r="TG575" i="26"/>
  <c r="C575" i="26"/>
  <c r="AA77" i="26"/>
  <c r="AA336" i="26"/>
  <c r="AA46" i="26"/>
  <c r="AA20" i="26"/>
  <c r="AA195" i="26"/>
  <c r="TG195" i="26" s="1"/>
  <c r="Y336" i="26"/>
  <c r="Y289" i="26"/>
  <c r="Y45" i="26"/>
  <c r="Y22" i="26"/>
  <c r="Y17" i="26"/>
  <c r="Y16" i="26"/>
  <c r="TG16" i="26" s="1"/>
  <c r="X281" i="26"/>
  <c r="TH281" i="26" s="1"/>
  <c r="X289" i="26"/>
  <c r="TH289" i="26" s="1"/>
  <c r="W208" i="26"/>
  <c r="W45" i="26"/>
  <c r="U277" i="26"/>
  <c r="TG277" i="26" s="1"/>
  <c r="U208" i="26"/>
  <c r="U206" i="26"/>
  <c r="U46" i="26"/>
  <c r="U289" i="26"/>
  <c r="U85" i="26"/>
  <c r="U164" i="26"/>
  <c r="M385" i="26"/>
  <c r="TG385" i="26" s="1"/>
  <c r="Q206" i="26"/>
  <c r="Q82" i="26"/>
  <c r="TG82" i="26" s="1"/>
  <c r="Q164" i="26"/>
  <c r="Q84" i="26"/>
  <c r="O84" i="26"/>
  <c r="O83" i="26"/>
  <c r="O164" i="26"/>
  <c r="O203" i="26"/>
  <c r="TG203" i="26" s="1"/>
  <c r="O136" i="26"/>
  <c r="O208" i="26"/>
  <c r="O574" i="26"/>
  <c r="O137" i="26"/>
  <c r="M83" i="26"/>
  <c r="M276" i="26"/>
  <c r="M164" i="26"/>
  <c r="M59" i="26"/>
  <c r="TG59" i="26" s="1"/>
  <c r="M574" i="26"/>
  <c r="M17" i="26"/>
  <c r="M280" i="26"/>
  <c r="TG280" i="26" s="1"/>
  <c r="I91" i="26"/>
  <c r="K393" i="26"/>
  <c r="TG393" i="26" s="1"/>
  <c r="K392" i="26"/>
  <c r="TG392" i="26" s="1"/>
  <c r="K384" i="26"/>
  <c r="TG384" i="26" s="1"/>
  <c r="K276" i="26"/>
  <c r="K164" i="26"/>
  <c r="K22" i="26"/>
  <c r="K61" i="26"/>
  <c r="TG61" i="26" s="1"/>
  <c r="K271" i="26"/>
  <c r="TG271" i="26" s="1"/>
  <c r="I164" i="26"/>
  <c r="I60" i="26"/>
  <c r="TG60" i="26" s="1"/>
  <c r="I574" i="26"/>
  <c r="G204" i="26"/>
  <c r="TG204" i="26" s="1"/>
  <c r="G202" i="26"/>
  <c r="TG202" i="26" s="1"/>
  <c r="G166" i="26"/>
  <c r="TG166" i="26" s="1"/>
  <c r="G164" i="26"/>
  <c r="G91" i="26"/>
  <c r="G64" i="26"/>
  <c r="TG64" i="26" s="1"/>
  <c r="G63" i="26"/>
  <c r="TG63" i="26" s="1"/>
  <c r="G24" i="26"/>
  <c r="C247" i="26"/>
  <c r="C554" i="26"/>
  <c r="D554" i="26" s="1"/>
  <c r="C556" i="26"/>
  <c r="D556" i="26" s="1"/>
  <c r="C559" i="26"/>
  <c r="C561" i="26"/>
  <c r="C566" i="26"/>
  <c r="C569" i="26"/>
  <c r="TH574" i="26"/>
  <c r="TH573" i="26"/>
  <c r="TG573" i="26"/>
  <c r="TH572" i="26"/>
  <c r="TG572" i="26"/>
  <c r="TH571" i="26"/>
  <c r="TG571" i="26"/>
  <c r="TH570" i="26"/>
  <c r="TH569" i="26"/>
  <c r="TG569" i="26"/>
  <c r="TH568" i="26"/>
  <c r="TG568" i="26"/>
  <c r="TH567" i="26"/>
  <c r="TG567" i="26"/>
  <c r="TH566" i="26"/>
  <c r="TG566" i="26"/>
  <c r="TH565" i="26"/>
  <c r="TG565" i="26"/>
  <c r="TH564" i="26"/>
  <c r="TG564" i="26"/>
  <c r="TH563" i="26"/>
  <c r="TG563" i="26"/>
  <c r="TH562" i="26"/>
  <c r="TG562" i="26"/>
  <c r="TH561" i="26"/>
  <c r="TG561" i="26"/>
  <c r="TH560" i="26"/>
  <c r="TG560" i="26"/>
  <c r="TH559" i="26"/>
  <c r="TG559" i="26"/>
  <c r="TH558" i="26"/>
  <c r="TG558" i="26"/>
  <c r="TH557" i="26"/>
  <c r="TG557" i="26"/>
  <c r="TH556" i="26"/>
  <c r="TG556" i="26"/>
  <c r="TH555" i="26"/>
  <c r="TG555" i="26"/>
  <c r="TH554" i="26"/>
  <c r="TG554" i="26"/>
  <c r="TH553" i="26"/>
  <c r="TG553" i="26"/>
  <c r="TH552" i="26"/>
  <c r="TG552" i="26"/>
  <c r="TH551" i="26"/>
  <c r="TG551" i="26"/>
  <c r="TH550" i="26"/>
  <c r="TG550" i="26"/>
  <c r="TH549" i="26"/>
  <c r="TG549" i="26"/>
  <c r="TH548" i="26"/>
  <c r="TG548" i="26"/>
  <c r="TH547" i="26"/>
  <c r="TG547" i="26"/>
  <c r="TH546" i="26"/>
  <c r="TG546" i="26"/>
  <c r="TH545" i="26"/>
  <c r="TH544" i="26"/>
  <c r="TG544" i="26"/>
  <c r="TH543" i="26"/>
  <c r="TG543" i="26"/>
  <c r="TH542" i="26"/>
  <c r="TG542" i="26"/>
  <c r="TH541" i="26"/>
  <c r="TG541" i="26"/>
  <c r="TH540" i="26"/>
  <c r="TG540" i="26"/>
  <c r="TH539" i="26"/>
  <c r="TG539" i="26"/>
  <c r="TH538" i="26"/>
  <c r="TG538" i="26"/>
  <c r="TH537" i="26"/>
  <c r="TG537" i="26"/>
  <c r="TH536" i="26"/>
  <c r="TG536" i="26"/>
  <c r="TH535" i="26"/>
  <c r="TG535" i="26"/>
  <c r="TH534" i="26"/>
  <c r="TG534" i="26"/>
  <c r="TH533" i="26"/>
  <c r="TG533" i="26"/>
  <c r="TH532" i="26"/>
  <c r="TG532" i="26"/>
  <c r="TH531" i="26"/>
  <c r="TG531" i="26"/>
  <c r="TH530" i="26"/>
  <c r="TH522" i="26"/>
  <c r="TG522" i="26"/>
  <c r="TH521" i="26"/>
  <c r="TG521" i="26"/>
  <c r="TH520" i="26"/>
  <c r="TG520" i="26"/>
  <c r="TH519" i="26"/>
  <c r="TG519" i="26"/>
  <c r="TH518" i="26"/>
  <c r="TG518" i="26"/>
  <c r="TH517" i="26"/>
  <c r="TG517" i="26"/>
  <c r="TH516" i="26"/>
  <c r="TG516" i="26"/>
  <c r="TH515" i="26"/>
  <c r="TG515" i="26"/>
  <c r="TH514" i="26"/>
  <c r="TG514" i="26"/>
  <c r="TH513" i="26"/>
  <c r="TG513" i="26"/>
  <c r="TH512" i="26"/>
  <c r="TG512" i="26"/>
  <c r="TH511" i="26"/>
  <c r="TG511" i="26"/>
  <c r="TH510" i="26"/>
  <c r="TG510" i="26"/>
  <c r="TH509" i="26"/>
  <c r="TG509" i="26"/>
  <c r="TH508" i="26"/>
  <c r="TG508" i="26"/>
  <c r="TH507" i="26"/>
  <c r="TG507" i="26"/>
  <c r="TH506" i="26"/>
  <c r="TG506" i="26"/>
  <c r="TH505" i="26"/>
  <c r="TG505" i="26"/>
  <c r="TH504" i="26"/>
  <c r="TG504" i="26"/>
  <c r="TH503" i="26"/>
  <c r="TG503" i="26"/>
  <c r="TH502" i="26"/>
  <c r="TG502" i="26"/>
  <c r="TH501" i="26"/>
  <c r="TG501" i="26"/>
  <c r="TH500" i="26"/>
  <c r="TG500" i="26"/>
  <c r="TH499" i="26"/>
  <c r="TG499" i="26"/>
  <c r="TH498" i="26"/>
  <c r="TG498" i="26"/>
  <c r="TH497" i="26"/>
  <c r="TG497" i="26"/>
  <c r="TH496" i="26"/>
  <c r="TG496" i="26"/>
  <c r="TH495" i="26"/>
  <c r="TG495" i="26"/>
  <c r="TH494" i="26"/>
  <c r="TG494" i="26"/>
  <c r="TH493" i="26"/>
  <c r="TG493" i="26"/>
  <c r="TH492" i="26"/>
  <c r="TG492" i="26"/>
  <c r="TH491" i="26"/>
  <c r="TG491" i="26"/>
  <c r="TH490" i="26"/>
  <c r="TG490" i="26"/>
  <c r="TH489" i="26"/>
  <c r="TG489" i="26"/>
  <c r="TH488" i="26"/>
  <c r="TG488" i="26"/>
  <c r="TH487" i="26"/>
  <c r="TG487" i="26"/>
  <c r="TH486" i="26"/>
  <c r="TG486" i="26"/>
  <c r="TH485" i="26"/>
  <c r="TG485" i="26"/>
  <c r="TH484" i="26"/>
  <c r="TG484" i="26"/>
  <c r="TH483" i="26"/>
  <c r="TG483" i="26"/>
  <c r="TH482" i="26"/>
  <c r="TG482" i="26"/>
  <c r="TH481" i="26"/>
  <c r="TG481" i="26"/>
  <c r="TH480" i="26"/>
  <c r="TG480" i="26"/>
  <c r="TH479" i="26"/>
  <c r="TG479" i="26"/>
  <c r="TH478" i="26"/>
  <c r="TG478" i="26"/>
  <c r="TH477" i="26"/>
  <c r="TG477" i="26"/>
  <c r="TH476" i="26"/>
  <c r="TG476" i="26"/>
  <c r="TH475" i="26"/>
  <c r="TG475" i="26"/>
  <c r="TH474" i="26"/>
  <c r="TG474" i="26"/>
  <c r="TH473" i="26"/>
  <c r="TG473" i="26"/>
  <c r="TH472" i="26"/>
  <c r="TG472" i="26"/>
  <c r="TH471" i="26"/>
  <c r="TG471" i="26"/>
  <c r="TH470" i="26"/>
  <c r="TG470" i="26"/>
  <c r="TH469" i="26"/>
  <c r="TG469" i="26"/>
  <c r="TH468" i="26"/>
  <c r="TG468" i="26"/>
  <c r="TH467" i="26"/>
  <c r="TG467" i="26"/>
  <c r="TH466" i="26"/>
  <c r="TG466" i="26"/>
  <c r="TH465" i="26"/>
  <c r="TG465" i="26"/>
  <c r="TH464" i="26"/>
  <c r="TG464" i="26"/>
  <c r="TH463" i="26"/>
  <c r="TG463" i="26"/>
  <c r="TH462" i="26"/>
  <c r="TG462" i="26"/>
  <c r="TH461" i="26"/>
  <c r="TG461" i="26"/>
  <c r="TH460" i="26"/>
  <c r="TG460" i="26"/>
  <c r="TH459" i="26"/>
  <c r="TG459" i="26"/>
  <c r="TH458" i="26"/>
  <c r="TG458" i="26"/>
  <c r="TH457" i="26"/>
  <c r="TG457" i="26"/>
  <c r="TH456" i="26"/>
  <c r="TG456" i="26"/>
  <c r="TH455" i="26"/>
  <c r="TG455" i="26"/>
  <c r="TH454" i="26"/>
  <c r="TG454" i="26"/>
  <c r="TH453" i="26"/>
  <c r="TG453" i="26"/>
  <c r="TH452" i="26"/>
  <c r="TG452" i="26"/>
  <c r="TH451" i="26"/>
  <c r="TG451" i="26"/>
  <c r="TH450" i="26"/>
  <c r="TG450" i="26"/>
  <c r="TH449" i="26"/>
  <c r="TG449" i="26"/>
  <c r="TH448" i="26"/>
  <c r="TG448" i="26"/>
  <c r="TH447" i="26"/>
  <c r="TG447" i="26"/>
  <c r="TH446" i="26"/>
  <c r="TG446" i="26"/>
  <c r="TH445" i="26"/>
  <c r="TG445" i="26"/>
  <c r="TH444" i="26"/>
  <c r="TG444" i="26"/>
  <c r="TH443" i="26"/>
  <c r="TG443" i="26"/>
  <c r="TH442" i="26"/>
  <c r="TG442" i="26"/>
  <c r="TH441" i="26"/>
  <c r="TG441" i="26"/>
  <c r="TH440" i="26"/>
  <c r="TG440" i="26"/>
  <c r="TH439" i="26"/>
  <c r="TG439" i="26"/>
  <c r="TH438" i="26"/>
  <c r="TG438" i="26"/>
  <c r="TH437" i="26"/>
  <c r="TG437" i="26"/>
  <c r="TH436" i="26"/>
  <c r="TG436" i="26"/>
  <c r="TH435" i="26"/>
  <c r="TG435" i="26"/>
  <c r="TH434" i="26"/>
  <c r="TG434" i="26"/>
  <c r="TH433" i="26"/>
  <c r="TG433" i="26"/>
  <c r="TH432" i="26"/>
  <c r="TG432" i="26"/>
  <c r="TH431" i="26"/>
  <c r="TG431" i="26"/>
  <c r="TH430" i="26"/>
  <c r="TG430" i="26"/>
  <c r="TH429" i="26"/>
  <c r="TG429" i="26"/>
  <c r="TH428" i="26"/>
  <c r="TG428" i="26"/>
  <c r="TH427" i="26"/>
  <c r="TG427" i="26"/>
  <c r="TH426" i="26"/>
  <c r="TG426" i="26"/>
  <c r="TH425" i="26"/>
  <c r="TG425" i="26"/>
  <c r="TH424" i="26"/>
  <c r="TG424" i="26"/>
  <c r="TH423" i="26"/>
  <c r="TG423" i="26"/>
  <c r="TH422" i="26"/>
  <c r="TG422" i="26"/>
  <c r="TH421" i="26"/>
  <c r="TG421" i="26"/>
  <c r="TH420" i="26"/>
  <c r="TG420" i="26"/>
  <c r="TH419" i="26"/>
  <c r="TG419" i="26"/>
  <c r="TH418" i="26"/>
  <c r="TG418" i="26"/>
  <c r="TH417" i="26"/>
  <c r="TG417" i="26"/>
  <c r="TH416" i="26"/>
  <c r="TG416" i="26"/>
  <c r="TH415" i="26"/>
  <c r="TG415" i="26"/>
  <c r="TH414" i="26"/>
  <c r="TG414" i="26"/>
  <c r="TH413" i="26"/>
  <c r="TG413" i="26"/>
  <c r="TH412" i="26"/>
  <c r="TG412" i="26"/>
  <c r="TH411" i="26"/>
  <c r="TG411" i="26"/>
  <c r="TH410" i="26"/>
  <c r="TG410" i="26"/>
  <c r="TH409" i="26"/>
  <c r="TH408" i="26"/>
  <c r="TG408" i="26"/>
  <c r="TH407" i="26"/>
  <c r="TG407" i="26"/>
  <c r="TH406" i="26"/>
  <c r="TG406" i="26"/>
  <c r="TH405" i="26"/>
  <c r="TG405" i="26"/>
  <c r="TH404" i="26"/>
  <c r="TG404" i="26"/>
  <c r="TH403" i="26"/>
  <c r="TG403" i="26"/>
  <c r="TH402" i="26"/>
  <c r="TG402" i="26"/>
  <c r="TH401" i="26"/>
  <c r="TG401" i="26"/>
  <c r="TH400" i="26"/>
  <c r="TG400" i="26"/>
  <c r="TH399" i="26"/>
  <c r="TG399" i="26"/>
  <c r="TH398" i="26"/>
  <c r="TG398" i="26"/>
  <c r="TH397" i="26"/>
  <c r="TG397" i="26"/>
  <c r="TH396" i="26"/>
  <c r="TG396" i="26"/>
  <c r="TH395" i="26"/>
  <c r="TG395" i="26"/>
  <c r="TH394" i="26"/>
  <c r="TG394" i="26"/>
  <c r="TH393" i="26"/>
  <c r="TH392" i="26"/>
  <c r="TH391" i="26"/>
  <c r="TG391" i="26"/>
  <c r="TH390" i="26"/>
  <c r="TG390" i="26"/>
  <c r="TH389" i="26"/>
  <c r="TG389" i="26"/>
  <c r="TH388" i="26"/>
  <c r="TG388" i="26"/>
  <c r="TH387" i="26"/>
  <c r="TG387" i="26"/>
  <c r="TH386" i="26"/>
  <c r="TG386" i="26"/>
  <c r="TH385" i="26"/>
  <c r="TH384" i="26"/>
  <c r="TH383" i="26"/>
  <c r="TG383" i="26"/>
  <c r="TH382" i="26"/>
  <c r="TG382" i="26"/>
  <c r="TH381" i="26"/>
  <c r="TG381" i="26"/>
  <c r="TH380" i="26"/>
  <c r="TG380" i="26"/>
  <c r="TH379" i="26"/>
  <c r="TG379" i="26"/>
  <c r="TH378" i="26"/>
  <c r="TG378" i="26"/>
  <c r="TH377" i="26"/>
  <c r="TG377" i="26"/>
  <c r="TH376" i="26"/>
  <c r="TG376" i="26"/>
  <c r="TH375" i="26"/>
  <c r="TG375" i="26"/>
  <c r="TH374" i="26"/>
  <c r="TG374" i="26"/>
  <c r="TH373" i="26"/>
  <c r="TG373" i="26"/>
  <c r="TH372" i="26"/>
  <c r="TG372" i="26"/>
  <c r="TH371" i="26"/>
  <c r="TG371" i="26"/>
  <c r="TH370" i="26"/>
  <c r="TG370" i="26"/>
  <c r="TH369" i="26"/>
  <c r="TG369" i="26"/>
  <c r="TH368" i="26"/>
  <c r="TG368" i="26"/>
  <c r="TH367" i="26"/>
  <c r="TG367" i="26"/>
  <c r="TH366" i="26"/>
  <c r="TG366" i="26"/>
  <c r="TH365" i="26"/>
  <c r="TG365" i="26"/>
  <c r="TH364" i="26"/>
  <c r="TG364" i="26"/>
  <c r="TH363" i="26"/>
  <c r="TG363" i="26"/>
  <c r="TH362" i="26"/>
  <c r="TG362" i="26"/>
  <c r="TH361" i="26"/>
  <c r="TG361" i="26"/>
  <c r="TH360" i="26"/>
  <c r="TG360" i="26"/>
  <c r="TG359" i="26"/>
  <c r="TH359" i="26"/>
  <c r="TG358" i="26"/>
  <c r="TH357" i="26"/>
  <c r="TG357" i="26"/>
  <c r="TH356" i="26"/>
  <c r="TG356" i="26"/>
  <c r="TH355" i="26"/>
  <c r="TG355" i="26"/>
  <c r="TH354" i="26"/>
  <c r="TG354" i="26"/>
  <c r="TH353" i="26"/>
  <c r="TG353" i="26"/>
  <c r="TH352" i="26"/>
  <c r="TG352" i="26"/>
  <c r="TH351" i="26"/>
  <c r="TG351" i="26"/>
  <c r="TH350" i="26"/>
  <c r="TG350" i="26"/>
  <c r="TH349" i="26"/>
  <c r="TG349" i="26"/>
  <c r="TH348" i="26"/>
  <c r="TG348" i="26"/>
  <c r="TH347" i="26"/>
  <c r="TG347" i="26"/>
  <c r="TH346" i="26"/>
  <c r="TG346" i="26"/>
  <c r="TH345" i="26"/>
  <c r="TG345" i="26"/>
  <c r="TH344" i="26"/>
  <c r="TG344" i="26"/>
  <c r="TH343" i="26"/>
  <c r="TG343" i="26"/>
  <c r="TH342" i="26"/>
  <c r="TG342" i="26"/>
  <c r="TH341" i="26"/>
  <c r="TG341" i="26"/>
  <c r="TH340" i="26"/>
  <c r="TG340" i="26"/>
  <c r="TH339" i="26"/>
  <c r="TG339" i="26"/>
  <c r="TH338" i="26"/>
  <c r="TG338" i="26"/>
  <c r="TH337" i="26"/>
  <c r="TG337" i="26"/>
  <c r="TH336" i="26"/>
  <c r="TH335" i="26"/>
  <c r="TG335" i="26"/>
  <c r="TH334" i="26"/>
  <c r="TG334" i="26"/>
  <c r="TH333" i="26"/>
  <c r="TG333" i="26"/>
  <c r="TH332" i="26"/>
  <c r="TG332" i="26"/>
  <c r="TH331" i="26"/>
  <c r="TG331" i="26"/>
  <c r="TH330" i="26"/>
  <c r="TG330" i="26"/>
  <c r="TH329" i="26"/>
  <c r="TG329" i="26"/>
  <c r="TH328" i="26"/>
  <c r="TG328" i="26"/>
  <c r="TH327" i="26"/>
  <c r="TG327" i="26"/>
  <c r="TH326" i="26"/>
  <c r="TG326" i="26"/>
  <c r="TH325" i="26"/>
  <c r="TG325" i="26"/>
  <c r="TH324" i="26"/>
  <c r="TG324" i="26"/>
  <c r="TH323" i="26"/>
  <c r="TG323" i="26"/>
  <c r="TH322" i="26"/>
  <c r="TG322" i="26"/>
  <c r="TH321" i="26"/>
  <c r="TG321" i="26"/>
  <c r="TH320" i="26"/>
  <c r="TG320" i="26"/>
  <c r="TH319" i="26"/>
  <c r="TG319" i="26"/>
  <c r="TH315" i="26"/>
  <c r="TG315" i="26"/>
  <c r="TH314" i="26"/>
  <c r="TG314" i="26"/>
  <c r="TH313" i="26"/>
  <c r="TG313" i="26"/>
  <c r="TH312" i="26"/>
  <c r="TG312" i="26"/>
  <c r="TH311" i="26"/>
  <c r="TG311" i="26"/>
  <c r="TH310" i="26"/>
  <c r="TG310" i="26"/>
  <c r="TH309" i="26"/>
  <c r="TG309" i="26"/>
  <c r="TH308" i="26"/>
  <c r="TG308" i="26"/>
  <c r="TH307" i="26"/>
  <c r="TG307" i="26"/>
  <c r="TH306" i="26"/>
  <c r="TG306" i="26"/>
  <c r="TH305" i="26"/>
  <c r="TG305" i="26"/>
  <c r="TH304" i="26"/>
  <c r="TG304" i="26"/>
  <c r="TH303" i="26"/>
  <c r="TG303" i="26"/>
  <c r="TH302" i="26"/>
  <c r="TG302" i="26"/>
  <c r="TH301" i="26"/>
  <c r="TG301" i="26"/>
  <c r="TH300" i="26"/>
  <c r="TG300" i="26"/>
  <c r="TH299" i="26"/>
  <c r="TG299" i="26"/>
  <c r="TH298" i="26"/>
  <c r="TG298" i="26"/>
  <c r="TH297" i="26"/>
  <c r="TG297" i="26"/>
  <c r="TH296" i="26"/>
  <c r="TG296" i="26"/>
  <c r="TH295" i="26"/>
  <c r="TG295" i="26"/>
  <c r="TH294" i="26"/>
  <c r="TG294" i="26"/>
  <c r="TH293" i="26"/>
  <c r="TG293" i="26"/>
  <c r="TH292" i="26"/>
  <c r="TG292" i="26"/>
  <c r="TH291" i="26"/>
  <c r="TG291" i="26"/>
  <c r="TH290" i="26"/>
  <c r="TG290" i="26"/>
  <c r="TH288" i="26"/>
  <c r="TG288" i="26"/>
  <c r="TH287" i="26"/>
  <c r="TG287" i="26"/>
  <c r="TH286" i="26"/>
  <c r="TG286" i="26"/>
  <c r="TH285" i="26"/>
  <c r="TG285" i="26"/>
  <c r="TH284" i="26"/>
  <c r="TG284" i="26"/>
  <c r="TH283" i="26"/>
  <c r="TG283" i="26"/>
  <c r="TH282" i="26"/>
  <c r="TG282" i="26"/>
  <c r="TG281" i="26"/>
  <c r="TH280" i="26"/>
  <c r="TH279" i="26"/>
  <c r="TG279" i="26"/>
  <c r="TH278" i="26"/>
  <c r="TG278" i="26"/>
  <c r="TH277" i="26"/>
  <c r="TH275" i="26"/>
  <c r="TG275" i="26"/>
  <c r="TH274" i="26"/>
  <c r="TG274" i="26"/>
  <c r="TH273" i="26"/>
  <c r="TG273" i="26"/>
  <c r="TH272" i="26"/>
  <c r="TG272" i="26"/>
  <c r="TH271" i="26"/>
  <c r="TH270" i="26"/>
  <c r="TH269" i="26"/>
  <c r="TG269" i="26"/>
  <c r="TH268" i="26"/>
  <c r="TG268" i="26"/>
  <c r="TH266" i="26"/>
  <c r="TH265" i="26"/>
  <c r="TG265" i="26"/>
  <c r="TH264" i="26"/>
  <c r="TG264" i="26"/>
  <c r="TH263" i="26"/>
  <c r="TG263" i="26"/>
  <c r="TH262" i="26"/>
  <c r="TG262" i="26"/>
  <c r="TH261" i="26"/>
  <c r="TG261" i="26"/>
  <c r="TH260" i="26"/>
  <c r="TG260" i="26"/>
  <c r="TH259" i="26"/>
  <c r="TG259" i="26"/>
  <c r="TH258" i="26"/>
  <c r="TG258" i="26"/>
  <c r="TH257" i="26"/>
  <c r="TG257" i="26"/>
  <c r="TH256" i="26"/>
  <c r="TG256" i="26"/>
  <c r="TH255" i="26"/>
  <c r="TG255" i="26"/>
  <c r="TH254" i="26"/>
  <c r="TG254" i="26"/>
  <c r="TH253" i="26"/>
  <c r="TG253" i="26"/>
  <c r="TH252" i="26"/>
  <c r="TG252" i="26"/>
  <c r="TH251" i="26"/>
  <c r="TG251" i="26"/>
  <c r="TH250" i="26"/>
  <c r="TG250" i="26"/>
  <c r="TH249" i="26"/>
  <c r="TG249" i="26"/>
  <c r="TH248" i="26"/>
  <c r="TG248" i="26"/>
  <c r="TH246" i="26"/>
  <c r="TG246" i="26"/>
  <c r="TH245" i="26"/>
  <c r="TG245" i="26"/>
  <c r="TH244" i="26"/>
  <c r="TG244" i="26"/>
  <c r="TH243" i="26"/>
  <c r="TG243" i="26"/>
  <c r="TH242" i="26"/>
  <c r="TG242" i="26"/>
  <c r="TH241" i="26"/>
  <c r="TG241" i="26"/>
  <c r="TH240" i="26"/>
  <c r="TG240" i="26"/>
  <c r="TH239" i="26"/>
  <c r="TG239" i="26"/>
  <c r="TH238" i="26"/>
  <c r="TG238" i="26"/>
  <c r="TH237" i="26"/>
  <c r="TG237" i="26"/>
  <c r="TH236" i="26"/>
  <c r="TG236" i="26"/>
  <c r="TH235" i="26"/>
  <c r="TG235" i="26"/>
  <c r="TH234" i="26"/>
  <c r="TG234" i="26"/>
  <c r="TH233" i="26"/>
  <c r="TG233" i="26"/>
  <c r="TH232" i="26"/>
  <c r="TG232" i="26"/>
  <c r="TH231" i="26"/>
  <c r="TG231" i="26"/>
  <c r="TH230" i="26"/>
  <c r="TG230" i="26"/>
  <c r="TH229" i="26"/>
  <c r="TG229" i="26"/>
  <c r="TH228" i="26"/>
  <c r="TG228" i="26"/>
  <c r="TH227" i="26"/>
  <c r="TG227" i="26"/>
  <c r="TG226" i="26"/>
  <c r="TH225" i="26"/>
  <c r="TG225" i="26"/>
  <c r="TG224" i="26"/>
  <c r="TG223" i="26"/>
  <c r="TG222" i="26"/>
  <c r="TG221" i="26"/>
  <c r="TH220" i="26"/>
  <c r="TH219" i="26"/>
  <c r="TG219" i="26"/>
  <c r="TH218" i="26"/>
  <c r="TG218" i="26"/>
  <c r="TH217" i="26"/>
  <c r="TG217" i="26"/>
  <c r="TH216" i="26"/>
  <c r="TG216" i="26"/>
  <c r="TH215" i="26"/>
  <c r="TG215" i="26"/>
  <c r="TH214" i="26"/>
  <c r="TG214" i="26"/>
  <c r="TH213" i="26"/>
  <c r="TH212" i="26"/>
  <c r="TH211" i="26"/>
  <c r="TH210" i="26"/>
  <c r="TG210" i="26"/>
  <c r="TH205" i="26"/>
  <c r="TG205" i="26"/>
  <c r="TH204" i="26"/>
  <c r="TH203" i="26"/>
  <c r="TH202" i="26"/>
  <c r="TH201" i="26"/>
  <c r="TG201" i="26"/>
  <c r="TH200" i="26"/>
  <c r="TG200" i="26"/>
  <c r="TH199" i="26"/>
  <c r="TG199" i="26"/>
  <c r="TH198" i="26"/>
  <c r="TG198" i="26"/>
  <c r="TH197" i="26"/>
  <c r="TG197" i="26"/>
  <c r="TH196" i="26"/>
  <c r="TG196" i="26"/>
  <c r="TH195" i="26"/>
  <c r="TH194" i="26"/>
  <c r="TG194" i="26"/>
  <c r="TH193" i="26"/>
  <c r="TG193" i="26"/>
  <c r="TH192" i="26"/>
  <c r="TG192" i="26"/>
  <c r="TH191" i="26"/>
  <c r="TG191" i="26"/>
  <c r="TH190" i="26"/>
  <c r="TG190" i="26"/>
  <c r="TH189" i="26"/>
  <c r="TG189" i="26"/>
  <c r="TH188" i="26"/>
  <c r="TG188" i="26"/>
  <c r="TH187" i="26"/>
  <c r="TG187" i="26"/>
  <c r="TH186" i="26"/>
  <c r="TG186" i="26"/>
  <c r="TH185" i="26"/>
  <c r="TG185" i="26"/>
  <c r="TH184" i="26"/>
  <c r="TG184" i="26"/>
  <c r="TH183" i="26"/>
  <c r="TG183" i="26"/>
  <c r="TH182" i="26"/>
  <c r="TG182" i="26"/>
  <c r="TH181" i="26"/>
  <c r="TG181" i="26"/>
  <c r="TH180" i="26"/>
  <c r="TG180" i="26"/>
  <c r="TH179" i="26"/>
  <c r="TG179" i="26"/>
  <c r="TH178" i="26"/>
  <c r="TG178" i="26"/>
  <c r="TH177" i="26"/>
  <c r="TG177" i="26"/>
  <c r="TH176" i="26"/>
  <c r="TG176" i="26"/>
  <c r="TH175" i="26"/>
  <c r="TG175" i="26"/>
  <c r="TH174" i="26"/>
  <c r="TG174" i="26"/>
  <c r="TH173" i="26"/>
  <c r="TG173" i="26"/>
  <c r="TH172" i="26"/>
  <c r="TG172" i="26"/>
  <c r="TH171" i="26"/>
  <c r="TG171" i="26"/>
  <c r="TH170" i="26"/>
  <c r="TG170" i="26"/>
  <c r="TH169" i="26"/>
  <c r="TG169" i="26"/>
  <c r="TH168" i="26"/>
  <c r="TG168" i="26"/>
  <c r="TH167" i="26"/>
  <c r="TG167" i="26"/>
  <c r="TH166" i="26"/>
  <c r="TH165" i="26"/>
  <c r="TG165" i="26"/>
  <c r="TH163" i="26"/>
  <c r="TG163" i="26"/>
  <c r="TH162" i="26"/>
  <c r="TG162" i="26"/>
  <c r="TH161" i="26"/>
  <c r="TG161" i="26"/>
  <c r="TG160" i="26"/>
  <c r="TH159" i="26"/>
  <c r="TG159" i="26"/>
  <c r="TH158" i="26"/>
  <c r="TH157" i="26"/>
  <c r="TG157" i="26"/>
  <c r="TH156" i="26"/>
  <c r="TG156" i="26"/>
  <c r="TH155" i="26"/>
  <c r="TG155" i="26"/>
  <c r="TH154" i="26"/>
  <c r="TH153" i="26"/>
  <c r="TG153" i="26"/>
  <c r="TH152" i="26"/>
  <c r="TG152" i="26"/>
  <c r="TH151" i="26"/>
  <c r="TG151" i="26"/>
  <c r="TH150" i="26"/>
  <c r="TH149" i="26"/>
  <c r="TG149" i="26"/>
  <c r="TH146" i="26"/>
  <c r="TG146" i="26"/>
  <c r="TH145" i="26"/>
  <c r="TG145" i="26"/>
  <c r="TH144" i="26"/>
  <c r="TG144" i="26"/>
  <c r="TH143" i="26"/>
  <c r="TG143" i="26"/>
  <c r="TH139" i="26"/>
  <c r="TG139" i="26"/>
  <c r="TH133" i="26"/>
  <c r="TG133" i="26"/>
  <c r="TH132" i="26"/>
  <c r="TG132" i="26"/>
  <c r="TH131" i="26"/>
  <c r="TG131" i="26"/>
  <c r="TH130" i="26"/>
  <c r="TG130" i="26"/>
  <c r="TH129" i="26"/>
  <c r="TG129" i="26"/>
  <c r="TH127" i="26"/>
  <c r="TG127" i="26"/>
  <c r="TH126" i="26"/>
  <c r="TG126" i="26"/>
  <c r="TH125" i="26"/>
  <c r="TG125" i="26"/>
  <c r="TH124" i="26"/>
  <c r="TG124" i="26"/>
  <c r="TH123" i="26"/>
  <c r="TG123" i="26"/>
  <c r="TH122" i="26"/>
  <c r="TG122" i="26"/>
  <c r="TH121" i="26"/>
  <c r="TG121" i="26"/>
  <c r="TH120" i="26"/>
  <c r="TG120" i="26"/>
  <c r="TH119" i="26"/>
  <c r="TG119" i="26"/>
  <c r="TH118" i="26"/>
  <c r="TG118" i="26"/>
  <c r="TH117" i="26"/>
  <c r="TG117" i="26"/>
  <c r="TH116" i="26"/>
  <c r="TG116" i="26"/>
  <c r="TH115" i="26"/>
  <c r="TH114" i="26"/>
  <c r="TG114" i="26"/>
  <c r="TH113" i="26"/>
  <c r="TG113" i="26"/>
  <c r="TH112" i="26"/>
  <c r="TH111" i="26"/>
  <c r="TG111" i="26"/>
  <c r="TH110" i="26"/>
  <c r="TG110" i="26"/>
  <c r="TH109" i="26"/>
  <c r="TG109" i="26"/>
  <c r="TH108" i="26"/>
  <c r="TG108" i="26"/>
  <c r="TH107" i="26"/>
  <c r="TG107" i="26"/>
  <c r="TH106" i="26"/>
  <c r="TG106" i="26"/>
  <c r="TH105" i="26"/>
  <c r="TG105" i="26"/>
  <c r="TH104" i="26"/>
  <c r="TG104" i="26"/>
  <c r="TH103" i="26"/>
  <c r="TG103" i="26"/>
  <c r="TH102" i="26"/>
  <c r="TG102" i="26"/>
  <c r="TH101" i="26"/>
  <c r="TG101" i="26"/>
  <c r="TH100" i="26"/>
  <c r="TG100" i="26"/>
  <c r="TH99" i="26"/>
  <c r="TG99" i="26"/>
  <c r="TH98" i="26"/>
  <c r="TG98" i="26"/>
  <c r="TH97" i="26"/>
  <c r="TG97" i="26"/>
  <c r="TH96" i="26"/>
  <c r="TH95" i="26"/>
  <c r="TG95" i="26"/>
  <c r="TH94" i="26"/>
  <c r="TG94" i="26"/>
  <c r="TH93" i="26"/>
  <c r="TG93" i="26"/>
  <c r="TH92" i="26"/>
  <c r="TG92" i="26"/>
  <c r="TH91" i="26"/>
  <c r="TH90" i="26"/>
  <c r="TG90" i="26"/>
  <c r="TH89" i="26"/>
  <c r="TG89" i="26"/>
  <c r="TH88" i="26"/>
  <c r="TH87" i="26"/>
  <c r="TH86" i="26"/>
  <c r="TH85" i="26"/>
  <c r="TH84" i="26"/>
  <c r="TH83" i="26"/>
  <c r="TH82" i="26"/>
  <c r="TH81" i="26"/>
  <c r="TH80" i="26"/>
  <c r="TH79" i="26"/>
  <c r="TH77" i="26"/>
  <c r="TH76" i="26"/>
  <c r="TG76" i="26"/>
  <c r="TH75" i="26"/>
  <c r="TH74" i="26"/>
  <c r="TH73" i="26"/>
  <c r="TH72" i="26"/>
  <c r="TG72" i="26"/>
  <c r="TH71" i="26"/>
  <c r="TG71" i="26"/>
  <c r="TG70" i="26"/>
  <c r="TG69" i="26"/>
  <c r="TH68" i="26"/>
  <c r="TG68" i="26"/>
  <c r="TG67" i="26"/>
  <c r="TG66" i="26"/>
  <c r="TH65" i="26"/>
  <c r="TG65" i="26"/>
  <c r="TH64" i="26"/>
  <c r="TH62" i="26"/>
  <c r="TG62" i="26"/>
  <c r="TH58" i="26"/>
  <c r="TG58" i="26"/>
  <c r="TH57" i="26"/>
  <c r="TG57" i="26"/>
  <c r="TH56" i="26"/>
  <c r="TG56" i="26"/>
  <c r="TH55" i="26"/>
  <c r="TG55" i="26"/>
  <c r="TH54" i="26"/>
  <c r="TG54" i="26"/>
  <c r="TH53" i="26"/>
  <c r="TG53" i="26"/>
  <c r="TH52" i="26"/>
  <c r="TG52" i="26"/>
  <c r="TH51" i="26"/>
  <c r="TH50" i="26"/>
  <c r="TG50" i="26"/>
  <c r="TH49" i="26"/>
  <c r="TG49" i="26"/>
  <c r="TH48" i="26"/>
  <c r="TG48" i="26"/>
  <c r="TG44" i="26"/>
  <c r="TH43" i="26"/>
  <c r="TG43" i="26"/>
  <c r="TH42" i="26"/>
  <c r="TG42" i="26"/>
  <c r="TH41" i="26"/>
  <c r="TG41" i="26"/>
  <c r="TH40" i="26"/>
  <c r="TG40" i="26"/>
  <c r="TH39" i="26"/>
  <c r="TG39" i="26"/>
  <c r="TH38" i="26"/>
  <c r="TG38" i="26"/>
  <c r="TH37" i="26"/>
  <c r="TG37" i="26"/>
  <c r="TH36" i="26"/>
  <c r="TH35" i="26"/>
  <c r="TH34" i="26"/>
  <c r="TG34" i="26"/>
  <c r="TH33" i="26"/>
  <c r="TG33" i="26"/>
  <c r="TH32" i="26"/>
  <c r="TG32" i="26"/>
  <c r="TH31" i="26"/>
  <c r="TG31" i="26"/>
  <c r="TH30" i="26"/>
  <c r="TG30" i="26"/>
  <c r="TH29" i="26"/>
  <c r="TG29" i="26"/>
  <c r="TG28" i="26"/>
  <c r="TG27" i="26"/>
  <c r="TG26" i="26"/>
  <c r="TG25" i="26"/>
  <c r="TG23" i="26"/>
  <c r="TG21" i="26"/>
  <c r="TH19" i="26"/>
  <c r="TG19" i="26"/>
  <c r="TH18" i="26"/>
  <c r="TG18" i="26"/>
  <c r="TH15" i="26"/>
  <c r="TG15" i="26"/>
  <c r="TH14" i="26"/>
  <c r="TG14" i="26"/>
  <c r="TH13" i="26"/>
  <c r="TG13" i="26"/>
  <c r="TH12" i="26"/>
  <c r="TG12" i="26"/>
  <c r="TH11" i="26"/>
  <c r="TG11" i="26"/>
  <c r="TH10" i="26"/>
  <c r="TG10" i="26"/>
  <c r="TH9" i="26"/>
  <c r="TG9" i="26"/>
  <c r="TH8" i="26"/>
  <c r="TG8" i="26"/>
  <c r="TH7" i="26"/>
  <c r="TG7" i="26"/>
  <c r="TH6" i="26"/>
  <c r="TG6" i="26"/>
  <c r="BM413" i="25"/>
  <c r="BM206" i="25"/>
  <c r="BM63" i="25"/>
  <c r="BO63" i="25" s="1"/>
  <c r="BM79" i="25"/>
  <c r="BO79" i="25" s="1"/>
  <c r="BM168" i="25"/>
  <c r="BO168" i="25" s="1"/>
  <c r="BM224" i="25"/>
  <c r="BO224" i="25" s="1"/>
  <c r="BK25" i="25"/>
  <c r="BK59" i="25"/>
  <c r="BK445" i="25"/>
  <c r="BK167" i="25"/>
  <c r="BK224" i="25"/>
  <c r="BK352" i="25"/>
  <c r="BK168" i="25"/>
  <c r="BK83" i="25"/>
  <c r="BI419" i="25"/>
  <c r="BI61" i="25"/>
  <c r="BI445" i="25"/>
  <c r="BI167" i="25"/>
  <c r="BI162" i="25"/>
  <c r="BG413" i="25"/>
  <c r="BG78" i="25"/>
  <c r="BO78" i="25" s="1"/>
  <c r="BG77" i="25"/>
  <c r="BO77" i="25" s="1"/>
  <c r="BG162" i="25"/>
  <c r="BO162" i="25" s="1"/>
  <c r="BG103" i="25"/>
  <c r="BG96" i="25"/>
  <c r="BG167" i="25"/>
  <c r="BG160" i="25"/>
  <c r="BO160" i="25" s="1"/>
  <c r="BG60" i="25"/>
  <c r="BO60" i="25" s="1"/>
  <c r="BG445" i="25"/>
  <c r="BE96" i="25"/>
  <c r="BE163" i="25"/>
  <c r="BE61" i="25"/>
  <c r="BO61" i="25" s="1"/>
  <c r="BE167" i="25"/>
  <c r="BE445" i="25"/>
  <c r="BD371" i="25"/>
  <c r="BP371" i="25" s="1"/>
  <c r="BD362" i="25"/>
  <c r="BP362" i="25" s="1"/>
  <c r="BD363" i="25"/>
  <c r="BP363" i="25" s="1"/>
  <c r="BD361" i="25"/>
  <c r="BP361" i="25" s="1"/>
  <c r="BC163" i="25"/>
  <c r="BC445" i="25"/>
  <c r="U445" i="25"/>
  <c r="U163" i="25"/>
  <c r="U296" i="25"/>
  <c r="BO296" i="25" s="1"/>
  <c r="S306" i="25"/>
  <c r="BO306" i="25" s="1"/>
  <c r="S163" i="25"/>
  <c r="S413" i="25"/>
  <c r="S445" i="25"/>
  <c r="Q163" i="25"/>
  <c r="Q6" i="25"/>
  <c r="P411" i="25"/>
  <c r="BP411" i="25" s="1"/>
  <c r="O163" i="25"/>
  <c r="O90" i="25"/>
  <c r="O411" i="25"/>
  <c r="O208" i="25"/>
  <c r="BO208" i="25" s="1"/>
  <c r="O206" i="25"/>
  <c r="O211" i="25"/>
  <c r="BO211" i="25" s="1"/>
  <c r="M163" i="25"/>
  <c r="M90" i="25"/>
  <c r="M411" i="25"/>
  <c r="M210" i="25"/>
  <c r="BO210" i="25" s="1"/>
  <c r="G411" i="25"/>
  <c r="G90" i="25"/>
  <c r="G6" i="25"/>
  <c r="G207" i="25"/>
  <c r="BO207" i="25" s="1"/>
  <c r="E90" i="25"/>
  <c r="E445" i="25"/>
  <c r="E411" i="25"/>
  <c r="C573" i="25"/>
  <c r="C570" i="25"/>
  <c r="C565" i="25"/>
  <c r="C563" i="25"/>
  <c r="C560" i="25"/>
  <c r="C558" i="25"/>
  <c r="C251" i="25"/>
  <c r="BP578" i="25"/>
  <c r="BO578" i="25"/>
  <c r="BP577" i="25"/>
  <c r="BO577" i="25"/>
  <c r="BP576" i="25"/>
  <c r="BO576" i="25"/>
  <c r="BP575" i="25"/>
  <c r="BP574" i="25"/>
  <c r="BO574" i="25"/>
  <c r="BP573" i="25"/>
  <c r="BO573" i="25"/>
  <c r="BP572" i="25"/>
  <c r="BO572" i="25"/>
  <c r="BP571" i="25"/>
  <c r="BO571" i="25"/>
  <c r="BP570" i="25"/>
  <c r="BO570" i="25"/>
  <c r="BP569" i="25"/>
  <c r="BO569" i="25"/>
  <c r="BP568" i="25"/>
  <c r="BO568" i="25"/>
  <c r="BP567" i="25"/>
  <c r="BO567" i="25"/>
  <c r="BP566" i="25"/>
  <c r="BO566" i="25"/>
  <c r="BP565" i="25"/>
  <c r="BO565" i="25"/>
  <c r="BP564" i="25"/>
  <c r="BO564" i="25"/>
  <c r="BP563" i="25"/>
  <c r="BO563" i="25"/>
  <c r="BP562" i="25"/>
  <c r="BO562" i="25"/>
  <c r="BP561" i="25"/>
  <c r="BO561" i="25"/>
  <c r="BP560" i="25"/>
  <c r="BO560" i="25"/>
  <c r="BP559" i="25"/>
  <c r="BO559" i="25"/>
  <c r="BP558" i="25"/>
  <c r="BO558" i="25"/>
  <c r="BP557" i="25"/>
  <c r="BO557" i="25"/>
  <c r="BP556" i="25"/>
  <c r="BO556" i="25"/>
  <c r="BP555" i="25"/>
  <c r="BO555" i="25"/>
  <c r="BP554" i="25"/>
  <c r="BO554" i="25"/>
  <c r="BP553" i="25"/>
  <c r="BO553" i="25"/>
  <c r="BP552" i="25"/>
  <c r="BO552" i="25"/>
  <c r="BP551" i="25"/>
  <c r="BO551" i="25"/>
  <c r="BP550" i="25"/>
  <c r="BO550" i="25"/>
  <c r="BP549" i="25"/>
  <c r="BO549" i="25"/>
  <c r="BP548" i="25"/>
  <c r="BO548" i="25"/>
  <c r="BP547" i="25"/>
  <c r="BO547" i="25"/>
  <c r="BP546" i="25"/>
  <c r="BO546" i="25"/>
  <c r="BP545" i="25"/>
  <c r="BO545" i="25"/>
  <c r="BP544" i="25"/>
  <c r="BO544" i="25"/>
  <c r="BP543" i="25"/>
  <c r="BO543" i="25"/>
  <c r="BP542" i="25"/>
  <c r="BO542" i="25"/>
  <c r="BP541" i="25"/>
  <c r="BO541" i="25"/>
  <c r="BP540" i="25"/>
  <c r="BO540" i="25"/>
  <c r="BP539" i="25"/>
  <c r="BO539" i="25"/>
  <c r="BP538" i="25"/>
  <c r="BO538" i="25"/>
  <c r="BP537" i="25"/>
  <c r="BO537" i="25"/>
  <c r="BP536" i="25"/>
  <c r="BO536" i="25"/>
  <c r="BP535" i="25"/>
  <c r="BO535" i="25"/>
  <c r="BP534" i="25"/>
  <c r="BO534" i="25"/>
  <c r="BP533" i="25"/>
  <c r="BO533" i="25"/>
  <c r="BP532" i="25"/>
  <c r="BO532" i="25"/>
  <c r="BP531" i="25"/>
  <c r="BO531" i="25"/>
  <c r="BP530" i="25"/>
  <c r="BO530" i="25"/>
  <c r="BP529" i="25"/>
  <c r="BO529" i="25"/>
  <c r="BP528" i="25"/>
  <c r="BO528" i="25"/>
  <c r="BP527" i="25"/>
  <c r="BO527" i="25"/>
  <c r="BP526" i="25"/>
  <c r="BO526" i="25"/>
  <c r="BP525" i="25"/>
  <c r="BO525" i="25"/>
  <c r="BP524" i="25"/>
  <c r="BO524" i="25"/>
  <c r="BP523" i="25"/>
  <c r="BO523" i="25"/>
  <c r="BP522" i="25"/>
  <c r="BO522" i="25"/>
  <c r="BP521" i="25"/>
  <c r="BO521" i="25"/>
  <c r="BP520" i="25"/>
  <c r="BO520" i="25"/>
  <c r="BP519" i="25"/>
  <c r="BO519" i="25"/>
  <c r="BP518" i="25"/>
  <c r="BO518" i="25"/>
  <c r="BP517" i="25"/>
  <c r="BO517" i="25"/>
  <c r="BP516" i="25"/>
  <c r="BO516" i="25"/>
  <c r="BP515" i="25"/>
  <c r="BO515" i="25"/>
  <c r="BP514" i="25"/>
  <c r="BO514" i="25"/>
  <c r="BP513" i="25"/>
  <c r="BO513" i="25"/>
  <c r="BP512" i="25"/>
  <c r="BO512" i="25"/>
  <c r="BP511" i="25"/>
  <c r="BO511" i="25"/>
  <c r="BP510" i="25"/>
  <c r="BO510" i="25"/>
  <c r="BP509" i="25"/>
  <c r="BO509" i="25"/>
  <c r="BP508" i="25"/>
  <c r="BO508" i="25"/>
  <c r="BP507" i="25"/>
  <c r="BO507" i="25"/>
  <c r="BP506" i="25"/>
  <c r="BO506" i="25"/>
  <c r="BP505" i="25"/>
  <c r="BO505" i="25"/>
  <c r="BP504" i="25"/>
  <c r="BO504" i="25"/>
  <c r="BP503" i="25"/>
  <c r="BO503" i="25"/>
  <c r="BP502" i="25"/>
  <c r="BO502" i="25"/>
  <c r="BP501" i="25"/>
  <c r="BO501" i="25"/>
  <c r="BP500" i="25"/>
  <c r="BO500" i="25"/>
  <c r="BP499" i="25"/>
  <c r="BO499" i="25"/>
  <c r="BP498" i="25"/>
  <c r="BO498" i="25"/>
  <c r="BP497" i="25"/>
  <c r="BO497" i="25"/>
  <c r="BP496" i="25"/>
  <c r="BO496" i="25"/>
  <c r="BP495" i="25"/>
  <c r="BO495" i="25"/>
  <c r="BP494" i="25"/>
  <c r="BO494" i="25"/>
  <c r="BP493" i="25"/>
  <c r="BO493" i="25"/>
  <c r="BP492" i="25"/>
  <c r="BO492" i="25"/>
  <c r="BP491" i="25"/>
  <c r="BO491" i="25"/>
  <c r="BP490" i="25"/>
  <c r="BO490" i="25"/>
  <c r="BP489" i="25"/>
  <c r="BO489" i="25"/>
  <c r="BP488" i="25"/>
  <c r="BO488" i="25"/>
  <c r="BP487" i="25"/>
  <c r="BO487" i="25"/>
  <c r="BP486" i="25"/>
  <c r="BO486" i="25"/>
  <c r="BP485" i="25"/>
  <c r="BO485" i="25"/>
  <c r="BP484" i="25"/>
  <c r="BO484" i="25"/>
  <c r="BP483" i="25"/>
  <c r="BO483" i="25"/>
  <c r="BP482" i="25"/>
  <c r="BO482" i="25"/>
  <c r="BP481" i="25"/>
  <c r="BO481" i="25"/>
  <c r="BP480" i="25"/>
  <c r="BO480" i="25"/>
  <c r="BP479" i="25"/>
  <c r="BO479" i="25"/>
  <c r="BP478" i="25"/>
  <c r="BO478" i="25"/>
  <c r="BP477" i="25"/>
  <c r="BO477" i="25"/>
  <c r="BP476" i="25"/>
  <c r="BO476" i="25"/>
  <c r="BP475" i="25"/>
  <c r="BO475" i="25"/>
  <c r="BP474" i="25"/>
  <c r="BO474" i="25"/>
  <c r="BP473" i="25"/>
  <c r="BO473" i="25"/>
  <c r="BP472" i="25"/>
  <c r="BO472" i="25"/>
  <c r="BP471" i="25"/>
  <c r="BO471" i="25"/>
  <c r="BP470" i="25"/>
  <c r="BO470" i="25"/>
  <c r="BP469" i="25"/>
  <c r="BO469" i="25"/>
  <c r="BP468" i="25"/>
  <c r="BO468" i="25"/>
  <c r="BP467" i="25"/>
  <c r="BO467" i="25"/>
  <c r="BP466" i="25"/>
  <c r="BO466" i="25"/>
  <c r="BP465" i="25"/>
  <c r="BO465" i="25"/>
  <c r="BP464" i="25"/>
  <c r="BO464" i="25"/>
  <c r="BP463" i="25"/>
  <c r="BO463" i="25"/>
  <c r="BP462" i="25"/>
  <c r="BO462" i="25"/>
  <c r="BP461" i="25"/>
  <c r="BO461" i="25"/>
  <c r="BP460" i="25"/>
  <c r="BO460" i="25"/>
  <c r="BP459" i="25"/>
  <c r="BO459" i="25"/>
  <c r="BP458" i="25"/>
  <c r="BO458" i="25"/>
  <c r="BP457" i="25"/>
  <c r="BO457" i="25"/>
  <c r="BP456" i="25"/>
  <c r="BO456" i="25"/>
  <c r="BP455" i="25"/>
  <c r="BO455" i="25"/>
  <c r="BP454" i="25"/>
  <c r="BO454" i="25"/>
  <c r="BP453" i="25"/>
  <c r="BO453" i="25"/>
  <c r="BP452" i="25"/>
  <c r="BO452" i="25"/>
  <c r="BP451" i="25"/>
  <c r="BO451" i="25"/>
  <c r="BP450" i="25"/>
  <c r="BO450" i="25"/>
  <c r="BP449" i="25"/>
  <c r="BO449" i="25"/>
  <c r="BP448" i="25"/>
  <c r="BO448" i="25"/>
  <c r="BP447" i="25"/>
  <c r="BO447" i="25"/>
  <c r="BP446" i="25"/>
  <c r="BO446" i="25"/>
  <c r="BP445" i="25"/>
  <c r="BP444" i="25"/>
  <c r="BO444" i="25"/>
  <c r="BP443" i="25"/>
  <c r="BO443" i="25"/>
  <c r="BP442" i="25"/>
  <c r="BO442" i="25"/>
  <c r="BP441" i="25"/>
  <c r="BO441" i="25"/>
  <c r="BP440" i="25"/>
  <c r="BO440" i="25"/>
  <c r="BP439" i="25"/>
  <c r="BO439" i="25"/>
  <c r="BP438" i="25"/>
  <c r="BO438" i="25"/>
  <c r="BP437" i="25"/>
  <c r="BO437" i="25"/>
  <c r="BP436" i="25"/>
  <c r="BO436" i="25"/>
  <c r="BP435" i="25"/>
  <c r="BO435" i="25"/>
  <c r="BP434" i="25"/>
  <c r="BO434" i="25"/>
  <c r="BP433" i="25"/>
  <c r="BO433" i="25"/>
  <c r="BP432" i="25"/>
  <c r="BO432" i="25"/>
  <c r="BP431" i="25"/>
  <c r="BO431" i="25"/>
  <c r="BP430" i="25"/>
  <c r="BO430" i="25"/>
  <c r="BP429" i="25"/>
  <c r="BO429" i="25"/>
  <c r="BP428" i="25"/>
  <c r="BO428" i="25"/>
  <c r="BP427" i="25"/>
  <c r="BO427" i="25"/>
  <c r="BP426" i="25"/>
  <c r="BO426" i="25"/>
  <c r="BP425" i="25"/>
  <c r="BO425" i="25"/>
  <c r="BP424" i="25"/>
  <c r="BO424" i="25"/>
  <c r="BP423" i="25"/>
  <c r="BO423" i="25"/>
  <c r="BP422" i="25"/>
  <c r="BO422" i="25"/>
  <c r="BP421" i="25"/>
  <c r="BO421" i="25"/>
  <c r="BP420" i="25"/>
  <c r="BO420" i="25"/>
  <c r="BP419" i="25"/>
  <c r="BO419" i="25"/>
  <c r="BP418" i="25"/>
  <c r="BO418" i="25"/>
  <c r="BP417" i="25"/>
  <c r="BO417" i="25"/>
  <c r="BP416" i="25"/>
  <c r="BO416" i="25"/>
  <c r="BP415" i="25"/>
  <c r="BO415" i="25"/>
  <c r="BP414" i="25"/>
  <c r="BO414" i="25"/>
  <c r="BP413" i="25"/>
  <c r="BP412" i="25"/>
  <c r="BO412" i="25"/>
  <c r="BP410" i="25"/>
  <c r="BO410" i="25"/>
  <c r="BP409" i="25"/>
  <c r="BO409" i="25"/>
  <c r="BP408" i="25"/>
  <c r="BO408" i="25"/>
  <c r="BP407" i="25"/>
  <c r="BO407" i="25"/>
  <c r="BP406" i="25"/>
  <c r="BO406" i="25"/>
  <c r="BP405" i="25"/>
  <c r="BO405" i="25"/>
  <c r="BP404" i="25"/>
  <c r="BO404" i="25"/>
  <c r="BP403" i="25"/>
  <c r="BO403" i="25"/>
  <c r="BP402" i="25"/>
  <c r="BO402" i="25"/>
  <c r="BP401" i="25"/>
  <c r="BO401" i="25"/>
  <c r="BP400" i="25"/>
  <c r="BO400" i="25"/>
  <c r="BP399" i="25"/>
  <c r="BO399" i="25"/>
  <c r="BP398" i="25"/>
  <c r="BO398" i="25"/>
  <c r="BP397" i="25"/>
  <c r="BO397" i="25"/>
  <c r="BP396" i="25"/>
  <c r="BO396" i="25"/>
  <c r="BP395" i="25"/>
  <c r="BO395" i="25"/>
  <c r="BP394" i="25"/>
  <c r="BO394" i="25"/>
  <c r="BP393" i="25"/>
  <c r="BO393" i="25"/>
  <c r="BP392" i="25"/>
  <c r="BO392" i="25"/>
  <c r="BP391" i="25"/>
  <c r="BO391" i="25"/>
  <c r="BP390" i="25"/>
  <c r="BO390" i="25"/>
  <c r="BP389" i="25"/>
  <c r="BO389" i="25"/>
  <c r="BP388" i="25"/>
  <c r="BO388" i="25"/>
  <c r="BP387" i="25"/>
  <c r="BO387" i="25"/>
  <c r="BP386" i="25"/>
  <c r="BO386" i="25"/>
  <c r="BP385" i="25"/>
  <c r="BO385" i="25"/>
  <c r="BP384" i="25"/>
  <c r="BO384" i="25"/>
  <c r="BP383" i="25"/>
  <c r="BO383" i="25"/>
  <c r="BP382" i="25"/>
  <c r="BO382" i="25"/>
  <c r="BP381" i="25"/>
  <c r="BO381" i="25"/>
  <c r="BP380" i="25"/>
  <c r="BO380" i="25"/>
  <c r="BP379" i="25"/>
  <c r="BO379" i="25"/>
  <c r="BP378" i="25"/>
  <c r="BO378" i="25"/>
  <c r="BP377" i="25"/>
  <c r="BO377" i="25"/>
  <c r="BP376" i="25"/>
  <c r="BO376" i="25"/>
  <c r="BP375" i="25"/>
  <c r="BO375" i="25"/>
  <c r="BP374" i="25"/>
  <c r="BO374" i="25"/>
  <c r="BP373" i="25"/>
  <c r="BO373" i="25"/>
  <c r="BP372" i="25"/>
  <c r="BO372" i="25"/>
  <c r="BO371" i="25"/>
  <c r="BP370" i="25"/>
  <c r="BO370" i="25"/>
  <c r="BP369" i="25"/>
  <c r="BO369" i="25"/>
  <c r="BP368" i="25"/>
  <c r="BO368" i="25"/>
  <c r="BP367" i="25"/>
  <c r="BO367" i="25"/>
  <c r="BP366" i="25"/>
  <c r="BO366" i="25"/>
  <c r="BP365" i="25"/>
  <c r="BO365" i="25"/>
  <c r="BP364" i="25"/>
  <c r="BO364" i="25"/>
  <c r="BO363" i="25"/>
  <c r="BO362" i="25"/>
  <c r="BO361" i="25"/>
  <c r="BP360" i="25"/>
  <c r="BO360" i="25"/>
  <c r="BP359" i="25"/>
  <c r="BO359" i="25"/>
  <c r="BP358" i="25"/>
  <c r="BO358" i="25"/>
  <c r="BP357" i="25"/>
  <c r="BO357" i="25"/>
  <c r="BP356" i="25"/>
  <c r="BO356" i="25"/>
  <c r="BP355" i="25"/>
  <c r="BO355" i="25"/>
  <c r="BP354" i="25"/>
  <c r="BO354" i="25"/>
  <c r="BP353" i="25"/>
  <c r="BO353" i="25"/>
  <c r="BP352" i="25"/>
  <c r="BO352" i="25"/>
  <c r="BP351" i="25"/>
  <c r="BO351" i="25"/>
  <c r="BP350" i="25"/>
  <c r="BO350" i="25"/>
  <c r="BP349" i="25"/>
  <c r="BO349" i="25"/>
  <c r="BP348" i="25"/>
  <c r="BO348" i="25"/>
  <c r="BP347" i="25"/>
  <c r="BO347" i="25"/>
  <c r="BP346" i="25"/>
  <c r="BO346" i="25"/>
  <c r="BP345" i="25"/>
  <c r="BO345" i="25"/>
  <c r="BP344" i="25"/>
  <c r="BO344" i="25"/>
  <c r="BP343" i="25"/>
  <c r="BO343" i="25"/>
  <c r="BP342" i="25"/>
  <c r="BO342" i="25"/>
  <c r="BP341" i="25"/>
  <c r="BO341" i="25"/>
  <c r="BP340" i="25"/>
  <c r="BO340" i="25"/>
  <c r="BP339" i="25"/>
  <c r="BO339" i="25"/>
  <c r="BP338" i="25"/>
  <c r="BO338" i="25"/>
  <c r="BP337" i="25"/>
  <c r="BO337" i="25"/>
  <c r="BP336" i="25"/>
  <c r="BO336" i="25"/>
  <c r="BP335" i="25"/>
  <c r="BO335" i="25"/>
  <c r="BP334" i="25"/>
  <c r="BO334" i="25"/>
  <c r="BP333" i="25"/>
  <c r="BO333" i="25"/>
  <c r="BP332" i="25"/>
  <c r="BO332" i="25"/>
  <c r="BP331" i="25"/>
  <c r="BO331" i="25"/>
  <c r="BP330" i="25"/>
  <c r="BO330" i="25"/>
  <c r="BP329" i="25"/>
  <c r="BO329" i="25"/>
  <c r="BP328" i="25"/>
  <c r="BO328" i="25"/>
  <c r="BP327" i="25"/>
  <c r="BO327" i="25"/>
  <c r="BP326" i="25"/>
  <c r="BO326" i="25"/>
  <c r="BP325" i="25"/>
  <c r="BO325" i="25"/>
  <c r="BP324" i="25"/>
  <c r="BO324" i="25"/>
  <c r="BP323" i="25"/>
  <c r="BO323" i="25"/>
  <c r="BP319" i="25"/>
  <c r="BO319" i="25"/>
  <c r="BP318" i="25"/>
  <c r="BO318" i="25"/>
  <c r="BP317" i="25"/>
  <c r="BO317" i="25"/>
  <c r="BP316" i="25"/>
  <c r="BO316" i="25"/>
  <c r="BP315" i="25"/>
  <c r="BO315" i="25"/>
  <c r="BP314" i="25"/>
  <c r="BO314" i="25"/>
  <c r="BP313" i="25"/>
  <c r="BO313" i="25"/>
  <c r="BP312" i="25"/>
  <c r="BO312" i="25"/>
  <c r="BP311" i="25"/>
  <c r="BO311" i="25"/>
  <c r="BP310" i="25"/>
  <c r="BO310" i="25"/>
  <c r="BP309" i="25"/>
  <c r="BO309" i="25"/>
  <c r="BP308" i="25"/>
  <c r="BO308" i="25"/>
  <c r="BP307" i="25"/>
  <c r="BO307" i="25"/>
  <c r="BP306" i="25"/>
  <c r="BP305" i="25"/>
  <c r="BO305" i="25"/>
  <c r="BP304" i="25"/>
  <c r="BO304" i="25"/>
  <c r="BP303" i="25"/>
  <c r="BO303" i="25"/>
  <c r="BP302" i="25"/>
  <c r="BO302" i="25"/>
  <c r="BP301" i="25"/>
  <c r="BO301" i="25"/>
  <c r="BP300" i="25"/>
  <c r="BO300" i="25"/>
  <c r="BP299" i="25"/>
  <c r="BO299" i="25"/>
  <c r="BP298" i="25"/>
  <c r="BO298" i="25"/>
  <c r="BP297" i="25"/>
  <c r="BO297" i="25"/>
  <c r="BP296" i="25"/>
  <c r="BP295" i="25"/>
  <c r="BO295" i="25"/>
  <c r="BP294" i="25"/>
  <c r="BO294" i="25"/>
  <c r="BP293" i="25"/>
  <c r="BO293" i="25"/>
  <c r="BP292" i="25"/>
  <c r="BO292" i="25"/>
  <c r="BP291" i="25"/>
  <c r="BO291" i="25"/>
  <c r="BP290" i="25"/>
  <c r="BO290" i="25"/>
  <c r="BP289" i="25"/>
  <c r="BO289" i="25"/>
  <c r="BP288" i="25"/>
  <c r="BO288" i="25"/>
  <c r="BP287" i="25"/>
  <c r="BO287" i="25"/>
  <c r="BP286" i="25"/>
  <c r="BO286" i="25"/>
  <c r="BP285" i="25"/>
  <c r="BO285" i="25"/>
  <c r="BP284" i="25"/>
  <c r="BO284" i="25"/>
  <c r="BP283" i="25"/>
  <c r="BO283" i="25"/>
  <c r="BP282" i="25"/>
  <c r="BO282" i="25"/>
  <c r="BP281" i="25"/>
  <c r="BO281" i="25"/>
  <c r="BP280" i="25"/>
  <c r="BO280" i="25"/>
  <c r="BP279" i="25"/>
  <c r="BO279" i="25"/>
  <c r="BP278" i="25"/>
  <c r="BO278" i="25"/>
  <c r="BP277" i="25"/>
  <c r="BO277" i="25"/>
  <c r="BP276" i="25"/>
  <c r="BO276" i="25"/>
  <c r="BP275" i="25"/>
  <c r="BO275" i="25"/>
  <c r="BP274" i="25"/>
  <c r="BO274" i="25"/>
  <c r="BP273" i="25"/>
  <c r="BO273" i="25"/>
  <c r="BP272" i="25"/>
  <c r="BO272" i="25"/>
  <c r="BP271" i="25"/>
  <c r="BO271" i="25"/>
  <c r="BP270" i="25"/>
  <c r="BO270" i="25"/>
  <c r="BP269" i="25"/>
  <c r="BO269" i="25"/>
  <c r="BP268" i="25"/>
  <c r="BO268" i="25"/>
  <c r="BP267" i="25"/>
  <c r="BO267" i="25"/>
  <c r="BP266" i="25"/>
  <c r="BO266" i="25"/>
  <c r="BP265" i="25"/>
  <c r="BO265" i="25"/>
  <c r="BP264" i="25"/>
  <c r="BO264" i="25"/>
  <c r="BP263" i="25"/>
  <c r="BO263" i="25"/>
  <c r="BP262" i="25"/>
  <c r="BO262" i="25"/>
  <c r="BP261" i="25"/>
  <c r="BO261" i="25"/>
  <c r="BP260" i="25"/>
  <c r="BO260" i="25"/>
  <c r="BP259" i="25"/>
  <c r="BO259" i="25"/>
  <c r="BP258" i="25"/>
  <c r="BO258" i="25"/>
  <c r="BP257" i="25"/>
  <c r="BO257" i="25"/>
  <c r="BP256" i="25"/>
  <c r="BO256" i="25"/>
  <c r="BP255" i="25"/>
  <c r="BO255" i="25"/>
  <c r="BP254" i="25"/>
  <c r="BO254" i="25"/>
  <c r="BP253" i="25"/>
  <c r="BO253" i="25"/>
  <c r="BP252" i="25"/>
  <c r="BO252" i="25"/>
  <c r="BP250" i="25"/>
  <c r="BO250" i="25"/>
  <c r="BP249" i="25"/>
  <c r="BO249" i="25"/>
  <c r="BP248" i="25"/>
  <c r="BO248" i="25"/>
  <c r="BP247" i="25"/>
  <c r="BO247" i="25"/>
  <c r="BP246" i="25"/>
  <c r="BO246" i="25"/>
  <c r="BP245" i="25"/>
  <c r="BO245" i="25"/>
  <c r="BP244" i="25"/>
  <c r="BO244" i="25"/>
  <c r="BP243" i="25"/>
  <c r="BO243" i="25"/>
  <c r="BP242" i="25"/>
  <c r="BO242" i="25"/>
  <c r="BP241" i="25"/>
  <c r="BO241" i="25"/>
  <c r="BP240" i="25"/>
  <c r="BO240" i="25"/>
  <c r="BP239" i="25"/>
  <c r="BO239" i="25"/>
  <c r="BP238" i="25"/>
  <c r="BO238" i="25"/>
  <c r="BP237" i="25"/>
  <c r="BO237" i="25"/>
  <c r="BP236" i="25"/>
  <c r="BO236" i="25"/>
  <c r="BP235" i="25"/>
  <c r="BO235" i="25"/>
  <c r="BP234" i="25"/>
  <c r="BO234" i="25"/>
  <c r="BP233" i="25"/>
  <c r="BO233" i="25"/>
  <c r="BP232" i="25"/>
  <c r="BO232" i="25"/>
  <c r="BP231" i="25"/>
  <c r="BO231" i="25"/>
  <c r="BP230" i="25"/>
  <c r="BO230" i="25"/>
  <c r="BP229" i="25"/>
  <c r="BO229" i="25"/>
  <c r="BP228" i="25"/>
  <c r="BO228" i="25"/>
  <c r="BP227" i="25"/>
  <c r="BO227" i="25"/>
  <c r="BP226" i="25"/>
  <c r="BO226" i="25"/>
  <c r="BP225" i="25"/>
  <c r="BO225" i="25"/>
  <c r="BP224" i="25"/>
  <c r="BP223" i="25"/>
  <c r="BO223" i="25"/>
  <c r="BP222" i="25"/>
  <c r="BO222" i="25"/>
  <c r="BP221" i="25"/>
  <c r="BO221" i="25"/>
  <c r="BP220" i="25"/>
  <c r="BO220" i="25"/>
  <c r="BP219" i="25"/>
  <c r="BO219" i="25"/>
  <c r="BP218" i="25"/>
  <c r="BO218" i="25"/>
  <c r="BP217" i="25"/>
  <c r="BO217" i="25"/>
  <c r="BP216" i="25"/>
  <c r="BO216" i="25"/>
  <c r="BP215" i="25"/>
  <c r="BO215" i="25"/>
  <c r="BP214" i="25"/>
  <c r="BO214" i="25"/>
  <c r="BP213" i="25"/>
  <c r="BO213" i="25"/>
  <c r="BP212" i="25"/>
  <c r="BO212" i="25"/>
  <c r="BP211" i="25"/>
  <c r="BP210" i="25"/>
  <c r="BP209" i="25"/>
  <c r="BO209" i="25"/>
  <c r="BP208" i="25"/>
  <c r="BP207" i="25"/>
  <c r="BP206" i="25"/>
  <c r="BP205" i="25"/>
  <c r="BO205" i="25"/>
  <c r="BP204" i="25"/>
  <c r="BO204" i="25"/>
  <c r="BP203" i="25"/>
  <c r="BO203" i="25"/>
  <c r="BP202" i="25"/>
  <c r="BO202" i="25"/>
  <c r="BP201" i="25"/>
  <c r="BO201" i="25"/>
  <c r="BP200" i="25"/>
  <c r="BO200" i="25"/>
  <c r="BP199" i="25"/>
  <c r="BO199" i="25"/>
  <c r="BP198" i="25"/>
  <c r="BO198" i="25"/>
  <c r="BP197" i="25"/>
  <c r="BO197" i="25"/>
  <c r="BP196" i="25"/>
  <c r="BO196" i="25"/>
  <c r="BP195" i="25"/>
  <c r="BO195" i="25"/>
  <c r="BP194" i="25"/>
  <c r="BO194" i="25"/>
  <c r="BP193" i="25"/>
  <c r="BO193" i="25"/>
  <c r="BP192" i="25"/>
  <c r="BO192" i="25"/>
  <c r="BP191" i="25"/>
  <c r="BO191" i="25"/>
  <c r="BP190" i="25"/>
  <c r="BO190" i="25"/>
  <c r="BP189" i="25"/>
  <c r="BO189" i="25"/>
  <c r="BP188" i="25"/>
  <c r="BO188" i="25"/>
  <c r="BP187" i="25"/>
  <c r="BO187" i="25"/>
  <c r="BP186" i="25"/>
  <c r="BO186" i="25"/>
  <c r="BP185" i="25"/>
  <c r="BO185" i="25"/>
  <c r="BP184" i="25"/>
  <c r="BO184" i="25"/>
  <c r="BP183" i="25"/>
  <c r="BO183" i="25"/>
  <c r="BP182" i="25"/>
  <c r="BO182" i="25"/>
  <c r="BP181" i="25"/>
  <c r="BO181" i="25"/>
  <c r="BP180" i="25"/>
  <c r="BO180" i="25"/>
  <c r="BP179" i="25"/>
  <c r="BO179" i="25"/>
  <c r="BP178" i="25"/>
  <c r="BP177" i="25"/>
  <c r="BP176" i="25"/>
  <c r="BP175" i="25"/>
  <c r="BP174" i="25"/>
  <c r="BP173" i="25"/>
  <c r="BP172" i="25"/>
  <c r="BP171" i="25"/>
  <c r="BO171" i="25"/>
  <c r="BP170" i="25"/>
  <c r="BO170" i="25"/>
  <c r="BP169" i="25"/>
  <c r="BO169" i="25"/>
  <c r="BP168" i="25"/>
  <c r="BP167" i="25"/>
  <c r="BP166" i="25"/>
  <c r="BO166" i="25"/>
  <c r="BP165" i="25"/>
  <c r="BO165" i="25"/>
  <c r="BP164" i="25"/>
  <c r="BO164" i="25"/>
  <c r="BP163" i="25"/>
  <c r="BP162" i="25"/>
  <c r="BP161" i="25"/>
  <c r="BO161" i="25"/>
  <c r="BP160" i="25"/>
  <c r="BP159" i="25"/>
  <c r="BO159" i="25"/>
  <c r="BP158" i="25"/>
  <c r="BO158" i="25"/>
  <c r="BP157" i="25"/>
  <c r="BO157" i="25"/>
  <c r="BP156" i="25"/>
  <c r="BO156" i="25"/>
  <c r="BP155" i="25"/>
  <c r="BO155" i="25"/>
  <c r="BP154" i="25"/>
  <c r="BO154" i="25"/>
  <c r="BP153" i="25"/>
  <c r="BO153" i="25"/>
  <c r="BP152" i="25"/>
  <c r="BO152" i="25"/>
  <c r="BP151" i="25"/>
  <c r="BO151" i="25"/>
  <c r="BP150" i="25"/>
  <c r="BO150" i="25"/>
  <c r="BP149" i="25"/>
  <c r="BO149" i="25"/>
  <c r="BP148" i="25"/>
  <c r="BO148" i="25"/>
  <c r="BP147" i="25"/>
  <c r="BO147" i="25"/>
  <c r="BP146" i="25"/>
  <c r="BO146" i="25"/>
  <c r="BP145" i="25"/>
  <c r="BO145" i="25"/>
  <c r="BP144" i="25"/>
  <c r="BO144" i="25"/>
  <c r="BP143" i="25"/>
  <c r="BO143" i="25"/>
  <c r="BP142" i="25"/>
  <c r="BO142" i="25"/>
  <c r="BP141" i="25"/>
  <c r="BO141" i="25"/>
  <c r="BP140" i="25"/>
  <c r="BO140" i="25"/>
  <c r="BP139" i="25"/>
  <c r="BO139" i="25"/>
  <c r="BP138" i="25"/>
  <c r="BO138" i="25"/>
  <c r="BP137" i="25"/>
  <c r="BO137" i="25"/>
  <c r="BP136" i="25"/>
  <c r="BO136" i="25"/>
  <c r="BP135" i="25"/>
  <c r="BO135" i="25"/>
  <c r="BP134" i="25"/>
  <c r="BO134" i="25"/>
  <c r="BP133" i="25"/>
  <c r="BO133" i="25"/>
  <c r="BP132" i="25"/>
  <c r="BO132" i="25"/>
  <c r="BP131" i="25"/>
  <c r="BO131" i="25"/>
  <c r="BP130" i="25"/>
  <c r="BO130" i="25"/>
  <c r="BP129" i="25"/>
  <c r="BO129" i="25"/>
  <c r="BP128" i="25"/>
  <c r="BO128" i="25"/>
  <c r="BP127" i="25"/>
  <c r="BO127" i="25"/>
  <c r="BP126" i="25"/>
  <c r="BO126" i="25"/>
  <c r="BP125" i="25"/>
  <c r="BO125" i="25"/>
  <c r="BP124" i="25"/>
  <c r="BO124" i="25"/>
  <c r="BP123" i="25"/>
  <c r="BO123" i="25"/>
  <c r="BP122" i="25"/>
  <c r="BO122" i="25"/>
  <c r="BP121" i="25"/>
  <c r="BO121" i="25"/>
  <c r="BP120" i="25"/>
  <c r="BO120" i="25"/>
  <c r="BP119" i="25"/>
  <c r="BO119" i="25"/>
  <c r="BP118" i="25"/>
  <c r="BO118" i="25"/>
  <c r="BP117" i="25"/>
  <c r="BO117" i="25"/>
  <c r="BP116" i="25"/>
  <c r="BO116" i="25"/>
  <c r="BP115" i="25"/>
  <c r="BO115" i="25"/>
  <c r="BP114" i="25"/>
  <c r="BO114" i="25"/>
  <c r="BP113" i="25"/>
  <c r="BO113" i="25"/>
  <c r="BP112" i="25"/>
  <c r="BO112" i="25"/>
  <c r="BP111" i="25"/>
  <c r="BO111" i="25"/>
  <c r="BP110" i="25"/>
  <c r="BO110" i="25"/>
  <c r="BP109" i="25"/>
  <c r="BO109" i="25"/>
  <c r="BP108" i="25"/>
  <c r="BO108" i="25"/>
  <c r="BP107" i="25"/>
  <c r="BO107" i="25"/>
  <c r="BP106" i="25"/>
  <c r="BO106" i="25"/>
  <c r="BP105" i="25"/>
  <c r="BO105" i="25"/>
  <c r="BP104" i="25"/>
  <c r="BP103" i="25"/>
  <c r="BP102" i="25"/>
  <c r="BO102" i="25"/>
  <c r="BP101" i="25"/>
  <c r="BO101" i="25"/>
  <c r="BP100" i="25"/>
  <c r="BO100" i="25"/>
  <c r="BP99" i="25"/>
  <c r="BO99" i="25"/>
  <c r="BP98" i="25"/>
  <c r="BO98" i="25"/>
  <c r="BP97" i="25"/>
  <c r="BO97" i="25"/>
  <c r="BP96" i="25"/>
  <c r="BP95" i="25"/>
  <c r="BP94" i="25"/>
  <c r="BP93" i="25"/>
  <c r="BP92" i="25"/>
  <c r="BO92" i="25"/>
  <c r="BP91" i="25"/>
  <c r="BO91" i="25"/>
  <c r="BP90" i="25"/>
  <c r="BP89" i="25"/>
  <c r="BO89" i="25"/>
  <c r="BP88" i="25"/>
  <c r="BO88" i="25"/>
  <c r="BP87" i="25"/>
  <c r="BO87" i="25"/>
  <c r="BP86" i="25"/>
  <c r="BO86" i="25"/>
  <c r="BP85" i="25"/>
  <c r="BO85" i="25"/>
  <c r="BP84" i="25"/>
  <c r="BO84" i="25"/>
  <c r="BP83" i="25"/>
  <c r="BO83" i="25"/>
  <c r="BP82" i="25"/>
  <c r="BO82" i="25"/>
  <c r="BP81" i="25"/>
  <c r="BO81" i="25"/>
  <c r="BP80" i="25"/>
  <c r="BO80" i="25"/>
  <c r="BP79" i="25"/>
  <c r="BP78" i="25"/>
  <c r="BP77" i="25"/>
  <c r="BP76" i="25"/>
  <c r="BO76" i="25"/>
  <c r="BP75" i="25"/>
  <c r="BO75" i="25"/>
  <c r="BP74" i="25"/>
  <c r="BO74" i="25"/>
  <c r="BP73" i="25"/>
  <c r="BO73" i="25"/>
  <c r="BP72" i="25"/>
  <c r="BO72" i="25"/>
  <c r="BP71" i="25"/>
  <c r="BO71" i="25"/>
  <c r="BP70" i="25"/>
  <c r="BO70" i="25"/>
  <c r="BP69" i="25"/>
  <c r="BO69" i="25"/>
  <c r="BP68" i="25"/>
  <c r="BO68" i="25"/>
  <c r="BP67" i="25"/>
  <c r="BP66" i="25"/>
  <c r="BP65" i="25"/>
  <c r="BO65" i="25"/>
  <c r="BP64" i="25"/>
  <c r="BO64" i="25"/>
  <c r="BP63" i="25"/>
  <c r="BP62" i="25"/>
  <c r="BO62" i="25"/>
  <c r="BP61" i="25"/>
  <c r="BP60" i="25"/>
  <c r="BP59" i="25"/>
  <c r="BO59" i="25"/>
  <c r="BP58" i="25"/>
  <c r="BO58" i="25"/>
  <c r="BP57" i="25"/>
  <c r="BO57" i="25"/>
  <c r="BP56" i="25"/>
  <c r="BO56" i="25"/>
  <c r="BP55" i="25"/>
  <c r="BO55" i="25"/>
  <c r="BP54" i="25"/>
  <c r="BO54" i="25"/>
  <c r="BP53" i="25"/>
  <c r="BO53" i="25"/>
  <c r="BP52" i="25"/>
  <c r="BO52" i="25"/>
  <c r="BP51" i="25"/>
  <c r="BO51" i="25"/>
  <c r="BP50" i="25"/>
  <c r="BO50" i="25"/>
  <c r="BP49" i="25"/>
  <c r="BO49" i="25"/>
  <c r="BP48" i="25"/>
  <c r="BO48" i="25"/>
  <c r="BP47" i="25"/>
  <c r="BO47" i="25"/>
  <c r="BP46" i="25"/>
  <c r="BO46" i="25"/>
  <c r="BP45" i="25"/>
  <c r="BO45" i="25"/>
  <c r="BP44" i="25"/>
  <c r="BO44" i="25"/>
  <c r="BP43" i="25"/>
  <c r="BO43" i="25"/>
  <c r="BP42" i="25"/>
  <c r="BO42" i="25"/>
  <c r="BP41" i="25"/>
  <c r="BO41" i="25"/>
  <c r="BP40" i="25"/>
  <c r="BO40" i="25"/>
  <c r="BP39" i="25"/>
  <c r="BO39" i="25"/>
  <c r="BP38" i="25"/>
  <c r="BO38" i="25"/>
  <c r="BP37" i="25"/>
  <c r="BO37" i="25"/>
  <c r="BP36" i="25"/>
  <c r="BO36" i="25"/>
  <c r="BP35" i="25"/>
  <c r="BO35" i="25"/>
  <c r="BP34" i="25"/>
  <c r="BO34" i="25"/>
  <c r="BP33" i="25"/>
  <c r="BO33" i="25"/>
  <c r="BP32" i="25"/>
  <c r="BO32" i="25"/>
  <c r="BP31" i="25"/>
  <c r="BO31" i="25"/>
  <c r="BP30" i="25"/>
  <c r="BO30" i="25"/>
  <c r="BP29" i="25"/>
  <c r="BO29" i="25"/>
  <c r="BP28" i="25"/>
  <c r="BO28" i="25"/>
  <c r="BP27" i="25"/>
  <c r="BO27" i="25"/>
  <c r="BP26" i="25"/>
  <c r="BO26" i="25"/>
  <c r="BP25" i="25"/>
  <c r="BO25" i="25"/>
  <c r="BP24" i="25"/>
  <c r="BO24" i="25"/>
  <c r="BP23" i="25"/>
  <c r="BO23" i="25"/>
  <c r="BP22" i="25"/>
  <c r="BO22" i="25"/>
  <c r="BP21" i="25"/>
  <c r="BO21" i="25"/>
  <c r="BP20" i="25"/>
  <c r="BO20" i="25"/>
  <c r="BP19" i="25"/>
  <c r="BO19" i="25"/>
  <c r="BP18" i="25"/>
  <c r="BO18" i="25"/>
  <c r="BP17" i="25"/>
  <c r="BO17" i="25"/>
  <c r="BP16" i="25"/>
  <c r="BO16" i="25"/>
  <c r="BP15" i="25"/>
  <c r="BO15" i="25"/>
  <c r="BP14" i="25"/>
  <c r="BO14" i="25"/>
  <c r="BP13" i="25"/>
  <c r="BO13" i="25"/>
  <c r="BP12" i="25"/>
  <c r="BO12" i="25"/>
  <c r="BP11" i="25"/>
  <c r="BO11" i="25"/>
  <c r="BP10" i="25"/>
  <c r="BO10" i="25"/>
  <c r="BP9" i="25"/>
  <c r="BO9" i="25"/>
  <c r="BP8" i="25"/>
  <c r="BO8" i="25"/>
  <c r="BP7" i="25"/>
  <c r="BO7" i="25"/>
  <c r="BP6" i="25"/>
  <c r="BM411" i="24"/>
  <c r="BM90" i="24"/>
  <c r="BO90" i="24" s="1"/>
  <c r="BM445" i="24"/>
  <c r="BK90" i="24"/>
  <c r="BK21" i="24"/>
  <c r="BK411" i="24"/>
  <c r="AM165" i="24"/>
  <c r="AM164" i="24"/>
  <c r="BP356" i="24"/>
  <c r="BO356" i="24"/>
  <c r="D356" i="24"/>
  <c r="C356" i="25" s="1"/>
  <c r="D356" i="25" s="1"/>
  <c r="C352" i="26" s="1"/>
  <c r="BP355" i="24"/>
  <c r="BO355" i="24"/>
  <c r="D355" i="24"/>
  <c r="C355" i="25" s="1"/>
  <c r="D355" i="25" s="1"/>
  <c r="C351" i="26" s="1"/>
  <c r="D351" i="26" s="1"/>
  <c r="BP354" i="24"/>
  <c r="BO354" i="24"/>
  <c r="D354" i="24"/>
  <c r="C354" i="25" s="1"/>
  <c r="D354" i="25" s="1"/>
  <c r="C350" i="26" s="1"/>
  <c r="D350" i="26" s="1"/>
  <c r="BP82" i="24"/>
  <c r="BO82" i="24"/>
  <c r="D82" i="24"/>
  <c r="C82" i="25" s="1"/>
  <c r="D82" i="25" s="1"/>
  <c r="C82" i="26" s="1"/>
  <c r="BP86" i="24"/>
  <c r="BO86" i="24"/>
  <c r="D86" i="24"/>
  <c r="C86" i="25" s="1"/>
  <c r="D86" i="25" s="1"/>
  <c r="C86" i="26" s="1"/>
  <c r="BI411" i="24"/>
  <c r="BC185" i="24"/>
  <c r="BC167" i="24"/>
  <c r="BC164" i="24"/>
  <c r="BC27" i="24"/>
  <c r="AI103" i="24"/>
  <c r="BA411" i="24"/>
  <c r="BA164" i="24"/>
  <c r="BA27" i="24"/>
  <c r="AY186" i="24"/>
  <c r="AY25" i="24"/>
  <c r="AY164" i="24"/>
  <c r="AW186" i="24"/>
  <c r="AW164" i="24"/>
  <c r="AU183" i="24"/>
  <c r="AU180" i="24"/>
  <c r="AU24" i="24"/>
  <c r="AU164" i="24"/>
  <c r="AU167" i="24"/>
  <c r="AO183" i="24"/>
  <c r="AO190" i="24"/>
  <c r="AO164" i="24"/>
  <c r="AM167" i="24"/>
  <c r="AM21" i="24"/>
  <c r="AM71" i="24"/>
  <c r="AM190" i="24"/>
  <c r="AM191" i="24"/>
  <c r="AK224" i="24"/>
  <c r="AK108" i="24"/>
  <c r="AK71" i="24"/>
  <c r="AK69" i="24"/>
  <c r="AK70" i="24"/>
  <c r="AK164" i="24"/>
  <c r="AI107" i="24"/>
  <c r="AI104" i="24"/>
  <c r="AI100" i="24"/>
  <c r="AI101" i="24"/>
  <c r="AI95" i="24"/>
  <c r="AI27" i="24"/>
  <c r="AI70" i="24"/>
  <c r="AI182" i="24"/>
  <c r="AI177" i="24"/>
  <c r="AG299" i="24"/>
  <c r="AG94" i="24"/>
  <c r="AG99" i="24"/>
  <c r="AG93" i="24"/>
  <c r="AG176" i="24"/>
  <c r="AA69" i="24"/>
  <c r="AA67" i="24"/>
  <c r="Y172" i="24"/>
  <c r="Y20" i="24"/>
  <c r="U347" i="24"/>
  <c r="W347" i="24"/>
  <c r="W66" i="24"/>
  <c r="W173" i="24"/>
  <c r="C385" i="24"/>
  <c r="C383" i="24"/>
  <c r="C376" i="24"/>
  <c r="C377" i="24"/>
  <c r="C360" i="24"/>
  <c r="C370" i="24"/>
  <c r="C368" i="24"/>
  <c r="C378" i="24"/>
  <c r="C367" i="24"/>
  <c r="C366" i="24"/>
  <c r="C369" i="24"/>
  <c r="C365" i="24"/>
  <c r="C364" i="24"/>
  <c r="C372" i="24"/>
  <c r="C363" i="24"/>
  <c r="C361" i="24"/>
  <c r="C371" i="24"/>
  <c r="C362" i="24"/>
  <c r="C381" i="24"/>
  <c r="U66" i="24"/>
  <c r="U174" i="24"/>
  <c r="U181" i="24"/>
  <c r="U23" i="24"/>
  <c r="S347" i="24"/>
  <c r="S576" i="24"/>
  <c r="S23" i="24"/>
  <c r="S577" i="24"/>
  <c r="M576" i="24"/>
  <c r="K576" i="24"/>
  <c r="C575" i="24"/>
  <c r="C30" i="24"/>
  <c r="C23" i="24"/>
  <c r="C21" i="24"/>
  <c r="C45" i="24"/>
  <c r="C68" i="24"/>
  <c r="C80" i="24"/>
  <c r="C77" i="24"/>
  <c r="C81" i="24"/>
  <c r="C78" i="24"/>
  <c r="C79" i="24"/>
  <c r="C83" i="24"/>
  <c r="C85" i="24"/>
  <c r="C84" i="24"/>
  <c r="C105" i="24"/>
  <c r="C347" i="24"/>
  <c r="C59" i="24"/>
  <c r="C17" i="24"/>
  <c r="C24" i="24"/>
  <c r="C26" i="24"/>
  <c r="C14" i="24"/>
  <c r="C15" i="24"/>
  <c r="C28" i="24"/>
  <c r="C16" i="24"/>
  <c r="C25" i="24"/>
  <c r="C8" i="24"/>
  <c r="C7" i="24"/>
  <c r="C9" i="24"/>
  <c r="C31" i="24"/>
  <c r="C29" i="24"/>
  <c r="C27" i="24"/>
  <c r="I178" i="24"/>
  <c r="I175" i="24"/>
  <c r="G575" i="24"/>
  <c r="E189" i="24"/>
  <c r="BP54" i="24"/>
  <c r="BO54" i="24"/>
  <c r="BP36" i="24"/>
  <c r="BO36" i="24"/>
  <c r="BP35" i="24"/>
  <c r="BO35" i="24"/>
  <c r="BP91" i="24"/>
  <c r="BO91" i="24"/>
  <c r="BP90" i="24"/>
  <c r="BP89" i="24"/>
  <c r="BO89" i="24"/>
  <c r="D609" i="26" l="1"/>
  <c r="TG24" i="26"/>
  <c r="BO167" i="25"/>
  <c r="BO206" i="25"/>
  <c r="BO445" i="25"/>
  <c r="BO6" i="25"/>
  <c r="TG45" i="26"/>
  <c r="D599" i="26"/>
  <c r="TG22" i="26"/>
  <c r="D600" i="26"/>
  <c r="TG46" i="26"/>
  <c r="TG84" i="26"/>
  <c r="D596" i="26"/>
  <c r="D582" i="26"/>
  <c r="D597" i="26"/>
  <c r="TG79" i="26"/>
  <c r="BO96" i="25"/>
  <c r="BO413" i="25"/>
  <c r="TG141" i="26"/>
  <c r="TH78" i="26"/>
  <c r="TG17" i="26"/>
  <c r="TH24" i="26"/>
  <c r="TG209" i="26"/>
  <c r="TG140" i="26"/>
  <c r="TG85" i="26"/>
  <c r="TH45" i="26"/>
  <c r="TG83" i="26"/>
  <c r="TG147" i="26"/>
  <c r="TG78" i="26"/>
  <c r="TG289" i="26"/>
  <c r="TH23" i="26"/>
  <c r="TG211" i="26"/>
  <c r="TG524" i="26"/>
  <c r="TG128" i="26"/>
  <c r="TH28" i="26"/>
  <c r="D352" i="26"/>
  <c r="TG208" i="26"/>
  <c r="TG135" i="26"/>
  <c r="TG212" i="26"/>
  <c r="TG20" i="26"/>
  <c r="TG207" i="26"/>
  <c r="TG138" i="26"/>
  <c r="TG134" i="26"/>
  <c r="TH26" i="26"/>
  <c r="TG525" i="26"/>
  <c r="TH47" i="26"/>
  <c r="D577" i="26"/>
  <c r="D579" i="26"/>
  <c r="D578" i="26"/>
  <c r="TH17" i="26"/>
  <c r="TG574" i="26"/>
  <c r="TG91" i="26"/>
  <c r="TG276" i="26"/>
  <c r="TG137" i="26"/>
  <c r="TG213" i="26"/>
  <c r="TG80" i="26"/>
  <c r="TG148" i="26"/>
  <c r="TG77" i="26"/>
  <c r="D82" i="26"/>
  <c r="TG112" i="26"/>
  <c r="TH21" i="26"/>
  <c r="TG530" i="26"/>
  <c r="D86" i="26"/>
  <c r="BO163" i="25"/>
  <c r="BO90" i="25"/>
  <c r="TG336" i="26"/>
  <c r="TG142" i="26"/>
  <c r="TG206" i="26"/>
  <c r="D576" i="26"/>
  <c r="TG136" i="26"/>
  <c r="TG523" i="26"/>
  <c r="TG164" i="26"/>
  <c r="TG96" i="26"/>
  <c r="TG158" i="26"/>
  <c r="TG409" i="26"/>
  <c r="TH358" i="26"/>
  <c r="BO411" i="25"/>
  <c r="BO93" i="25"/>
  <c r="BO103" i="25"/>
  <c r="BO575" i="25"/>
  <c r="BO66" i="25"/>
  <c r="BO67" i="25"/>
  <c r="BO173" i="25"/>
  <c r="BO175" i="25"/>
  <c r="BO177" i="25"/>
  <c r="BO94" i="25"/>
  <c r="BO95" i="25"/>
  <c r="BO104" i="25"/>
  <c r="BO172" i="25"/>
  <c r="BO174" i="25"/>
  <c r="BO176" i="25"/>
  <c r="BO178" i="25"/>
  <c r="BO574" i="24"/>
  <c r="BP578" i="24"/>
  <c r="BO578" i="24"/>
  <c r="D578" i="24"/>
  <c r="C578" i="25" s="1"/>
  <c r="D578" i="25" s="1"/>
  <c r="C574" i="26" s="1"/>
  <c r="D574" i="26" s="1"/>
  <c r="BP577" i="24"/>
  <c r="BO577" i="24"/>
  <c r="D577" i="24"/>
  <c r="C577" i="25" s="1"/>
  <c r="D577" i="25" s="1"/>
  <c r="C573" i="26" s="1"/>
  <c r="D573" i="26" s="1"/>
  <c r="BP576" i="24"/>
  <c r="BO576" i="24"/>
  <c r="D576" i="24"/>
  <c r="C576" i="25" s="1"/>
  <c r="D576" i="25" s="1"/>
  <c r="C572" i="26" s="1"/>
  <c r="D572" i="26" s="1"/>
  <c r="BP575" i="24"/>
  <c r="BO575" i="24"/>
  <c r="D575" i="24"/>
  <c r="C575" i="25" s="1"/>
  <c r="D575" i="25" s="1"/>
  <c r="C571" i="26" s="1"/>
  <c r="D571" i="26" s="1"/>
  <c r="BP574" i="24"/>
  <c r="BP573" i="24"/>
  <c r="BO573" i="24"/>
  <c r="D321" i="24"/>
  <c r="C321" i="25" s="1"/>
  <c r="D321" i="25" s="1"/>
  <c r="C317" i="26" s="1"/>
  <c r="D317" i="26" s="1"/>
  <c r="BP572" i="24"/>
  <c r="BP571" i="24"/>
  <c r="BP570" i="24"/>
  <c r="BO570" i="24"/>
  <c r="BO572" i="24" l="1"/>
  <c r="D572" i="24"/>
  <c r="C572" i="25" s="1"/>
  <c r="D572" i="25" s="1"/>
  <c r="C568" i="26" s="1"/>
  <c r="D568" i="26" s="1"/>
  <c r="BO571" i="24"/>
  <c r="D571" i="24"/>
  <c r="C571" i="25" s="1"/>
  <c r="D571" i="25" s="1"/>
  <c r="C567" i="26" s="1"/>
  <c r="D567" i="26" s="1"/>
  <c r="D574" i="24"/>
  <c r="C574" i="25" s="1"/>
  <c r="D574" i="25" s="1"/>
  <c r="C570" i="26" s="1"/>
  <c r="D570" i="26" s="1"/>
  <c r="BO25" i="24"/>
  <c r="BO302" i="24"/>
  <c r="BO28" i="24"/>
  <c r="BO306" i="24"/>
  <c r="BP319" i="24"/>
  <c r="BP318" i="24"/>
  <c r="BP7" i="24"/>
  <c r="BP8" i="24"/>
  <c r="BP9" i="24"/>
  <c r="BP10" i="24"/>
  <c r="BP11" i="24"/>
  <c r="BP12" i="24"/>
  <c r="BP13" i="24"/>
  <c r="BP14" i="24"/>
  <c r="BP15" i="24"/>
  <c r="BP16" i="24"/>
  <c r="BP17" i="24"/>
  <c r="BP18" i="24"/>
  <c r="BP19" i="24"/>
  <c r="BP20" i="24"/>
  <c r="BP21" i="24"/>
  <c r="BP22" i="24"/>
  <c r="BP23" i="24"/>
  <c r="BP24" i="24"/>
  <c r="BP25" i="24"/>
  <c r="BP26" i="24"/>
  <c r="BP27" i="24"/>
  <c r="BP28" i="24"/>
  <c r="BP29" i="24"/>
  <c r="BP30" i="24"/>
  <c r="BP31" i="24"/>
  <c r="BP32" i="24"/>
  <c r="BP33" i="24"/>
  <c r="BP34" i="24"/>
  <c r="BP37" i="24"/>
  <c r="BP38" i="24"/>
  <c r="BP39" i="24"/>
  <c r="BP40" i="24"/>
  <c r="BP41" i="24"/>
  <c r="BP42" i="24"/>
  <c r="BP43" i="24"/>
  <c r="BP44" i="24"/>
  <c r="BP45" i="24"/>
  <c r="BP46" i="24"/>
  <c r="BP47" i="24"/>
  <c r="BP48" i="24"/>
  <c r="BP49" i="24"/>
  <c r="BP50" i="24"/>
  <c r="BP51" i="24"/>
  <c r="BP52" i="24"/>
  <c r="BP53" i="24"/>
  <c r="BP55" i="24"/>
  <c r="BP56" i="24"/>
  <c r="BP57" i="24"/>
  <c r="BP58" i="24"/>
  <c r="BP59" i="24"/>
  <c r="BP60" i="24"/>
  <c r="BP61" i="24"/>
  <c r="BP62" i="24"/>
  <c r="BP63" i="24"/>
  <c r="BP64" i="24"/>
  <c r="BP65" i="24"/>
  <c r="BP66" i="24"/>
  <c r="BP67" i="24"/>
  <c r="BP68" i="24"/>
  <c r="BP69" i="24"/>
  <c r="BP70" i="24"/>
  <c r="BP71" i="24"/>
  <c r="BP72" i="24"/>
  <c r="BP73" i="24"/>
  <c r="BP74" i="24"/>
  <c r="BP75" i="24"/>
  <c r="BP76" i="24"/>
  <c r="BP77" i="24"/>
  <c r="BP78" i="24"/>
  <c r="BP79" i="24"/>
  <c r="BP80" i="24"/>
  <c r="BP81" i="24"/>
  <c r="BP87" i="24"/>
  <c r="BP88" i="24"/>
  <c r="BP83" i="24"/>
  <c r="BP84" i="24"/>
  <c r="BP85" i="24"/>
  <c r="BP92" i="24"/>
  <c r="BP93" i="24"/>
  <c r="BP94" i="24"/>
  <c r="BP95" i="24"/>
  <c r="BP96" i="24"/>
  <c r="BP97" i="24"/>
  <c r="BP98" i="24"/>
  <c r="BP99" i="24"/>
  <c r="BP100" i="24"/>
  <c r="BP101" i="24"/>
  <c r="BP102" i="24"/>
  <c r="BP103" i="24"/>
  <c r="BP104" i="24"/>
  <c r="BP105" i="24"/>
  <c r="BP106" i="24"/>
  <c r="BP107" i="24"/>
  <c r="BP108" i="24"/>
  <c r="BP109" i="24"/>
  <c r="BP110" i="24"/>
  <c r="BP111" i="24"/>
  <c r="BP112" i="24"/>
  <c r="BP113" i="24"/>
  <c r="BP114" i="24"/>
  <c r="BP115" i="24"/>
  <c r="BP116" i="24"/>
  <c r="BP117" i="24"/>
  <c r="BP118" i="24"/>
  <c r="BP119" i="24"/>
  <c r="BP120" i="24"/>
  <c r="BP121" i="24"/>
  <c r="BP122" i="24"/>
  <c r="BP123" i="24"/>
  <c r="BP124" i="24"/>
  <c r="BP125" i="24"/>
  <c r="BP126" i="24"/>
  <c r="BP127" i="24"/>
  <c r="BP128" i="24"/>
  <c r="BP129" i="24"/>
  <c r="BP130" i="24"/>
  <c r="BP131" i="24"/>
  <c r="BP132" i="24"/>
  <c r="BP133" i="24"/>
  <c r="BP134" i="24"/>
  <c r="BP135" i="24"/>
  <c r="BP136" i="24"/>
  <c r="BP137" i="24"/>
  <c r="BP138" i="24"/>
  <c r="BP139" i="24"/>
  <c r="BP140" i="24"/>
  <c r="BP141" i="24"/>
  <c r="BP142" i="24"/>
  <c r="BP143" i="24"/>
  <c r="BP144" i="24"/>
  <c r="BP145" i="24"/>
  <c r="BP146" i="24"/>
  <c r="BP147" i="24"/>
  <c r="BP148" i="24"/>
  <c r="BP149" i="24"/>
  <c r="BP150" i="24"/>
  <c r="BP151" i="24"/>
  <c r="BP152" i="24"/>
  <c r="BP153" i="24"/>
  <c r="BP154" i="24"/>
  <c r="BP155" i="24"/>
  <c r="BP156" i="24"/>
  <c r="BP157" i="24"/>
  <c r="BP158" i="24"/>
  <c r="BP159" i="24"/>
  <c r="BP160" i="24"/>
  <c r="BP161" i="24"/>
  <c r="BP162" i="24"/>
  <c r="BP163" i="24"/>
  <c r="BP164" i="24"/>
  <c r="BP165" i="24"/>
  <c r="BP166" i="24"/>
  <c r="BP167" i="24"/>
  <c r="BP168" i="24"/>
  <c r="BP169" i="24"/>
  <c r="BP170" i="24"/>
  <c r="BP171" i="24"/>
  <c r="BP172" i="24"/>
  <c r="BP173" i="24"/>
  <c r="BP174" i="24"/>
  <c r="BP175" i="24"/>
  <c r="BP176" i="24"/>
  <c r="BP177" i="24"/>
  <c r="BP178" i="24"/>
  <c r="BP179" i="24"/>
  <c r="BP180" i="24"/>
  <c r="BP181" i="24"/>
  <c r="BP182" i="24"/>
  <c r="BP183" i="24"/>
  <c r="BP184" i="24"/>
  <c r="BP185" i="24"/>
  <c r="BP186" i="24"/>
  <c r="BP187" i="24"/>
  <c r="BP188" i="24"/>
  <c r="BP189" i="24"/>
  <c r="BP190" i="24"/>
  <c r="BP191" i="24"/>
  <c r="BP192" i="24"/>
  <c r="BP193" i="24"/>
  <c r="BP194" i="24"/>
  <c r="BP195" i="24"/>
  <c r="BP196" i="24"/>
  <c r="BP197" i="24"/>
  <c r="BP198" i="24"/>
  <c r="BP199" i="24"/>
  <c r="BP200" i="24"/>
  <c r="BP201" i="24"/>
  <c r="BP202" i="24"/>
  <c r="BP203" i="24"/>
  <c r="BP204" i="24"/>
  <c r="BP205" i="24"/>
  <c r="BP206" i="24"/>
  <c r="BP207" i="24"/>
  <c r="BP208" i="24"/>
  <c r="BP209" i="24"/>
  <c r="BP210" i="24"/>
  <c r="BP211" i="24"/>
  <c r="BP212" i="24"/>
  <c r="BP213" i="24"/>
  <c r="BP214" i="24"/>
  <c r="BP215" i="24"/>
  <c r="BP216" i="24"/>
  <c r="BP217" i="24"/>
  <c r="BP218" i="24"/>
  <c r="BP219" i="24"/>
  <c r="BP220" i="24"/>
  <c r="BP221" i="24"/>
  <c r="BP222" i="24"/>
  <c r="BP223" i="24"/>
  <c r="BP224" i="24"/>
  <c r="BP225" i="24"/>
  <c r="BP226" i="24"/>
  <c r="BP227" i="24"/>
  <c r="BP228" i="24"/>
  <c r="BP229" i="24"/>
  <c r="BP230" i="24"/>
  <c r="BP231" i="24"/>
  <c r="BP232" i="24"/>
  <c r="BP233" i="24"/>
  <c r="BP234" i="24"/>
  <c r="BP235" i="24"/>
  <c r="BP236" i="24"/>
  <c r="BP237" i="24"/>
  <c r="BP238" i="24"/>
  <c r="BP239" i="24"/>
  <c r="BP240" i="24"/>
  <c r="BP241" i="24"/>
  <c r="BP242" i="24"/>
  <c r="BP243" i="24"/>
  <c r="BP244" i="24"/>
  <c r="BP245" i="24"/>
  <c r="BP246" i="24"/>
  <c r="BP247" i="24"/>
  <c r="BP248" i="24"/>
  <c r="BP249" i="24"/>
  <c r="BP250" i="24"/>
  <c r="BP252" i="24"/>
  <c r="BP253" i="24"/>
  <c r="BP254" i="24"/>
  <c r="BP255" i="24"/>
  <c r="BP256" i="24"/>
  <c r="BP257" i="24"/>
  <c r="BP258" i="24"/>
  <c r="BP259" i="24"/>
  <c r="BP260" i="24"/>
  <c r="BP261" i="24"/>
  <c r="BP262" i="24"/>
  <c r="BP263" i="24"/>
  <c r="BP264" i="24"/>
  <c r="BP265" i="24"/>
  <c r="BP266" i="24"/>
  <c r="BP267" i="24"/>
  <c r="BP268" i="24"/>
  <c r="BP269" i="24"/>
  <c r="BP270" i="24"/>
  <c r="BP271" i="24"/>
  <c r="BP272" i="24"/>
  <c r="BP273" i="24"/>
  <c r="BP274" i="24"/>
  <c r="BP275" i="24"/>
  <c r="BP276" i="24"/>
  <c r="BP277" i="24"/>
  <c r="BP278" i="24"/>
  <c r="BP279" i="24"/>
  <c r="BP280" i="24"/>
  <c r="BP281" i="24"/>
  <c r="BP282" i="24"/>
  <c r="BP283" i="24"/>
  <c r="BP284" i="24"/>
  <c r="BP285" i="24"/>
  <c r="BP286" i="24"/>
  <c r="BP287" i="24"/>
  <c r="BP288" i="24"/>
  <c r="BP289" i="24"/>
  <c r="BP290" i="24"/>
  <c r="BP291" i="24"/>
  <c r="BP292" i="24"/>
  <c r="BP293" i="24"/>
  <c r="BP294" i="24"/>
  <c r="BP295" i="24"/>
  <c r="BP296" i="24"/>
  <c r="BP297" i="24"/>
  <c r="BP298" i="24"/>
  <c r="BP299" i="24"/>
  <c r="BP300" i="24"/>
  <c r="BP301" i="24"/>
  <c r="BP302" i="24"/>
  <c r="BP303" i="24"/>
  <c r="BP304" i="24"/>
  <c r="BP305" i="24"/>
  <c r="BP306" i="24"/>
  <c r="BP307" i="24"/>
  <c r="BP308" i="24"/>
  <c r="BP309" i="24"/>
  <c r="BP310" i="24"/>
  <c r="BP311" i="24"/>
  <c r="BP312" i="24"/>
  <c r="BP313" i="24"/>
  <c r="BP314" i="24"/>
  <c r="BP315" i="24"/>
  <c r="BP316" i="24"/>
  <c r="BP317" i="24"/>
  <c r="BP323" i="24"/>
  <c r="BP324" i="24"/>
  <c r="BP325" i="24"/>
  <c r="BP326" i="24"/>
  <c r="BP327" i="24"/>
  <c r="BP328" i="24"/>
  <c r="BP329" i="24"/>
  <c r="BP330" i="24"/>
  <c r="BP331" i="24"/>
  <c r="BP332" i="24"/>
  <c r="BP333" i="24"/>
  <c r="BP334" i="24"/>
  <c r="BP335" i="24"/>
  <c r="BP336" i="24"/>
  <c r="BP337" i="24"/>
  <c r="BP338" i="24"/>
  <c r="BP339" i="24"/>
  <c r="BP340" i="24"/>
  <c r="BP341" i="24"/>
  <c r="BP342" i="24"/>
  <c r="BP343" i="24"/>
  <c r="BP344" i="24"/>
  <c r="BP345" i="24"/>
  <c r="BP346" i="24"/>
  <c r="BP347" i="24"/>
  <c r="BP348" i="24"/>
  <c r="BP349" i="24"/>
  <c r="BP350" i="24"/>
  <c r="BP351" i="24"/>
  <c r="BP352" i="24"/>
  <c r="BP353" i="24"/>
  <c r="BP357" i="24"/>
  <c r="BP358" i="24"/>
  <c r="BP359" i="24"/>
  <c r="BP360" i="24"/>
  <c r="BP361" i="24"/>
  <c r="BP362" i="24"/>
  <c r="BP363" i="24"/>
  <c r="BP364" i="24"/>
  <c r="BP365" i="24"/>
  <c r="BP366" i="24"/>
  <c r="BP367" i="24"/>
  <c r="BP368" i="24"/>
  <c r="BP369" i="24"/>
  <c r="BP370" i="24"/>
  <c r="BP371" i="24"/>
  <c r="BP372" i="24"/>
  <c r="BP373" i="24"/>
  <c r="BP374" i="24"/>
  <c r="BP375" i="24"/>
  <c r="BP376" i="24"/>
  <c r="BP377" i="24"/>
  <c r="BP378" i="24"/>
  <c r="BP379" i="24"/>
  <c r="BP380" i="24"/>
  <c r="BP381" i="24"/>
  <c r="BP382" i="24"/>
  <c r="BP383" i="24"/>
  <c r="BP384" i="24"/>
  <c r="BP385" i="24"/>
  <c r="BP386" i="24"/>
  <c r="BP387" i="24"/>
  <c r="BP388" i="24"/>
  <c r="BP389" i="24"/>
  <c r="BP390" i="24"/>
  <c r="BP391" i="24"/>
  <c r="BP392" i="24"/>
  <c r="BP393" i="24"/>
  <c r="BP394" i="24"/>
  <c r="BP395" i="24"/>
  <c r="BP396" i="24"/>
  <c r="BP397" i="24"/>
  <c r="BP398" i="24"/>
  <c r="BP399" i="24"/>
  <c r="BP400" i="24"/>
  <c r="BP401" i="24"/>
  <c r="BP402" i="24"/>
  <c r="BP403" i="24"/>
  <c r="BP404" i="24"/>
  <c r="BP405" i="24"/>
  <c r="BP406" i="24"/>
  <c r="BP407" i="24"/>
  <c r="BP408" i="24"/>
  <c r="BP409" i="24"/>
  <c r="BP410" i="24"/>
  <c r="BP411" i="24"/>
  <c r="BP412" i="24"/>
  <c r="BP413" i="24"/>
  <c r="BP414" i="24"/>
  <c r="BP415" i="24"/>
  <c r="BP416" i="24"/>
  <c r="BP417" i="24"/>
  <c r="BP418" i="24"/>
  <c r="BP419" i="24"/>
  <c r="BP420" i="24"/>
  <c r="BP421" i="24"/>
  <c r="BP422" i="24"/>
  <c r="BP423" i="24"/>
  <c r="BP424" i="24"/>
  <c r="BP425" i="24"/>
  <c r="BP426" i="24"/>
  <c r="BP427" i="24"/>
  <c r="BP428" i="24"/>
  <c r="BP429" i="24"/>
  <c r="BP430" i="24"/>
  <c r="BP431" i="24"/>
  <c r="BP432" i="24"/>
  <c r="BP433" i="24"/>
  <c r="BP434" i="24"/>
  <c r="BP435" i="24"/>
  <c r="BP436" i="24"/>
  <c r="BP437" i="24"/>
  <c r="BP438" i="24"/>
  <c r="BP439" i="24"/>
  <c r="BP440" i="24"/>
  <c r="BP441" i="24"/>
  <c r="BP442" i="24"/>
  <c r="BP443" i="24"/>
  <c r="BP444" i="24"/>
  <c r="BP445" i="24"/>
  <c r="BP446" i="24"/>
  <c r="BP447" i="24"/>
  <c r="BP448" i="24"/>
  <c r="BP449" i="24"/>
  <c r="BP450" i="24"/>
  <c r="BP451" i="24"/>
  <c r="BP452" i="24"/>
  <c r="BP453" i="24"/>
  <c r="BP454" i="24"/>
  <c r="BP455" i="24"/>
  <c r="BP456" i="24"/>
  <c r="BP457" i="24"/>
  <c r="BP458" i="24"/>
  <c r="BP459" i="24"/>
  <c r="BP460" i="24"/>
  <c r="BP461" i="24"/>
  <c r="BP462" i="24"/>
  <c r="BP463" i="24"/>
  <c r="BP464" i="24"/>
  <c r="BP465" i="24"/>
  <c r="BP466" i="24"/>
  <c r="BP467" i="24"/>
  <c r="BP468" i="24"/>
  <c r="BP469" i="24"/>
  <c r="BP470" i="24"/>
  <c r="BP471" i="24"/>
  <c r="BP472" i="24"/>
  <c r="BP473" i="24"/>
  <c r="BP474" i="24"/>
  <c r="BP475" i="24"/>
  <c r="BP476" i="24"/>
  <c r="BP477" i="24"/>
  <c r="BP478" i="24"/>
  <c r="BP479" i="24"/>
  <c r="BP480" i="24"/>
  <c r="BP481" i="24"/>
  <c r="BP482" i="24"/>
  <c r="BP483" i="24"/>
  <c r="BP484" i="24"/>
  <c r="BP485" i="24"/>
  <c r="BP486" i="24"/>
  <c r="BP487" i="24"/>
  <c r="BP488" i="24"/>
  <c r="BP489" i="24"/>
  <c r="BP490" i="24"/>
  <c r="BP491" i="24"/>
  <c r="BP492" i="24"/>
  <c r="BP493" i="24"/>
  <c r="BP494" i="24"/>
  <c r="BP495" i="24"/>
  <c r="BP496" i="24"/>
  <c r="BP497" i="24"/>
  <c r="BP498" i="24"/>
  <c r="BP499" i="24"/>
  <c r="BP500" i="24"/>
  <c r="BP501" i="24"/>
  <c r="BP502" i="24"/>
  <c r="BP503" i="24"/>
  <c r="BP504" i="24"/>
  <c r="BP505" i="24"/>
  <c r="BP506" i="24"/>
  <c r="BP507" i="24"/>
  <c r="BP508" i="24"/>
  <c r="BP509" i="24"/>
  <c r="BP510" i="24"/>
  <c r="BP511" i="24"/>
  <c r="BP512" i="24"/>
  <c r="BP513" i="24"/>
  <c r="BP514" i="24"/>
  <c r="BP515" i="24"/>
  <c r="BP516" i="24"/>
  <c r="BP517" i="24"/>
  <c r="BP518" i="24"/>
  <c r="BP519" i="24"/>
  <c r="BP520" i="24"/>
  <c r="BP521" i="24"/>
  <c r="BP522" i="24"/>
  <c r="BP523" i="24"/>
  <c r="BP524" i="24"/>
  <c r="BP525" i="24"/>
  <c r="BP526" i="24"/>
  <c r="BP527" i="24"/>
  <c r="BP528" i="24"/>
  <c r="BP529" i="24"/>
  <c r="BP530" i="24"/>
  <c r="BP531" i="24"/>
  <c r="BP532" i="24"/>
  <c r="BP533" i="24"/>
  <c r="BP534" i="24"/>
  <c r="BP535" i="24"/>
  <c r="BP536" i="24"/>
  <c r="BP537" i="24"/>
  <c r="BP538" i="24"/>
  <c r="BP539" i="24"/>
  <c r="BP540" i="24"/>
  <c r="BP541" i="24"/>
  <c r="BP542" i="24"/>
  <c r="BP543" i="24"/>
  <c r="BP544" i="24"/>
  <c r="BP545" i="24"/>
  <c r="BP546" i="24"/>
  <c r="BP547" i="24"/>
  <c r="BP548" i="24"/>
  <c r="BP549" i="24"/>
  <c r="BP550" i="24"/>
  <c r="BP551" i="24"/>
  <c r="BP552" i="24"/>
  <c r="BP553" i="24"/>
  <c r="BP554" i="24"/>
  <c r="BP555" i="24"/>
  <c r="BP556" i="24"/>
  <c r="BP557" i="24"/>
  <c r="BP558" i="24"/>
  <c r="BP559" i="24"/>
  <c r="BP560" i="24"/>
  <c r="BP561" i="24"/>
  <c r="BP562" i="24"/>
  <c r="BP563" i="24"/>
  <c r="BP564" i="24"/>
  <c r="BP565" i="24"/>
  <c r="BP566" i="24"/>
  <c r="BP567" i="24"/>
  <c r="BP568" i="24"/>
  <c r="BP569" i="24"/>
  <c r="BO7" i="24"/>
  <c r="BO8" i="24"/>
  <c r="BO9" i="24"/>
  <c r="BO10" i="24"/>
  <c r="BO11" i="24"/>
  <c r="BO12" i="24"/>
  <c r="BO13" i="24"/>
  <c r="BO14" i="24"/>
  <c r="BO15" i="24"/>
  <c r="BO16" i="24"/>
  <c r="BO17" i="24"/>
  <c r="BO18" i="24"/>
  <c r="BO19" i="24"/>
  <c r="BO20" i="24"/>
  <c r="BO21" i="24"/>
  <c r="BO22" i="24"/>
  <c r="BO23" i="24"/>
  <c r="BO24" i="24"/>
  <c r="BO26" i="24"/>
  <c r="BO27" i="24"/>
  <c r="BO29" i="24"/>
  <c r="BO30" i="24"/>
  <c r="BO31" i="24"/>
  <c r="BO32" i="24"/>
  <c r="BO33" i="24"/>
  <c r="BO34" i="24"/>
  <c r="BO37" i="24"/>
  <c r="BO38" i="24"/>
  <c r="BO39" i="24"/>
  <c r="BO40" i="24"/>
  <c r="BO41" i="24"/>
  <c r="BO42" i="24"/>
  <c r="BO43" i="24"/>
  <c r="BO44" i="24"/>
  <c r="BO45" i="24"/>
  <c r="BO46" i="24"/>
  <c r="BO47" i="24"/>
  <c r="BO48" i="24"/>
  <c r="BO49" i="24"/>
  <c r="BO50" i="24"/>
  <c r="BO51" i="24"/>
  <c r="BO52" i="24"/>
  <c r="BO53" i="24"/>
  <c r="BO55" i="24"/>
  <c r="BO56" i="24"/>
  <c r="BO57" i="24"/>
  <c r="BO58" i="24"/>
  <c r="BO59" i="24"/>
  <c r="BO60" i="24"/>
  <c r="BO61" i="24"/>
  <c r="BO62" i="24"/>
  <c r="BO63" i="24"/>
  <c r="BO64" i="24"/>
  <c r="BO65" i="24"/>
  <c r="BO66" i="24"/>
  <c r="BO67" i="24"/>
  <c r="BO68" i="24"/>
  <c r="BO69" i="24"/>
  <c r="BO70" i="24"/>
  <c r="BO71" i="24"/>
  <c r="BO72" i="24"/>
  <c r="BO73" i="24"/>
  <c r="BO74" i="24"/>
  <c r="BO75" i="24"/>
  <c r="BO76" i="24"/>
  <c r="BO77" i="24"/>
  <c r="BO78" i="24"/>
  <c r="BO79" i="24"/>
  <c r="BO80" i="24"/>
  <c r="BO81" i="24"/>
  <c r="BO87" i="24"/>
  <c r="BO88" i="24"/>
  <c r="BO83" i="24"/>
  <c r="BO84" i="24"/>
  <c r="BO85" i="24"/>
  <c r="BO92" i="24"/>
  <c r="BO93" i="24"/>
  <c r="BO94" i="24"/>
  <c r="BO95" i="24"/>
  <c r="BO96" i="24"/>
  <c r="BO97" i="24"/>
  <c r="BO98" i="24"/>
  <c r="BO99" i="24"/>
  <c r="BO100" i="24"/>
  <c r="BO101" i="24"/>
  <c r="BO102" i="24"/>
  <c r="BO103" i="24"/>
  <c r="BO104" i="24"/>
  <c r="BO105" i="24"/>
  <c r="BO106" i="24"/>
  <c r="BO107" i="24"/>
  <c r="BO108" i="24"/>
  <c r="BO109" i="24"/>
  <c r="BO110" i="24"/>
  <c r="BO111" i="24"/>
  <c r="BO112" i="24"/>
  <c r="BO113" i="24"/>
  <c r="BO114" i="24"/>
  <c r="BO115" i="24"/>
  <c r="BO116" i="24"/>
  <c r="BO117" i="24"/>
  <c r="BO118" i="24"/>
  <c r="BO119" i="24"/>
  <c r="BO120" i="24"/>
  <c r="BO121" i="24"/>
  <c r="BO122" i="24"/>
  <c r="BO123" i="24"/>
  <c r="BO124" i="24"/>
  <c r="BO125" i="24"/>
  <c r="BO126" i="24"/>
  <c r="BO127" i="24"/>
  <c r="BO128" i="24"/>
  <c r="BO129" i="24"/>
  <c r="BO130" i="24"/>
  <c r="BO131" i="24"/>
  <c r="BO132" i="24"/>
  <c r="BO133" i="24"/>
  <c r="BO134" i="24"/>
  <c r="BO135" i="24"/>
  <c r="BO136" i="24"/>
  <c r="BO137" i="24"/>
  <c r="BO138" i="24"/>
  <c r="BO139" i="24"/>
  <c r="BO140" i="24"/>
  <c r="BO141" i="24"/>
  <c r="BO142" i="24"/>
  <c r="BO143" i="24"/>
  <c r="BO144" i="24"/>
  <c r="BO145" i="24"/>
  <c r="BO146" i="24"/>
  <c r="BO147" i="24"/>
  <c r="BO148" i="24"/>
  <c r="BO149" i="24"/>
  <c r="BO150" i="24"/>
  <c r="BO151" i="24"/>
  <c r="BO152" i="24"/>
  <c r="BO153" i="24"/>
  <c r="BO154" i="24"/>
  <c r="BO155" i="24"/>
  <c r="BO156" i="24"/>
  <c r="BO157" i="24"/>
  <c r="BO158" i="24"/>
  <c r="BO159" i="24"/>
  <c r="BO160" i="24"/>
  <c r="BO161" i="24"/>
  <c r="BO162" i="24"/>
  <c r="BO163" i="24"/>
  <c r="BO164" i="24"/>
  <c r="BO165" i="24"/>
  <c r="BO166" i="24"/>
  <c r="BO167" i="24"/>
  <c r="BO168" i="24"/>
  <c r="BO169" i="24"/>
  <c r="BO170" i="24"/>
  <c r="BO171" i="24"/>
  <c r="BO172" i="24"/>
  <c r="BO173" i="24"/>
  <c r="BO174" i="24"/>
  <c r="BO175" i="24"/>
  <c r="BO176" i="24"/>
  <c r="BO177" i="24"/>
  <c r="BO178" i="24"/>
  <c r="BO179" i="24"/>
  <c r="BO180" i="24"/>
  <c r="BO181" i="24"/>
  <c r="BO182" i="24"/>
  <c r="BO183" i="24"/>
  <c r="BO184" i="24"/>
  <c r="BO185" i="24"/>
  <c r="BO186" i="24"/>
  <c r="BO187" i="24"/>
  <c r="BO188" i="24"/>
  <c r="BO189" i="24"/>
  <c r="BO190" i="24"/>
  <c r="BO191" i="24"/>
  <c r="BO192" i="24"/>
  <c r="BO193" i="24"/>
  <c r="BO194" i="24"/>
  <c r="BO195" i="24"/>
  <c r="BO196" i="24"/>
  <c r="BO197" i="24"/>
  <c r="BO198" i="24"/>
  <c r="BO199" i="24"/>
  <c r="BO200" i="24"/>
  <c r="BO201" i="24"/>
  <c r="BO202" i="24"/>
  <c r="BO203" i="24"/>
  <c r="BO204" i="24"/>
  <c r="BO205" i="24"/>
  <c r="BO206" i="24"/>
  <c r="BO207" i="24"/>
  <c r="BO208" i="24"/>
  <c r="BO209" i="24"/>
  <c r="BO210" i="24"/>
  <c r="BO211" i="24"/>
  <c r="BO212" i="24"/>
  <c r="BO213" i="24"/>
  <c r="BO214" i="24"/>
  <c r="BO215" i="24"/>
  <c r="BO216" i="24"/>
  <c r="BO217" i="24"/>
  <c r="BO218" i="24"/>
  <c r="BO219" i="24"/>
  <c r="BO220" i="24"/>
  <c r="BO221" i="24"/>
  <c r="BO222" i="24"/>
  <c r="BO223" i="24"/>
  <c r="BO224" i="24"/>
  <c r="BO225" i="24"/>
  <c r="BO226" i="24"/>
  <c r="BO227" i="24"/>
  <c r="BO228" i="24"/>
  <c r="BO229" i="24"/>
  <c r="BO230" i="24"/>
  <c r="BO231" i="24"/>
  <c r="BO232" i="24"/>
  <c r="BO233" i="24"/>
  <c r="BO234" i="24"/>
  <c r="BO235" i="24"/>
  <c r="BO236" i="24"/>
  <c r="BO237" i="24"/>
  <c r="BO238" i="24"/>
  <c r="BO239" i="24"/>
  <c r="BO240" i="24"/>
  <c r="BO241" i="24"/>
  <c r="BO242" i="24"/>
  <c r="BO243" i="24"/>
  <c r="BO244" i="24"/>
  <c r="BO245" i="24"/>
  <c r="BO246" i="24"/>
  <c r="BO247" i="24"/>
  <c r="BO248" i="24"/>
  <c r="BO249" i="24"/>
  <c r="BO250" i="24"/>
  <c r="BO252" i="24"/>
  <c r="BO253" i="24"/>
  <c r="BO254" i="24"/>
  <c r="BO255" i="24"/>
  <c r="BO256" i="24"/>
  <c r="BO257" i="24"/>
  <c r="BO258" i="24"/>
  <c r="BO259" i="24"/>
  <c r="BO260" i="24"/>
  <c r="BO261" i="24"/>
  <c r="BO262" i="24"/>
  <c r="BO263" i="24"/>
  <c r="BO264" i="24"/>
  <c r="BO265" i="24"/>
  <c r="BO266" i="24"/>
  <c r="BO267" i="24"/>
  <c r="BO268" i="24"/>
  <c r="BO269" i="24"/>
  <c r="BO270" i="24"/>
  <c r="BO271" i="24"/>
  <c r="BO272" i="24"/>
  <c r="BO273" i="24"/>
  <c r="BO274" i="24"/>
  <c r="BO275" i="24"/>
  <c r="BO276" i="24"/>
  <c r="BO277" i="24"/>
  <c r="BO278" i="24"/>
  <c r="BO279" i="24"/>
  <c r="BO280" i="24"/>
  <c r="BO281" i="24"/>
  <c r="BO282" i="24"/>
  <c r="BO283" i="24"/>
  <c r="BO284" i="24"/>
  <c r="BO285" i="24"/>
  <c r="BO286" i="24"/>
  <c r="BO287" i="24"/>
  <c r="BO288" i="24"/>
  <c r="BO289" i="24"/>
  <c r="BO290" i="24"/>
  <c r="BO291" i="24"/>
  <c r="BO292" i="24"/>
  <c r="BO293" i="24"/>
  <c r="BO294" i="24"/>
  <c r="BO295" i="24"/>
  <c r="BO296" i="24"/>
  <c r="BO297" i="24"/>
  <c r="BO298" i="24"/>
  <c r="BO299" i="24"/>
  <c r="BO300" i="24"/>
  <c r="BO301" i="24"/>
  <c r="BO303" i="24"/>
  <c r="BO304" i="24"/>
  <c r="BO305" i="24"/>
  <c r="BO307" i="24"/>
  <c r="BO308" i="24"/>
  <c r="BO309" i="24"/>
  <c r="BO310" i="24"/>
  <c r="BO311" i="24"/>
  <c r="BO312" i="24"/>
  <c r="BO313" i="24"/>
  <c r="BO314" i="24"/>
  <c r="BO315" i="24"/>
  <c r="BO316" i="24"/>
  <c r="BO317" i="24"/>
  <c r="BO318" i="24"/>
  <c r="BO319" i="24"/>
  <c r="BO323" i="24"/>
  <c r="BO324" i="24"/>
  <c r="BO325" i="24"/>
  <c r="BO326" i="24"/>
  <c r="BO327" i="24"/>
  <c r="BO328" i="24"/>
  <c r="BO329" i="24"/>
  <c r="BO330" i="24"/>
  <c r="BO331" i="24"/>
  <c r="BO332" i="24"/>
  <c r="BO333" i="24"/>
  <c r="BO334" i="24"/>
  <c r="BO335" i="24"/>
  <c r="BO336" i="24"/>
  <c r="BO337" i="24"/>
  <c r="BO338" i="24"/>
  <c r="BO339" i="24"/>
  <c r="BO340" i="24"/>
  <c r="BO341" i="24"/>
  <c r="BO342" i="24"/>
  <c r="BO343" i="24"/>
  <c r="BO344" i="24"/>
  <c r="BO345" i="24"/>
  <c r="BO346" i="24"/>
  <c r="BO347" i="24"/>
  <c r="BO348" i="24"/>
  <c r="BO349" i="24"/>
  <c r="BO350" i="24"/>
  <c r="BO351" i="24"/>
  <c r="BO352" i="24"/>
  <c r="BO353" i="24"/>
  <c r="BO357" i="24"/>
  <c r="BO358" i="24"/>
  <c r="BO359" i="24"/>
  <c r="BO360" i="24"/>
  <c r="BO361" i="24"/>
  <c r="BO362" i="24"/>
  <c r="BO363" i="24"/>
  <c r="BO364" i="24"/>
  <c r="BO365" i="24"/>
  <c r="BO366" i="24"/>
  <c r="BO367" i="24"/>
  <c r="BO368" i="24"/>
  <c r="BO369" i="24"/>
  <c r="BO370" i="24"/>
  <c r="BO371" i="24"/>
  <c r="BO372" i="24"/>
  <c r="BO373" i="24"/>
  <c r="BO374" i="24"/>
  <c r="BO375" i="24"/>
  <c r="BO376" i="24"/>
  <c r="BO377" i="24"/>
  <c r="BO378" i="24"/>
  <c r="BO379" i="24"/>
  <c r="BO380" i="24"/>
  <c r="BO381" i="24"/>
  <c r="BO382" i="24"/>
  <c r="BO383" i="24"/>
  <c r="BO384" i="24"/>
  <c r="BO385" i="24"/>
  <c r="BO386" i="24"/>
  <c r="BO387" i="24"/>
  <c r="BO388" i="24"/>
  <c r="BO389" i="24"/>
  <c r="BO390" i="24"/>
  <c r="BO391" i="24"/>
  <c r="BO392" i="24"/>
  <c r="BO393" i="24"/>
  <c r="BO394" i="24"/>
  <c r="BO395" i="24"/>
  <c r="BO396" i="24"/>
  <c r="BO397" i="24"/>
  <c r="BO398" i="24"/>
  <c r="BO399" i="24"/>
  <c r="BO400" i="24"/>
  <c r="BO401" i="24"/>
  <c r="BO402" i="24"/>
  <c r="BO403" i="24"/>
  <c r="BO404" i="24"/>
  <c r="BO405" i="24"/>
  <c r="BO406" i="24"/>
  <c r="BO407" i="24"/>
  <c r="BO408" i="24"/>
  <c r="BO409" i="24"/>
  <c r="BO410" i="24"/>
  <c r="BO411" i="24"/>
  <c r="BO412" i="24"/>
  <c r="BO413" i="24"/>
  <c r="BO414" i="24"/>
  <c r="BO415" i="24"/>
  <c r="BO416" i="24"/>
  <c r="BO417" i="24"/>
  <c r="BO418" i="24"/>
  <c r="BO419" i="24"/>
  <c r="BO420" i="24"/>
  <c r="BO421" i="24"/>
  <c r="BO422" i="24"/>
  <c r="BO423" i="24"/>
  <c r="BO424" i="24"/>
  <c r="BO425" i="24"/>
  <c r="BO426" i="24"/>
  <c r="BO427" i="24"/>
  <c r="BO428" i="24"/>
  <c r="BO429" i="24"/>
  <c r="BO430" i="24"/>
  <c r="BO431" i="24"/>
  <c r="BO432" i="24"/>
  <c r="BO433" i="24"/>
  <c r="BO434" i="24"/>
  <c r="BO435" i="24"/>
  <c r="BO436" i="24"/>
  <c r="BO437" i="24"/>
  <c r="BO438" i="24"/>
  <c r="BO439" i="24"/>
  <c r="BO440" i="24"/>
  <c r="BO441" i="24"/>
  <c r="BO442" i="24"/>
  <c r="BO443" i="24"/>
  <c r="BO444" i="24"/>
  <c r="BO445" i="24"/>
  <c r="BO446" i="24"/>
  <c r="BO447" i="24"/>
  <c r="BO448" i="24"/>
  <c r="BO449" i="24"/>
  <c r="BO450" i="24"/>
  <c r="BO451" i="24"/>
  <c r="BO452" i="24"/>
  <c r="BO453" i="24"/>
  <c r="BO454" i="24"/>
  <c r="BO455" i="24"/>
  <c r="BO456" i="24"/>
  <c r="BO457" i="24"/>
  <c r="BO458" i="24"/>
  <c r="BO459" i="24"/>
  <c r="BO460" i="24"/>
  <c r="BO461" i="24"/>
  <c r="BO462" i="24"/>
  <c r="BO463" i="24"/>
  <c r="BO464" i="24"/>
  <c r="BO465" i="24"/>
  <c r="BO466" i="24"/>
  <c r="BO467" i="24"/>
  <c r="BO468" i="24"/>
  <c r="BO469" i="24"/>
  <c r="BO470" i="24"/>
  <c r="BO471" i="24"/>
  <c r="BO472" i="24"/>
  <c r="BO473" i="24"/>
  <c r="BO474" i="24"/>
  <c r="BO475" i="24"/>
  <c r="BO476" i="24"/>
  <c r="BO477" i="24"/>
  <c r="BO478" i="24"/>
  <c r="BO479" i="24"/>
  <c r="BO480" i="24"/>
  <c r="BO481" i="24"/>
  <c r="BO482" i="24"/>
  <c r="BO483" i="24"/>
  <c r="BO484" i="24"/>
  <c r="BO485" i="24"/>
  <c r="BO486" i="24"/>
  <c r="BO487" i="24"/>
  <c r="BO488" i="24"/>
  <c r="BO489" i="24"/>
  <c r="BO490" i="24"/>
  <c r="BO491" i="24"/>
  <c r="BO492" i="24"/>
  <c r="BO493" i="24"/>
  <c r="BO494" i="24"/>
  <c r="BO495" i="24"/>
  <c r="BO496" i="24"/>
  <c r="BO497" i="24"/>
  <c r="BO498" i="24"/>
  <c r="BO499" i="24"/>
  <c r="BO500" i="24"/>
  <c r="BO501" i="24"/>
  <c r="BO502" i="24"/>
  <c r="BO503" i="24"/>
  <c r="BO504" i="24"/>
  <c r="BO505" i="24"/>
  <c r="BO506" i="24"/>
  <c r="BO507" i="24"/>
  <c r="BO508" i="24"/>
  <c r="BO509" i="24"/>
  <c r="BO510" i="24"/>
  <c r="BO511" i="24"/>
  <c r="BO512" i="24"/>
  <c r="BO513" i="24"/>
  <c r="BO514" i="24"/>
  <c r="BO515" i="24"/>
  <c r="BO516" i="24"/>
  <c r="BO517" i="24"/>
  <c r="BO518" i="24"/>
  <c r="BO519" i="24"/>
  <c r="BO520" i="24"/>
  <c r="BO521" i="24"/>
  <c r="BO522" i="24"/>
  <c r="BO523" i="24"/>
  <c r="BO524" i="24"/>
  <c r="BO525" i="24"/>
  <c r="BO526" i="24"/>
  <c r="BO527" i="24"/>
  <c r="BO528" i="24"/>
  <c r="BO529" i="24"/>
  <c r="BO530" i="24"/>
  <c r="BO531" i="24"/>
  <c r="BO532" i="24"/>
  <c r="BO533" i="24"/>
  <c r="BO534" i="24"/>
  <c r="BO535" i="24"/>
  <c r="BO536" i="24"/>
  <c r="BO537" i="24"/>
  <c r="BO538" i="24"/>
  <c r="BO539" i="24"/>
  <c r="BO540" i="24"/>
  <c r="BO541" i="24"/>
  <c r="BO542" i="24"/>
  <c r="BO543" i="24"/>
  <c r="BO544" i="24"/>
  <c r="BO545" i="24"/>
  <c r="BO546" i="24"/>
  <c r="BO547" i="24"/>
  <c r="BO548" i="24"/>
  <c r="BO549" i="24"/>
  <c r="BO550" i="24"/>
  <c r="BO551" i="24"/>
  <c r="BO552" i="24"/>
  <c r="BO553" i="24"/>
  <c r="BO554" i="24"/>
  <c r="BO555" i="24"/>
  <c r="BO556" i="24"/>
  <c r="BO557" i="24"/>
  <c r="BO558" i="24"/>
  <c r="BO559" i="24"/>
  <c r="BO560" i="24"/>
  <c r="BO561" i="24"/>
  <c r="BO562" i="24"/>
  <c r="BO563" i="24"/>
  <c r="BO564" i="24"/>
  <c r="BO565" i="24"/>
  <c r="BO566" i="24"/>
  <c r="BO568" i="24"/>
  <c r="BO569" i="24"/>
  <c r="BP6" i="24"/>
  <c r="BO6" i="24"/>
  <c r="D569" i="24"/>
  <c r="C569" i="25" s="1"/>
  <c r="D569" i="25" s="1"/>
  <c r="C565" i="26" s="1"/>
  <c r="D565" i="26" s="1"/>
  <c r="BO567" i="24" l="1"/>
  <c r="D568" i="24"/>
  <c r="C568" i="25" s="1"/>
  <c r="D568" i="25" s="1"/>
  <c r="C564" i="26" s="1"/>
  <c r="D564" i="26" s="1"/>
  <c r="D566" i="24" l="1"/>
  <c r="C566" i="25" s="1"/>
  <c r="D566" i="25" s="1"/>
  <c r="C562" i="26" s="1"/>
  <c r="D562" i="26" s="1"/>
  <c r="D567" i="24"/>
  <c r="C567" i="25" s="1"/>
  <c r="D567" i="25" s="1"/>
  <c r="C563" i="26" s="1"/>
  <c r="D563" i="26" s="1"/>
  <c r="D351" i="24" l="1"/>
  <c r="C351" i="25" s="1"/>
  <c r="D351" i="25" s="1"/>
  <c r="C347" i="26" s="1"/>
  <c r="D347" i="26" s="1"/>
  <c r="D362" i="24"/>
  <c r="C362" i="25" s="1"/>
  <c r="D362" i="25" s="1"/>
  <c r="C358" i="26" s="1"/>
  <c r="D358" i="26" s="1"/>
  <c r="D564" i="24" l="1"/>
  <c r="C564" i="25" s="1"/>
  <c r="D564" i="25" s="1"/>
  <c r="C560" i="26" s="1"/>
  <c r="D560" i="26" s="1"/>
  <c r="D119" i="24" l="1"/>
  <c r="C119" i="25" s="1"/>
  <c r="D119" i="25" s="1"/>
  <c r="C115" i="26" s="1"/>
  <c r="D115" i="26" s="1"/>
  <c r="D561" i="24"/>
  <c r="C561" i="25" s="1"/>
  <c r="D561" i="25" s="1"/>
  <c r="C557" i="26" s="1"/>
  <c r="D557" i="26" s="1"/>
  <c r="D562" i="24"/>
  <c r="C562" i="25" s="1"/>
  <c r="D562" i="25" s="1"/>
  <c r="C558" i="26" s="1"/>
  <c r="D558" i="26" s="1"/>
  <c r="D455" i="24" l="1"/>
  <c r="C455" i="25" s="1"/>
  <c r="D455" i="25" s="1"/>
  <c r="C451" i="26" s="1"/>
  <c r="D451" i="26" s="1"/>
  <c r="D456" i="24"/>
  <c r="C456" i="25" s="1"/>
  <c r="D456" i="25" s="1"/>
  <c r="C452" i="26" s="1"/>
  <c r="D452" i="26" s="1"/>
  <c r="D457" i="24"/>
  <c r="C457" i="25" s="1"/>
  <c r="D457" i="25" s="1"/>
  <c r="C453" i="26" s="1"/>
  <c r="D453" i="26" s="1"/>
  <c r="D458" i="24"/>
  <c r="C458" i="25" s="1"/>
  <c r="D458" i="25" s="1"/>
  <c r="C454" i="26" s="1"/>
  <c r="D454" i="26" s="1"/>
  <c r="D459" i="24"/>
  <c r="C459" i="25" s="1"/>
  <c r="D459" i="25" s="1"/>
  <c r="C455" i="26" s="1"/>
  <c r="D455" i="26" s="1"/>
  <c r="D460" i="24"/>
  <c r="C460" i="25" s="1"/>
  <c r="D460" i="25" s="1"/>
  <c r="C456" i="26" s="1"/>
  <c r="D456" i="26" s="1"/>
  <c r="D461" i="24"/>
  <c r="C461" i="25" s="1"/>
  <c r="D461" i="25" s="1"/>
  <c r="C457" i="26" s="1"/>
  <c r="D457" i="26" s="1"/>
  <c r="D462" i="24"/>
  <c r="C462" i="25" s="1"/>
  <c r="D462" i="25" s="1"/>
  <c r="C458" i="26" s="1"/>
  <c r="D458" i="26" s="1"/>
  <c r="D463" i="24"/>
  <c r="C463" i="25" s="1"/>
  <c r="D463" i="25" s="1"/>
  <c r="C459" i="26" s="1"/>
  <c r="D459" i="26" s="1"/>
  <c r="D464" i="24"/>
  <c r="C464" i="25" s="1"/>
  <c r="D464" i="25" s="1"/>
  <c r="C460" i="26" s="1"/>
  <c r="D460" i="26" s="1"/>
  <c r="D465" i="24"/>
  <c r="C465" i="25" s="1"/>
  <c r="D465" i="25" s="1"/>
  <c r="C461" i="26" s="1"/>
  <c r="D461" i="26" s="1"/>
  <c r="D467" i="24"/>
  <c r="C467" i="25" s="1"/>
  <c r="D467" i="25" s="1"/>
  <c r="C463" i="26" s="1"/>
  <c r="D463" i="26" s="1"/>
  <c r="D469" i="24"/>
  <c r="C469" i="25" s="1"/>
  <c r="D469" i="25" s="1"/>
  <c r="C465" i="26" s="1"/>
  <c r="D465" i="26" s="1"/>
  <c r="D470" i="24"/>
  <c r="C470" i="25" s="1"/>
  <c r="D470" i="25" s="1"/>
  <c r="C466" i="26" s="1"/>
  <c r="D466" i="26" s="1"/>
  <c r="D468" i="24"/>
  <c r="C468" i="25" s="1"/>
  <c r="D468" i="25" s="1"/>
  <c r="C464" i="26" s="1"/>
  <c r="D464" i="26" s="1"/>
  <c r="D466" i="24"/>
  <c r="C466" i="25" s="1"/>
  <c r="D466" i="25" s="1"/>
  <c r="C462" i="26" s="1"/>
  <c r="D462" i="26" s="1"/>
  <c r="D357" i="24" l="1"/>
  <c r="C357" i="25" s="1"/>
  <c r="D357" i="25" s="1"/>
  <c r="C353" i="26" s="1"/>
  <c r="D353" i="26" s="1"/>
  <c r="D535" i="24" l="1"/>
  <c r="C535" i="25" s="1"/>
  <c r="D535" i="25" s="1"/>
  <c r="C531" i="26" s="1"/>
  <c r="D531" i="26" s="1"/>
  <c r="D539" i="24"/>
  <c r="C539" i="25" s="1"/>
  <c r="D539" i="25" s="1"/>
  <c r="C535" i="26" s="1"/>
  <c r="D535" i="26" s="1"/>
  <c r="D543" i="24"/>
  <c r="C543" i="25" s="1"/>
  <c r="D543" i="25" s="1"/>
  <c r="C539" i="26" s="1"/>
  <c r="D539" i="26" s="1"/>
  <c r="D545" i="24"/>
  <c r="C545" i="25" s="1"/>
  <c r="D545" i="25" s="1"/>
  <c r="C541" i="26" s="1"/>
  <c r="D541" i="26" s="1"/>
  <c r="D547" i="24"/>
  <c r="C547" i="25" s="1"/>
  <c r="D547" i="25" s="1"/>
  <c r="C543" i="26" s="1"/>
  <c r="D543" i="26" s="1"/>
  <c r="D548" i="24"/>
  <c r="C548" i="25" s="1"/>
  <c r="D548" i="25" s="1"/>
  <c r="C544" i="26" s="1"/>
  <c r="D544" i="26" s="1"/>
  <c r="D550" i="24"/>
  <c r="C550" i="25" s="1"/>
  <c r="D550" i="25" s="1"/>
  <c r="C546" i="26" s="1"/>
  <c r="D546" i="26" s="1"/>
  <c r="D553" i="24"/>
  <c r="C553" i="25" s="1"/>
  <c r="D553" i="25" s="1"/>
  <c r="C549" i="26" s="1"/>
  <c r="D549" i="26" s="1"/>
  <c r="D559" i="24"/>
  <c r="C559" i="25" s="1"/>
  <c r="D559" i="25" s="1"/>
  <c r="C555" i="26" s="1"/>
  <c r="D555" i="26" s="1"/>
  <c r="D503" i="24"/>
  <c r="C503" i="25" s="1"/>
  <c r="D503" i="25" s="1"/>
  <c r="C499" i="26" s="1"/>
  <c r="D499" i="26" s="1"/>
  <c r="D557" i="24" l="1"/>
  <c r="C557" i="25" s="1"/>
  <c r="D557" i="25" s="1"/>
  <c r="C553" i="26" s="1"/>
  <c r="D553" i="26" s="1"/>
  <c r="D556" i="24"/>
  <c r="C556" i="25" s="1"/>
  <c r="D556" i="25" s="1"/>
  <c r="C552" i="26" s="1"/>
  <c r="D552" i="26" s="1"/>
  <c r="D552" i="24"/>
  <c r="C552" i="25" s="1"/>
  <c r="D552" i="25" s="1"/>
  <c r="C548" i="26" s="1"/>
  <c r="D548" i="26" s="1"/>
  <c r="D555" i="24"/>
  <c r="C555" i="25" s="1"/>
  <c r="D555" i="25" s="1"/>
  <c r="C551" i="26" s="1"/>
  <c r="D551" i="26" s="1"/>
  <c r="D551" i="24"/>
  <c r="C551" i="25" s="1"/>
  <c r="D551" i="25" s="1"/>
  <c r="C547" i="26" s="1"/>
  <c r="D547" i="26" s="1"/>
  <c r="D554" i="24"/>
  <c r="C554" i="25" s="1"/>
  <c r="D554" i="25" s="1"/>
  <c r="C550" i="26" s="1"/>
  <c r="D550" i="26" s="1"/>
  <c r="D546" i="24" l="1"/>
  <c r="C546" i="25" s="1"/>
  <c r="D546" i="25" s="1"/>
  <c r="C542" i="26" s="1"/>
  <c r="D542" i="26" s="1"/>
  <c r="D13" i="24"/>
  <c r="C13" i="25" s="1"/>
  <c r="D13" i="25" s="1"/>
  <c r="C13" i="26" s="1"/>
  <c r="D13" i="26" s="1"/>
  <c r="D43" i="24"/>
  <c r="C43" i="25" s="1"/>
  <c r="D43" i="25" s="1"/>
  <c r="C43" i="26" s="1"/>
  <c r="D43" i="26" s="1"/>
  <c r="D49" i="24"/>
  <c r="C49" i="25" s="1"/>
  <c r="D49" i="25" s="1"/>
  <c r="C49" i="26" s="1"/>
  <c r="D49" i="26" s="1"/>
  <c r="D72" i="24"/>
  <c r="C72" i="25" s="1"/>
  <c r="D72" i="25" s="1"/>
  <c r="C72" i="26" s="1"/>
  <c r="D72" i="26" s="1"/>
  <c r="D76" i="24"/>
  <c r="C76" i="25" s="1"/>
  <c r="D76" i="25" s="1"/>
  <c r="C76" i="26" s="1"/>
  <c r="D76" i="26" s="1"/>
  <c r="D109" i="24"/>
  <c r="C109" i="25" s="1"/>
  <c r="D109" i="25" s="1"/>
  <c r="C109" i="26" s="1"/>
  <c r="D109" i="26" s="1"/>
  <c r="D110" i="24"/>
  <c r="C110" i="25" s="1"/>
  <c r="D110" i="25" s="1"/>
  <c r="C110" i="26" s="1"/>
  <c r="D110" i="26" s="1"/>
  <c r="D129" i="24"/>
  <c r="C129" i="25" s="1"/>
  <c r="D129" i="25" s="1"/>
  <c r="C125" i="26" s="1"/>
  <c r="D125" i="26" s="1"/>
  <c r="D137" i="24"/>
  <c r="C137" i="25" s="1"/>
  <c r="D137" i="25" s="1"/>
  <c r="C133" i="26" s="1"/>
  <c r="D133" i="26" s="1"/>
  <c r="D143" i="24"/>
  <c r="C143" i="25" s="1"/>
  <c r="D143" i="25" s="1"/>
  <c r="C139" i="26" s="1"/>
  <c r="D139" i="26" s="1"/>
  <c r="D147" i="24"/>
  <c r="C147" i="25" s="1"/>
  <c r="D147" i="25" s="1"/>
  <c r="C143" i="26" s="1"/>
  <c r="D143" i="26" s="1"/>
  <c r="D150" i="24"/>
  <c r="C150" i="25" s="1"/>
  <c r="D150" i="25" s="1"/>
  <c r="C146" i="26" s="1"/>
  <c r="D146" i="26" s="1"/>
  <c r="D153" i="24"/>
  <c r="C153" i="25" s="1"/>
  <c r="D153" i="25" s="1"/>
  <c r="C149" i="26" s="1"/>
  <c r="D149" i="26" s="1"/>
  <c r="D159" i="24"/>
  <c r="C159" i="25" s="1"/>
  <c r="D159" i="25" s="1"/>
  <c r="C155" i="26" s="1"/>
  <c r="D155" i="26" s="1"/>
  <c r="D161" i="24"/>
  <c r="C161" i="25" s="1"/>
  <c r="D161" i="25" s="1"/>
  <c r="C157" i="26" s="1"/>
  <c r="D157" i="26" s="1"/>
  <c r="D54" i="24" l="1"/>
  <c r="C54" i="25" s="1"/>
  <c r="D54" i="25" s="1"/>
  <c r="C54" i="26" s="1"/>
  <c r="D54" i="26" s="1"/>
  <c r="D55" i="24"/>
  <c r="C55" i="25" s="1"/>
  <c r="D55" i="25" s="1"/>
  <c r="C55" i="26" s="1"/>
  <c r="D55" i="26" s="1"/>
  <c r="D89" i="24"/>
  <c r="C89" i="25" s="1"/>
  <c r="D89" i="25" s="1"/>
  <c r="C89" i="26" s="1"/>
  <c r="D89" i="26" s="1"/>
  <c r="D92" i="24"/>
  <c r="C92" i="25" s="1"/>
  <c r="D92" i="25" s="1"/>
  <c r="C92" i="26" s="1"/>
  <c r="D92" i="26" s="1"/>
  <c r="D35" i="24"/>
  <c r="C35" i="25" s="1"/>
  <c r="D35" i="25" s="1"/>
  <c r="C35" i="26" s="1"/>
  <c r="D35" i="26" s="1"/>
  <c r="D37" i="24"/>
  <c r="C37" i="25" s="1"/>
  <c r="D37" i="25" s="1"/>
  <c r="C37" i="26" s="1"/>
  <c r="D37" i="26" s="1"/>
  <c r="D286" i="24" l="1"/>
  <c r="C286" i="25" s="1"/>
  <c r="D286" i="25" s="1"/>
  <c r="C282" i="26" s="1"/>
  <c r="D282" i="26" s="1"/>
  <c r="D549" i="24"/>
  <c r="C549" i="25" s="1"/>
  <c r="D549" i="25" s="1"/>
  <c r="C545" i="26" s="1"/>
  <c r="D545" i="26" s="1"/>
  <c r="D542" i="24" l="1"/>
  <c r="C542" i="25" s="1"/>
  <c r="D542" i="25" s="1"/>
  <c r="C538" i="26" s="1"/>
  <c r="D538" i="26" s="1"/>
  <c r="D541" i="24"/>
  <c r="C541" i="25" s="1"/>
  <c r="D541" i="25" s="1"/>
  <c r="C537" i="26" s="1"/>
  <c r="D537" i="26" s="1"/>
  <c r="D540" i="24"/>
  <c r="C540" i="25" s="1"/>
  <c r="D540" i="25" s="1"/>
  <c r="C536" i="26" s="1"/>
  <c r="D536" i="26" s="1"/>
  <c r="D538" i="24" l="1"/>
  <c r="C538" i="25" s="1"/>
  <c r="D538" i="25" s="1"/>
  <c r="C534" i="26" s="1"/>
  <c r="D534" i="26" s="1"/>
  <c r="D537" i="24"/>
  <c r="C537" i="25" s="1"/>
  <c r="D537" i="25" s="1"/>
  <c r="C533" i="26" s="1"/>
  <c r="D533" i="26" s="1"/>
  <c r="D536" i="24"/>
  <c r="C536" i="25" s="1"/>
  <c r="D536" i="25" s="1"/>
  <c r="C532" i="26" s="1"/>
  <c r="D532" i="26" s="1"/>
  <c r="D353" i="24" l="1"/>
  <c r="C353" i="25" s="1"/>
  <c r="D353" i="25" s="1"/>
  <c r="C349" i="26" s="1"/>
  <c r="D349" i="26" s="1"/>
  <c r="D515" i="24" l="1"/>
  <c r="C515" i="25" s="1"/>
  <c r="D515" i="25" s="1"/>
  <c r="C511" i="26" s="1"/>
  <c r="D511" i="26" s="1"/>
  <c r="D513" i="24"/>
  <c r="C513" i="25" s="1"/>
  <c r="D513" i="25" s="1"/>
  <c r="C509" i="26" s="1"/>
  <c r="D509" i="26" s="1"/>
  <c r="D512" i="24"/>
  <c r="C512" i="25" s="1"/>
  <c r="D512" i="25" s="1"/>
  <c r="C508" i="26" s="1"/>
  <c r="D508" i="26" s="1"/>
  <c r="D511" i="24"/>
  <c r="C511" i="25" s="1"/>
  <c r="D511" i="25" s="1"/>
  <c r="C507" i="26" s="1"/>
  <c r="D507" i="26" s="1"/>
  <c r="D510" i="24"/>
  <c r="C510" i="25" s="1"/>
  <c r="D510" i="25" s="1"/>
  <c r="C506" i="26" s="1"/>
  <c r="D506" i="26" s="1"/>
  <c r="D509" i="24"/>
  <c r="C509" i="25" s="1"/>
  <c r="D509" i="25" s="1"/>
  <c r="C505" i="26" s="1"/>
  <c r="D505" i="26" s="1"/>
  <c r="D508" i="24"/>
  <c r="C508" i="25" s="1"/>
  <c r="D508" i="25" s="1"/>
  <c r="C504" i="26" s="1"/>
  <c r="D504" i="26" s="1"/>
  <c r="D507" i="24"/>
  <c r="C507" i="25" s="1"/>
  <c r="D507" i="25" s="1"/>
  <c r="C503" i="26" s="1"/>
  <c r="D503" i="26" s="1"/>
  <c r="D506" i="24"/>
  <c r="C506" i="25" s="1"/>
  <c r="D506" i="25" s="1"/>
  <c r="C502" i="26" s="1"/>
  <c r="D502" i="26" s="1"/>
  <c r="D505" i="24"/>
  <c r="C505" i="25" s="1"/>
  <c r="D505" i="25" s="1"/>
  <c r="C501" i="26" s="1"/>
  <c r="D501" i="26" s="1"/>
  <c r="D504" i="24"/>
  <c r="C504" i="25" s="1"/>
  <c r="D504" i="25" s="1"/>
  <c r="C500" i="26" s="1"/>
  <c r="D500" i="26" s="1"/>
  <c r="D500" i="24"/>
  <c r="C500" i="25" s="1"/>
  <c r="D500" i="25" s="1"/>
  <c r="C496" i="26" s="1"/>
  <c r="D496" i="26" s="1"/>
  <c r="D499" i="24"/>
  <c r="C499" i="25" s="1"/>
  <c r="D499" i="25" s="1"/>
  <c r="C495" i="26" s="1"/>
  <c r="D495" i="26" s="1"/>
  <c r="D498" i="24"/>
  <c r="C498" i="25" s="1"/>
  <c r="D498" i="25" s="1"/>
  <c r="C494" i="26" s="1"/>
  <c r="D494" i="26" s="1"/>
  <c r="D497" i="24"/>
  <c r="C497" i="25" s="1"/>
  <c r="D497" i="25" s="1"/>
  <c r="C493" i="26" s="1"/>
  <c r="D493" i="26" s="1"/>
  <c r="D496" i="24"/>
  <c r="C496" i="25" s="1"/>
  <c r="D496" i="25" s="1"/>
  <c r="C492" i="26" s="1"/>
  <c r="D492" i="26" s="1"/>
  <c r="D493" i="24"/>
  <c r="C493" i="25" s="1"/>
  <c r="D493" i="25" s="1"/>
  <c r="C489" i="26" s="1"/>
  <c r="D489" i="26" s="1"/>
  <c r="D492" i="24"/>
  <c r="C492" i="25" s="1"/>
  <c r="D492" i="25" s="1"/>
  <c r="C488" i="26" s="1"/>
  <c r="D488" i="26" s="1"/>
  <c r="D491" i="24"/>
  <c r="C491" i="25" s="1"/>
  <c r="D491" i="25" s="1"/>
  <c r="C487" i="26" s="1"/>
  <c r="D487" i="26" s="1"/>
  <c r="D490" i="24"/>
  <c r="C490" i="25" s="1"/>
  <c r="D490" i="25" s="1"/>
  <c r="C486" i="26" s="1"/>
  <c r="D486" i="26" s="1"/>
  <c r="D489" i="24"/>
  <c r="C489" i="25" s="1"/>
  <c r="D489" i="25" s="1"/>
  <c r="C485" i="26" s="1"/>
  <c r="D485" i="26" s="1"/>
  <c r="D488" i="24"/>
  <c r="C488" i="25" s="1"/>
  <c r="D488" i="25" s="1"/>
  <c r="C484" i="26" s="1"/>
  <c r="D484" i="26" s="1"/>
  <c r="D487" i="24"/>
  <c r="C487" i="25" s="1"/>
  <c r="D487" i="25" s="1"/>
  <c r="C483" i="26" s="1"/>
  <c r="D483" i="26" s="1"/>
  <c r="D485" i="24"/>
  <c r="C485" i="25" s="1"/>
  <c r="D485" i="25" s="1"/>
  <c r="C481" i="26" s="1"/>
  <c r="D481" i="26" s="1"/>
  <c r="D484" i="24"/>
  <c r="C484" i="25" s="1"/>
  <c r="D484" i="25" s="1"/>
  <c r="C480" i="26" s="1"/>
  <c r="D480" i="26" s="1"/>
  <c r="D483" i="24"/>
  <c r="C483" i="25" s="1"/>
  <c r="D483" i="25" s="1"/>
  <c r="C479" i="26" s="1"/>
  <c r="D479" i="26" s="1"/>
  <c r="D482" i="24"/>
  <c r="C482" i="25" s="1"/>
  <c r="D482" i="25" s="1"/>
  <c r="C478" i="26" s="1"/>
  <c r="D478" i="26" s="1"/>
  <c r="D481" i="24"/>
  <c r="C481" i="25" s="1"/>
  <c r="D481" i="25" s="1"/>
  <c r="C477" i="26" s="1"/>
  <c r="D477" i="26" s="1"/>
  <c r="D480" i="24"/>
  <c r="C480" i="25" s="1"/>
  <c r="D480" i="25" s="1"/>
  <c r="C476" i="26" s="1"/>
  <c r="D476" i="26" s="1"/>
  <c r="D479" i="24"/>
  <c r="C479" i="25" s="1"/>
  <c r="D479" i="25" s="1"/>
  <c r="C475" i="26" s="1"/>
  <c r="D475" i="26" s="1"/>
  <c r="D478" i="24"/>
  <c r="C478" i="25" s="1"/>
  <c r="D478" i="25" s="1"/>
  <c r="C474" i="26" s="1"/>
  <c r="D474" i="26" s="1"/>
  <c r="D477" i="24"/>
  <c r="C477" i="25" s="1"/>
  <c r="D477" i="25" s="1"/>
  <c r="C473" i="26" s="1"/>
  <c r="D473" i="26" s="1"/>
  <c r="D476" i="24"/>
  <c r="C476" i="25" s="1"/>
  <c r="D476" i="25" s="1"/>
  <c r="C472" i="26" s="1"/>
  <c r="D472" i="26" s="1"/>
  <c r="D475" i="24"/>
  <c r="C475" i="25" s="1"/>
  <c r="D475" i="25" s="1"/>
  <c r="C471" i="26" s="1"/>
  <c r="D471" i="26" s="1"/>
  <c r="D474" i="24"/>
  <c r="C474" i="25" s="1"/>
  <c r="D474" i="25" s="1"/>
  <c r="C470" i="26" s="1"/>
  <c r="D470" i="26" s="1"/>
  <c r="D473" i="24"/>
  <c r="C473" i="25" s="1"/>
  <c r="D473" i="25" s="1"/>
  <c r="C469" i="26" s="1"/>
  <c r="D469" i="26" s="1"/>
  <c r="D472" i="24"/>
  <c r="C472" i="25" s="1"/>
  <c r="D472" i="25" s="1"/>
  <c r="C468" i="26" s="1"/>
  <c r="D468" i="26" s="1"/>
  <c r="D471" i="24"/>
  <c r="C471" i="25" s="1"/>
  <c r="D471" i="25" s="1"/>
  <c r="C467" i="26" s="1"/>
  <c r="D467" i="26" s="1"/>
  <c r="D454" i="24"/>
  <c r="C454" i="25" s="1"/>
  <c r="D454" i="25" s="1"/>
  <c r="C450" i="26" s="1"/>
  <c r="D450" i="26" s="1"/>
  <c r="D453" i="24"/>
  <c r="C453" i="25" s="1"/>
  <c r="D453" i="25" s="1"/>
  <c r="C449" i="26" s="1"/>
  <c r="D449" i="26" s="1"/>
  <c r="D452" i="24"/>
  <c r="C452" i="25" s="1"/>
  <c r="D452" i="25" s="1"/>
  <c r="C448" i="26" s="1"/>
  <c r="D448" i="26" s="1"/>
  <c r="D451" i="24"/>
  <c r="C451" i="25" s="1"/>
  <c r="D451" i="25" s="1"/>
  <c r="C447" i="26" s="1"/>
  <c r="D447" i="26" s="1"/>
  <c r="D450" i="24"/>
  <c r="C450" i="25" s="1"/>
  <c r="D450" i="25" s="1"/>
  <c r="C446" i="26" s="1"/>
  <c r="D446" i="26" s="1"/>
  <c r="D449" i="24"/>
  <c r="C449" i="25" s="1"/>
  <c r="D449" i="25" s="1"/>
  <c r="C445" i="26" s="1"/>
  <c r="D445" i="26" s="1"/>
  <c r="D448" i="24"/>
  <c r="C448" i="25" s="1"/>
  <c r="D448" i="25" s="1"/>
  <c r="C444" i="26" s="1"/>
  <c r="D444" i="26" s="1"/>
  <c r="D447" i="24"/>
  <c r="C447" i="25" s="1"/>
  <c r="D447" i="25" s="1"/>
  <c r="C443" i="26" s="1"/>
  <c r="D443" i="26" s="1"/>
  <c r="D443" i="24"/>
  <c r="C443" i="25" s="1"/>
  <c r="D443" i="25" s="1"/>
  <c r="C439" i="26" s="1"/>
  <c r="D439" i="26" s="1"/>
  <c r="D440" i="24"/>
  <c r="C440" i="25" s="1"/>
  <c r="D440" i="25" s="1"/>
  <c r="C436" i="26" s="1"/>
  <c r="D436" i="26" s="1"/>
  <c r="D439" i="24"/>
  <c r="C439" i="25" s="1"/>
  <c r="D439" i="25" s="1"/>
  <c r="C435" i="26" s="1"/>
  <c r="D435" i="26" s="1"/>
  <c r="D438" i="24"/>
  <c r="C438" i="25" s="1"/>
  <c r="D438" i="25" s="1"/>
  <c r="C434" i="26" s="1"/>
  <c r="D434" i="26" s="1"/>
  <c r="D437" i="24"/>
  <c r="C437" i="25" s="1"/>
  <c r="D437" i="25" s="1"/>
  <c r="C433" i="26" s="1"/>
  <c r="D433" i="26" s="1"/>
  <c r="D436" i="24"/>
  <c r="C436" i="25" s="1"/>
  <c r="D436" i="25" s="1"/>
  <c r="C432" i="26" s="1"/>
  <c r="D432" i="26" s="1"/>
  <c r="D435" i="24"/>
  <c r="C435" i="25" s="1"/>
  <c r="D435" i="25" s="1"/>
  <c r="C431" i="26" s="1"/>
  <c r="D431" i="26" s="1"/>
  <c r="D434" i="24"/>
  <c r="C434" i="25" s="1"/>
  <c r="D434" i="25" s="1"/>
  <c r="C430" i="26" s="1"/>
  <c r="D430" i="26" s="1"/>
  <c r="D433" i="24"/>
  <c r="C433" i="25" s="1"/>
  <c r="D433" i="25" s="1"/>
  <c r="C429" i="26" s="1"/>
  <c r="D429" i="26" s="1"/>
  <c r="D432" i="24"/>
  <c r="C432" i="25" s="1"/>
  <c r="D432" i="25" s="1"/>
  <c r="C428" i="26" s="1"/>
  <c r="D428" i="26" s="1"/>
  <c r="D431" i="24"/>
  <c r="C431" i="25" s="1"/>
  <c r="D431" i="25" s="1"/>
  <c r="C427" i="26" s="1"/>
  <c r="D427" i="26" s="1"/>
  <c r="D423" i="24"/>
  <c r="C423" i="25" s="1"/>
  <c r="D423" i="25" s="1"/>
  <c r="C419" i="26" s="1"/>
  <c r="D419" i="26" s="1"/>
  <c r="D422" i="24"/>
  <c r="C422" i="25" s="1"/>
  <c r="D422" i="25" s="1"/>
  <c r="C418" i="26" s="1"/>
  <c r="D418" i="26" s="1"/>
  <c r="D421" i="24"/>
  <c r="C421" i="25" s="1"/>
  <c r="D421" i="25" s="1"/>
  <c r="C417" i="26" s="1"/>
  <c r="D417" i="26" s="1"/>
  <c r="D420" i="24"/>
  <c r="C420" i="25" s="1"/>
  <c r="D420" i="25" s="1"/>
  <c r="C416" i="26" s="1"/>
  <c r="D416" i="26" s="1"/>
  <c r="D419" i="24"/>
  <c r="C419" i="25" s="1"/>
  <c r="D419" i="25" s="1"/>
  <c r="C415" i="26" s="1"/>
  <c r="D415" i="26" s="1"/>
  <c r="D418" i="24"/>
  <c r="C418" i="25" s="1"/>
  <c r="D418" i="25" s="1"/>
  <c r="C414" i="26" s="1"/>
  <c r="D414" i="26" s="1"/>
  <c r="D417" i="24"/>
  <c r="C417" i="25" s="1"/>
  <c r="D417" i="25" s="1"/>
  <c r="C413" i="26" s="1"/>
  <c r="D413" i="26" s="1"/>
  <c r="D416" i="24"/>
  <c r="C416" i="25" s="1"/>
  <c r="D416" i="25" s="1"/>
  <c r="C412" i="26" s="1"/>
  <c r="D412" i="26" s="1"/>
  <c r="D415" i="24"/>
  <c r="C415" i="25" s="1"/>
  <c r="D415" i="25" s="1"/>
  <c r="C411" i="26" s="1"/>
  <c r="D411" i="26" s="1"/>
  <c r="D414" i="24"/>
  <c r="C414" i="25" s="1"/>
  <c r="D414" i="25" s="1"/>
  <c r="C410" i="26" s="1"/>
  <c r="D410" i="26" s="1"/>
  <c r="D413" i="24"/>
  <c r="C413" i="25" s="1"/>
  <c r="D413" i="25" s="1"/>
  <c r="C409" i="26" s="1"/>
  <c r="D409" i="26" s="1"/>
  <c r="D412" i="24"/>
  <c r="C412" i="25" s="1"/>
  <c r="D412" i="25" s="1"/>
  <c r="C408" i="26" s="1"/>
  <c r="D408" i="26" s="1"/>
  <c r="D411" i="24"/>
  <c r="C411" i="25" s="1"/>
  <c r="D411" i="25" s="1"/>
  <c r="C407" i="26" s="1"/>
  <c r="D407" i="26" s="1"/>
  <c r="D410" i="24"/>
  <c r="C410" i="25" s="1"/>
  <c r="D410" i="25" s="1"/>
  <c r="C406" i="26" s="1"/>
  <c r="D406" i="26" s="1"/>
  <c r="D409" i="24"/>
  <c r="C409" i="25" s="1"/>
  <c r="D409" i="25" s="1"/>
  <c r="C405" i="26" s="1"/>
  <c r="D405" i="26" s="1"/>
  <c r="D408" i="24"/>
  <c r="C408" i="25" s="1"/>
  <c r="D408" i="25" s="1"/>
  <c r="C404" i="26" s="1"/>
  <c r="D404" i="26" s="1"/>
  <c r="D407" i="24"/>
  <c r="C407" i="25" s="1"/>
  <c r="D407" i="25" s="1"/>
  <c r="C403" i="26" s="1"/>
  <c r="D403" i="26" s="1"/>
  <c r="D406" i="24"/>
  <c r="C406" i="25" s="1"/>
  <c r="D406" i="25" s="1"/>
  <c r="C402" i="26" s="1"/>
  <c r="D402" i="26" s="1"/>
  <c r="D405" i="24"/>
  <c r="C405" i="25" s="1"/>
  <c r="D405" i="25" s="1"/>
  <c r="C401" i="26" s="1"/>
  <c r="D401" i="26" s="1"/>
  <c r="D404" i="24"/>
  <c r="C404" i="25" s="1"/>
  <c r="D404" i="25" s="1"/>
  <c r="C400" i="26" s="1"/>
  <c r="D400" i="26" s="1"/>
  <c r="D403" i="24"/>
  <c r="C403" i="25" s="1"/>
  <c r="D403" i="25" s="1"/>
  <c r="C399" i="26" s="1"/>
  <c r="D399" i="26" s="1"/>
  <c r="D402" i="24"/>
  <c r="C402" i="25" s="1"/>
  <c r="D402" i="25" s="1"/>
  <c r="C398" i="26" s="1"/>
  <c r="D398" i="26" s="1"/>
  <c r="D401" i="24"/>
  <c r="C401" i="25" s="1"/>
  <c r="D401" i="25" s="1"/>
  <c r="C397" i="26" s="1"/>
  <c r="D397" i="26" s="1"/>
  <c r="D400" i="24"/>
  <c r="C400" i="25" s="1"/>
  <c r="D400" i="25" s="1"/>
  <c r="C396" i="26" s="1"/>
  <c r="D396" i="26" s="1"/>
  <c r="D399" i="24"/>
  <c r="C399" i="25" s="1"/>
  <c r="D399" i="25" s="1"/>
  <c r="C395" i="26" s="1"/>
  <c r="D395" i="26" s="1"/>
  <c r="D398" i="24"/>
  <c r="C398" i="25" s="1"/>
  <c r="D398" i="25" s="1"/>
  <c r="C394" i="26" s="1"/>
  <c r="D394" i="26" s="1"/>
  <c r="D397" i="24"/>
  <c r="C397" i="25" s="1"/>
  <c r="D397" i="25" s="1"/>
  <c r="C393" i="26" s="1"/>
  <c r="D393" i="26" s="1"/>
  <c r="D396" i="24"/>
  <c r="C396" i="25" s="1"/>
  <c r="D396" i="25" s="1"/>
  <c r="C392" i="26" s="1"/>
  <c r="D392" i="26" s="1"/>
  <c r="D395" i="24"/>
  <c r="C395" i="25" s="1"/>
  <c r="D395" i="25" s="1"/>
  <c r="C391" i="26" s="1"/>
  <c r="D391" i="26" s="1"/>
  <c r="D394" i="24"/>
  <c r="C394" i="25" s="1"/>
  <c r="D394" i="25" s="1"/>
  <c r="C390" i="26" s="1"/>
  <c r="D390" i="26" s="1"/>
  <c r="D393" i="24"/>
  <c r="C393" i="25" s="1"/>
  <c r="D393" i="25" s="1"/>
  <c r="C389" i="26" s="1"/>
  <c r="D389" i="26" s="1"/>
  <c r="D392" i="24"/>
  <c r="C392" i="25" s="1"/>
  <c r="D392" i="25" s="1"/>
  <c r="C388" i="26" s="1"/>
  <c r="D388" i="26" s="1"/>
  <c r="D391" i="24"/>
  <c r="C391" i="25" s="1"/>
  <c r="D391" i="25" s="1"/>
  <c r="C387" i="26" s="1"/>
  <c r="D387" i="26" s="1"/>
  <c r="D390" i="24"/>
  <c r="C390" i="25" s="1"/>
  <c r="D390" i="25" s="1"/>
  <c r="C386" i="26" s="1"/>
  <c r="D386" i="26" s="1"/>
  <c r="D389" i="24"/>
  <c r="C389" i="25" s="1"/>
  <c r="D389" i="25" s="1"/>
  <c r="C385" i="26" s="1"/>
  <c r="D385" i="26" s="1"/>
  <c r="D388" i="24"/>
  <c r="C388" i="25" s="1"/>
  <c r="D388" i="25" s="1"/>
  <c r="C384" i="26" s="1"/>
  <c r="D384" i="26" s="1"/>
  <c r="D387" i="24"/>
  <c r="C387" i="25" s="1"/>
  <c r="D387" i="25" s="1"/>
  <c r="C383" i="26" s="1"/>
  <c r="D383" i="26" s="1"/>
  <c r="D386" i="24"/>
  <c r="C386" i="25" s="1"/>
  <c r="D386" i="25" s="1"/>
  <c r="C382" i="26" s="1"/>
  <c r="D382" i="26" s="1"/>
  <c r="D358" i="24"/>
  <c r="C358" i="25" s="1"/>
  <c r="D358" i="25" s="1"/>
  <c r="C354" i="26" s="1"/>
  <c r="D354" i="26" s="1"/>
  <c r="D352" i="24"/>
  <c r="C352" i="25" s="1"/>
  <c r="D352" i="25" s="1"/>
  <c r="C348" i="26" s="1"/>
  <c r="D348" i="26" s="1"/>
  <c r="D350" i="24"/>
  <c r="C350" i="25" s="1"/>
  <c r="D350" i="25" s="1"/>
  <c r="C346" i="26" s="1"/>
  <c r="D346" i="26" s="1"/>
  <c r="D349" i="24"/>
  <c r="C349" i="25" s="1"/>
  <c r="D349" i="25" s="1"/>
  <c r="C345" i="26" s="1"/>
  <c r="D345" i="26" s="1"/>
  <c r="D348" i="24"/>
  <c r="C348" i="25" s="1"/>
  <c r="D348" i="25" s="1"/>
  <c r="C344" i="26" s="1"/>
  <c r="D344" i="26" s="1"/>
  <c r="D347" i="24"/>
  <c r="C347" i="25" s="1"/>
  <c r="D347" i="25" s="1"/>
  <c r="C343" i="26" s="1"/>
  <c r="D343" i="26" s="1"/>
  <c r="D341" i="24"/>
  <c r="C341" i="25" s="1"/>
  <c r="D341" i="25" s="1"/>
  <c r="C337" i="26" s="1"/>
  <c r="D337" i="26" s="1"/>
  <c r="D340" i="24"/>
  <c r="C340" i="25" s="1"/>
  <c r="D340" i="25" s="1"/>
  <c r="C336" i="26" s="1"/>
  <c r="D336" i="26" s="1"/>
  <c r="D339" i="24"/>
  <c r="C339" i="25" s="1"/>
  <c r="D339" i="25" s="1"/>
  <c r="C335" i="26" s="1"/>
  <c r="D335" i="26" s="1"/>
  <c r="D338" i="24"/>
  <c r="C338" i="25" s="1"/>
  <c r="D338" i="25" s="1"/>
  <c r="C334" i="26" s="1"/>
  <c r="D334" i="26" s="1"/>
  <c r="D337" i="24"/>
  <c r="C337" i="25" s="1"/>
  <c r="D337" i="25" s="1"/>
  <c r="C333" i="26" s="1"/>
  <c r="D333" i="26" s="1"/>
  <c r="D336" i="24"/>
  <c r="C336" i="25" s="1"/>
  <c r="D336" i="25" s="1"/>
  <c r="C332" i="26" s="1"/>
  <c r="D332" i="26" s="1"/>
  <c r="D335" i="24"/>
  <c r="C335" i="25" s="1"/>
  <c r="D335" i="25" s="1"/>
  <c r="C331" i="26" s="1"/>
  <c r="D331" i="26" s="1"/>
  <c r="D334" i="24"/>
  <c r="C334" i="25" s="1"/>
  <c r="D334" i="25" s="1"/>
  <c r="C330" i="26" s="1"/>
  <c r="D330" i="26" s="1"/>
  <c r="D333" i="24"/>
  <c r="C333" i="25" s="1"/>
  <c r="D333" i="25" s="1"/>
  <c r="C329" i="26" s="1"/>
  <c r="D329" i="26" s="1"/>
  <c r="D332" i="24"/>
  <c r="C332" i="25" s="1"/>
  <c r="D332" i="25" s="1"/>
  <c r="C328" i="26" s="1"/>
  <c r="D328" i="26" s="1"/>
  <c r="D329" i="24"/>
  <c r="C329" i="25" s="1"/>
  <c r="D329" i="25" s="1"/>
  <c r="C325" i="26" s="1"/>
  <c r="D325" i="26" s="1"/>
  <c r="D328" i="24"/>
  <c r="C328" i="25" s="1"/>
  <c r="D328" i="25" s="1"/>
  <c r="C324" i="26" s="1"/>
  <c r="D324" i="26" s="1"/>
  <c r="D327" i="24"/>
  <c r="C327" i="25" s="1"/>
  <c r="D327" i="25" s="1"/>
  <c r="C323" i="26" s="1"/>
  <c r="D323" i="26" s="1"/>
  <c r="D326" i="24"/>
  <c r="C326" i="25" s="1"/>
  <c r="D326" i="25" s="1"/>
  <c r="C322" i="26" s="1"/>
  <c r="D322" i="26" s="1"/>
  <c r="D324" i="24"/>
  <c r="C324" i="25" s="1"/>
  <c r="D324" i="25" s="1"/>
  <c r="C320" i="26" s="1"/>
  <c r="D320" i="26" s="1"/>
  <c r="D316" i="24"/>
  <c r="C316" i="25" s="1"/>
  <c r="D316" i="25" s="1"/>
  <c r="C312" i="26" s="1"/>
  <c r="D312" i="26" s="1"/>
  <c r="D315" i="24"/>
  <c r="C315" i="25" s="1"/>
  <c r="D315" i="25" s="1"/>
  <c r="C311" i="26" s="1"/>
  <c r="D311" i="26" s="1"/>
  <c r="D313" i="24"/>
  <c r="C313" i="25" s="1"/>
  <c r="D313" i="25" s="1"/>
  <c r="C309" i="26" s="1"/>
  <c r="D309" i="26" s="1"/>
  <c r="D312" i="24"/>
  <c r="C312" i="25" s="1"/>
  <c r="D312" i="25" s="1"/>
  <c r="C308" i="26" s="1"/>
  <c r="D308" i="26" s="1"/>
  <c r="D311" i="24"/>
  <c r="C311" i="25" s="1"/>
  <c r="D311" i="25" s="1"/>
  <c r="C307" i="26" s="1"/>
  <c r="D307" i="26" s="1"/>
  <c r="D310" i="24"/>
  <c r="C310" i="25" s="1"/>
  <c r="D310" i="25" s="1"/>
  <c r="C306" i="26" s="1"/>
  <c r="D306" i="26" s="1"/>
  <c r="D309" i="24"/>
  <c r="C309" i="25" s="1"/>
  <c r="D309" i="25" s="1"/>
  <c r="C305" i="26" s="1"/>
  <c r="D305" i="26" s="1"/>
  <c r="D308" i="24"/>
  <c r="C308" i="25" s="1"/>
  <c r="D308" i="25" s="1"/>
  <c r="C304" i="26" s="1"/>
  <c r="D304" i="26" s="1"/>
  <c r="D307" i="24"/>
  <c r="C307" i="25" s="1"/>
  <c r="D307" i="25" s="1"/>
  <c r="C303" i="26" s="1"/>
  <c r="D303" i="26" s="1"/>
  <c r="D306" i="24"/>
  <c r="C306" i="25" s="1"/>
  <c r="D306" i="25" s="1"/>
  <c r="C302" i="26" s="1"/>
  <c r="D302" i="26" s="1"/>
  <c r="D305" i="24"/>
  <c r="C305" i="25" s="1"/>
  <c r="D305" i="25" s="1"/>
  <c r="C301" i="26" s="1"/>
  <c r="D301" i="26" s="1"/>
  <c r="D304" i="24"/>
  <c r="C304" i="25" s="1"/>
  <c r="D304" i="25" s="1"/>
  <c r="C300" i="26" s="1"/>
  <c r="D300" i="26" s="1"/>
  <c r="D303" i="24"/>
  <c r="C303" i="25" s="1"/>
  <c r="D303" i="25" s="1"/>
  <c r="C299" i="26" s="1"/>
  <c r="D299" i="26" s="1"/>
  <c r="D302" i="24"/>
  <c r="C302" i="25" s="1"/>
  <c r="D302" i="25" s="1"/>
  <c r="C298" i="26" s="1"/>
  <c r="D298" i="26" s="1"/>
  <c r="D301" i="24"/>
  <c r="C301" i="25" s="1"/>
  <c r="D301" i="25" s="1"/>
  <c r="C297" i="26" s="1"/>
  <c r="D297" i="26" s="1"/>
  <c r="D300" i="24"/>
  <c r="C300" i="25" s="1"/>
  <c r="D300" i="25" s="1"/>
  <c r="C296" i="26" s="1"/>
  <c r="D296" i="26" s="1"/>
  <c r="D299" i="24"/>
  <c r="C299" i="25" s="1"/>
  <c r="D299" i="25" s="1"/>
  <c r="C295" i="26" s="1"/>
  <c r="D295" i="26" s="1"/>
  <c r="D298" i="24"/>
  <c r="C298" i="25" s="1"/>
  <c r="D298" i="25" s="1"/>
  <c r="C294" i="26" s="1"/>
  <c r="D294" i="26" s="1"/>
  <c r="D297" i="24"/>
  <c r="C297" i="25" s="1"/>
  <c r="D297" i="25" s="1"/>
  <c r="C293" i="26" s="1"/>
  <c r="D293" i="26" s="1"/>
  <c r="D296" i="24"/>
  <c r="C296" i="25" s="1"/>
  <c r="D296" i="25" s="1"/>
  <c r="C292" i="26" s="1"/>
  <c r="D292" i="26" s="1"/>
  <c r="D295" i="24"/>
  <c r="C295" i="25" s="1"/>
  <c r="D295" i="25" s="1"/>
  <c r="C291" i="26" s="1"/>
  <c r="D291" i="26" s="1"/>
  <c r="D294" i="24"/>
  <c r="C294" i="25" s="1"/>
  <c r="D294" i="25" s="1"/>
  <c r="C290" i="26" s="1"/>
  <c r="D290" i="26" s="1"/>
  <c r="D293" i="24"/>
  <c r="C293" i="25" s="1"/>
  <c r="D293" i="25" s="1"/>
  <c r="C289" i="26" s="1"/>
  <c r="D289" i="26" s="1"/>
  <c r="D292" i="24"/>
  <c r="C292" i="25" s="1"/>
  <c r="D292" i="25" s="1"/>
  <c r="C288" i="26" s="1"/>
  <c r="D288" i="26" s="1"/>
  <c r="D291" i="24"/>
  <c r="C291" i="25" s="1"/>
  <c r="D291" i="25" s="1"/>
  <c r="C287" i="26" s="1"/>
  <c r="D287" i="26" s="1"/>
  <c r="D290" i="24"/>
  <c r="C290" i="25" s="1"/>
  <c r="D290" i="25" s="1"/>
  <c r="C286" i="26" s="1"/>
  <c r="D286" i="26" s="1"/>
  <c r="D289" i="24"/>
  <c r="C289" i="25" s="1"/>
  <c r="D289" i="25" s="1"/>
  <c r="C285" i="26" s="1"/>
  <c r="D285" i="26" s="1"/>
  <c r="D283" i="24"/>
  <c r="C283" i="25" s="1"/>
  <c r="D283" i="25" s="1"/>
  <c r="C279" i="26" s="1"/>
  <c r="D279" i="26" s="1"/>
  <c r="D282" i="24"/>
  <c r="C282" i="25" s="1"/>
  <c r="D282" i="25" s="1"/>
  <c r="C278" i="26" s="1"/>
  <c r="D278" i="26" s="1"/>
  <c r="D281" i="24"/>
  <c r="C281" i="25" s="1"/>
  <c r="D281" i="25" s="1"/>
  <c r="C277" i="26" s="1"/>
  <c r="D277" i="26" s="1"/>
  <c r="D280" i="24"/>
  <c r="C280" i="25" s="1"/>
  <c r="D280" i="25" s="1"/>
  <c r="C276" i="26" s="1"/>
  <c r="D276" i="26" s="1"/>
  <c r="D279" i="24"/>
  <c r="C279" i="25" s="1"/>
  <c r="D279" i="25" s="1"/>
  <c r="C275" i="26" s="1"/>
  <c r="D275" i="26" s="1"/>
  <c r="D278" i="24"/>
  <c r="C278" i="25" s="1"/>
  <c r="D278" i="25" s="1"/>
  <c r="C274" i="26" s="1"/>
  <c r="D274" i="26" s="1"/>
  <c r="D277" i="24"/>
  <c r="C277" i="25" s="1"/>
  <c r="D277" i="25" s="1"/>
  <c r="C273" i="26" s="1"/>
  <c r="D273" i="26" s="1"/>
  <c r="D276" i="24"/>
  <c r="C276" i="25" s="1"/>
  <c r="D276" i="25" s="1"/>
  <c r="C272" i="26" s="1"/>
  <c r="D272" i="26" s="1"/>
  <c r="D275" i="24"/>
  <c r="C275" i="25" s="1"/>
  <c r="D275" i="25" s="1"/>
  <c r="C271" i="26" s="1"/>
  <c r="D271" i="26" s="1"/>
  <c r="D274" i="24"/>
  <c r="C274" i="25" s="1"/>
  <c r="D274" i="25" s="1"/>
  <c r="C270" i="26" s="1"/>
  <c r="D270" i="26" s="1"/>
  <c r="D273" i="24"/>
  <c r="C273" i="25" s="1"/>
  <c r="D273" i="25" s="1"/>
  <c r="C269" i="26" s="1"/>
  <c r="D269" i="26" s="1"/>
  <c r="D272" i="24"/>
  <c r="C272" i="25" s="1"/>
  <c r="D272" i="25" s="1"/>
  <c r="C268" i="26" s="1"/>
  <c r="D268" i="26" s="1"/>
  <c r="D259" i="24"/>
  <c r="C259" i="25" s="1"/>
  <c r="D259" i="25" s="1"/>
  <c r="C255" i="26" s="1"/>
  <c r="D255" i="26" s="1"/>
  <c r="D258" i="24"/>
  <c r="C258" i="25" s="1"/>
  <c r="D258" i="25" s="1"/>
  <c r="C254" i="26" s="1"/>
  <c r="D254" i="26" s="1"/>
  <c r="D257" i="24"/>
  <c r="C257" i="25" s="1"/>
  <c r="D257" i="25" s="1"/>
  <c r="C253" i="26" s="1"/>
  <c r="D253" i="26" s="1"/>
  <c r="D256" i="24"/>
  <c r="C256" i="25" s="1"/>
  <c r="D256" i="25" s="1"/>
  <c r="C252" i="26" s="1"/>
  <c r="D252" i="26" s="1"/>
  <c r="D255" i="24"/>
  <c r="C255" i="25" s="1"/>
  <c r="D255" i="25" s="1"/>
  <c r="C251" i="26" s="1"/>
  <c r="D251" i="26" s="1"/>
  <c r="D254" i="24"/>
  <c r="C254" i="25" s="1"/>
  <c r="D254" i="25" s="1"/>
  <c r="C250" i="26" s="1"/>
  <c r="D250" i="26" s="1"/>
  <c r="D253" i="24"/>
  <c r="C253" i="25" s="1"/>
  <c r="D253" i="25" s="1"/>
  <c r="C249" i="26" s="1"/>
  <c r="D249" i="26" s="1"/>
  <c r="D252" i="24"/>
  <c r="C252" i="25" s="1"/>
  <c r="D252" i="25" s="1"/>
  <c r="C248" i="26" s="1"/>
  <c r="D248" i="26" s="1"/>
  <c r="D250" i="24"/>
  <c r="C250" i="25" s="1"/>
  <c r="D250" i="25" s="1"/>
  <c r="C246" i="26" s="1"/>
  <c r="D246" i="26" s="1"/>
  <c r="D249" i="24"/>
  <c r="C249" i="25" s="1"/>
  <c r="D249" i="25" s="1"/>
  <c r="C245" i="26" s="1"/>
  <c r="D245" i="26" s="1"/>
  <c r="D248" i="24"/>
  <c r="C248" i="25" s="1"/>
  <c r="D248" i="25" s="1"/>
  <c r="C244" i="26" s="1"/>
  <c r="D244" i="26" s="1"/>
  <c r="D247" i="24"/>
  <c r="C247" i="25" s="1"/>
  <c r="D247" i="25" s="1"/>
  <c r="C243" i="26" s="1"/>
  <c r="D243" i="26" s="1"/>
  <c r="D245" i="24"/>
  <c r="C245" i="25" s="1"/>
  <c r="D245" i="25" s="1"/>
  <c r="C241" i="26" s="1"/>
  <c r="D241" i="26" s="1"/>
  <c r="D244" i="24"/>
  <c r="C244" i="25" s="1"/>
  <c r="D244" i="25" s="1"/>
  <c r="C240" i="26" s="1"/>
  <c r="D240" i="26" s="1"/>
  <c r="D243" i="24"/>
  <c r="C243" i="25" s="1"/>
  <c r="D243" i="25" s="1"/>
  <c r="C239" i="26" s="1"/>
  <c r="D239" i="26" s="1"/>
  <c r="D242" i="24"/>
  <c r="C242" i="25" s="1"/>
  <c r="D242" i="25" s="1"/>
  <c r="C238" i="26" s="1"/>
  <c r="D238" i="26" s="1"/>
  <c r="D241" i="24"/>
  <c r="C241" i="25" s="1"/>
  <c r="D241" i="25" s="1"/>
  <c r="C237" i="26" s="1"/>
  <c r="D237" i="26" s="1"/>
  <c r="D240" i="24"/>
  <c r="C240" i="25" s="1"/>
  <c r="D240" i="25" s="1"/>
  <c r="C236" i="26" s="1"/>
  <c r="D236" i="26" s="1"/>
  <c r="D239" i="24"/>
  <c r="C239" i="25" s="1"/>
  <c r="D239" i="25" s="1"/>
  <c r="C235" i="26" s="1"/>
  <c r="D235" i="26" s="1"/>
  <c r="D238" i="24"/>
  <c r="C238" i="25" s="1"/>
  <c r="D238" i="25" s="1"/>
  <c r="C234" i="26" s="1"/>
  <c r="D234" i="26" s="1"/>
  <c r="D237" i="24"/>
  <c r="C237" i="25" s="1"/>
  <c r="D237" i="25" s="1"/>
  <c r="C233" i="26" s="1"/>
  <c r="D233" i="26" s="1"/>
  <c r="D236" i="24"/>
  <c r="C236" i="25" s="1"/>
  <c r="D236" i="25" s="1"/>
  <c r="C232" i="26" s="1"/>
  <c r="D232" i="26" s="1"/>
  <c r="D235" i="24"/>
  <c r="C235" i="25" s="1"/>
  <c r="D235" i="25" s="1"/>
  <c r="C231" i="26" s="1"/>
  <c r="D231" i="26" s="1"/>
  <c r="D234" i="24"/>
  <c r="C234" i="25" s="1"/>
  <c r="D234" i="25" s="1"/>
  <c r="C230" i="26" s="1"/>
  <c r="D230" i="26" s="1"/>
  <c r="D233" i="24"/>
  <c r="C233" i="25" s="1"/>
  <c r="D233" i="25" s="1"/>
  <c r="C229" i="26" s="1"/>
  <c r="D229" i="26" s="1"/>
  <c r="D232" i="24"/>
  <c r="C232" i="25" s="1"/>
  <c r="D232" i="25" s="1"/>
  <c r="C228" i="26" s="1"/>
  <c r="D228" i="26" s="1"/>
  <c r="D231" i="24"/>
  <c r="C231" i="25" s="1"/>
  <c r="D231" i="25" s="1"/>
  <c r="C227" i="26" s="1"/>
  <c r="D227" i="26" s="1"/>
  <c r="D230" i="24"/>
  <c r="C230" i="25" s="1"/>
  <c r="D230" i="25" s="1"/>
  <c r="C226" i="26" s="1"/>
  <c r="D226" i="26" s="1"/>
  <c r="D229" i="24"/>
  <c r="C229" i="25" s="1"/>
  <c r="D229" i="25" s="1"/>
  <c r="C225" i="26" s="1"/>
  <c r="D225" i="26" s="1"/>
  <c r="D228" i="24"/>
  <c r="C228" i="25" s="1"/>
  <c r="D228" i="25" s="1"/>
  <c r="C224" i="26" s="1"/>
  <c r="D224" i="26" s="1"/>
  <c r="D227" i="24"/>
  <c r="C227" i="25" s="1"/>
  <c r="D227" i="25" s="1"/>
  <c r="C223" i="26" s="1"/>
  <c r="D223" i="26" s="1"/>
  <c r="D226" i="24"/>
  <c r="C226" i="25" s="1"/>
  <c r="D226" i="25" s="1"/>
  <c r="C222" i="26" s="1"/>
  <c r="D222" i="26" s="1"/>
  <c r="D225" i="24"/>
  <c r="C225" i="25" s="1"/>
  <c r="D225" i="25" s="1"/>
  <c r="C221" i="26" s="1"/>
  <c r="D221" i="26" s="1"/>
  <c r="D222" i="24"/>
  <c r="C222" i="25" s="1"/>
  <c r="D222" i="25" s="1"/>
  <c r="C218" i="26" s="1"/>
  <c r="D218" i="26" s="1"/>
  <c r="D221" i="24"/>
  <c r="C221" i="25" s="1"/>
  <c r="D221" i="25" s="1"/>
  <c r="C217" i="26" s="1"/>
  <c r="D217" i="26" s="1"/>
  <c r="D220" i="24"/>
  <c r="C220" i="25" s="1"/>
  <c r="D220" i="25" s="1"/>
  <c r="C216" i="26" s="1"/>
  <c r="D216" i="26" s="1"/>
  <c r="D219" i="24"/>
  <c r="C219" i="25" s="1"/>
  <c r="D219" i="25" s="1"/>
  <c r="C215" i="26" s="1"/>
  <c r="D215" i="26" s="1"/>
  <c r="D218" i="24"/>
  <c r="C218" i="25" s="1"/>
  <c r="D218" i="25" s="1"/>
  <c r="C214" i="26" s="1"/>
  <c r="D214" i="26" s="1"/>
  <c r="D217" i="24"/>
  <c r="C217" i="25" s="1"/>
  <c r="D217" i="25" s="1"/>
  <c r="C213" i="26" s="1"/>
  <c r="D213" i="26" s="1"/>
  <c r="D213" i="24"/>
  <c r="C213" i="25" s="1"/>
  <c r="D213" i="25" s="1"/>
  <c r="C209" i="26" s="1"/>
  <c r="D209" i="26" s="1"/>
  <c r="D212" i="24"/>
  <c r="C212" i="25" s="1"/>
  <c r="D212" i="25" s="1"/>
  <c r="C208" i="26" s="1"/>
  <c r="D208" i="26" s="1"/>
  <c r="D211" i="24"/>
  <c r="C211" i="25" s="1"/>
  <c r="D211" i="25" s="1"/>
  <c r="C207" i="26" s="1"/>
  <c r="D207" i="26" s="1"/>
  <c r="D210" i="24"/>
  <c r="C210" i="25" s="1"/>
  <c r="D210" i="25" s="1"/>
  <c r="C206" i="26" s="1"/>
  <c r="D206" i="26" s="1"/>
  <c r="D209" i="24"/>
  <c r="C209" i="25" s="1"/>
  <c r="D209" i="25" s="1"/>
  <c r="C205" i="26" s="1"/>
  <c r="D205" i="26" s="1"/>
  <c r="D208" i="24"/>
  <c r="C208" i="25" s="1"/>
  <c r="D208" i="25" s="1"/>
  <c r="C204" i="26" s="1"/>
  <c r="D204" i="26" s="1"/>
  <c r="D207" i="24"/>
  <c r="C207" i="25" s="1"/>
  <c r="D207" i="25" s="1"/>
  <c r="C203" i="26" s="1"/>
  <c r="D203" i="26" s="1"/>
  <c r="D206" i="24"/>
  <c r="C206" i="25" s="1"/>
  <c r="D206" i="25" s="1"/>
  <c r="C202" i="26" s="1"/>
  <c r="D202" i="26" s="1"/>
  <c r="D205" i="24"/>
  <c r="C205" i="25" s="1"/>
  <c r="D205" i="25" s="1"/>
  <c r="C201" i="26" s="1"/>
  <c r="D201" i="26" s="1"/>
  <c r="D204" i="24"/>
  <c r="C204" i="25" s="1"/>
  <c r="D204" i="25" s="1"/>
  <c r="C200" i="26" s="1"/>
  <c r="D200" i="26" s="1"/>
  <c r="D203" i="24"/>
  <c r="C203" i="25" s="1"/>
  <c r="D203" i="25" s="1"/>
  <c r="C199" i="26" s="1"/>
  <c r="D199" i="26" s="1"/>
  <c r="D202" i="24"/>
  <c r="C202" i="25" s="1"/>
  <c r="D202" i="25" s="1"/>
  <c r="C198" i="26" s="1"/>
  <c r="D198" i="26" s="1"/>
  <c r="D201" i="24"/>
  <c r="C201" i="25" s="1"/>
  <c r="D201" i="25" s="1"/>
  <c r="C197" i="26" s="1"/>
  <c r="D197" i="26" s="1"/>
  <c r="D200" i="24"/>
  <c r="C200" i="25" s="1"/>
  <c r="D200" i="25" s="1"/>
  <c r="C196" i="26" s="1"/>
  <c r="D196" i="26" s="1"/>
  <c r="D199" i="24"/>
  <c r="C199" i="25" s="1"/>
  <c r="D199" i="25" s="1"/>
  <c r="C195" i="26" s="1"/>
  <c r="D195" i="26" s="1"/>
  <c r="D198" i="24"/>
  <c r="C198" i="25" s="1"/>
  <c r="D198" i="25" s="1"/>
  <c r="C194" i="26" s="1"/>
  <c r="D194" i="26" s="1"/>
  <c r="D197" i="24"/>
  <c r="C197" i="25" s="1"/>
  <c r="D197" i="25" s="1"/>
  <c r="C193" i="26" s="1"/>
  <c r="D193" i="26" s="1"/>
  <c r="D196" i="24"/>
  <c r="C196" i="25" s="1"/>
  <c r="D196" i="25" s="1"/>
  <c r="C192" i="26" s="1"/>
  <c r="D192" i="26" s="1"/>
  <c r="D195" i="24"/>
  <c r="C195" i="25" s="1"/>
  <c r="D195" i="25" s="1"/>
  <c r="C191" i="26" s="1"/>
  <c r="D191" i="26" s="1"/>
  <c r="D194" i="24"/>
  <c r="C194" i="25" s="1"/>
  <c r="D194" i="25" s="1"/>
  <c r="C190" i="26" s="1"/>
  <c r="D190" i="26" s="1"/>
  <c r="D193" i="24"/>
  <c r="C193" i="25" s="1"/>
  <c r="D193" i="25" s="1"/>
  <c r="C189" i="26" s="1"/>
  <c r="D189" i="26" s="1"/>
  <c r="D192" i="24"/>
  <c r="C192" i="25" s="1"/>
  <c r="D192" i="25" s="1"/>
  <c r="C188" i="26" s="1"/>
  <c r="D188" i="26" s="1"/>
  <c r="D191" i="24"/>
  <c r="C191" i="25" s="1"/>
  <c r="D191" i="25" s="1"/>
  <c r="C187" i="26" s="1"/>
  <c r="D187" i="26" s="1"/>
  <c r="D190" i="24"/>
  <c r="C190" i="25" s="1"/>
  <c r="D190" i="25" s="1"/>
  <c r="C186" i="26" s="1"/>
  <c r="D186" i="26" s="1"/>
  <c r="D188" i="24"/>
  <c r="C188" i="25" s="1"/>
  <c r="D188" i="25" s="1"/>
  <c r="C184" i="26" s="1"/>
  <c r="D184" i="26" s="1"/>
  <c r="D187" i="24"/>
  <c r="C187" i="25" s="1"/>
  <c r="D187" i="25" s="1"/>
  <c r="C183" i="26" s="1"/>
  <c r="D183" i="26" s="1"/>
  <c r="D186" i="24"/>
  <c r="C186" i="25" s="1"/>
  <c r="D186" i="25" s="1"/>
  <c r="C182" i="26" s="1"/>
  <c r="D182" i="26" s="1"/>
  <c r="D185" i="24"/>
  <c r="C185" i="25" s="1"/>
  <c r="D185" i="25" s="1"/>
  <c r="C181" i="26" s="1"/>
  <c r="D181" i="26" s="1"/>
  <c r="D184" i="24"/>
  <c r="C184" i="25" s="1"/>
  <c r="D184" i="25" s="1"/>
  <c r="C180" i="26" s="1"/>
  <c r="D180" i="26" s="1"/>
  <c r="D183" i="24"/>
  <c r="C183" i="25" s="1"/>
  <c r="D183" i="25" s="1"/>
  <c r="C179" i="26" s="1"/>
  <c r="D179" i="26" s="1"/>
  <c r="D182" i="24"/>
  <c r="C182" i="25" s="1"/>
  <c r="D182" i="25" s="1"/>
  <c r="C178" i="26" s="1"/>
  <c r="D178" i="26" s="1"/>
  <c r="D181" i="24"/>
  <c r="C181" i="25" s="1"/>
  <c r="D181" i="25" s="1"/>
  <c r="C177" i="26" s="1"/>
  <c r="D177" i="26" s="1"/>
  <c r="D180" i="24"/>
  <c r="C180" i="25" s="1"/>
  <c r="D180" i="25" s="1"/>
  <c r="C176" i="26" s="1"/>
  <c r="D176" i="26" s="1"/>
  <c r="D179" i="24"/>
  <c r="C179" i="25" s="1"/>
  <c r="D179" i="25" s="1"/>
  <c r="C175" i="26" s="1"/>
  <c r="D175" i="26" s="1"/>
  <c r="D178" i="24"/>
  <c r="C178" i="25" s="1"/>
  <c r="D178" i="25" s="1"/>
  <c r="C174" i="26" s="1"/>
  <c r="D174" i="26" s="1"/>
  <c r="D177" i="24"/>
  <c r="C177" i="25" s="1"/>
  <c r="D177" i="25" s="1"/>
  <c r="C173" i="26" s="1"/>
  <c r="D173" i="26" s="1"/>
  <c r="D176" i="24"/>
  <c r="C176" i="25" s="1"/>
  <c r="D176" i="25" s="1"/>
  <c r="C172" i="26" s="1"/>
  <c r="D172" i="26" s="1"/>
  <c r="D175" i="24"/>
  <c r="C175" i="25" s="1"/>
  <c r="D175" i="25" s="1"/>
  <c r="C171" i="26" s="1"/>
  <c r="D171" i="26" s="1"/>
  <c r="D174" i="24"/>
  <c r="C174" i="25" s="1"/>
  <c r="D174" i="25" s="1"/>
  <c r="C170" i="26" s="1"/>
  <c r="D170" i="26" s="1"/>
  <c r="D172" i="24"/>
  <c r="C172" i="25" s="1"/>
  <c r="D172" i="25" s="1"/>
  <c r="C168" i="26" s="1"/>
  <c r="D168" i="26" s="1"/>
  <c r="D171" i="24"/>
  <c r="C171" i="25" s="1"/>
  <c r="D171" i="25" s="1"/>
  <c r="C167" i="26" s="1"/>
  <c r="D167" i="26" s="1"/>
  <c r="D170" i="24"/>
  <c r="C170" i="25" s="1"/>
  <c r="D170" i="25" s="1"/>
  <c r="C166" i="26" s="1"/>
  <c r="D166" i="26" s="1"/>
  <c r="D169" i="24"/>
  <c r="C169" i="25" s="1"/>
  <c r="D169" i="25" s="1"/>
  <c r="C165" i="26" s="1"/>
  <c r="D165" i="26" s="1"/>
  <c r="D168" i="24"/>
  <c r="C168" i="25" s="1"/>
  <c r="D168" i="25" s="1"/>
  <c r="C164" i="26" s="1"/>
  <c r="D164" i="26" s="1"/>
  <c r="D167" i="24"/>
  <c r="C167" i="25" s="1"/>
  <c r="D167" i="25" s="1"/>
  <c r="C163" i="26" s="1"/>
  <c r="D163" i="26" s="1"/>
  <c r="D166" i="24"/>
  <c r="C166" i="25" s="1"/>
  <c r="D166" i="25" s="1"/>
  <c r="C162" i="26" s="1"/>
  <c r="D162" i="26" s="1"/>
  <c r="D165" i="24"/>
  <c r="C165" i="25" s="1"/>
  <c r="D165" i="25" s="1"/>
  <c r="C161" i="26" s="1"/>
  <c r="D161" i="26" s="1"/>
  <c r="D164" i="24"/>
  <c r="C164" i="25" s="1"/>
  <c r="D164" i="25" s="1"/>
  <c r="C160" i="26" s="1"/>
  <c r="D160" i="26" s="1"/>
  <c r="D163" i="24"/>
  <c r="C163" i="25" s="1"/>
  <c r="D163" i="25" s="1"/>
  <c r="C159" i="26" s="1"/>
  <c r="D159" i="26" s="1"/>
  <c r="D162" i="24"/>
  <c r="C162" i="25" s="1"/>
  <c r="D162" i="25" s="1"/>
  <c r="C158" i="26" s="1"/>
  <c r="D158" i="26" s="1"/>
  <c r="D160" i="24"/>
  <c r="C160" i="25" s="1"/>
  <c r="D160" i="25" s="1"/>
  <c r="C156" i="26" s="1"/>
  <c r="D156" i="26" s="1"/>
  <c r="D158" i="24"/>
  <c r="C158" i="25" s="1"/>
  <c r="D158" i="25" s="1"/>
  <c r="C154" i="26" s="1"/>
  <c r="D154" i="26" s="1"/>
  <c r="D157" i="24"/>
  <c r="C157" i="25" s="1"/>
  <c r="D157" i="25" s="1"/>
  <c r="C153" i="26" s="1"/>
  <c r="D153" i="26" s="1"/>
  <c r="D156" i="24"/>
  <c r="C156" i="25" s="1"/>
  <c r="D156" i="25" s="1"/>
  <c r="C152" i="26" s="1"/>
  <c r="D152" i="26" s="1"/>
  <c r="D155" i="24"/>
  <c r="C155" i="25" s="1"/>
  <c r="D155" i="25" s="1"/>
  <c r="C151" i="26" s="1"/>
  <c r="D151" i="26" s="1"/>
  <c r="D154" i="24"/>
  <c r="C154" i="25" s="1"/>
  <c r="D154" i="25" s="1"/>
  <c r="C150" i="26" s="1"/>
  <c r="D150" i="26" s="1"/>
  <c r="D152" i="24"/>
  <c r="C152" i="25" s="1"/>
  <c r="D152" i="25" s="1"/>
  <c r="C148" i="26" s="1"/>
  <c r="D148" i="26" s="1"/>
  <c r="D151" i="24"/>
  <c r="C151" i="25" s="1"/>
  <c r="D151" i="25" s="1"/>
  <c r="C147" i="26" s="1"/>
  <c r="D147" i="26" s="1"/>
  <c r="D149" i="24"/>
  <c r="C149" i="25" s="1"/>
  <c r="D149" i="25" s="1"/>
  <c r="C145" i="26" s="1"/>
  <c r="D145" i="26" s="1"/>
  <c r="D148" i="24"/>
  <c r="C148" i="25" s="1"/>
  <c r="D148" i="25" s="1"/>
  <c r="C144" i="26" s="1"/>
  <c r="D144" i="26" s="1"/>
  <c r="D146" i="24"/>
  <c r="C146" i="25" s="1"/>
  <c r="D146" i="25" s="1"/>
  <c r="C142" i="26" s="1"/>
  <c r="D142" i="26" s="1"/>
  <c r="D145" i="24"/>
  <c r="C145" i="25" s="1"/>
  <c r="D145" i="25" s="1"/>
  <c r="C141" i="26" s="1"/>
  <c r="D141" i="26" s="1"/>
  <c r="D144" i="24"/>
  <c r="C144" i="25" s="1"/>
  <c r="D144" i="25" s="1"/>
  <c r="C140" i="26" s="1"/>
  <c r="D140" i="26" s="1"/>
  <c r="D142" i="24"/>
  <c r="C142" i="25" s="1"/>
  <c r="D142" i="25" s="1"/>
  <c r="C138" i="26" s="1"/>
  <c r="D138" i="26" s="1"/>
  <c r="D141" i="24"/>
  <c r="C141" i="25" s="1"/>
  <c r="D141" i="25" s="1"/>
  <c r="C137" i="26" s="1"/>
  <c r="D137" i="26" s="1"/>
  <c r="D140" i="24"/>
  <c r="C140" i="25" s="1"/>
  <c r="D140" i="25" s="1"/>
  <c r="C136" i="26" s="1"/>
  <c r="D136" i="26" s="1"/>
  <c r="D139" i="24"/>
  <c r="C139" i="25" s="1"/>
  <c r="D139" i="25" s="1"/>
  <c r="C135" i="26" s="1"/>
  <c r="D135" i="26" s="1"/>
  <c r="D138" i="24"/>
  <c r="C138" i="25" s="1"/>
  <c r="D138" i="25" s="1"/>
  <c r="C134" i="26" s="1"/>
  <c r="D134" i="26" s="1"/>
  <c r="D136" i="24"/>
  <c r="C136" i="25" s="1"/>
  <c r="D136" i="25" s="1"/>
  <c r="C132" i="26" s="1"/>
  <c r="D132" i="26" s="1"/>
  <c r="D135" i="24"/>
  <c r="C135" i="25" s="1"/>
  <c r="D135" i="25" s="1"/>
  <c r="C131" i="26" s="1"/>
  <c r="D131" i="26" s="1"/>
  <c r="D134" i="24"/>
  <c r="C134" i="25" s="1"/>
  <c r="D134" i="25" s="1"/>
  <c r="C130" i="26" s="1"/>
  <c r="D130" i="26" s="1"/>
  <c r="D133" i="24"/>
  <c r="C133" i="25" s="1"/>
  <c r="D133" i="25" s="1"/>
  <c r="C129" i="26" s="1"/>
  <c r="D129" i="26" s="1"/>
  <c r="D132" i="24"/>
  <c r="C132" i="25" s="1"/>
  <c r="D132" i="25" s="1"/>
  <c r="C128" i="26" s="1"/>
  <c r="D128" i="26" s="1"/>
  <c r="D131" i="24"/>
  <c r="C131" i="25" s="1"/>
  <c r="D131" i="25" s="1"/>
  <c r="C127" i="26" s="1"/>
  <c r="D127" i="26" s="1"/>
  <c r="D130" i="24"/>
  <c r="C130" i="25" s="1"/>
  <c r="D130" i="25" s="1"/>
  <c r="C126" i="26" s="1"/>
  <c r="D126" i="26" s="1"/>
  <c r="D128" i="24"/>
  <c r="C128" i="25" s="1"/>
  <c r="D128" i="25" s="1"/>
  <c r="C124" i="26" s="1"/>
  <c r="D124" i="26" s="1"/>
  <c r="D127" i="24"/>
  <c r="C127" i="25" s="1"/>
  <c r="D127" i="25" s="1"/>
  <c r="C123" i="26" s="1"/>
  <c r="D123" i="26" s="1"/>
  <c r="D126" i="24"/>
  <c r="C126" i="25" s="1"/>
  <c r="D126" i="25" s="1"/>
  <c r="C122" i="26" s="1"/>
  <c r="D122" i="26" s="1"/>
  <c r="D125" i="24"/>
  <c r="C125" i="25" s="1"/>
  <c r="D125" i="25" s="1"/>
  <c r="C121" i="26" s="1"/>
  <c r="D121" i="26" s="1"/>
  <c r="D124" i="24"/>
  <c r="C124" i="25" s="1"/>
  <c r="D124" i="25" s="1"/>
  <c r="C120" i="26" s="1"/>
  <c r="D120" i="26" s="1"/>
  <c r="D123" i="24"/>
  <c r="C123" i="25" s="1"/>
  <c r="D123" i="25" s="1"/>
  <c r="C119" i="26" s="1"/>
  <c r="D119" i="26" s="1"/>
  <c r="D122" i="24"/>
  <c r="C122" i="25" s="1"/>
  <c r="D122" i="25" s="1"/>
  <c r="C118" i="26" s="1"/>
  <c r="D118" i="26" s="1"/>
  <c r="D121" i="24"/>
  <c r="C121" i="25" s="1"/>
  <c r="D121" i="25" s="1"/>
  <c r="C117" i="26" s="1"/>
  <c r="D117" i="26" s="1"/>
  <c r="D120" i="24"/>
  <c r="C120" i="25" s="1"/>
  <c r="D120" i="25" s="1"/>
  <c r="C116" i="26" s="1"/>
  <c r="D116" i="26" s="1"/>
  <c r="D118" i="24"/>
  <c r="C118" i="25" s="1"/>
  <c r="D118" i="25" s="1"/>
  <c r="C114" i="26" s="1"/>
  <c r="D114" i="26" s="1"/>
  <c r="D117" i="24"/>
  <c r="C117" i="25" s="1"/>
  <c r="D117" i="25" s="1"/>
  <c r="C113" i="26" s="1"/>
  <c r="D113" i="26" s="1"/>
  <c r="D116" i="24"/>
  <c r="C116" i="25" s="1"/>
  <c r="D116" i="25" s="1"/>
  <c r="C112" i="26" s="1"/>
  <c r="D112" i="26" s="1"/>
  <c r="D115" i="24"/>
  <c r="C115" i="25" s="1"/>
  <c r="D115" i="25" s="1"/>
  <c r="C111" i="26" s="1"/>
  <c r="D111" i="26" s="1"/>
  <c r="D114" i="24"/>
  <c r="C114" i="25" s="1"/>
  <c r="D114" i="25" s="1"/>
  <c r="D113" i="24"/>
  <c r="C113" i="25" s="1"/>
  <c r="D113" i="25" s="1"/>
  <c r="D112" i="24"/>
  <c r="C112" i="25" s="1"/>
  <c r="D112" i="25" s="1"/>
  <c r="D108" i="24"/>
  <c r="C108" i="25" s="1"/>
  <c r="D108" i="25" s="1"/>
  <c r="C108" i="26" s="1"/>
  <c r="D108" i="26" s="1"/>
  <c r="D107" i="24"/>
  <c r="C107" i="25" s="1"/>
  <c r="D107" i="25" s="1"/>
  <c r="C107" i="26" s="1"/>
  <c r="D107" i="26" s="1"/>
  <c r="D106" i="24"/>
  <c r="C106" i="25" s="1"/>
  <c r="D106" i="25" s="1"/>
  <c r="C106" i="26" s="1"/>
  <c r="D106" i="26" s="1"/>
  <c r="D105" i="24"/>
  <c r="C105" i="25" s="1"/>
  <c r="D105" i="25" s="1"/>
  <c r="C105" i="26" s="1"/>
  <c r="D105" i="26" s="1"/>
  <c r="D104" i="24"/>
  <c r="C104" i="25" s="1"/>
  <c r="D104" i="25" s="1"/>
  <c r="C104" i="26" s="1"/>
  <c r="D104" i="26" s="1"/>
  <c r="D103" i="24"/>
  <c r="C103" i="25" s="1"/>
  <c r="D103" i="25" s="1"/>
  <c r="C103" i="26" s="1"/>
  <c r="D103" i="26" s="1"/>
  <c r="D102" i="24"/>
  <c r="C102" i="25" s="1"/>
  <c r="D102" i="25" s="1"/>
  <c r="C102" i="26" s="1"/>
  <c r="D102" i="26" s="1"/>
  <c r="D101" i="24"/>
  <c r="C101" i="25" s="1"/>
  <c r="D101" i="25" s="1"/>
  <c r="C101" i="26" s="1"/>
  <c r="D101" i="26" s="1"/>
  <c r="D100" i="24"/>
  <c r="C100" i="25" s="1"/>
  <c r="D100" i="25" s="1"/>
  <c r="C100" i="26" s="1"/>
  <c r="D100" i="26" s="1"/>
  <c r="D99" i="24"/>
  <c r="C99" i="25" s="1"/>
  <c r="D99" i="25" s="1"/>
  <c r="C99" i="26" s="1"/>
  <c r="D99" i="26" s="1"/>
  <c r="D98" i="24"/>
  <c r="C98" i="25" s="1"/>
  <c r="D98" i="25" s="1"/>
  <c r="C98" i="26" s="1"/>
  <c r="D98" i="26" s="1"/>
  <c r="D97" i="24"/>
  <c r="C97" i="25" s="1"/>
  <c r="D97" i="25" s="1"/>
  <c r="C97" i="26" s="1"/>
  <c r="D97" i="26" s="1"/>
  <c r="D95" i="24"/>
  <c r="C95" i="25" s="1"/>
  <c r="D95" i="25" s="1"/>
  <c r="C95" i="26" s="1"/>
  <c r="D95" i="26" s="1"/>
  <c r="D94" i="24"/>
  <c r="C94" i="25" s="1"/>
  <c r="D94" i="25" s="1"/>
  <c r="C94" i="26" s="1"/>
  <c r="D94" i="26" s="1"/>
  <c r="D85" i="24"/>
  <c r="C85" i="25" s="1"/>
  <c r="D85" i="25" s="1"/>
  <c r="C85" i="26" s="1"/>
  <c r="D85" i="26" s="1"/>
  <c r="D84" i="24"/>
  <c r="C84" i="25" s="1"/>
  <c r="D84" i="25" s="1"/>
  <c r="C84" i="26" s="1"/>
  <c r="D84" i="26" s="1"/>
  <c r="D83" i="24"/>
  <c r="C83" i="25" s="1"/>
  <c r="D83" i="25" s="1"/>
  <c r="C83" i="26" s="1"/>
  <c r="D83" i="26" s="1"/>
  <c r="D88" i="24"/>
  <c r="C88" i="25" s="1"/>
  <c r="D88" i="25" s="1"/>
  <c r="C88" i="26" s="1"/>
  <c r="D88" i="26" s="1"/>
  <c r="D87" i="24"/>
  <c r="C87" i="25" s="1"/>
  <c r="D87" i="25" s="1"/>
  <c r="C87" i="26" s="1"/>
  <c r="D87" i="26" s="1"/>
  <c r="D81" i="24"/>
  <c r="C81" i="25" s="1"/>
  <c r="D81" i="25" s="1"/>
  <c r="C81" i="26" s="1"/>
  <c r="D81" i="26" s="1"/>
  <c r="D80" i="24"/>
  <c r="C80" i="25" s="1"/>
  <c r="D80" i="25" s="1"/>
  <c r="C80" i="26" s="1"/>
  <c r="D80" i="26" s="1"/>
  <c r="D79" i="24"/>
  <c r="C79" i="25" s="1"/>
  <c r="D79" i="25" s="1"/>
  <c r="C79" i="26" s="1"/>
  <c r="D79" i="26" s="1"/>
  <c r="D78" i="24"/>
  <c r="C78" i="25" s="1"/>
  <c r="D78" i="25" s="1"/>
  <c r="C78" i="26" s="1"/>
  <c r="D78" i="26" s="1"/>
  <c r="D77" i="24"/>
  <c r="C77" i="25" s="1"/>
  <c r="D77" i="25" s="1"/>
  <c r="C77" i="26" s="1"/>
  <c r="D77" i="26" s="1"/>
  <c r="D75" i="24"/>
  <c r="C75" i="25" s="1"/>
  <c r="D75" i="25" s="1"/>
  <c r="C75" i="26" s="1"/>
  <c r="D75" i="26" s="1"/>
  <c r="D74" i="24"/>
  <c r="C74" i="25" s="1"/>
  <c r="D74" i="25" s="1"/>
  <c r="C74" i="26" s="1"/>
  <c r="D74" i="26" s="1"/>
  <c r="D73" i="24"/>
  <c r="C73" i="25" s="1"/>
  <c r="D73" i="25" s="1"/>
  <c r="C73" i="26" s="1"/>
  <c r="D73" i="26" s="1"/>
  <c r="D71" i="24"/>
  <c r="C71" i="25" s="1"/>
  <c r="D71" i="25" s="1"/>
  <c r="C71" i="26" s="1"/>
  <c r="D71" i="26" s="1"/>
  <c r="D70" i="24"/>
  <c r="C70" i="25" s="1"/>
  <c r="D70" i="25" s="1"/>
  <c r="C70" i="26" s="1"/>
  <c r="D70" i="26" s="1"/>
  <c r="D69" i="24"/>
  <c r="C69" i="25" s="1"/>
  <c r="D69" i="25" s="1"/>
  <c r="C69" i="26" s="1"/>
  <c r="D69" i="26" s="1"/>
  <c r="D68" i="24"/>
  <c r="C68" i="25" s="1"/>
  <c r="D68" i="25" s="1"/>
  <c r="C68" i="26" s="1"/>
  <c r="D68" i="26" s="1"/>
  <c r="D67" i="24"/>
  <c r="C67" i="25" s="1"/>
  <c r="D67" i="25" s="1"/>
  <c r="C67" i="26" s="1"/>
  <c r="D67" i="26" s="1"/>
  <c r="D65" i="24"/>
  <c r="C65" i="25" s="1"/>
  <c r="D65" i="25" s="1"/>
  <c r="C65" i="26" s="1"/>
  <c r="D65" i="26" s="1"/>
  <c r="D64" i="24"/>
  <c r="C64" i="25" s="1"/>
  <c r="D64" i="25" s="1"/>
  <c r="C64" i="26" s="1"/>
  <c r="D64" i="26" s="1"/>
  <c r="D62" i="24"/>
  <c r="C62" i="25" s="1"/>
  <c r="D62" i="25" s="1"/>
  <c r="C62" i="26" s="1"/>
  <c r="D62" i="26" s="1"/>
  <c r="D61" i="24"/>
  <c r="C61" i="25" s="1"/>
  <c r="D61" i="25" s="1"/>
  <c r="C61" i="26" s="1"/>
  <c r="D61" i="26" s="1"/>
  <c r="D60" i="24"/>
  <c r="C60" i="25" s="1"/>
  <c r="D60" i="25" s="1"/>
  <c r="C60" i="26" s="1"/>
  <c r="D60" i="26" s="1"/>
  <c r="D58" i="24"/>
  <c r="C58" i="25" s="1"/>
  <c r="D58" i="25" s="1"/>
  <c r="C58" i="26" s="1"/>
  <c r="D58" i="26" s="1"/>
  <c r="D57" i="24"/>
  <c r="C57" i="25" s="1"/>
  <c r="D57" i="25" s="1"/>
  <c r="C57" i="26" s="1"/>
  <c r="D57" i="26" s="1"/>
  <c r="D56" i="24"/>
  <c r="C56" i="25" s="1"/>
  <c r="D56" i="25" s="1"/>
  <c r="C56" i="26" s="1"/>
  <c r="D56" i="26" s="1"/>
  <c r="D53" i="24"/>
  <c r="C53" i="25" s="1"/>
  <c r="D53" i="25" s="1"/>
  <c r="C53" i="26" s="1"/>
  <c r="D53" i="26" s="1"/>
  <c r="D52" i="24"/>
  <c r="C52" i="25" s="1"/>
  <c r="D52" i="25" s="1"/>
  <c r="C52" i="26" s="1"/>
  <c r="D52" i="26" s="1"/>
  <c r="D51" i="24"/>
  <c r="C51" i="25" s="1"/>
  <c r="D51" i="25" s="1"/>
  <c r="C51" i="26" s="1"/>
  <c r="D51" i="26" s="1"/>
  <c r="D50" i="24"/>
  <c r="C50" i="25" s="1"/>
  <c r="D50" i="25" s="1"/>
  <c r="C50" i="26" s="1"/>
  <c r="D50" i="26" s="1"/>
  <c r="D48" i="24"/>
  <c r="C48" i="25" s="1"/>
  <c r="D48" i="25" s="1"/>
  <c r="C48" i="26" s="1"/>
  <c r="D48" i="26" s="1"/>
  <c r="D47" i="24"/>
  <c r="C47" i="25" s="1"/>
  <c r="D47" i="25" s="1"/>
  <c r="C47" i="26" s="1"/>
  <c r="D47" i="26" s="1"/>
  <c r="D44" i="24"/>
  <c r="C44" i="25" s="1"/>
  <c r="D44" i="25" s="1"/>
  <c r="C44" i="26" s="1"/>
  <c r="D44" i="26" s="1"/>
  <c r="D42" i="24"/>
  <c r="C42" i="25" s="1"/>
  <c r="D42" i="25" s="1"/>
  <c r="C42" i="26" s="1"/>
  <c r="D42" i="26" s="1"/>
  <c r="D41" i="24"/>
  <c r="C41" i="25" s="1"/>
  <c r="D41" i="25" s="1"/>
  <c r="C41" i="26" s="1"/>
  <c r="D41" i="26" s="1"/>
  <c r="D40" i="24"/>
  <c r="C40" i="25" s="1"/>
  <c r="D40" i="25" s="1"/>
  <c r="C40" i="26" s="1"/>
  <c r="D40" i="26" s="1"/>
  <c r="D39" i="24"/>
  <c r="C39" i="25" s="1"/>
  <c r="D39" i="25" s="1"/>
  <c r="C39" i="26" s="1"/>
  <c r="D39" i="26" s="1"/>
  <c r="D34" i="24"/>
  <c r="C34" i="25" s="1"/>
  <c r="D34" i="25" s="1"/>
  <c r="C34" i="26" s="1"/>
  <c r="D34" i="26" s="1"/>
  <c r="D33" i="24"/>
  <c r="C33" i="25" s="1"/>
  <c r="D33" i="25" s="1"/>
  <c r="C33" i="26" s="1"/>
  <c r="D33" i="26" s="1"/>
  <c r="D23" i="24"/>
  <c r="C23" i="25" s="1"/>
  <c r="D23" i="25" s="1"/>
  <c r="C23" i="26" s="1"/>
  <c r="D23" i="26" s="1"/>
  <c r="D21" i="24"/>
  <c r="C21" i="25" s="1"/>
  <c r="D21" i="25" s="1"/>
  <c r="C21" i="26" s="1"/>
  <c r="D21" i="26" s="1"/>
  <c r="D19" i="24"/>
  <c r="C19" i="25" s="1"/>
  <c r="D19" i="25" s="1"/>
  <c r="C19" i="26" s="1"/>
  <c r="D19" i="26" s="1"/>
  <c r="D18" i="24"/>
  <c r="C18" i="25" s="1"/>
  <c r="D18" i="25" s="1"/>
  <c r="C18" i="26" s="1"/>
  <c r="D18" i="26" s="1"/>
  <c r="D12" i="24"/>
  <c r="C12" i="25" s="1"/>
  <c r="D12" i="25" s="1"/>
  <c r="C12" i="26" s="1"/>
  <c r="D12" i="26" s="1"/>
  <c r="D11" i="24"/>
  <c r="C11" i="25" s="1"/>
  <c r="D11" i="25" s="1"/>
  <c r="C11" i="26" s="1"/>
  <c r="D11" i="26" s="1"/>
  <c r="D10" i="24"/>
  <c r="C10" i="25" s="1"/>
  <c r="D10" i="25" s="1"/>
  <c r="C10" i="26" s="1"/>
  <c r="D10" i="26" s="1"/>
  <c r="D9" i="24"/>
  <c r="C9" i="25" s="1"/>
  <c r="D9" i="25" s="1"/>
  <c r="C9" i="26" s="1"/>
  <c r="D9" i="26" s="1"/>
  <c r="D8" i="24"/>
  <c r="C8" i="25" s="1"/>
  <c r="D8" i="25" s="1"/>
  <c r="C8" i="26" s="1"/>
  <c r="D8" i="26" s="1"/>
  <c r="D7" i="24"/>
  <c r="C7" i="25" s="1"/>
  <c r="D7" i="25" s="1"/>
  <c r="C7" i="26" s="1"/>
  <c r="D7" i="26" s="1"/>
  <c r="D530" i="24"/>
  <c r="C530" i="25" s="1"/>
  <c r="D530" i="25" s="1"/>
  <c r="C526" i="26" s="1"/>
  <c r="D526" i="26" s="1"/>
  <c r="D529" i="24"/>
  <c r="C529" i="25" s="1"/>
  <c r="D529" i="25" s="1"/>
  <c r="C525" i="26" s="1"/>
  <c r="D525" i="26" s="1"/>
  <c r="D528" i="24"/>
  <c r="C528" i="25" s="1"/>
  <c r="D528" i="25" s="1"/>
  <c r="C524" i="26" s="1"/>
  <c r="D524" i="26" s="1"/>
  <c r="D527" i="24"/>
  <c r="C527" i="25" s="1"/>
  <c r="D527" i="25" s="1"/>
  <c r="C523" i="26" s="1"/>
  <c r="D523" i="26" s="1"/>
  <c r="D526" i="24"/>
  <c r="C526" i="25" s="1"/>
  <c r="D526" i="25" s="1"/>
  <c r="C522" i="26" s="1"/>
  <c r="D522" i="26" s="1"/>
  <c r="D525" i="24"/>
  <c r="C525" i="25" s="1"/>
  <c r="D525" i="25" s="1"/>
  <c r="C521" i="26" s="1"/>
  <c r="D521" i="26" s="1"/>
  <c r="D524" i="24"/>
  <c r="C524" i="25" s="1"/>
  <c r="D524" i="25" s="1"/>
  <c r="C520" i="26" s="1"/>
  <c r="D520" i="26" s="1"/>
  <c r="D523" i="24"/>
  <c r="C523" i="25" s="1"/>
  <c r="D523" i="25" s="1"/>
  <c r="C519" i="26" s="1"/>
  <c r="D519" i="26" s="1"/>
  <c r="D522" i="24"/>
  <c r="C522" i="25" s="1"/>
  <c r="D522" i="25" s="1"/>
  <c r="C518" i="26" s="1"/>
  <c r="D518" i="26" s="1"/>
  <c r="D521" i="24"/>
  <c r="C521" i="25" s="1"/>
  <c r="D521" i="25" s="1"/>
  <c r="C517" i="26" s="1"/>
  <c r="D517" i="26" s="1"/>
  <c r="D520" i="24"/>
  <c r="C520" i="25" s="1"/>
  <c r="D520" i="25" s="1"/>
  <c r="C516" i="26" s="1"/>
  <c r="D516" i="26" s="1"/>
  <c r="D519" i="24"/>
  <c r="C519" i="25" s="1"/>
  <c r="D519" i="25" s="1"/>
  <c r="C515" i="26" s="1"/>
  <c r="D515" i="26" s="1"/>
  <c r="D518" i="24"/>
  <c r="C518" i="25" s="1"/>
  <c r="D518" i="25" s="1"/>
  <c r="C514" i="26" s="1"/>
  <c r="D514" i="26" s="1"/>
  <c r="D517" i="24"/>
  <c r="C517" i="25" s="1"/>
  <c r="D517" i="25" s="1"/>
  <c r="C513" i="26" s="1"/>
  <c r="D513" i="26" s="1"/>
  <c r="D516" i="24"/>
  <c r="C516" i="25" s="1"/>
  <c r="D516" i="25" s="1"/>
  <c r="C512" i="26" s="1"/>
  <c r="D512" i="26" s="1"/>
  <c r="D430" i="24"/>
  <c r="C430" i="25" s="1"/>
  <c r="D430" i="25" s="1"/>
  <c r="C426" i="26" s="1"/>
  <c r="D426" i="26" s="1"/>
  <c r="D14" i="24"/>
  <c r="C14" i="25" s="1"/>
  <c r="D14" i="25" s="1"/>
  <c r="C14" i="26" s="1"/>
  <c r="D14" i="26" s="1"/>
  <c r="D15" i="24"/>
  <c r="C15" i="25" s="1"/>
  <c r="D15" i="25" s="1"/>
  <c r="C15" i="26" s="1"/>
  <c r="D15" i="26" s="1"/>
  <c r="D111" i="24"/>
  <c r="C111" i="25" s="1"/>
  <c r="D111" i="25" s="1"/>
  <c r="D214" i="24"/>
  <c r="C214" i="25" s="1"/>
  <c r="D214" i="25" s="1"/>
  <c r="C210" i="26" s="1"/>
  <c r="D210" i="26" s="1"/>
  <c r="D32" i="24"/>
  <c r="C32" i="25" s="1"/>
  <c r="D32" i="25" s="1"/>
  <c r="C32" i="26" s="1"/>
  <c r="D32" i="26" s="1"/>
  <c r="D59" i="24"/>
  <c r="C59" i="25" s="1"/>
  <c r="D59" i="25" s="1"/>
  <c r="C59" i="26" s="1"/>
  <c r="D59" i="26" s="1"/>
  <c r="D46" i="24"/>
  <c r="C46" i="25" s="1"/>
  <c r="D46" i="25" s="1"/>
  <c r="C46" i="26" s="1"/>
  <c r="D46" i="26" s="1"/>
  <c r="D45" i="24"/>
  <c r="C45" i="25" s="1"/>
  <c r="D45" i="25" s="1"/>
  <c r="C45" i="26" s="1"/>
  <c r="D45" i="26" s="1"/>
  <c r="D20" i="24"/>
  <c r="C20" i="25" s="1"/>
  <c r="D20" i="25" s="1"/>
  <c r="C20" i="26" s="1"/>
  <c r="D20" i="26" s="1"/>
  <c r="D216" i="24"/>
  <c r="C216" i="25" s="1"/>
  <c r="D216" i="25" s="1"/>
  <c r="C212" i="26" s="1"/>
  <c r="D212" i="26" s="1"/>
  <c r="D66" i="24"/>
  <c r="C66" i="25" s="1"/>
  <c r="D66" i="25" s="1"/>
  <c r="C66" i="26" s="1"/>
  <c r="D66" i="26" s="1"/>
  <c r="D215" i="24"/>
  <c r="C215" i="25" s="1"/>
  <c r="D215" i="25" s="1"/>
  <c r="C211" i="26" s="1"/>
  <c r="D211" i="26" s="1"/>
  <c r="D319" i="24"/>
  <c r="C319" i="25" s="1"/>
  <c r="D319" i="25" s="1"/>
  <c r="C315" i="26" s="1"/>
  <c r="D315" i="26" s="1"/>
  <c r="D318" i="24"/>
  <c r="C318" i="25" s="1"/>
  <c r="D318" i="25" s="1"/>
  <c r="C314" i="26" s="1"/>
  <c r="D314" i="26" s="1"/>
  <c r="D317" i="24"/>
  <c r="C317" i="25" s="1"/>
  <c r="D317" i="25" s="1"/>
  <c r="C313" i="26" s="1"/>
  <c r="D313" i="26" s="1"/>
  <c r="D442" i="24"/>
  <c r="C442" i="25" s="1"/>
  <c r="D442" i="25" s="1"/>
  <c r="C438" i="26" s="1"/>
  <c r="D438" i="26" s="1"/>
  <c r="D441" i="24"/>
  <c r="C441" i="25" s="1"/>
  <c r="D441" i="25" s="1"/>
  <c r="C437" i="26" s="1"/>
  <c r="D437" i="26" s="1"/>
  <c r="D63" i="24"/>
  <c r="C63" i="25" s="1"/>
  <c r="D63" i="25" s="1"/>
  <c r="C63" i="26" s="1"/>
  <c r="D63" i="26" s="1"/>
  <c r="D6" i="24"/>
  <c r="C6" i="25" s="1"/>
  <c r="D6" i="25" s="1"/>
  <c r="C6" i="26" s="1"/>
  <c r="D6" i="26" s="1"/>
  <c r="D22" i="24"/>
  <c r="C22" i="25" s="1"/>
  <c r="D22" i="25" s="1"/>
  <c r="C22" i="26" s="1"/>
  <c r="D22" i="26" s="1"/>
  <c r="D30" i="24"/>
  <c r="C30" i="25" s="1"/>
  <c r="D30" i="25" s="1"/>
  <c r="C30" i="26" s="1"/>
  <c r="D30" i="26" s="1"/>
  <c r="D17" i="24"/>
  <c r="C17" i="25" s="1"/>
  <c r="D17" i="25" s="1"/>
  <c r="C17" i="26" s="1"/>
  <c r="D17" i="26" s="1"/>
  <c r="D16" i="24"/>
  <c r="C16" i="25" s="1"/>
  <c r="D16" i="25" s="1"/>
  <c r="C16" i="26" s="1"/>
  <c r="D16" i="26" s="1"/>
  <c r="D320" i="24" l="1"/>
  <c r="C320" i="25" s="1"/>
  <c r="D320" i="25" s="1"/>
  <c r="C316" i="26" s="1"/>
  <c r="D316" i="26" s="1"/>
  <c r="D323" i="24"/>
  <c r="C323" i="25" s="1"/>
  <c r="D323" i="25" s="1"/>
  <c r="C319" i="26" s="1"/>
  <c r="D319" i="26" s="1"/>
  <c r="D495" i="24"/>
  <c r="C495" i="25" s="1"/>
  <c r="D495" i="25" s="1"/>
  <c r="C491" i="26" s="1"/>
  <c r="D491" i="26" s="1"/>
  <c r="D494" i="24"/>
  <c r="C494" i="25" s="1"/>
  <c r="D494" i="25" s="1"/>
  <c r="C490" i="26" s="1"/>
  <c r="D490" i="26" s="1"/>
  <c r="D91" i="24"/>
  <c r="C91" i="25" s="1"/>
  <c r="D91" i="25" s="1"/>
  <c r="C91" i="26" s="1"/>
  <c r="D91" i="26" s="1"/>
  <c r="D96" i="24"/>
  <c r="C96" i="25" s="1"/>
  <c r="D96" i="25" s="1"/>
  <c r="C96" i="26" s="1"/>
  <c r="D96" i="26" s="1"/>
  <c r="D36" i="24"/>
  <c r="C36" i="25" s="1"/>
  <c r="D36" i="25" s="1"/>
  <c r="C36" i="26" s="1"/>
  <c r="D36" i="26" s="1"/>
  <c r="D38" i="24"/>
  <c r="C38" i="25" s="1"/>
  <c r="D38" i="25" s="1"/>
  <c r="C38" i="26" s="1"/>
  <c r="D38" i="26" s="1"/>
  <c r="D90" i="24"/>
  <c r="C90" i="25" s="1"/>
  <c r="D90" i="25" s="1"/>
  <c r="C90" i="26" s="1"/>
  <c r="D90" i="26" s="1"/>
  <c r="D93" i="24"/>
  <c r="C93" i="25" s="1"/>
  <c r="D93" i="25" s="1"/>
  <c r="C93" i="26" s="1"/>
  <c r="D93" i="26" s="1"/>
  <c r="D322" i="24"/>
  <c r="C322" i="25" s="1"/>
  <c r="D322" i="25" s="1"/>
  <c r="C318" i="26" s="1"/>
  <c r="D318" i="26" s="1"/>
  <c r="D325" i="24"/>
  <c r="C325" i="25" s="1"/>
  <c r="D325" i="25" s="1"/>
  <c r="C321" i="26" s="1"/>
  <c r="D321" i="26" s="1"/>
  <c r="D331" i="24"/>
  <c r="C331" i="25" s="1"/>
  <c r="D331" i="25" s="1"/>
  <c r="C327" i="26" s="1"/>
  <c r="D327" i="26" s="1"/>
  <c r="D330" i="24"/>
  <c r="C330" i="25" s="1"/>
  <c r="D330" i="25" s="1"/>
  <c r="C326" i="26" s="1"/>
  <c r="D326" i="26" s="1"/>
  <c r="D486" i="24"/>
  <c r="C486" i="25" s="1"/>
  <c r="D486" i="25" s="1"/>
  <c r="C482" i="26" s="1"/>
  <c r="D482" i="26" s="1"/>
  <c r="D288" i="24"/>
  <c r="C288" i="25" s="1"/>
  <c r="D288" i="25" s="1"/>
  <c r="C284" i="26" s="1"/>
  <c r="D284" i="26" s="1"/>
  <c r="D287" i="24"/>
  <c r="C287" i="25" s="1"/>
  <c r="D287" i="25" s="1"/>
  <c r="C283" i="26" s="1"/>
  <c r="D283" i="26" s="1"/>
  <c r="D374" i="24"/>
  <c r="C374" i="25" s="1"/>
  <c r="D374" i="25" s="1"/>
  <c r="C370" i="26" s="1"/>
  <c r="D370" i="26" s="1"/>
  <c r="D366" i="24"/>
  <c r="C366" i="25" s="1"/>
  <c r="D366" i="25" s="1"/>
  <c r="C362" i="26" s="1"/>
  <c r="D362" i="26" s="1"/>
  <c r="D371" i="24"/>
  <c r="C371" i="25" s="1"/>
  <c r="D371" i="25" s="1"/>
  <c r="C367" i="26" s="1"/>
  <c r="D367" i="26" s="1"/>
  <c r="D375" i="24"/>
  <c r="C375" i="25" s="1"/>
  <c r="D375" i="25" s="1"/>
  <c r="C371" i="26" s="1"/>
  <c r="D371" i="26" s="1"/>
  <c r="D381" i="24"/>
  <c r="C381" i="25" s="1"/>
  <c r="D381" i="25" s="1"/>
  <c r="C377" i="26" s="1"/>
  <c r="D377" i="26" s="1"/>
  <c r="D385" i="24"/>
  <c r="C385" i="25" s="1"/>
  <c r="D385" i="25" s="1"/>
  <c r="C381" i="26" s="1"/>
  <c r="D381" i="26" s="1"/>
  <c r="D378" i="24"/>
  <c r="C378" i="25" s="1"/>
  <c r="D378" i="25" s="1"/>
  <c r="C374" i="26" s="1"/>
  <c r="D374" i="26" s="1"/>
  <c r="D379" i="24"/>
  <c r="C379" i="25" s="1"/>
  <c r="D379" i="25" s="1"/>
  <c r="C375" i="26" s="1"/>
  <c r="D375" i="26" s="1"/>
  <c r="D369" i="24"/>
  <c r="C369" i="25" s="1"/>
  <c r="D369" i="25" s="1"/>
  <c r="C365" i="26" s="1"/>
  <c r="D365" i="26" s="1"/>
  <c r="D363" i="24"/>
  <c r="C363" i="25" s="1"/>
  <c r="D363" i="25" s="1"/>
  <c r="C359" i="26" s="1"/>
  <c r="D359" i="26" s="1"/>
  <c r="D367" i="24"/>
  <c r="C367" i="25" s="1"/>
  <c r="D367" i="25" s="1"/>
  <c r="C363" i="26" s="1"/>
  <c r="D363" i="26" s="1"/>
  <c r="D372" i="24"/>
  <c r="C372" i="25" s="1"/>
  <c r="D372" i="25" s="1"/>
  <c r="C368" i="26" s="1"/>
  <c r="D368" i="26" s="1"/>
  <c r="D376" i="24"/>
  <c r="C376" i="25" s="1"/>
  <c r="D376" i="25" s="1"/>
  <c r="C372" i="26" s="1"/>
  <c r="D372" i="26" s="1"/>
  <c r="D382" i="24"/>
  <c r="C382" i="25" s="1"/>
  <c r="D382" i="25" s="1"/>
  <c r="C378" i="26" s="1"/>
  <c r="D378" i="26" s="1"/>
  <c r="D365" i="24"/>
  <c r="C365" i="25" s="1"/>
  <c r="D365" i="25" s="1"/>
  <c r="C361" i="26" s="1"/>
  <c r="D361" i="26" s="1"/>
  <c r="D380" i="24"/>
  <c r="C380" i="25" s="1"/>
  <c r="D380" i="25" s="1"/>
  <c r="C376" i="26" s="1"/>
  <c r="D376" i="26" s="1"/>
  <c r="D384" i="24"/>
  <c r="C384" i="25" s="1"/>
  <c r="D384" i="25" s="1"/>
  <c r="C380" i="26" s="1"/>
  <c r="D380" i="26" s="1"/>
  <c r="D370" i="24"/>
  <c r="C370" i="25" s="1"/>
  <c r="D370" i="25" s="1"/>
  <c r="C366" i="26" s="1"/>
  <c r="D366" i="26" s="1"/>
  <c r="D364" i="24"/>
  <c r="C364" i="25" s="1"/>
  <c r="D364" i="25" s="1"/>
  <c r="C360" i="26" s="1"/>
  <c r="D360" i="26" s="1"/>
  <c r="D368" i="24"/>
  <c r="C368" i="25" s="1"/>
  <c r="D368" i="25" s="1"/>
  <c r="C364" i="26" s="1"/>
  <c r="D364" i="26" s="1"/>
  <c r="D373" i="24"/>
  <c r="C373" i="25" s="1"/>
  <c r="D373" i="25" s="1"/>
  <c r="C369" i="26" s="1"/>
  <c r="D369" i="26" s="1"/>
  <c r="D377" i="24"/>
  <c r="C377" i="25" s="1"/>
  <c r="D377" i="25" s="1"/>
  <c r="C373" i="26" s="1"/>
  <c r="D373" i="26" s="1"/>
  <c r="D383" i="24"/>
  <c r="C383" i="25" s="1"/>
  <c r="D383" i="25" s="1"/>
  <c r="C379" i="26" s="1"/>
  <c r="D379" i="26" s="1"/>
  <c r="D260" i="24"/>
  <c r="C260" i="25" s="1"/>
  <c r="D260" i="25" s="1"/>
  <c r="C256" i="26" s="1"/>
  <c r="D256" i="26" s="1"/>
  <c r="D266" i="24"/>
  <c r="C266" i="25" s="1"/>
  <c r="D266" i="25" s="1"/>
  <c r="C262" i="26" s="1"/>
  <c r="D262" i="26" s="1"/>
  <c r="D264" i="24"/>
  <c r="C264" i="25" s="1"/>
  <c r="D264" i="25" s="1"/>
  <c r="C260" i="26" s="1"/>
  <c r="D260" i="26" s="1"/>
  <c r="D269" i="24"/>
  <c r="C269" i="25" s="1"/>
  <c r="D269" i="25" s="1"/>
  <c r="C265" i="26" s="1"/>
  <c r="D265" i="26" s="1"/>
  <c r="D361" i="24"/>
  <c r="C361" i="25" s="1"/>
  <c r="D361" i="25" s="1"/>
  <c r="C357" i="26" s="1"/>
  <c r="D357" i="26" s="1"/>
  <c r="D446" i="24"/>
  <c r="C446" i="25" s="1"/>
  <c r="D446" i="25" s="1"/>
  <c r="C442" i="26" s="1"/>
  <c r="D442" i="26" s="1"/>
  <c r="D445" i="24"/>
  <c r="C445" i="25" s="1"/>
  <c r="D445" i="25" s="1"/>
  <c r="C441" i="26" s="1"/>
  <c r="D441" i="26" s="1"/>
  <c r="D261" i="24"/>
  <c r="C261" i="25" s="1"/>
  <c r="D261" i="25" s="1"/>
  <c r="C257" i="26" s="1"/>
  <c r="D257" i="26" s="1"/>
  <c r="D270" i="24"/>
  <c r="C270" i="25" s="1"/>
  <c r="D270" i="25" s="1"/>
  <c r="C266" i="26" s="1"/>
  <c r="D266" i="26" s="1"/>
  <c r="D262" i="24"/>
  <c r="C262" i="25" s="1"/>
  <c r="D262" i="25" s="1"/>
  <c r="C258" i="26" s="1"/>
  <c r="D258" i="26" s="1"/>
  <c r="D271" i="24"/>
  <c r="C271" i="25" s="1"/>
  <c r="D271" i="25" s="1"/>
  <c r="C267" i="26" s="1"/>
  <c r="D267" i="26" s="1"/>
  <c r="D265" i="24"/>
  <c r="C265" i="25" s="1"/>
  <c r="D265" i="25" s="1"/>
  <c r="C261" i="26" s="1"/>
  <c r="D261" i="26" s="1"/>
  <c r="D263" i="24"/>
  <c r="C263" i="25" s="1"/>
  <c r="D263" i="25" s="1"/>
  <c r="C259" i="26" s="1"/>
  <c r="D259" i="26" s="1"/>
  <c r="D532" i="24"/>
  <c r="C532" i="25" s="1"/>
  <c r="D532" i="25" s="1"/>
  <c r="C528" i="26" s="1"/>
  <c r="D528" i="26" s="1"/>
  <c r="D533" i="24"/>
  <c r="C533" i="25" s="1"/>
  <c r="D533" i="25" s="1"/>
  <c r="C529" i="26" s="1"/>
  <c r="D529" i="26" s="1"/>
  <c r="D501" i="24"/>
  <c r="C501" i="25" s="1"/>
  <c r="D501" i="25" s="1"/>
  <c r="C497" i="26" s="1"/>
  <c r="D497" i="26" s="1"/>
  <c r="D267" i="24"/>
  <c r="C267" i="25" s="1"/>
  <c r="D267" i="25" s="1"/>
  <c r="C263" i="26" s="1"/>
  <c r="D263" i="26" s="1"/>
  <c r="D268" i="24"/>
  <c r="C268" i="25" s="1"/>
  <c r="D268" i="25" s="1"/>
  <c r="C264" i="26" s="1"/>
  <c r="D264" i="26" s="1"/>
  <c r="D345" i="24"/>
  <c r="C345" i="25" s="1"/>
  <c r="D345" i="25" s="1"/>
  <c r="C341" i="26" s="1"/>
  <c r="D341" i="26" s="1"/>
  <c r="D344" i="24"/>
  <c r="C344" i="25" s="1"/>
  <c r="D344" i="25" s="1"/>
  <c r="C340" i="26" s="1"/>
  <c r="D340" i="26" s="1"/>
  <c r="D534" i="24"/>
  <c r="C534" i="25" s="1"/>
  <c r="D534" i="25" s="1"/>
  <c r="C530" i="26" s="1"/>
  <c r="D530" i="26" s="1"/>
  <c r="D502" i="24"/>
  <c r="C502" i="25" s="1"/>
  <c r="D502" i="25" s="1"/>
  <c r="C498" i="26" s="1"/>
  <c r="D498" i="26" s="1"/>
  <c r="D342" i="24"/>
  <c r="C342" i="25" s="1"/>
  <c r="D342" i="25" s="1"/>
  <c r="C338" i="26" s="1"/>
  <c r="D338" i="26" s="1"/>
  <c r="D346" i="24"/>
  <c r="C346" i="25" s="1"/>
  <c r="D346" i="25" s="1"/>
  <c r="C342" i="26" s="1"/>
  <c r="D342" i="26" s="1"/>
  <c r="D531" i="24"/>
  <c r="C531" i="25" s="1"/>
  <c r="D531" i="25" s="1"/>
  <c r="C527" i="26" s="1"/>
  <c r="D527" i="26" s="1"/>
  <c r="D284" i="24"/>
  <c r="C284" i="25" s="1"/>
  <c r="D284" i="25" s="1"/>
  <c r="C280" i="26" s="1"/>
  <c r="D280" i="26" s="1"/>
  <c r="D285" i="24"/>
  <c r="C285" i="25" s="1"/>
  <c r="D285" i="25" s="1"/>
  <c r="C281" i="26" s="1"/>
  <c r="D281" i="26" s="1"/>
  <c r="D343" i="24"/>
  <c r="C343" i="25" s="1"/>
  <c r="D343" i="25" s="1"/>
  <c r="C339" i="26" s="1"/>
  <c r="D339" i="26" s="1"/>
  <c r="D223" i="24"/>
  <c r="C223" i="25" s="1"/>
  <c r="D223" i="25" s="1"/>
  <c r="C219" i="26" s="1"/>
  <c r="D219" i="26" s="1"/>
  <c r="D27" i="24"/>
  <c r="C27" i="25" s="1"/>
  <c r="D27" i="25" s="1"/>
  <c r="C27" i="26" s="1"/>
  <c r="D27" i="26" s="1"/>
  <c r="D28" i="24"/>
  <c r="C28" i="25" s="1"/>
  <c r="D28" i="25" s="1"/>
  <c r="C28" i="26" s="1"/>
  <c r="D28" i="26" s="1"/>
  <c r="D246" i="24"/>
  <c r="C246" i="25" s="1"/>
  <c r="D246" i="25" s="1"/>
  <c r="C242" i="26" s="1"/>
  <c r="D242" i="26" s="1"/>
  <c r="D31" i="24"/>
  <c r="C31" i="25" s="1"/>
  <c r="D31" i="25" s="1"/>
  <c r="C31" i="26" s="1"/>
  <c r="D31" i="26" s="1"/>
  <c r="D24" i="24"/>
  <c r="C24" i="25" s="1"/>
  <c r="D24" i="25" s="1"/>
  <c r="C24" i="26" s="1"/>
  <c r="D24" i="26" s="1"/>
  <c r="D26" i="24"/>
  <c r="C26" i="25" s="1"/>
  <c r="D26" i="25" s="1"/>
  <c r="C26" i="26" s="1"/>
  <c r="D26" i="26" s="1"/>
  <c r="D25" i="24"/>
  <c r="C25" i="25" s="1"/>
  <c r="D25" i="25" s="1"/>
  <c r="C25" i="26" s="1"/>
  <c r="D25" i="26" s="1"/>
  <c r="D427" i="24"/>
  <c r="C427" i="25" s="1"/>
  <c r="D427" i="25" s="1"/>
  <c r="C423" i="26" s="1"/>
  <c r="D423" i="26" s="1"/>
  <c r="D29" i="24"/>
  <c r="C29" i="25" s="1"/>
  <c r="D29" i="25" s="1"/>
  <c r="C29" i="26" s="1"/>
  <c r="D29" i="26" s="1"/>
  <c r="D424" i="24"/>
  <c r="C424" i="25" s="1"/>
  <c r="D424" i="25" s="1"/>
  <c r="C420" i="26" s="1"/>
  <c r="D420" i="26" s="1"/>
  <c r="D425" i="24"/>
  <c r="C425" i="25" s="1"/>
  <c r="D425" i="25" s="1"/>
  <c r="C421" i="26" s="1"/>
  <c r="D421" i="26" s="1"/>
  <c r="D428" i="24"/>
  <c r="C428" i="25" s="1"/>
  <c r="D428" i="25" s="1"/>
  <c r="C424" i="26" s="1"/>
  <c r="D424" i="26" s="1"/>
  <c r="D429" i="24"/>
  <c r="C429" i="25" s="1"/>
  <c r="D429" i="25" s="1"/>
  <c r="C425" i="26" s="1"/>
  <c r="D425" i="26" s="1"/>
  <c r="D224" i="24"/>
  <c r="C224" i="25" s="1"/>
  <c r="D224" i="25" s="1"/>
  <c r="C220" i="26" s="1"/>
  <c r="D220" i="26" s="1"/>
  <c r="D514" i="24"/>
  <c r="C514" i="25" s="1"/>
  <c r="D514" i="25" s="1"/>
  <c r="C510" i="26" s="1"/>
  <c r="D510" i="26" s="1"/>
  <c r="D173" i="24"/>
  <c r="C173" i="25" s="1"/>
  <c r="D173" i="25" s="1"/>
  <c r="C169" i="26" s="1"/>
  <c r="D169" i="26" s="1"/>
  <c r="D314" i="24"/>
  <c r="C314" i="25" s="1"/>
  <c r="D314" i="25" s="1"/>
  <c r="C310" i="26" s="1"/>
  <c r="D310" i="26" s="1"/>
  <c r="D426" i="24"/>
  <c r="C426" i="25" s="1"/>
  <c r="D426" i="25" s="1"/>
  <c r="C422" i="26" s="1"/>
  <c r="D422" i="26" s="1"/>
  <c r="D189" i="24"/>
  <c r="C189" i="25" s="1"/>
  <c r="D189" i="25" s="1"/>
  <c r="C185" i="26" s="1"/>
  <c r="D185" i="26" s="1"/>
  <c r="D444" i="24"/>
  <c r="C444" i="25" s="1"/>
  <c r="D444" i="25" s="1"/>
  <c r="C440" i="26" s="1"/>
  <c r="D440" i="26" s="1"/>
  <c r="D544" i="24"/>
  <c r="C544" i="25" s="1"/>
  <c r="D544" i="25" s="1"/>
  <c r="C540" i="26" s="1"/>
  <c r="D540" i="26" s="1"/>
  <c r="D359" i="24" l="1"/>
  <c r="C359" i="25" s="1"/>
  <c r="D359" i="25" s="1"/>
  <c r="C355" i="26" s="1"/>
  <c r="D355" i="26" s="1"/>
  <c r="D360" i="24"/>
  <c r="C360" i="25" s="1"/>
  <c r="D360" i="25" s="1"/>
  <c r="C356" i="26" s="1"/>
  <c r="D356" i="26" s="1"/>
</calcChain>
</file>

<file path=xl/sharedStrings.xml><?xml version="1.0" encoding="utf-8"?>
<sst xmlns="http://schemas.openxmlformats.org/spreadsheetml/2006/main" count="3056" uniqueCount="1172">
  <si>
    <t>saldo</t>
  </si>
  <si>
    <t xml:space="preserve">Descrizione prodotto </t>
  </si>
  <si>
    <t>Linea Montevergine g.100 x 24 pz</t>
  </si>
  <si>
    <t>torrone friabile alle mandorle</t>
  </si>
  <si>
    <t>torrone friabile alle nocciole</t>
  </si>
  <si>
    <t xml:space="preserve">torrone morbido alle nocciole </t>
  </si>
  <si>
    <t>torrone morbido ai pistacchi</t>
  </si>
  <si>
    <t xml:space="preserve">torrone morbido al limoncello </t>
  </si>
  <si>
    <t>nocciolato gianduia al latte</t>
  </si>
  <si>
    <t>croccante alle arachidi</t>
  </si>
  <si>
    <t>pantorroncini</t>
  </si>
  <si>
    <t>praline fondente crema nocciola</t>
  </si>
  <si>
    <t xml:space="preserve">torrone morbido alle mandorle </t>
  </si>
  <si>
    <t>torrone morbido alle nocciole</t>
  </si>
  <si>
    <t>torrone morbido al cioccolato</t>
  </si>
  <si>
    <t>Linea Di gennaro g.150x24 pz</t>
  </si>
  <si>
    <t xml:space="preserve">torrone friabile ricoperto </t>
  </si>
  <si>
    <t xml:space="preserve">pantorrone </t>
  </si>
  <si>
    <t>pantorrone al limoncello</t>
  </si>
  <si>
    <t>pantorrone all'hantemis</t>
  </si>
  <si>
    <t xml:space="preserve">nocciolato gianduia al latte </t>
  </si>
  <si>
    <t>nocciolato extra fondente</t>
  </si>
  <si>
    <t>torrone morbido al caffè</t>
  </si>
  <si>
    <t>torrone morbido pera e cioccolato</t>
  </si>
  <si>
    <t>torrone morbido ai frutti di bosco</t>
  </si>
  <si>
    <t>torrone morbido alla castagna</t>
  </si>
  <si>
    <t>Linea Di gennaro g.250x12 pz</t>
  </si>
  <si>
    <t>torrone morbido alle mandorle</t>
  </si>
  <si>
    <t>morbidini</t>
  </si>
  <si>
    <t>Linea Di gennaro croccantini in busta g.150x12 pz</t>
  </si>
  <si>
    <t>croccantini granella nocciola</t>
  </si>
  <si>
    <t>croccantini sfoglia mandorla</t>
  </si>
  <si>
    <t>Linea Di gennaro croccanti in stecche g.100 x 24 pz</t>
  </si>
  <si>
    <t>stecca croccante alle mandorle</t>
  </si>
  <si>
    <t>Linea Di gennaro croccante in torte  g.200x15 pz</t>
  </si>
  <si>
    <t>torta croccante alle mandorle</t>
  </si>
  <si>
    <t>torta croccante alle arachidi</t>
  </si>
  <si>
    <t>tavoletta cioccolato extra fondente</t>
  </si>
  <si>
    <t>tavoletta cioccolato latte finissimo</t>
  </si>
  <si>
    <t>tavoletta cioccolato latte con torrone</t>
  </si>
  <si>
    <t>tavoletta cioccolato latte con nocciole</t>
  </si>
  <si>
    <t>praline caprese e babà</t>
  </si>
  <si>
    <t>praline fondente con crema limoncello</t>
  </si>
  <si>
    <t>praline latte con crema pistacchio</t>
  </si>
  <si>
    <t>praline latte con crema baba'</t>
  </si>
  <si>
    <t>praline fondente con crema caprese</t>
  </si>
  <si>
    <t>marron glaces classici g.250 x 12</t>
  </si>
  <si>
    <t>scorzette d'arancia ricoperte g.250 x 10 pz</t>
  </si>
  <si>
    <t>pralinate alle mandorle</t>
  </si>
  <si>
    <t>pralinate alle nocciole</t>
  </si>
  <si>
    <t>pralinate alle arachidi</t>
  </si>
  <si>
    <t>croccante nocciola</t>
  </si>
  <si>
    <t xml:space="preserve">croccante sesamo </t>
  </si>
  <si>
    <t xml:space="preserve">croccante arachidi </t>
  </si>
  <si>
    <t>croccante mandorla</t>
  </si>
  <si>
    <t xml:space="preserve">croccante alle  mandorle </t>
  </si>
  <si>
    <t>croccante alle nocciole</t>
  </si>
  <si>
    <t>zenzero fondente</t>
  </si>
  <si>
    <t>torrone nocciomandorla linea cavaliere g.90 x 24 pz</t>
  </si>
  <si>
    <t>Linea Bosa</t>
  </si>
  <si>
    <t xml:space="preserve">Linea Allessia </t>
  </si>
  <si>
    <t>torrone morbido al pistacchio g.150 x 12 pz</t>
  </si>
  <si>
    <t>Linea I Guinigi</t>
  </si>
  <si>
    <t>stecca croccante alle arachidi "lionardi" g.100 x 24 pz</t>
  </si>
  <si>
    <t>tavoletta "maffucci" cioccolato bianco e agrumi g.100 x 42 pz</t>
  </si>
  <si>
    <t>Linea Cavaliere new (esselunga)</t>
  </si>
  <si>
    <t>Linea Salloum</t>
  </si>
  <si>
    <t>sacchetto pralina latte crema nocciola oro kg.1 x 6 pz</t>
  </si>
  <si>
    <t>sacchetto pralina latte babà argento kg.1 x 6 pz</t>
  </si>
  <si>
    <t>sacchetto pralina latte pistacchio verde kg.1 x 6 pz</t>
  </si>
  <si>
    <t>sacchetto pralina latte caprese rosso kg.1 x 6 pz</t>
  </si>
  <si>
    <t>sacchetto pralina latte crema bianca blu kg.1 x 6 pz</t>
  </si>
  <si>
    <t>Icam</t>
  </si>
  <si>
    <t>Naturischia</t>
  </si>
  <si>
    <t>pantorrone al limoncello g.150 x 24 pz</t>
  </si>
  <si>
    <t>torrone morbido ai fichi g.150 x 24 pz</t>
  </si>
  <si>
    <t>praline latte cappuccino</t>
  </si>
  <si>
    <t>praline assortite</t>
  </si>
  <si>
    <t>Il Paniere Serafini</t>
  </si>
  <si>
    <t>Linea Cellophane croccanti in stecche g.100 x 24 pz</t>
  </si>
  <si>
    <t>Chocomax</t>
  </si>
  <si>
    <t>praline latte nocciola g.200x22pz</t>
  </si>
  <si>
    <t>praline assortite g.200x22pz</t>
  </si>
  <si>
    <t>cioccolotti latte cappuccino g.170x24</t>
  </si>
  <si>
    <t>cioccolotti fondente caprese g.170x24</t>
  </si>
  <si>
    <t>cioccolotti latte granella di nocciola  g.170x24</t>
  </si>
  <si>
    <t>Sapori Artigianali</t>
  </si>
  <si>
    <t>Cost plus</t>
  </si>
  <si>
    <t>pantorroncini g.175</t>
  </si>
  <si>
    <t>croccantini ricoperti g.175</t>
  </si>
  <si>
    <t>torrone friabile alla nocciola g.250</t>
  </si>
  <si>
    <t>torrone friabile mandorla e pistacchi g.250</t>
  </si>
  <si>
    <t>Linea Amadei</t>
  </si>
  <si>
    <t>torrone friabile alla mandorla g.100x24</t>
  </si>
  <si>
    <t>torroncini morbidi assortiti g.150x12</t>
  </si>
  <si>
    <t>torrone morbido ai pistacchi g.100x24</t>
  </si>
  <si>
    <t>pantorrone g.150 (pz)</t>
  </si>
  <si>
    <t>Linea Sidi Piccolo</t>
  </si>
  <si>
    <t>grantorrone morbido al cioccolato g.150x24</t>
  </si>
  <si>
    <t>grantorrone friabile alla mandorla g.150x24</t>
  </si>
  <si>
    <t>grantorrone morbido alla nocciola g.150x24</t>
  </si>
  <si>
    <t>Linea La Cioccolateria</t>
  </si>
  <si>
    <t>croccantini anonimi (kg)</t>
  </si>
  <si>
    <t>pantorroncini anonimi (kg)</t>
  </si>
  <si>
    <t>hirpini anonimi (kg)</t>
  </si>
  <si>
    <t>pralina latte pistacchio</t>
  </si>
  <si>
    <t>pralina latte babà</t>
  </si>
  <si>
    <t>pralina latte crema bianca e cereali</t>
  </si>
  <si>
    <t>Linea Pam</t>
  </si>
  <si>
    <t>expo torrone assortito cavaliere 96 pz</t>
  </si>
  <si>
    <t>Linea Lambertz</t>
  </si>
  <si>
    <t>praline latte cereali</t>
  </si>
  <si>
    <t>praline fondente nocciola</t>
  </si>
  <si>
    <t>praline latte pistacchio</t>
  </si>
  <si>
    <t>praline fondente caprese</t>
  </si>
  <si>
    <t>praline latte babà</t>
  </si>
  <si>
    <t>praline latte crema latte</t>
  </si>
  <si>
    <t>praline latte nocciola e cereali</t>
  </si>
  <si>
    <t>praline fondente limoncello</t>
  </si>
  <si>
    <t>praline fondente menta</t>
  </si>
  <si>
    <t>cioccolotti latte nocciola g.1000x6 - GIRL</t>
  </si>
  <si>
    <t>torrone friabile alla mandorla g.140x12</t>
  </si>
  <si>
    <t>torrone morbido alla mandorla g.150x12</t>
  </si>
  <si>
    <t>Sidi Piccolo</t>
  </si>
  <si>
    <t>praline latte nocciola g.350x15</t>
  </si>
  <si>
    <t>sacchetto torronati kg. 1 x 6 pz</t>
  </si>
  <si>
    <t>sacchetto nocciolati kg. 1 x 6 pz</t>
  </si>
  <si>
    <t>nocciolato extra fondente g.150x24</t>
  </si>
  <si>
    <t>nocciolato gianduia latte e caffè g.150x24</t>
  </si>
  <si>
    <t>nocciolato latte e uva g.150x24</t>
  </si>
  <si>
    <t>nocciolato fondente e arancia g.150x24</t>
  </si>
  <si>
    <t>torrone morbido ai pistacchi g.150x24</t>
  </si>
  <si>
    <t>torrone morbido al limoncello g.150 x 12 pz</t>
  </si>
  <si>
    <t>torrone friabile alla mandorla g.150x12</t>
  </si>
  <si>
    <t>torrone morbido ai fichi g.150x12</t>
  </si>
  <si>
    <t>torrone morbido ai frutti di bosco g.150x12</t>
  </si>
  <si>
    <t>torrone gianduia g.150x12</t>
  </si>
  <si>
    <t>display almonds36/pistacchio36/hazelnut24 g.150</t>
  </si>
  <si>
    <t>display almonds36/pistacchio36/chocolate24 g.150</t>
  </si>
  <si>
    <t>display limoncello36/cranberry36/figs24 g.150</t>
  </si>
  <si>
    <t>Almaghali - Yemen</t>
  </si>
  <si>
    <t>praline assortite g.2000x6</t>
  </si>
  <si>
    <t>torronati crema torrone g.130x12</t>
  </si>
  <si>
    <t>nocciolati crema nocciola g.130x12</t>
  </si>
  <si>
    <t>Linea Vergani</t>
  </si>
  <si>
    <t>expo praline assortite latta cuore g.300x84</t>
  </si>
  <si>
    <t xml:space="preserve">Linea Goniva </t>
  </si>
  <si>
    <t>TOT E</t>
  </si>
  <si>
    <t>TOT U</t>
  </si>
  <si>
    <t>torrone morbido alla nocciola g.150x12</t>
  </si>
  <si>
    <t>torrone morbido ai pistacchi g.150x12</t>
  </si>
  <si>
    <t>cioccolato gianduia latte e pistacchio g.150x24</t>
  </si>
  <si>
    <t>torrone morbido ai nocciole g.150x24</t>
  </si>
  <si>
    <t>torrone morbido ai mandorle g.150x24</t>
  </si>
  <si>
    <t>Croccantina</t>
  </si>
  <si>
    <t>croccantina (kg)</t>
  </si>
  <si>
    <t>torrone morbido ai pistacchi g.150 (pz)</t>
  </si>
  <si>
    <t>croccante alle arachidi g.100 (pz)</t>
  </si>
  <si>
    <t>croccante alla mandorla g.100 (pz)</t>
  </si>
  <si>
    <t>cioccolotti latte latte g.170x24</t>
  </si>
  <si>
    <t>nocciolato gianduia latte</t>
  </si>
  <si>
    <t>bon boms milk cream cacao g.1000x6 DONINI</t>
  </si>
  <si>
    <t>Cod. Art.</t>
  </si>
  <si>
    <t>99130021001024</t>
  </si>
  <si>
    <t>99130101001024</t>
  </si>
  <si>
    <t>99130131001024</t>
  </si>
  <si>
    <t>66130011001024</t>
  </si>
  <si>
    <t>Linea Di gennaro le praline in busta g.1000x 6 pz</t>
  </si>
  <si>
    <t>65110089102006</t>
  </si>
  <si>
    <t>65110199102006</t>
  </si>
  <si>
    <t>65110179102006</t>
  </si>
  <si>
    <t>65110149102006</t>
  </si>
  <si>
    <t>65110099102006</t>
  </si>
  <si>
    <t>65110159102006</t>
  </si>
  <si>
    <t>65113019102006</t>
  </si>
  <si>
    <t>64113019102006</t>
  </si>
  <si>
    <t>cremosi assortiti</t>
  </si>
  <si>
    <t>mostaccioli g.250 x 8 pz</t>
  </si>
  <si>
    <t>55110072504008</t>
  </si>
  <si>
    <t>55110102504012</t>
  </si>
  <si>
    <t>55110062504010</t>
  </si>
  <si>
    <t>stecca croccante alle nocciole</t>
  </si>
  <si>
    <t xml:space="preserve">stecca croccante alle arachidi </t>
  </si>
  <si>
    <t>nocciolato gianduia latte g.100x24 pz linea cavaliere</t>
  </si>
  <si>
    <t>mattonella di torrone tenero alle nocciole bicolore g.250 x 24 pz</t>
  </si>
  <si>
    <t>Linea Di gennaro torroncini in scatola g.188x10 pz</t>
  </si>
  <si>
    <t>98113021884010</t>
  </si>
  <si>
    <t>98110031884010</t>
  </si>
  <si>
    <t>87110051884010</t>
  </si>
  <si>
    <t>98110031502012</t>
  </si>
  <si>
    <t>98113021502012</t>
  </si>
  <si>
    <t>87110051502012</t>
  </si>
  <si>
    <t>98113014002010</t>
  </si>
  <si>
    <t>torrone friabile alle nocciole g.140x24</t>
  </si>
  <si>
    <t>torrone friabile alle mandorle g.140x24</t>
  </si>
  <si>
    <t>99110031401024</t>
  </si>
  <si>
    <t>99110021401024</t>
  </si>
  <si>
    <t>99110041501024</t>
  </si>
  <si>
    <t>99110051501024</t>
  </si>
  <si>
    <t>66110011501024</t>
  </si>
  <si>
    <t>66110021501024</t>
  </si>
  <si>
    <t>99110101501024</t>
  </si>
  <si>
    <t>99110091501024</t>
  </si>
  <si>
    <t>99110141501024</t>
  </si>
  <si>
    <t>99110131501024</t>
  </si>
  <si>
    <t>99110121501024</t>
  </si>
  <si>
    <t>99110151501024</t>
  </si>
  <si>
    <t>99110161501024</t>
  </si>
  <si>
    <t>99110171501024</t>
  </si>
  <si>
    <t>nocciolato al caffè</t>
  </si>
  <si>
    <t>cioccolato al pistacchio</t>
  </si>
  <si>
    <t>66110151501024</t>
  </si>
  <si>
    <t>87110031502012</t>
  </si>
  <si>
    <t>87110021502012</t>
  </si>
  <si>
    <t>88110031003024</t>
  </si>
  <si>
    <t>88110021003024</t>
  </si>
  <si>
    <t>88110011003024</t>
  </si>
  <si>
    <t>88110022005015</t>
  </si>
  <si>
    <t>88110012005015</t>
  </si>
  <si>
    <t>66110061001012</t>
  </si>
  <si>
    <t>66110071001012</t>
  </si>
  <si>
    <t>66110101001012</t>
  </si>
  <si>
    <t>66110121001012</t>
  </si>
  <si>
    <t>cremosi alla nocciola</t>
  </si>
  <si>
    <t>cremosi al torrone</t>
  </si>
  <si>
    <t>cremosi al caramello</t>
  </si>
  <si>
    <t>Linea Di gennaro le praline in scatola g.188x10 pz</t>
  </si>
  <si>
    <t>cremosi caramello torrone nocciola</t>
  </si>
  <si>
    <t>praline pistacchio limoncello babà</t>
  </si>
  <si>
    <t>64113091884010</t>
  </si>
  <si>
    <t>99190341501024</t>
  </si>
  <si>
    <t>torrone morbido con mandorle e pistacchi g.150 x 24 pz astuccio naturischia</t>
  </si>
  <si>
    <t>99380061501024</t>
  </si>
  <si>
    <t>99380201501024</t>
  </si>
  <si>
    <t>99380271501024</t>
  </si>
  <si>
    <t>98380311501024</t>
  </si>
  <si>
    <t>99380341501024</t>
  </si>
  <si>
    <t>panoni cop. Gianduia cacao 2.5 kg</t>
  </si>
  <si>
    <t>panoni cop. Fondente regina 2.5 kg</t>
  </si>
  <si>
    <t>080008395</t>
  </si>
  <si>
    <t>080008396</t>
  </si>
  <si>
    <t>080008397</t>
  </si>
  <si>
    <t>Prix</t>
  </si>
  <si>
    <t>SE.FD377.064</t>
  </si>
  <si>
    <t>SE.FD377.071</t>
  </si>
  <si>
    <t>31280</t>
  </si>
  <si>
    <t>31282</t>
  </si>
  <si>
    <t>32032</t>
  </si>
  <si>
    <t>bon boms crispy g.454x12</t>
  </si>
  <si>
    <t>32034</t>
  </si>
  <si>
    <t>bon boms chocolate cream g.454x12</t>
  </si>
  <si>
    <t>32035</t>
  </si>
  <si>
    <t>bon boms hazelnut cream g.454x12</t>
  </si>
  <si>
    <t>32030</t>
  </si>
  <si>
    <t>bon boms pistachio cream g.454x12</t>
  </si>
  <si>
    <t>torrone friabile alle mandorle g.150x30</t>
  </si>
  <si>
    <t>torrone friabile alle mandorle g.200x16</t>
  </si>
  <si>
    <t>torrone ricoperto al cioccolato g.150x12</t>
  </si>
  <si>
    <t>allegrini g.150x30</t>
  </si>
  <si>
    <t>gran nocciolato g.150x30</t>
  </si>
  <si>
    <t>lattecino g.150x30</t>
  </si>
  <si>
    <t>scorzette di limone ricoperte g.250 x 10 pz</t>
  </si>
  <si>
    <t>186.092</t>
  </si>
  <si>
    <t>torrone friabile alla nocciola g.140x12</t>
  </si>
  <si>
    <t>torrone morbido al pistacchio g.150x12</t>
  </si>
  <si>
    <t>65110119102006</t>
  </si>
  <si>
    <t>65110129102006</t>
  </si>
  <si>
    <t>65110279102006</t>
  </si>
  <si>
    <t>praline latte crema bianca</t>
  </si>
  <si>
    <t>praline latte crema nocciola</t>
  </si>
  <si>
    <t>65110109102006</t>
  </si>
  <si>
    <t>65110169102006</t>
  </si>
  <si>
    <t>praline fondente crema fondente</t>
  </si>
  <si>
    <t>torroncini teneri ricoperti al cioccolato limone con mandorla cm. 4,5 (kg3)</t>
  </si>
  <si>
    <t>torrone intero friabile alla mandorla (kg3)</t>
  </si>
  <si>
    <t>torroncini teneri ricoperti al cioccolato bianco con mandorla cm. 4,5 (kg3)</t>
  </si>
  <si>
    <t>torroncini teneri ricoperti al cioccolato fondente con mandorla cm. 4,5 (kg3)</t>
  </si>
  <si>
    <t>torroncini teneri all mandorla cm. 4,5 (kg3)</t>
  </si>
  <si>
    <t>torrone friabile con nocciole g.100x24</t>
  </si>
  <si>
    <t>gianduia con nocciole g.150x24</t>
  </si>
  <si>
    <t>Y International - praline in busta g.1000x 6 pz</t>
  </si>
  <si>
    <t>Cina - praline in busta g.1000x 6 pz</t>
  </si>
  <si>
    <t>Messico - praline in busta g.1000x 6 pz</t>
  </si>
  <si>
    <t>65113109102006</t>
  </si>
  <si>
    <t>186.062</t>
  </si>
  <si>
    <t>186.068</t>
  </si>
  <si>
    <t>186.067</t>
  </si>
  <si>
    <t>186.070</t>
  </si>
  <si>
    <t>186.069</t>
  </si>
  <si>
    <t>186.142</t>
  </si>
  <si>
    <t>186.143</t>
  </si>
  <si>
    <t>186.148</t>
  </si>
  <si>
    <t>186.203</t>
  </si>
  <si>
    <t>D'Orsogna</t>
  </si>
  <si>
    <t>99170039303001</t>
  </si>
  <si>
    <t>99170109303001</t>
  </si>
  <si>
    <t>99170029303001</t>
  </si>
  <si>
    <t>99170099303001</t>
  </si>
  <si>
    <t>11660000000003</t>
  </si>
  <si>
    <t>11660000000004</t>
  </si>
  <si>
    <t>11660000000005</t>
  </si>
  <si>
    <t>Dutch Sweet C.</t>
  </si>
  <si>
    <t>65163012004010</t>
  </si>
  <si>
    <t>65160112004010</t>
  </si>
  <si>
    <t>65160162004010</t>
  </si>
  <si>
    <t>65160102004010</t>
  </si>
  <si>
    <t>65160142004010</t>
  </si>
  <si>
    <t>praline assortite  scatola g.200x10</t>
  </si>
  <si>
    <t>praline latte crema bianca scatola g.200x10</t>
  </si>
  <si>
    <t>praline fondente crema fondente  scatola g.200x10</t>
  </si>
  <si>
    <t>praline latte crema cappuccino  scatola g.200x10</t>
  </si>
  <si>
    <t>praline latte crema pistacchio  scatola g.200x10</t>
  </si>
  <si>
    <t>torrone friabile alla nocciola 3kg (pz)</t>
  </si>
  <si>
    <t>torrone morbido alla nocciola 3kg (pz)</t>
  </si>
  <si>
    <t>torrone friabile alla mandorla 3kg (pz)</t>
  </si>
  <si>
    <t>torrone morbido alla mandorla 3kg (pz)</t>
  </si>
  <si>
    <t>pantorroncini classici g.7000</t>
  </si>
  <si>
    <t>croccantini ric. ciocc. fondente g.8000</t>
  </si>
  <si>
    <t>Torroncini sfusi</t>
  </si>
  <si>
    <t>65203041754010</t>
  </si>
  <si>
    <t>55200172504010</t>
  </si>
  <si>
    <t>186.256</t>
  </si>
  <si>
    <t>186.257</t>
  </si>
  <si>
    <t>253.473</t>
  </si>
  <si>
    <t>253.474</t>
  </si>
  <si>
    <t xml:space="preserve">Torrone senza zucchero g.140x12 </t>
  </si>
  <si>
    <t xml:space="preserve">nocciolato fondente g.150x12 </t>
  </si>
  <si>
    <t xml:space="preserve">nocciolato gianduia latte g.150x12 </t>
  </si>
  <si>
    <t>barretta ciocc fondente/nocciole g. 130x12</t>
  </si>
  <si>
    <t>barretta ciocc latte/nocciole g. 130x12</t>
  </si>
  <si>
    <t>99130121001024</t>
  </si>
  <si>
    <t>99130031001024</t>
  </si>
  <si>
    <t>99110061501024</t>
  </si>
  <si>
    <t>99110071501024</t>
  </si>
  <si>
    <t>99110201501024</t>
  </si>
  <si>
    <t>99110221501024</t>
  </si>
  <si>
    <t>99110102501012</t>
  </si>
  <si>
    <t>99110092501012</t>
  </si>
  <si>
    <t>99110032501012</t>
  </si>
  <si>
    <t>99110022501012</t>
  </si>
  <si>
    <t>66110012501012</t>
  </si>
  <si>
    <t xml:space="preserve">torroncini assortiti g.400x10 </t>
  </si>
  <si>
    <t>65203011754010</t>
  </si>
  <si>
    <t>98200031754010</t>
  </si>
  <si>
    <t>87200051754010</t>
  </si>
  <si>
    <t>99200032501012</t>
  </si>
  <si>
    <t>99200302501012</t>
  </si>
  <si>
    <t>55200062504010</t>
  </si>
  <si>
    <t>Pam</t>
  </si>
  <si>
    <t>65173013002015</t>
  </si>
  <si>
    <t>praline assortite g.300x15</t>
  </si>
  <si>
    <t>65173015002015</t>
  </si>
  <si>
    <t>praline assortite g.500x15</t>
  </si>
  <si>
    <t>99130091001024</t>
  </si>
  <si>
    <t>torrone friabile ricoperto g.150x12</t>
  </si>
  <si>
    <t>98170139306001</t>
  </si>
  <si>
    <t>98170129306001</t>
  </si>
  <si>
    <t>98170119306001</t>
  </si>
  <si>
    <t>sacchetto mandorle pralinate g.120x14</t>
  </si>
  <si>
    <t>sacchetto nocciole pralinate g.120x14</t>
  </si>
  <si>
    <t>sacchetto arachidi pralinate g.120x14</t>
  </si>
  <si>
    <t>morbidini assortiti g.8000</t>
  </si>
  <si>
    <t>praline latte fondente nocciola g.175x10 classiche</t>
  </si>
  <si>
    <t>praline assortite g.175x10 specialità</t>
  </si>
  <si>
    <t>Gift House</t>
  </si>
  <si>
    <t>torrone friabile alla nocciola g.150 cellophane</t>
  </si>
  <si>
    <t>torrone friabile alla mandorla g.150 cellophane</t>
  </si>
  <si>
    <t>tavoletta "maffucci" cioccolato fondente g.100 x 42 pz</t>
  </si>
  <si>
    <t>tavoletta cioccolato fondente g.100x12 - astuccio serafini</t>
  </si>
  <si>
    <t>pralina fondente limone</t>
  </si>
  <si>
    <t>pralina fondente caprese</t>
  </si>
  <si>
    <t>66170061006042</t>
  </si>
  <si>
    <t>tavoletta cioccolato fondente g.100x42 - primo incarto</t>
  </si>
  <si>
    <t>Linea Di gennaro cioccolato in barrette g.100x12 pz</t>
  </si>
  <si>
    <t>torrone al caffè g.100x24</t>
  </si>
  <si>
    <t>tavoletta cioccolato fondente g.100x12</t>
  </si>
  <si>
    <t>tavoletta cioccolato fondente e croccante g.100x12</t>
  </si>
  <si>
    <t>tavoletta cioccolato latte g.100x12</t>
  </si>
  <si>
    <t>Fondazione Ant</t>
  </si>
  <si>
    <t>65150129102006</t>
  </si>
  <si>
    <t>64150129102006</t>
  </si>
  <si>
    <t>praline latte nocciola g.1000x6 - inc. verde</t>
  </si>
  <si>
    <t>praline latte nocciola g.1000x6 - inc. giallo</t>
  </si>
  <si>
    <t>praline latte nocciola g.1000x6 - inc. arancio</t>
  </si>
  <si>
    <t>praline latte nocciola g.1000x6 - inc. mix colori</t>
  </si>
  <si>
    <t>cremosi latte nocciola g.1000x6 - inc. mix</t>
  </si>
  <si>
    <t>cremosi latte nocciola g.1000x6 - inc. oro</t>
  </si>
  <si>
    <t>99260031001024</t>
  </si>
  <si>
    <t xml:space="preserve">Amsel </t>
  </si>
  <si>
    <t xml:space="preserve">Ass. Neuroblastoma </t>
  </si>
  <si>
    <t>Barrette inc. Alluminio</t>
  </si>
  <si>
    <t>Tavoletta cioccolato fondente g.100 (pz)</t>
  </si>
  <si>
    <t>Tavoletta cioccolato al latte g.100 (pz)</t>
  </si>
  <si>
    <t>cioccolato con pistacchio g.100x24</t>
  </si>
  <si>
    <t>croccantini g.8000x1</t>
  </si>
  <si>
    <t>torroncini ricoperti g.8000x1</t>
  </si>
  <si>
    <t>pantorroncini g.8000x1</t>
  </si>
  <si>
    <t>praline latte e cereali g.8000x1</t>
  </si>
  <si>
    <t>31266</t>
  </si>
  <si>
    <t>Tavoletta cioccolato al latte e nocciole g.225 x 12 pz salloum</t>
  </si>
  <si>
    <t>Tavoletta cioccolato fondente e nocciole g.225 x 12 pz salloum</t>
  </si>
  <si>
    <t>Tavoletta cioccolato fondente e mandorle g.225 x 12 pz salloum</t>
  </si>
  <si>
    <t>Tavoletta cioccolato fondente e cranberries g.225 x 12 pz salloum</t>
  </si>
  <si>
    <t>scatola torroni assortiti g.450 x 7</t>
  </si>
  <si>
    <t>35025</t>
  </si>
  <si>
    <t>31265-fr</t>
  </si>
  <si>
    <t>31281-cr</t>
  </si>
  <si>
    <t>31265-n</t>
  </si>
  <si>
    <t>31281-le</t>
  </si>
  <si>
    <t>31281-pi</t>
  </si>
  <si>
    <t>31281-fi</t>
  </si>
  <si>
    <t>31265-c</t>
  </si>
  <si>
    <t>32031-mc</t>
  </si>
  <si>
    <t>35027-c</t>
  </si>
  <si>
    <t>35026</t>
  </si>
  <si>
    <t>31268</t>
  </si>
  <si>
    <t>torrone friabile alla nocciola g.150x12</t>
  </si>
  <si>
    <t>donini milk cream kg.1 x 6 pz</t>
  </si>
  <si>
    <t>32031-dc</t>
  </si>
  <si>
    <t>donini dark cream kg.1 x 6 pz</t>
  </si>
  <si>
    <t>32031-mh</t>
  </si>
  <si>
    <t>donini hazelnut cream kg.1 x 6 pz</t>
  </si>
  <si>
    <t>31540</t>
  </si>
  <si>
    <t>torrone in formecpistacchio kg.3</t>
  </si>
  <si>
    <t>ZAINI</t>
  </si>
  <si>
    <t>stecca nocciolato fondente emilia g.250 x 12 pz</t>
  </si>
  <si>
    <t>stecca nocciolato gianduia emilia g.220 x 12 pz</t>
  </si>
  <si>
    <t>praline  fondente crema nocciola</t>
  </si>
  <si>
    <t>magazzino prodotti finiti</t>
  </si>
  <si>
    <t>torrone morbido agli agrumi g.150 x 24 pz naturischia</t>
  </si>
  <si>
    <t>torrone morbido al limone g. 150 x 24 pz astuccio neutro</t>
  </si>
  <si>
    <t>tavoletta cioccolato fondente e pistacchi</t>
  </si>
  <si>
    <t>tavoletta cioccolato al caramello</t>
  </si>
  <si>
    <t>nocciole latte</t>
  </si>
  <si>
    <t>mandorle fondenti</t>
  </si>
  <si>
    <t xml:space="preserve">ciliegie fondenti </t>
  </si>
  <si>
    <t>arachidi caramello</t>
  </si>
  <si>
    <t>marron glaces ricoperti g.250 x 12</t>
  </si>
  <si>
    <t>praline fondente crema limone</t>
  </si>
  <si>
    <t>080008398</t>
  </si>
  <si>
    <t>panoni cop. Bianco morbido 2.5 kg</t>
  </si>
  <si>
    <t>capolavori torronati</t>
  </si>
  <si>
    <t>capolavori latte/baba</t>
  </si>
  <si>
    <t>capolavori latte/pistacchio</t>
  </si>
  <si>
    <t>GIAPPONE</t>
  </si>
  <si>
    <t>pralina latte crema latte kg.9 sfuso</t>
  </si>
  <si>
    <t>pralina latte crema nocciola kg.9 sfuso</t>
  </si>
  <si>
    <t>pralina fondente crema fondente kg.9 sfuso</t>
  </si>
  <si>
    <t>pralina fondente crema limone kg.9 sfuso</t>
  </si>
  <si>
    <t>praline assortite busta g.200x12</t>
  </si>
  <si>
    <t>cremosi latte granella di nocciola (g.9000) incarto oro</t>
  </si>
  <si>
    <t xml:space="preserve">torrone morbido alla nocciola g.150 x 30 pz </t>
  </si>
  <si>
    <t>Linea Cavaliere il croccante in stecca  g.100 x 21 pz</t>
  </si>
  <si>
    <t>Linea Cavaliere croccante in stecca  g.50 x 22 pz</t>
  </si>
  <si>
    <t>Linea Cavaliere le praline in scatola g.150 x 12 pz</t>
  </si>
  <si>
    <t>Linea Di gennaro i dragees in scatola g.150 x 12 pz</t>
  </si>
  <si>
    <t>cremosi al caramello salato incarto ottanio kg.9</t>
  </si>
  <si>
    <t>nocciolato caramello g.150 x 12 pz</t>
  </si>
  <si>
    <t>Linea Cavaliere le praline g.200 x 7 pz</t>
  </si>
  <si>
    <t xml:space="preserve">praline assortite </t>
  </si>
  <si>
    <t>golosità assortite g.800 x 8 pz</t>
  </si>
  <si>
    <t>Linea Cavaliere i dragees in sacchettog.180 x 10 pz</t>
  </si>
  <si>
    <t>arancia fondente</t>
  </si>
  <si>
    <t>Linea Cavaliere il croccante in sacchetti</t>
  </si>
  <si>
    <t>croccantini arachidi g.170 x 7 pz</t>
  </si>
  <si>
    <t>croccantini sfoglia mandorla g.170 x 7 pz</t>
  </si>
  <si>
    <t>nocciolato al pistacchio g.150 x 12 pz</t>
  </si>
  <si>
    <t>Linea Cavaliere old il croccante in torte  g.130 x 15 pz</t>
  </si>
  <si>
    <t>mostaccioli ripeni mand. Vassoio g.400 x 12 pz</t>
  </si>
  <si>
    <t>mostaccioli e roccocò g.400x 12 pz</t>
  </si>
  <si>
    <t>roccocò g.400 x 12 pz</t>
  </si>
  <si>
    <t>PAM</t>
  </si>
  <si>
    <t>praline latte crema nocciola Inc. Oro g.9000x1</t>
  </si>
  <si>
    <t>sacchetto cioccolatini ass. stampo imbuto g.200x12</t>
  </si>
  <si>
    <t>morbido limone 100 x 24</t>
  </si>
  <si>
    <t xml:space="preserve">sacchetti torroncini assortiti g.300 </t>
  </si>
  <si>
    <t>praline latte e nocciola g.130 x 40</t>
  </si>
  <si>
    <t>praline latte e caramello g.130 x 40</t>
  </si>
  <si>
    <t>sacchetti praline pistacchio g.200</t>
  </si>
  <si>
    <t>praline latte bianca g.130 x 40</t>
  </si>
  <si>
    <t>cremosi latte nocciola g.1000x6 - inc.arancio</t>
  </si>
  <si>
    <t>cremosi latte nocciola g.1000x6 - inc. verde</t>
  </si>
  <si>
    <t>sacchetto praline smart g.500 x 6 pz</t>
  </si>
  <si>
    <t>granella di torrone con vitamina kg.12</t>
  </si>
  <si>
    <t xml:space="preserve">cremosi latte bianca e cereali </t>
  </si>
  <si>
    <t>cremosi latte nocciola e cereali</t>
  </si>
  <si>
    <t>barretta fondente con pistacchi g.130 x 12 pz</t>
  </si>
  <si>
    <t>Linea Casella</t>
  </si>
  <si>
    <t>cremosi nocciola</t>
  </si>
  <si>
    <t xml:space="preserve">cremosi caramello   </t>
  </si>
  <si>
    <t>croccantini al latte</t>
  </si>
  <si>
    <t>Linea Di gennaro torroncini in busta</t>
  </si>
  <si>
    <t>torroncelli friabili alle mandorle g. 130 x 10</t>
  </si>
  <si>
    <t>morbidini assortiti g.150x12</t>
  </si>
  <si>
    <t>pantorroncini g.150x12</t>
  </si>
  <si>
    <t>croccantini fondenti g.150x12</t>
  </si>
  <si>
    <t>Linea cellophane/valentino</t>
  </si>
  <si>
    <t>praline assortite scatola g.200x10</t>
  </si>
  <si>
    <t>65113021884010</t>
  </si>
  <si>
    <t>ICAM (in kg.)</t>
  </si>
  <si>
    <t>pralina fondente con crema al limoncello</t>
  </si>
  <si>
    <t>pralina fondente con crema caprese</t>
  </si>
  <si>
    <t>pralina fondente crema bianca e granella di torrone</t>
  </si>
  <si>
    <t>scatola croccantini g. 150 x 12 pz</t>
  </si>
  <si>
    <t>praline latte con crema nocciola e cereali</t>
  </si>
  <si>
    <t>65750139102006</t>
  </si>
  <si>
    <t>Linea Di gennaro le praline in sacchetto g.115x 12 pz / g. 750 x 8 pz</t>
  </si>
  <si>
    <t>praline assortite g. 750x8</t>
  </si>
  <si>
    <t>torrone morbido fichi</t>
  </si>
  <si>
    <t>torrone morbido ai pistacchi g.250 (pz) IN PEZZI</t>
  </si>
  <si>
    <t>cremosi assortiti g.9000</t>
  </si>
  <si>
    <t>64173019906001</t>
  </si>
  <si>
    <t>65580089102006</t>
  </si>
  <si>
    <t>65580139102006</t>
  </si>
  <si>
    <t>65580179102006</t>
  </si>
  <si>
    <t>PRALINE SFUSE KG. 9 TINTA UNITA</t>
  </si>
  <si>
    <t>pralina bianca e cereali tinta unita arancione</t>
  </si>
  <si>
    <t>pralina latte nocciola tinta unita oro</t>
  </si>
  <si>
    <t>pralina fondente nocciola tinta unita marrone</t>
  </si>
  <si>
    <t>65580199102006</t>
  </si>
  <si>
    <t>65580159102006</t>
  </si>
  <si>
    <t>65580149102006</t>
  </si>
  <si>
    <t>66110211001012</t>
  </si>
  <si>
    <t>65583019102006</t>
  </si>
  <si>
    <t>63150129102006</t>
  </si>
  <si>
    <t>SAIMA511</t>
  </si>
  <si>
    <t>IL ROVERE</t>
  </si>
  <si>
    <t>D3024.4</t>
  </si>
  <si>
    <t>186.237</t>
  </si>
  <si>
    <t>torrone friabile mandorla cellophan g.500x6</t>
  </si>
  <si>
    <t>65110081152012</t>
  </si>
  <si>
    <t>65110161152012</t>
  </si>
  <si>
    <t>praline latte bianca cereali</t>
  </si>
  <si>
    <t>64110211152012</t>
  </si>
  <si>
    <t>64110061152012</t>
  </si>
  <si>
    <t>64110051152012</t>
  </si>
  <si>
    <t>SAIMA510</t>
  </si>
  <si>
    <t>MP7193</t>
  </si>
  <si>
    <t>65170169906001</t>
  </si>
  <si>
    <t>praline fondente crema fondente - incarto nero (g.9000)</t>
  </si>
  <si>
    <t>nocciolato fondente g.150 x 24 pz</t>
  </si>
  <si>
    <t>66260011501024</t>
  </si>
  <si>
    <t>65170129906001</t>
  </si>
  <si>
    <t>praline latte crema nocciola (g.9000) - incarto marrone</t>
  </si>
  <si>
    <t>253.018</t>
  </si>
  <si>
    <t>186.063</t>
  </si>
  <si>
    <t>marron glaces classici g.230x12</t>
  </si>
  <si>
    <t>pralina fondente ripieno cacao g.130x8</t>
  </si>
  <si>
    <t>pralina assortite g.130x8</t>
  </si>
  <si>
    <t>stecca nocciolato gianduia g.250x12</t>
  </si>
  <si>
    <t>186.146</t>
  </si>
  <si>
    <t>croccantini nocciola ricoperti cioccolato fondente</t>
  </si>
  <si>
    <t>65110191152012</t>
  </si>
  <si>
    <t>Coop</t>
  </si>
  <si>
    <t>expo praline assortite g.500x8</t>
  </si>
  <si>
    <t>cremosi assortiti g.750x8</t>
  </si>
  <si>
    <t>64113017502008</t>
  </si>
  <si>
    <t>65113017502008</t>
  </si>
  <si>
    <t>praline latte e pistacchio</t>
  </si>
  <si>
    <t>65110141152012</t>
  </si>
  <si>
    <t>66260021501024</t>
  </si>
  <si>
    <t>186.041</t>
  </si>
  <si>
    <t>186.064</t>
  </si>
  <si>
    <t>99190061501024</t>
  </si>
  <si>
    <t>pantorrone al limoncello g.150 x 24 pz naturischia</t>
  </si>
  <si>
    <t>torrone morbido ai fichi g.150 x 24 pz naturischia</t>
  </si>
  <si>
    <t>99190201501024</t>
  </si>
  <si>
    <t>87110059806001</t>
  </si>
  <si>
    <t>98110039706001</t>
  </si>
  <si>
    <t>66170011503001</t>
  </si>
  <si>
    <t>nocciolato gianduia g.150x40 pz.</t>
  </si>
  <si>
    <t>99170051503001</t>
  </si>
  <si>
    <t>99170041503001</t>
  </si>
  <si>
    <t>torrone friabile ricoperto g.150 pz.</t>
  </si>
  <si>
    <t>99170321501001</t>
  </si>
  <si>
    <t>torrone morbido mandorle pistacchi g.150 pz.</t>
  </si>
  <si>
    <t>99170021503001</t>
  </si>
  <si>
    <t>torrone friabile alla mandorla g.150 pz.</t>
  </si>
  <si>
    <t>88170021003001</t>
  </si>
  <si>
    <t>croccante alle mandorle g. 100 pz.</t>
  </si>
  <si>
    <t>88170031003001</t>
  </si>
  <si>
    <t>croccante alle nocciole g.100 pz.</t>
  </si>
  <si>
    <t>99170151501001</t>
  </si>
  <si>
    <t>torrone morbido al caffe' g. 150 pz.</t>
  </si>
  <si>
    <t>99170171501001</t>
  </si>
  <si>
    <t>torrone morbido frutti di bosco g. 150 pz.</t>
  </si>
  <si>
    <t>87110061884010</t>
  </si>
  <si>
    <t>64110249102006</t>
  </si>
  <si>
    <t>64110219102006</t>
  </si>
  <si>
    <t>99190311501024</t>
  </si>
  <si>
    <t>torrone morbido limone g.150 x 24 pz astuccio naturischia</t>
  </si>
  <si>
    <t>scorzette d'arancia ricoperte g.230 x 10 pz</t>
  </si>
  <si>
    <t>scorzette di limone ricoperte g.230 x 10 pz</t>
  </si>
  <si>
    <t>croccantini fondenti in scatola g.150 cx 12 pz</t>
  </si>
  <si>
    <t>croccantini limone in scatola g.150 cx 12 pz</t>
  </si>
  <si>
    <t>64170219906001</t>
  </si>
  <si>
    <t>3392977</t>
  </si>
  <si>
    <t>254.237</t>
  </si>
  <si>
    <t>254.379</t>
  </si>
  <si>
    <t>254.238</t>
  </si>
  <si>
    <t>186.155</t>
  </si>
  <si>
    <t>pantorrone 150x12</t>
  </si>
  <si>
    <t>3887558</t>
  </si>
  <si>
    <t>3887602</t>
  </si>
  <si>
    <t>254.244</t>
  </si>
  <si>
    <t xml:space="preserve">Linea Praline Sfuse pois KG.9 </t>
  </si>
  <si>
    <t>65110279906001</t>
  </si>
  <si>
    <t xml:space="preserve">pralina latte crema latte </t>
  </si>
  <si>
    <t>65110089906001</t>
  </si>
  <si>
    <t>186.111</t>
  </si>
  <si>
    <t>253.366</t>
  </si>
  <si>
    <t>55110181504012</t>
  </si>
  <si>
    <t>55110011504012</t>
  </si>
  <si>
    <t>3393011</t>
  </si>
  <si>
    <t>254.242</t>
  </si>
  <si>
    <t>sacchetto mandorle pralinate g.150x10</t>
  </si>
  <si>
    <t>sacchetto nocciole pralinate g.150x10</t>
  </si>
  <si>
    <t>sacchetto arachidi pralinate g.150x10</t>
  </si>
  <si>
    <t>MP7438</t>
  </si>
  <si>
    <t>granella di torrone con albume kg.12</t>
  </si>
  <si>
    <t>254.392</t>
  </si>
  <si>
    <t>3392991</t>
  </si>
  <si>
    <t>torrone morbido con mandorle e pistacchi g.150 x 24 pz neutro</t>
  </si>
  <si>
    <t>3874510</t>
  </si>
  <si>
    <t>torrone tenero mandorla g,200</t>
  </si>
  <si>
    <t>GALLUCCI in kg.</t>
  </si>
  <si>
    <t>55170212002012</t>
  </si>
  <si>
    <t>mostaccioli g.200x12</t>
  </si>
  <si>
    <t>3887619</t>
  </si>
  <si>
    <t>3393073</t>
  </si>
  <si>
    <t>nocciole latte, fondente, bianco</t>
  </si>
  <si>
    <t>77110021502015</t>
  </si>
  <si>
    <t>77110011502015</t>
  </si>
  <si>
    <t>77110031502015</t>
  </si>
  <si>
    <t>Conad pralinate g.150 x 15 pz</t>
  </si>
  <si>
    <t>torrone friabile mandorla g.100</t>
  </si>
  <si>
    <t>torroncelli friabili alla mandorla cm.9</t>
  </si>
  <si>
    <t xml:space="preserve">croccante alle mandorle g.150 </t>
  </si>
  <si>
    <t>64410139906001</t>
  </si>
  <si>
    <t>cremosi latte nocciola g.9000</t>
  </si>
  <si>
    <t>65300142002015</t>
  </si>
  <si>
    <t>praline pistacchio g.200 x 15</t>
  </si>
  <si>
    <t>torrone tenero mandorla cm. 4</t>
  </si>
  <si>
    <t>98110011302010</t>
  </si>
  <si>
    <t>torrone morbido al cioccolato g.150 x 12</t>
  </si>
  <si>
    <t>99120141501012</t>
  </si>
  <si>
    <t>99120101501012</t>
  </si>
  <si>
    <t>torrone morbido alle nocciole g.150 x 12</t>
  </si>
  <si>
    <t>tavoletta "maffucci" cioccolato fondente con granella di pistacchio g.100 x 12 pz</t>
  </si>
  <si>
    <t>tavoletta "maffucci" cioccolato latte e caramello g.100 x 12 pz</t>
  </si>
  <si>
    <t>tavoletta "maffucci" cioccolato latte g.100 x 12 pz</t>
  </si>
  <si>
    <t>tavoletta "maffucci" cioccolato latte e torrone g.100 x 12 pz</t>
  </si>
  <si>
    <t>tavoletta "maffucci" cioccolato latte e granella di nocciola g.100 x12 pz</t>
  </si>
  <si>
    <t>66250211001012</t>
  </si>
  <si>
    <t>66250221001012</t>
  </si>
  <si>
    <t>66250061001042</t>
  </si>
  <si>
    <t>99170282503024</t>
  </si>
  <si>
    <t>66250071001042</t>
  </si>
  <si>
    <t>66250101001042</t>
  </si>
  <si>
    <t>66250181001042</t>
  </si>
  <si>
    <t>66250131001042</t>
  </si>
  <si>
    <t>99170021503030</t>
  </si>
  <si>
    <t>99170022003016</t>
  </si>
  <si>
    <t>pantorrone g.150 in pz</t>
  </si>
  <si>
    <t>friabile mandorla g. 300 x 14 pz in pz</t>
  </si>
  <si>
    <t>friabile mandorla g. 200 x 18 pz in pz</t>
  </si>
  <si>
    <t>65510122002022</t>
  </si>
  <si>
    <t>65513052002022</t>
  </si>
  <si>
    <t xml:space="preserve">morbido mandorla g. 300 </t>
  </si>
  <si>
    <t xml:space="preserve">torrone friabile mandorla 2,5kg </t>
  </si>
  <si>
    <t xml:space="preserve">torrone tenero mandorla 2,5 kg </t>
  </si>
  <si>
    <t xml:space="preserve">tuteri al pepe g. 100 </t>
  </si>
  <si>
    <t>64510051702024</t>
  </si>
  <si>
    <t>64510271702024</t>
  </si>
  <si>
    <t>88120021305015</t>
  </si>
  <si>
    <t>88120011305015</t>
  </si>
  <si>
    <t>87120051502012</t>
  </si>
  <si>
    <t>186.262</t>
  </si>
  <si>
    <t>186.261</t>
  </si>
  <si>
    <t>186.263</t>
  </si>
  <si>
    <t>186.113</t>
  </si>
  <si>
    <t>186.114</t>
  </si>
  <si>
    <t>186.112</t>
  </si>
  <si>
    <t>65340129102006</t>
  </si>
  <si>
    <t>65340099102006</t>
  </si>
  <si>
    <t>65340149102006</t>
  </si>
  <si>
    <t>65340079102006</t>
  </si>
  <si>
    <t>65340199102006</t>
  </si>
  <si>
    <t>65340219102006</t>
  </si>
  <si>
    <t>64340239102006</t>
  </si>
  <si>
    <t>64340059102006</t>
  </si>
  <si>
    <t>66340171500024</t>
  </si>
  <si>
    <t>99340131501024</t>
  </si>
  <si>
    <t>99340101501024</t>
  </si>
  <si>
    <t>99340091501024</t>
  </si>
  <si>
    <t>64340061302012</t>
  </si>
  <si>
    <t>64340051302012</t>
  </si>
  <si>
    <t>64510101702024</t>
  </si>
  <si>
    <t>64510151702024</t>
  </si>
  <si>
    <t>64513061502030</t>
  </si>
  <si>
    <t>64513071502030</t>
  </si>
  <si>
    <t>65510121302040</t>
  </si>
  <si>
    <t>65510111302040</t>
  </si>
  <si>
    <t>65510211302040</t>
  </si>
  <si>
    <t>99140021001024</t>
  </si>
  <si>
    <t>65580099102006</t>
  </si>
  <si>
    <t>65580189102006</t>
  </si>
  <si>
    <t>65220123502015</t>
  </si>
  <si>
    <t>65683169204006</t>
  </si>
  <si>
    <t>98113029806001</t>
  </si>
  <si>
    <t>99400151001024</t>
  </si>
  <si>
    <t>65273122004012</t>
  </si>
  <si>
    <t>MUZZI SRL</t>
  </si>
  <si>
    <t>99220141501024</t>
  </si>
  <si>
    <t>99220021501024</t>
  </si>
  <si>
    <t>99220101501024</t>
  </si>
  <si>
    <t>65170121152012</t>
  </si>
  <si>
    <t>pralina latte nocciola busta g.115x12 incarto marrone</t>
  </si>
  <si>
    <t>99110031401012</t>
  </si>
  <si>
    <t>99110021401012</t>
  </si>
  <si>
    <t>99110041501012</t>
  </si>
  <si>
    <t>99110051501012</t>
  </si>
  <si>
    <t>66110011501012</t>
  </si>
  <si>
    <t>66110161501012</t>
  </si>
  <si>
    <t>99110101501012</t>
  </si>
  <si>
    <t>99110141501012</t>
  </si>
  <si>
    <t>99110091501012</t>
  </si>
  <si>
    <t>99110131501012</t>
  </si>
  <si>
    <t>99110121501012</t>
  </si>
  <si>
    <t>99110151501012</t>
  </si>
  <si>
    <t>99110161501012</t>
  </si>
  <si>
    <t>99110171501012</t>
  </si>
  <si>
    <t>66110151501012</t>
  </si>
  <si>
    <t>66110021501012</t>
  </si>
  <si>
    <t>66110065001006</t>
  </si>
  <si>
    <t xml:space="preserve">ciocccolato fondente g.500x6 </t>
  </si>
  <si>
    <t>65113031152012</t>
  </si>
  <si>
    <t>bicchierini fondente e pirottino</t>
  </si>
  <si>
    <t>65170199906001</t>
  </si>
  <si>
    <t>65170089906001</t>
  </si>
  <si>
    <t>55110092504012</t>
  </si>
  <si>
    <t>65430179906001</t>
  </si>
  <si>
    <t>65430239906001</t>
  </si>
  <si>
    <t>64113019906001</t>
  </si>
  <si>
    <t>Linea Classica</t>
  </si>
  <si>
    <t>66170061006001</t>
  </si>
  <si>
    <t>66170071006001</t>
  </si>
  <si>
    <t>99170021403001</t>
  </si>
  <si>
    <t>torrone friabile alle mandorle g. 140 in pezzi</t>
  </si>
  <si>
    <t>65430159906001</t>
  </si>
  <si>
    <t>croccantini fondenti</t>
  </si>
  <si>
    <t>cioccolato latte finissimo g. 100 x 42</t>
  </si>
  <si>
    <t>99170092003015</t>
  </si>
  <si>
    <t>torrone morbido alle mandorle g.200x15</t>
  </si>
  <si>
    <t>cremosi assortiti 9000g</t>
  </si>
  <si>
    <t>64170059906001</t>
  </si>
  <si>
    <t>66110221001012</t>
  </si>
  <si>
    <t>99170033003009</t>
  </si>
  <si>
    <t>torrone friabile alle nocciole g.300 x 9 cellophane</t>
  </si>
  <si>
    <t>55110031504012</t>
  </si>
  <si>
    <t>55120181804010</t>
  </si>
  <si>
    <t>55120201804010</t>
  </si>
  <si>
    <t>99210101503030</t>
  </si>
  <si>
    <t>torrone friabile alle nocciole g.100x24</t>
  </si>
  <si>
    <t>66400021001012</t>
  </si>
  <si>
    <t>66400091001012</t>
  </si>
  <si>
    <t>66400071001012</t>
  </si>
  <si>
    <t>66400151001024</t>
  </si>
  <si>
    <t>99400121001024</t>
  </si>
  <si>
    <t>linea di gennaro ct x 12 pz</t>
  </si>
  <si>
    <t>UNES</t>
  </si>
  <si>
    <t>90685</t>
  </si>
  <si>
    <t>praline assortite expo g.115x60 (pis12-babcap12-biacer12-fondnocci12-fondfond12)</t>
  </si>
  <si>
    <t>90687</t>
  </si>
  <si>
    <t>cremosi assortiti expo g.115x60 (24nocciola-12torrone-24caramello)</t>
  </si>
  <si>
    <t>1830990</t>
  </si>
  <si>
    <t>99560091501012</t>
  </si>
  <si>
    <t>99560101501012</t>
  </si>
  <si>
    <t>99560131501012</t>
  </si>
  <si>
    <t>9917003303014</t>
  </si>
  <si>
    <t>99170091501024</t>
  </si>
  <si>
    <t>torrone morbido alla mandorla</t>
  </si>
  <si>
    <t>99170131501024</t>
  </si>
  <si>
    <t>99170101501024</t>
  </si>
  <si>
    <t>66123021501096</t>
  </si>
  <si>
    <t>expo nocciolato fond/giand/caramello 96 pz</t>
  </si>
  <si>
    <t>98170159606001</t>
  </si>
  <si>
    <t>98170019606001</t>
  </si>
  <si>
    <t>torroncini bianchi friabili nocciola g.6000x1</t>
  </si>
  <si>
    <t>torroncini bianchi friabili  mandorla g.6000x1</t>
  </si>
  <si>
    <t>65110149906001</t>
  </si>
  <si>
    <t>65110159906001</t>
  </si>
  <si>
    <t>65110099906001</t>
  </si>
  <si>
    <t>65110129906001</t>
  </si>
  <si>
    <t>pralina latte crema nocciola</t>
  </si>
  <si>
    <t>torrone  mandorla montato rivoltato g.300x14</t>
  </si>
  <si>
    <t>sacchetto torroncini e praline g.300x15</t>
  </si>
  <si>
    <t>98110019606001</t>
  </si>
  <si>
    <t>torroncini bianchi friabili alle mandorle g.6000</t>
  </si>
  <si>
    <t>sacchetto torroncini e praline g.200x24</t>
  </si>
  <si>
    <t>66340021501024</t>
  </si>
  <si>
    <t>66340031501024</t>
  </si>
  <si>
    <t>66340041501024</t>
  </si>
  <si>
    <t>66340051501024</t>
  </si>
  <si>
    <t>99170131503001</t>
  </si>
  <si>
    <t>99170132503001</t>
  </si>
  <si>
    <t>88170011003001</t>
  </si>
  <si>
    <t>88170031003024</t>
  </si>
  <si>
    <t>88170021003024</t>
  </si>
  <si>
    <t>88170011003024</t>
  </si>
  <si>
    <t>98143021504012</t>
  </si>
  <si>
    <t>99140131001024</t>
  </si>
  <si>
    <t>99170031503001</t>
  </si>
  <si>
    <t>98303032002024</t>
  </si>
  <si>
    <t>66340192251012</t>
  </si>
  <si>
    <t>66340202251012</t>
  </si>
  <si>
    <t>66340122251012</t>
  </si>
  <si>
    <t>66340022251012</t>
  </si>
  <si>
    <t>64170211152012</t>
  </si>
  <si>
    <t xml:space="preserve">cremosi caramello busta 115 x 12 </t>
  </si>
  <si>
    <t>98303034502018</t>
  </si>
  <si>
    <t>praline e torroncini assortiti g.450 x18</t>
  </si>
  <si>
    <t>66110179906001</t>
  </si>
  <si>
    <t>BEST IMAGE</t>
  </si>
  <si>
    <t>99400031001024</t>
  </si>
  <si>
    <t>55110201504012</t>
  </si>
  <si>
    <t>66260061001012</t>
  </si>
  <si>
    <t>764690502</t>
  </si>
  <si>
    <t>98303013002015</t>
  </si>
  <si>
    <t>PIU' BUONO</t>
  </si>
  <si>
    <t>barretta mandorla g.90 x 12 pz</t>
  </si>
  <si>
    <t>65770149102006</t>
  </si>
  <si>
    <t>pralina latte pistacchio  kg.1 x 6 pz</t>
  </si>
  <si>
    <t>64513051502030</t>
  </si>
  <si>
    <t>pralina fondente crema nocciola oro kg.9</t>
  </si>
  <si>
    <t>cremosi latte nocciola g.1000x6 - inc. fuxia</t>
  </si>
  <si>
    <t>cioccolato fondente extra g. 100</t>
  </si>
  <si>
    <t>praline assortite kg.1</t>
  </si>
  <si>
    <t>64580129102006</t>
  </si>
  <si>
    <t xml:space="preserve">cremosi latte nocciola </t>
  </si>
  <si>
    <t>64580069102006</t>
  </si>
  <si>
    <t>cremosi torronati</t>
  </si>
  <si>
    <t>64580219102006</t>
  </si>
  <si>
    <t>cremosi caramello</t>
  </si>
  <si>
    <t>1146</t>
  </si>
  <si>
    <t>barretta sesamo g.90 x 12 pz</t>
  </si>
  <si>
    <t xml:space="preserve">panoni cop. Gianduia latte 26%  </t>
  </si>
  <si>
    <t>praline assortite kg.1 x 6 pz</t>
  </si>
  <si>
    <t>pralinate mandorle g.180 x 10 pz</t>
  </si>
  <si>
    <t>pralinate arachidi g.180 x 10 pz</t>
  </si>
  <si>
    <t>friabile alle mandorle g.140 x 16 pz</t>
  </si>
  <si>
    <t>friabile alle nocciole g.140 x 16 pz</t>
  </si>
  <si>
    <t>PRALINATE</t>
  </si>
  <si>
    <t>arachidi in kg</t>
  </si>
  <si>
    <t>mandorle in kg</t>
  </si>
  <si>
    <t>DECO'</t>
  </si>
  <si>
    <t>tavoletta cioccolato bianco 100 x 20 pz</t>
  </si>
  <si>
    <t>tavoletta cioccolato latte 100 x 20 pz</t>
  </si>
  <si>
    <t>tavoletta cioccolato fondente 52% 100 x 20 pz</t>
  </si>
  <si>
    <t>tavoletta cioccolato fondente con nocciole 100 x 20 pz</t>
  </si>
  <si>
    <t>tavoletta cioccolato fondente 72% 100 x 20 pz</t>
  </si>
  <si>
    <t>Linea Di gennaro le praline in sacchetto g.84 x 30 pz</t>
  </si>
  <si>
    <t>65110190842030</t>
  </si>
  <si>
    <t>praline fondente crema nocciola busta rossa(drink)</t>
  </si>
  <si>
    <t>65110140842030</t>
  </si>
  <si>
    <t>praline latte crema pistacchio busta (drink)</t>
  </si>
  <si>
    <t xml:space="preserve">ciokkolato al pistacchio g.150 </t>
  </si>
  <si>
    <t xml:space="preserve">ciokkolato al caramello salato g.150 </t>
  </si>
  <si>
    <t xml:space="preserve">torroncini assortiti </t>
  </si>
  <si>
    <t>55110172504010</t>
  </si>
  <si>
    <t>65113011884010</t>
  </si>
  <si>
    <t>esistenza 30/06//2024</t>
  </si>
  <si>
    <t>sacchetto pralina latte caramello purple kg.1 x 6 pz</t>
  </si>
  <si>
    <t>66340011501024</t>
  </si>
  <si>
    <t>SE.FD377.081</t>
  </si>
  <si>
    <t>sacchetto pralina fond/ nocc. Linea montevergine g.84 x 24 pz</t>
  </si>
  <si>
    <t>SE.FD377.080</t>
  </si>
  <si>
    <t>sacchetto praline fond/ nocc. Linea cavaliere g.84 x 24 pz</t>
  </si>
  <si>
    <t>SE.FD377.082</t>
  </si>
  <si>
    <t>torrone mandorla linea cavaliere g.100 x 24 pz</t>
  </si>
  <si>
    <t>SE.FD377.083</t>
  </si>
  <si>
    <t>sacchetto praline fond/ nocc. Linea cavaliere g.84 x 44 pz nuova</t>
  </si>
  <si>
    <t>65170129102006</t>
  </si>
  <si>
    <t>pralina chantal red g.1000 x 6 pz</t>
  </si>
  <si>
    <t>64170129102006</t>
  </si>
  <si>
    <t xml:space="preserve">cremosi chantal bordeaux  g.1000x6 </t>
  </si>
  <si>
    <t xml:space="preserve">pralina chantal verde g.1000x6 </t>
  </si>
  <si>
    <t xml:space="preserve">pralina latte chantal bordeaux  g.1000x6 </t>
  </si>
  <si>
    <t xml:space="preserve">pralina latte chantal blu  g.1000x6 </t>
  </si>
  <si>
    <t xml:space="preserve">cremosi chantal blu  g.1000x6 </t>
  </si>
  <si>
    <t xml:space="preserve">cremosi chantal rosso  g.1000x6 </t>
  </si>
  <si>
    <t>praline latte nocciola g.1000x6 - inc.marrone</t>
  </si>
  <si>
    <t>praline latte nocciola g.1000x6 - inc.light blue</t>
  </si>
  <si>
    <t>praline latte nocciola g.1000x6 - inc.rosso</t>
  </si>
  <si>
    <t>praline latte nocciola g.1000x6 - inc.fuxia</t>
  </si>
  <si>
    <t>cremosi latte nocciola g.1000x6 - inc. marrone</t>
  </si>
  <si>
    <t>cremosi latte nocciola g.1000x6 - inc.rosso</t>
  </si>
  <si>
    <t>cremosi latte nocciola g.1000x6 - inc.light blue</t>
  </si>
  <si>
    <t>praline latte nocciola g.1000x6 - inc.oro</t>
  </si>
  <si>
    <t>64110021152012</t>
  </si>
  <si>
    <t>cremosi al caffe'</t>
  </si>
  <si>
    <t>65110271152012</t>
  </si>
  <si>
    <t>64110059906001</t>
  </si>
  <si>
    <t>cremosi nocciolati</t>
  </si>
  <si>
    <t>64110069906001</t>
  </si>
  <si>
    <t>64110219906001</t>
  </si>
  <si>
    <t>box mandorla / frutti g.30 x 40 pz</t>
  </si>
  <si>
    <t>barretta  frutti g.90 x 12 pz</t>
  </si>
  <si>
    <t>esistenza 31/07//2024</t>
  </si>
  <si>
    <t>praline assortite kg.1x 6 pz</t>
  </si>
  <si>
    <t>praline latte crema bianca e cereali kg.1 x 6 pz</t>
  </si>
  <si>
    <t>praline fondente nocciola kg.1 x 6 pz</t>
  </si>
  <si>
    <t>praline latte pistacchio kg.1 x 6 pz</t>
  </si>
  <si>
    <t>praline fondente caprese kg.1 x 6 pz</t>
  </si>
  <si>
    <t>65580109102006</t>
  </si>
  <si>
    <t>praline latte cappuccino kg.1 x 6 pz</t>
  </si>
  <si>
    <t>cremosi latte nocciola  kg.1 x 6 pz</t>
  </si>
  <si>
    <t>cremosi torronati kg.1 x 6 pz</t>
  </si>
  <si>
    <t>cremosi caramello kg.1 x 6 pz</t>
  </si>
  <si>
    <t>praline latte nocciola e cereali kg.1 x 6 pz</t>
  </si>
  <si>
    <t>praline fondente limoncello kg.1 x 6 pz</t>
  </si>
  <si>
    <t>65580279102006</t>
  </si>
  <si>
    <t>praline latte crema latte kg.1 x 6 pz</t>
  </si>
  <si>
    <t xml:space="preserve">pralina latte crema baba </t>
  </si>
  <si>
    <t>pralina fondente crema caprese</t>
  </si>
  <si>
    <t>65170149906001</t>
  </si>
  <si>
    <t>65170099906001</t>
  </si>
  <si>
    <t>pralina latte nocciola</t>
  </si>
  <si>
    <t>66170179906001</t>
  </si>
  <si>
    <t>65170159906001</t>
  </si>
  <si>
    <t>pralina fondente fondente</t>
  </si>
  <si>
    <t>pralina fondente nocciola</t>
  </si>
  <si>
    <t>Linea Praline assortite (fond-pist-l/nocc-l/latte-b/cereali)</t>
  </si>
  <si>
    <t>65113177002008</t>
  </si>
  <si>
    <t>praline assortite g.700 x 8 pz</t>
  </si>
  <si>
    <t>sacchetto praline fond/ nocc. Linea cavaliere g.84 x 30 pz nuova</t>
  </si>
  <si>
    <t>Saima</t>
  </si>
  <si>
    <t>66260221501024</t>
  </si>
  <si>
    <t>stecca caramello g.150 x 24 pz</t>
  </si>
  <si>
    <t>66260151501024</t>
  </si>
  <si>
    <t>stecca fondente e pistacchio g.150 x 24 pz</t>
  </si>
  <si>
    <t>esistenza 31/08//2024</t>
  </si>
  <si>
    <t>66170061006060</t>
  </si>
  <si>
    <t>tavoletta cioccolato fondente g.100x60 - primo incarto</t>
  </si>
  <si>
    <t>66110221501024</t>
  </si>
  <si>
    <t>98113011884010</t>
  </si>
  <si>
    <t>barretta smart cioccolato latte g.100 x 20</t>
  </si>
  <si>
    <t>barretta smart cioccolato fondente g.100 x 20</t>
  </si>
  <si>
    <t>barretta smart cioccolato latte e granella di nocciole  g.100 x 20</t>
  </si>
  <si>
    <t>tororne morbido pere e cioccolato g.100 x 24 pz</t>
  </si>
  <si>
    <t>pralina latte crema nocciola oro</t>
  </si>
  <si>
    <t>croccantini fondenti in scatola g.150 cx 18 pz</t>
  </si>
  <si>
    <t>croccantini limone in scatola g.150 cx 18 pz</t>
  </si>
  <si>
    <t>LINEA PER PIACERE</t>
  </si>
  <si>
    <t>253.432</t>
  </si>
  <si>
    <t>88110051501024</t>
  </si>
  <si>
    <t>croccante ricoperto g.150 x 24</t>
  </si>
  <si>
    <t xml:space="preserve">Linea Di gennaro torroncini in busta </t>
  </si>
  <si>
    <t>Linea Di gennaro croccante</t>
  </si>
  <si>
    <t>88110061003034</t>
  </si>
  <si>
    <t>stecca croccante frutti di bosco g.100 x 24 pz</t>
  </si>
  <si>
    <t>stecca croccante alle nocciole g.100 x 24 pz</t>
  </si>
  <si>
    <t>stecca croccante alle mandorle g.100 x 24 pz</t>
  </si>
  <si>
    <t>stecca croccante alle arachidi g.100 x 24 pz</t>
  </si>
  <si>
    <t>stecca croccante ai 5 semi g.100 x 24 pz</t>
  </si>
  <si>
    <t>torta croccante alle mandorle g.200 x 15 pz</t>
  </si>
  <si>
    <t>torta croccante alle arachidi g.200 x 15 pz</t>
  </si>
  <si>
    <t>Linea Di gennaro le praline in busta g.115x 12 pz</t>
  </si>
  <si>
    <t>praline assortite g.750x8</t>
  </si>
  <si>
    <t>Linea Di gennaro le praline in busta g.84 x 30 pz</t>
  </si>
  <si>
    <t>65110139102006</t>
  </si>
  <si>
    <t xml:space="preserve">cremosi caramello  </t>
  </si>
  <si>
    <t>cioccolato fondente extrta g. 100</t>
  </si>
  <si>
    <t>cioccolato latte finissimo g. 100</t>
  </si>
  <si>
    <t>torrone morbido alle nocciole g.150x24 astuccio bianco</t>
  </si>
  <si>
    <t>torrone morbido alle mandorle g.150x24 astuccio bianco</t>
  </si>
  <si>
    <t>torrone morbido ai pistacchi g.150x24 astuccio bianco</t>
  </si>
  <si>
    <t>golosità assortite g.700 x 8 pz</t>
  </si>
  <si>
    <t>Linea Cavaliere il croccante in torte  g.130 x 15 pz</t>
  </si>
  <si>
    <t xml:space="preserve">croccante alle mandorle </t>
  </si>
  <si>
    <t>Linea Cavaliere i dragees in sacchetto g.180 x 10 pz</t>
  </si>
  <si>
    <t xml:space="preserve">nocciole latte fondente </t>
  </si>
  <si>
    <t>Linea Cavaliere</t>
  </si>
  <si>
    <t>31281LE</t>
  </si>
  <si>
    <t>31281pi</t>
  </si>
  <si>
    <t>31281FI</t>
  </si>
  <si>
    <t>31281CR</t>
  </si>
  <si>
    <t>torrone in forme pistacchio kg.3</t>
  </si>
  <si>
    <t>99120011401012</t>
  </si>
  <si>
    <t>99120021401012</t>
  </si>
  <si>
    <t>99120031401012</t>
  </si>
  <si>
    <t>99120041501012</t>
  </si>
  <si>
    <t>99120091501012</t>
  </si>
  <si>
    <t>99120131501012</t>
  </si>
  <si>
    <t>66120021501012</t>
  </si>
  <si>
    <t>66120011501012</t>
  </si>
  <si>
    <t>99120051501012</t>
  </si>
  <si>
    <t>tavoletta fondente con pistacchi g.130 x 12 pz</t>
  </si>
  <si>
    <t>sacchetto mandorle pralinate g.120x14 cono</t>
  </si>
  <si>
    <t>sacchetto nocciole pralinate g.120x14 cono</t>
  </si>
  <si>
    <t>sacchetto arachidi pralinate g.120x14 cono</t>
  </si>
  <si>
    <t xml:space="preserve">Linea cellophane </t>
  </si>
  <si>
    <t>99170021503012</t>
  </si>
  <si>
    <t>torrone friabile alle mandorle g.150x12</t>
  </si>
  <si>
    <t>pantorrone al limoncello g.150 x 24 pz neutro</t>
  </si>
  <si>
    <t>torrone morbido con pistacchi e limone g.150 x 24 pz naturisc</t>
  </si>
  <si>
    <t>99380311501024</t>
  </si>
  <si>
    <t>torrone morbido pistacchi e limone g.150 x 24 pz astuccio neutro</t>
  </si>
  <si>
    <t>66260061006012</t>
  </si>
  <si>
    <t>cremosi latte cappuccino g.170x24</t>
  </si>
  <si>
    <t>cremosi fondente caprese g.170x24</t>
  </si>
  <si>
    <t>cremosi latte granella di nocciola  g.170x24</t>
  </si>
  <si>
    <t>cremosi latte latte g.170x24</t>
  </si>
  <si>
    <t>cremosi gran nocciolato g.150x30</t>
  </si>
  <si>
    <t>cremosi lattecino g.150x30</t>
  </si>
  <si>
    <t>pralina latte crema baba pois</t>
  </si>
  <si>
    <t>pralina fondente crema caprese pois</t>
  </si>
  <si>
    <t>pralina latte crema latte pois</t>
  </si>
  <si>
    <t>pralina latte pistacchio pois</t>
  </si>
  <si>
    <t>pralina latte nocciola pois</t>
  </si>
  <si>
    <t>pralina latte crema bianca e cereali pois</t>
  </si>
  <si>
    <t>pralina fondente limone pois</t>
  </si>
  <si>
    <t>pralina fondente fondente pois</t>
  </si>
  <si>
    <t>pralina fondente nocciola pois</t>
  </si>
  <si>
    <t>cremosi nocciolati pois</t>
  </si>
  <si>
    <t>cremosi torronati pois</t>
  </si>
  <si>
    <t>cremosi caramello pois</t>
  </si>
  <si>
    <t>pralina latte nocciola g.1000x6 - inc.rosso</t>
  </si>
  <si>
    <t>praline latte nocciola g.1000x6 - inc. rame</t>
  </si>
  <si>
    <t>praline latte nocciola g.1000x6 - inc. blu</t>
  </si>
  <si>
    <t>praline latte nocciola g.1000x6 - inc. argento</t>
  </si>
  <si>
    <t>cremosi latte nocciola g.1000x6 - inc. rosso</t>
  </si>
  <si>
    <t>cremosi latte nocciola g.1000x6 - inc. rame</t>
  </si>
  <si>
    <t>cioccolotti latte nocciola g.1000x6 - BOY</t>
  </si>
  <si>
    <t>62170129102006</t>
  </si>
  <si>
    <t>gianduiotti g.1000x6</t>
  </si>
  <si>
    <t>43170019102006</t>
  </si>
  <si>
    <t>ovetti latte nocciola g.1000x6</t>
  </si>
  <si>
    <t>43153019102008</t>
  </si>
  <si>
    <t>ovetti latte/fondente nocciola g.1000x8</t>
  </si>
  <si>
    <t>98170149103006</t>
  </si>
  <si>
    <t>torroncini alle arachidi in busta g.1000x6</t>
  </si>
  <si>
    <t>87170019103006</t>
  </si>
  <si>
    <t>croccantini alle arachidi in busta g.1000x6</t>
  </si>
  <si>
    <t>SAIMA515</t>
  </si>
  <si>
    <t>praline fondente crema limoncello</t>
  </si>
  <si>
    <t>mostaccioli ripeni mand. Vassoio g.400 (pz)</t>
  </si>
  <si>
    <t>mostaccioli e roccocò g.400 (pz)</t>
  </si>
  <si>
    <t>roccocò g.400 (pz)</t>
  </si>
  <si>
    <t>torrone friabile alle nocciole g.140x12</t>
  </si>
  <si>
    <t>torrone friabile alle mandorle g.140x12</t>
  </si>
  <si>
    <t>cioccolato latte caramello g.150 x 12</t>
  </si>
  <si>
    <t>torrone montato rivoltato g.300x9</t>
  </si>
  <si>
    <t>torrone morbido al caffè g.100x24</t>
  </si>
  <si>
    <t>torrone morbido al limone g.100 x 24 pz</t>
  </si>
  <si>
    <t>torrone morbido alle nocciole g.100 x 24 pz astuccio nuovo</t>
  </si>
  <si>
    <t>98303033002015</t>
  </si>
  <si>
    <t xml:space="preserve">sacchetti praline pistacchio  g.200 </t>
  </si>
  <si>
    <t>scatola cioccolatini assortiti g.200x 12 pz</t>
  </si>
  <si>
    <t>pralina latte crema latte kg.9</t>
  </si>
  <si>
    <t>pralina latte crema nocciola kg.9</t>
  </si>
  <si>
    <t>pralina fondente crema fondente kg.9</t>
  </si>
  <si>
    <t>pralina fondente crema limone kg.9</t>
  </si>
  <si>
    <t xml:space="preserve">TESORI DELL'ARCA </t>
  </si>
  <si>
    <t>marron glaces classici g.230x12 pz</t>
  </si>
  <si>
    <t>pralina fondente ripieno cacao g.130x8 pz</t>
  </si>
  <si>
    <t>pralina assortite g.130x8 pz</t>
  </si>
  <si>
    <t>stecca nocciolato gianduia g.250x12 pz</t>
  </si>
  <si>
    <t>4107952</t>
  </si>
  <si>
    <t>ovetti busta g.180 x 14 pz</t>
  </si>
  <si>
    <t>4107990</t>
  </si>
  <si>
    <t>ovetti busta g.400 x 12 pz</t>
  </si>
  <si>
    <t>torrone friabile mandorla 2,5kg in pz</t>
  </si>
  <si>
    <t>torrone tenero mandorla 2,5 kg in pz</t>
  </si>
  <si>
    <t>tuteri al pepe g. 100 in pz</t>
  </si>
  <si>
    <t>pralina latte pistacchio kg.1 x 6 pz</t>
  </si>
  <si>
    <t>barretta mirtilli g.90 x 12 pz</t>
  </si>
  <si>
    <t>barretta 5 semi cereali g.90 x 12 pz</t>
  </si>
  <si>
    <t>66800081009020</t>
  </si>
  <si>
    <t>66800071009020</t>
  </si>
  <si>
    <t>66800271009020</t>
  </si>
  <si>
    <t>66800261009020</t>
  </si>
  <si>
    <t>66800281009020</t>
  </si>
  <si>
    <t>sacchetto praline assortite g.108 x 12 pz</t>
  </si>
  <si>
    <t>sacchetto praline assortite g.700 x 8 pz</t>
  </si>
  <si>
    <t>torroncini assortiti g.400x12</t>
  </si>
  <si>
    <t xml:space="preserve"> croccantini granella nocciola g.150 x 12 pz </t>
  </si>
  <si>
    <t xml:space="preserve"> croccantini sfoglia mandorla g.150 x 12 pz </t>
  </si>
  <si>
    <t>cherubini kg.9</t>
  </si>
  <si>
    <t xml:space="preserve">cremosi al caffe' </t>
  </si>
  <si>
    <t>sfuso morbidini</t>
  </si>
  <si>
    <t>fondente g.8000x1</t>
  </si>
  <si>
    <t>vaniglia g.8000 x 1</t>
  </si>
  <si>
    <t>limone g.8000 x 1</t>
  </si>
  <si>
    <t>caffe' g.8000 x 1</t>
  </si>
  <si>
    <t>bicchierini fondente e pirottino x 50 (7 bicchieri)</t>
  </si>
  <si>
    <t>tavoletta latte g.100 x 20 pz</t>
  </si>
  <si>
    <t>tavoletta fondente g.100 x 20 pz</t>
  </si>
  <si>
    <t>tavoletta latte e nocciole g.100 x 20 pz</t>
  </si>
  <si>
    <t>Linea classica</t>
  </si>
  <si>
    <t xml:space="preserve">tavoletta fondente g.100 </t>
  </si>
  <si>
    <t xml:space="preserve">tavoletta latte g.100 </t>
  </si>
  <si>
    <t>torrone friabile alle mandorle g.140</t>
  </si>
  <si>
    <t>99110021401016</t>
  </si>
  <si>
    <t>99110031401016</t>
  </si>
  <si>
    <t>caffe' fondente</t>
  </si>
  <si>
    <t xml:space="preserve">cioccolato al pistacchio g.150 x 12 </t>
  </si>
  <si>
    <t>pralina latte nocciola g.1000x6 - inc fuxia</t>
  </si>
  <si>
    <t>praline latte nocciola g.1000x6 - inc. oro + trasp</t>
  </si>
  <si>
    <t>cremosi latte nocciola g.1000x6 - inc. oro + trasp</t>
  </si>
  <si>
    <t>65683169184006</t>
  </si>
  <si>
    <t>praline assortite g.1800x6</t>
  </si>
  <si>
    <t>87110039706001</t>
  </si>
  <si>
    <t>croccantini ric. ciocc. latte g.8000</t>
  </si>
  <si>
    <t xml:space="preserve">ASPIAG </t>
  </si>
  <si>
    <t>sacchetto praline assortite g.1000 x 6</t>
  </si>
  <si>
    <t>PATRICELLI</t>
  </si>
  <si>
    <t>croccantini fondenti kg.1 x 6</t>
  </si>
  <si>
    <t>croccantini latte kg. 1 x 6</t>
  </si>
  <si>
    <t xml:space="preserve">morbidini assortiti kg.1 x 6 </t>
  </si>
  <si>
    <t>panti' kg.1 x 6</t>
  </si>
  <si>
    <t>pralina pistacchio/lim/baba kg.1 x 6</t>
  </si>
  <si>
    <t>cremosi assortiti kg.1 x 6</t>
  </si>
  <si>
    <t>cremosi latte crema latte kg.1 x 6</t>
  </si>
  <si>
    <t xml:space="preserve">cremosi caprese kg.1 x 6 </t>
  </si>
  <si>
    <t>253.433</t>
  </si>
  <si>
    <t>253.431</t>
  </si>
  <si>
    <t>64110029906001</t>
  </si>
  <si>
    <t>65110179906001</t>
  </si>
  <si>
    <t>65110169906001</t>
  </si>
  <si>
    <t>65110199906001</t>
  </si>
  <si>
    <t>torrorne morbido frutti di bosco g.100 x 24 pz</t>
  </si>
  <si>
    <t xml:space="preserve">  </t>
  </si>
  <si>
    <t>AIL CAGLIARI</t>
  </si>
  <si>
    <t>stella latte e nocciole g.350 x 6 pz</t>
  </si>
  <si>
    <t>stella fondente e nocciole g.350 x 6 pz</t>
  </si>
  <si>
    <t>AIL ORISTANO</t>
  </si>
  <si>
    <t>AIL NUORO</t>
  </si>
  <si>
    <t>AIL SALERNO</t>
  </si>
  <si>
    <t>torrone morbido agli agrumi  g.150 x 24 pz astuccio neutro</t>
  </si>
  <si>
    <t>cremosi latte nocciola g.1000x6 - inc. blu</t>
  </si>
  <si>
    <t>croccante alle arachidi g.120 x 21</t>
  </si>
  <si>
    <t>TESORI DI CIOCCOLATO</t>
  </si>
  <si>
    <t>croccante alla nocciola g.120 x 18</t>
  </si>
  <si>
    <t>croccante alla mandorla g.120 x 21</t>
  </si>
  <si>
    <t>praline e torroncini assortiti g.450 x6</t>
  </si>
  <si>
    <t>DONINI NEW</t>
  </si>
  <si>
    <t>35864</t>
  </si>
  <si>
    <t>cremosi caramello pois kg.1 x 6</t>
  </si>
  <si>
    <t>35865</t>
  </si>
  <si>
    <t>cremosi nocciolati pois kg.1 x 6</t>
  </si>
  <si>
    <t>35866</t>
  </si>
  <si>
    <t>pralina bianca e cereali pois kg.1 x 6</t>
  </si>
  <si>
    <t>35867</t>
  </si>
  <si>
    <t>pralina pistacchio pois kg.1 x 6</t>
  </si>
  <si>
    <t>35868</t>
  </si>
  <si>
    <t>pralina latte crema latte nude kg.5</t>
  </si>
  <si>
    <t>35869</t>
  </si>
  <si>
    <t>pralina fondente crema fondente nude kg.5</t>
  </si>
  <si>
    <t>35870</t>
  </si>
  <si>
    <t>pralina latte crema bianca e cereali nude kg.5</t>
  </si>
  <si>
    <t>SAPORI ARTIGIANALI scorzette d'arancia ric. g.250 x 10 pz</t>
  </si>
  <si>
    <t xml:space="preserve">INSIFA </t>
  </si>
  <si>
    <t>praline assortite g.500x6</t>
  </si>
  <si>
    <t>cremosi latte nocciola g.1000x6 - inc.argento</t>
  </si>
  <si>
    <t>64730139102006</t>
  </si>
  <si>
    <t>99170131506001</t>
  </si>
  <si>
    <t>torrone morbido ai pistacchi g.150 in kg</t>
  </si>
  <si>
    <t>99170132506001</t>
  </si>
  <si>
    <t>torrone morbido ai pistacchi g.250 in kg</t>
  </si>
  <si>
    <t>039004080</t>
  </si>
  <si>
    <t>boule latte nocciola kg.9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</si>
</sst>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\-??_-;_-@_-"/>
    <numFmt numFmtId="165" formatCode="[$-410]d\-mmm;@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28"/>
      <name val="Arial"/>
      <family val="2"/>
    </font>
    <font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3">
    <xf numFmtId="0" fontId="0" fillId="0" borderId="0"/>
    <xf numFmtId="0" fontId="4" fillId="0" borderId="0"/>
    <xf numFmtId="164" fontId="4" fillId="0" borderId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textRotation="90"/>
    </xf>
    <xf numFmtId="0" fontId="2" fillId="0" borderId="1" xfId="0" applyFont="1" applyBorder="1"/>
    <xf numFmtId="0" fontId="0" fillId="0" borderId="1" xfId="0" applyBorder="1"/>
    <xf numFmtId="0" fontId="1" fillId="0" borderId="0" xfId="0" applyFont="1"/>
    <xf numFmtId="164" fontId="6" fillId="0" borderId="1" xfId="2" applyFont="1" applyFill="1" applyBorder="1"/>
    <xf numFmtId="0" fontId="7" fillId="0" borderId="3" xfId="0" applyFont="1" applyBorder="1"/>
    <xf numFmtId="0" fontId="7" fillId="4" borderId="3" xfId="0" applyFont="1" applyFill="1" applyBorder="1"/>
    <xf numFmtId="0" fontId="7" fillId="2" borderId="3" xfId="0" applyFont="1" applyFill="1" applyBorder="1"/>
    <xf numFmtId="0" fontId="1" fillId="0" borderId="1" xfId="0" applyFont="1" applyBorder="1"/>
    <xf numFmtId="0" fontId="7" fillId="2" borderId="2" xfId="0" applyFont="1" applyFill="1" applyBorder="1"/>
    <xf numFmtId="0" fontId="7" fillId="3" borderId="2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6" fillId="0" borderId="0" xfId="0" applyFont="1"/>
    <xf numFmtId="0" fontId="9" fillId="0" borderId="0" xfId="0" applyFont="1"/>
    <xf numFmtId="0" fontId="7" fillId="0" borderId="0" xfId="0" applyFont="1"/>
    <xf numFmtId="0" fontId="6" fillId="0" borderId="1" xfId="0" applyFont="1" applyBorder="1"/>
    <xf numFmtId="0" fontId="10" fillId="0" borderId="1" xfId="0" applyFont="1" applyBorder="1" applyAlignment="1">
      <alignment vertical="top"/>
    </xf>
    <xf numFmtId="0" fontId="5" fillId="0" borderId="1" xfId="1" applyFont="1" applyBorder="1"/>
    <xf numFmtId="0" fontId="7" fillId="0" borderId="1" xfId="0" applyFont="1" applyBorder="1"/>
    <xf numFmtId="0" fontId="5" fillId="0" borderId="1" xfId="1" applyFont="1" applyBorder="1" applyAlignment="1">
      <alignment horizontal="right"/>
    </xf>
    <xf numFmtId="0" fontId="5" fillId="0" borderId="1" xfId="0" applyFont="1" applyBorder="1"/>
    <xf numFmtId="0" fontId="8" fillId="0" borderId="1" xfId="0" applyFont="1" applyBorder="1"/>
    <xf numFmtId="49" fontId="6" fillId="0" borderId="1" xfId="1" applyNumberFormat="1" applyFont="1" applyBorder="1"/>
    <xf numFmtId="0" fontId="6" fillId="0" borderId="1" xfId="1" applyFont="1" applyBorder="1"/>
    <xf numFmtId="49" fontId="6" fillId="0" borderId="0" xfId="0" applyNumberFormat="1" applyFont="1"/>
    <xf numFmtId="49" fontId="6" fillId="0" borderId="1" xfId="0" applyNumberFormat="1" applyFont="1" applyBorder="1"/>
    <xf numFmtId="49" fontId="6" fillId="0" borderId="4" xfId="1" applyNumberFormat="1" applyFont="1" applyBorder="1"/>
    <xf numFmtId="0" fontId="5" fillId="0" borderId="4" xfId="0" applyFont="1" applyBorder="1"/>
    <xf numFmtId="0" fontId="6" fillId="0" borderId="1" xfId="0" applyFont="1" applyBorder="1" applyAlignment="1">
      <alignment horizontal="left"/>
    </xf>
    <xf numFmtId="0" fontId="3" fillId="0" borderId="1" xfId="0" applyFont="1" applyBorder="1"/>
    <xf numFmtId="0" fontId="1" fillId="4" borderId="0" xfId="0" applyFont="1" applyFill="1"/>
    <xf numFmtId="0" fontId="7" fillId="0" borderId="2" xfId="0" applyFont="1" applyBorder="1"/>
    <xf numFmtId="1" fontId="6" fillId="0" borderId="1" xfId="0" applyNumberFormat="1" applyFont="1" applyBorder="1" applyAlignment="1">
      <alignment horizontal="left"/>
    </xf>
    <xf numFmtId="2" fontId="6" fillId="0" borderId="1" xfId="1" applyNumberFormat="1" applyFont="1" applyBorder="1"/>
    <xf numFmtId="2" fontId="6" fillId="0" borderId="1" xfId="0" applyNumberFormat="1" applyFont="1" applyBorder="1"/>
    <xf numFmtId="1" fontId="6" fillId="4" borderId="1" xfId="0" applyNumberFormat="1" applyFont="1" applyFill="1" applyBorder="1" applyAlignment="1">
      <alignment horizontal="left"/>
    </xf>
    <xf numFmtId="1" fontId="6" fillId="0" borderId="1" xfId="0" applyNumberFormat="1" applyFont="1" applyBorder="1"/>
    <xf numFmtId="0" fontId="1" fillId="0" borderId="7" xfId="0" applyFont="1" applyBorder="1"/>
    <xf numFmtId="0" fontId="1" fillId="0" borderId="4" xfId="0" applyFont="1" applyBorder="1"/>
    <xf numFmtId="0" fontId="7" fillId="2" borderId="6" xfId="0" applyFont="1" applyFill="1" applyBorder="1"/>
    <xf numFmtId="0" fontId="7" fillId="2" borderId="8" xfId="0" applyFont="1" applyFill="1" applyBorder="1"/>
    <xf numFmtId="0" fontId="1" fillId="5" borderId="1" xfId="0" applyFont="1" applyFill="1" applyBorder="1"/>
    <xf numFmtId="49" fontId="6" fillId="5" borderId="1" xfId="1" applyNumberFormat="1" applyFont="1" applyFill="1" applyBorder="1"/>
    <xf numFmtId="0" fontId="6" fillId="5" borderId="1" xfId="0" applyFont="1" applyFill="1" applyBorder="1"/>
    <xf numFmtId="0" fontId="2" fillId="5" borderId="1" xfId="0" applyFont="1" applyFill="1" applyBorder="1"/>
    <xf numFmtId="0" fontId="7" fillId="5" borderId="1" xfId="0" applyFont="1" applyFill="1" applyBorder="1"/>
    <xf numFmtId="0" fontId="7" fillId="5" borderId="2" xfId="0" applyFont="1" applyFill="1" applyBorder="1"/>
    <xf numFmtId="0" fontId="7" fillId="5" borderId="3" xfId="0" applyFont="1" applyFill="1" applyBorder="1"/>
    <xf numFmtId="0" fontId="1" fillId="5" borderId="0" xfId="0" applyFont="1" applyFill="1"/>
    <xf numFmtId="49" fontId="5" fillId="0" borderId="1" xfId="1" applyNumberFormat="1" applyFont="1" applyBorder="1"/>
    <xf numFmtId="1" fontId="6" fillId="0" borderId="1" xfId="0" applyNumberFormat="1" applyFont="1" applyBorder="1" applyAlignment="1">
      <alignment horizontal="right"/>
    </xf>
    <xf numFmtId="0" fontId="1" fillId="4" borderId="4" xfId="0" applyFont="1" applyFill="1" applyBorder="1"/>
    <xf numFmtId="0" fontId="7" fillId="3" borderId="1" xfId="0" applyFont="1" applyFill="1" applyBorder="1"/>
    <xf numFmtId="165" fontId="1" fillId="0" borderId="5" xfId="0" applyNumberFormat="1" applyFont="1" applyBorder="1" applyAlignment="1">
      <alignment horizontal="center"/>
    </xf>
    <xf numFmtId="165" fontId="1" fillId="0" borderId="6" xfId="0" applyNumberFormat="1" applyFont="1" applyBorder="1" applyAlignment="1">
      <alignment horizontal="center"/>
    </xf>
  </cellXfs>
  <cellStyles count="3">
    <cellStyle name="Migliaia 2" xfId="2" xr:uid="{00000000-0005-0000-0000-000000000000}"/>
    <cellStyle name="Normale" xfId="0" builtinId="0"/>
    <cellStyle name="Normale 2" xfId="1" xr:uid="{00000000-0005-0000-0000-000002000000}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459D-05CE-4C6B-AF20-1B55DB3D0672}">
  <dimension ref="A1:BP578"/>
  <sheetViews>
    <sheetView topLeftCell="A4" zoomScale="110" zoomScaleNormal="110" workbookViewId="0">
      <pane xSplit="14316" topLeftCell="D1"/>
      <selection activeCell="C24" sqref="C24"/>
      <selection pane="topRight" activeCell="AU24" sqref="AU24"/>
    </sheetView>
  </sheetViews>
  <sheetFormatPr defaultColWidth="9.109375" defaultRowHeight="15" x14ac:dyDescent="0.25"/>
  <cols>
    <col min="1" max="1" width="23" style="15" bestFit="1" customWidth="1"/>
    <col min="2" max="2" width="73.33203125" style="15" customWidth="1"/>
    <col min="3" max="3" width="8.5546875" style="1" customWidth="1"/>
    <col min="4" max="4" width="15" style="17" customWidth="1"/>
    <col min="5" max="65" width="9.109375" style="5"/>
    <col min="66" max="66" width="9.109375" style="33"/>
    <col min="67" max="67" width="11.5546875" style="1" bestFit="1" customWidth="1"/>
    <col min="68" max="68" width="7.6640625" style="1" bestFit="1" customWidth="1"/>
    <col min="69" max="16384" width="9.109375" style="5"/>
  </cols>
  <sheetData>
    <row r="1" spans="1:68" ht="36" thickBot="1" x14ac:dyDescent="0.65">
      <c r="B1" s="16" t="s">
        <v>428</v>
      </c>
    </row>
    <row r="2" spans="1:68" ht="36" thickBot="1" x14ac:dyDescent="0.65">
      <c r="B2" s="16"/>
      <c r="E2" s="56">
        <v>45474</v>
      </c>
      <c r="F2" s="57"/>
      <c r="G2" s="56">
        <v>45475</v>
      </c>
      <c r="H2" s="57"/>
      <c r="I2" s="56">
        <v>45476</v>
      </c>
      <c r="J2" s="57"/>
      <c r="K2" s="56">
        <v>45477</v>
      </c>
      <c r="L2" s="57"/>
      <c r="M2" s="56">
        <v>45478</v>
      </c>
      <c r="N2" s="57"/>
      <c r="O2" s="56">
        <v>45479</v>
      </c>
      <c r="P2" s="57"/>
      <c r="Q2" s="56">
        <v>45480</v>
      </c>
      <c r="R2" s="57"/>
      <c r="S2" s="56">
        <v>45481</v>
      </c>
      <c r="T2" s="57"/>
      <c r="U2" s="56">
        <v>45482</v>
      </c>
      <c r="V2" s="57"/>
      <c r="W2" s="56">
        <v>45483</v>
      </c>
      <c r="X2" s="57"/>
      <c r="Y2" s="56">
        <v>45484</v>
      </c>
      <c r="Z2" s="57"/>
      <c r="AA2" s="56">
        <v>45485</v>
      </c>
      <c r="AB2" s="57"/>
      <c r="AC2" s="56">
        <v>45486</v>
      </c>
      <c r="AD2" s="57"/>
      <c r="AE2" s="56">
        <v>45487</v>
      </c>
      <c r="AF2" s="57"/>
      <c r="AG2" s="56">
        <v>45488</v>
      </c>
      <c r="AH2" s="57"/>
      <c r="AI2" s="56">
        <v>45489</v>
      </c>
      <c r="AJ2" s="57"/>
      <c r="AK2" s="56">
        <v>45490</v>
      </c>
      <c r="AL2" s="57"/>
      <c r="AM2" s="56">
        <v>45491</v>
      </c>
      <c r="AN2" s="57"/>
      <c r="AO2" s="56">
        <v>45492</v>
      </c>
      <c r="AP2" s="57"/>
      <c r="AQ2" s="56">
        <v>45493</v>
      </c>
      <c r="AR2" s="57"/>
      <c r="AS2" s="56">
        <v>45494</v>
      </c>
      <c r="AT2" s="57"/>
      <c r="AU2" s="56">
        <v>45495</v>
      </c>
      <c r="AV2" s="57"/>
      <c r="AW2" s="56">
        <v>45496</v>
      </c>
      <c r="AX2" s="57"/>
      <c r="AY2" s="56">
        <v>45497</v>
      </c>
      <c r="AZ2" s="57"/>
      <c r="BA2" s="56">
        <v>45498</v>
      </c>
      <c r="BB2" s="57"/>
      <c r="BC2" s="56">
        <v>45499</v>
      </c>
      <c r="BD2" s="57"/>
      <c r="BE2" s="56">
        <v>45500</v>
      </c>
      <c r="BF2" s="57"/>
      <c r="BG2" s="56">
        <v>45501</v>
      </c>
      <c r="BH2" s="57"/>
      <c r="BI2" s="56">
        <v>45502</v>
      </c>
      <c r="BJ2" s="57"/>
      <c r="BK2" s="56">
        <v>45503</v>
      </c>
      <c r="BL2" s="57"/>
      <c r="BM2" s="56">
        <v>45504</v>
      </c>
      <c r="BN2" s="57"/>
      <c r="BO2" s="7"/>
      <c r="BP2" s="7"/>
    </row>
    <row r="3" spans="1:68" ht="128.4" thickBot="1" x14ac:dyDescent="0.3">
      <c r="A3" s="18"/>
      <c r="B3" s="19"/>
      <c r="C3" s="2" t="s">
        <v>871</v>
      </c>
      <c r="D3" s="2" t="s">
        <v>0</v>
      </c>
      <c r="E3" s="13"/>
      <c r="F3" s="14"/>
      <c r="G3" s="13"/>
      <c r="H3" s="14"/>
      <c r="I3" s="13"/>
      <c r="J3" s="14"/>
      <c r="K3" s="13"/>
      <c r="L3" s="14"/>
      <c r="M3" s="13"/>
      <c r="N3" s="14"/>
      <c r="O3" s="13"/>
      <c r="P3" s="14"/>
      <c r="Q3" s="13"/>
      <c r="R3" s="14"/>
      <c r="S3" s="13"/>
      <c r="T3" s="14"/>
      <c r="U3" s="13"/>
      <c r="V3" s="14"/>
      <c r="W3" s="13"/>
      <c r="X3" s="14"/>
      <c r="Y3" s="13"/>
      <c r="Z3" s="14"/>
      <c r="AA3" s="13"/>
      <c r="AB3" s="14"/>
      <c r="AC3" s="13"/>
      <c r="AD3" s="14"/>
      <c r="AE3" s="13"/>
      <c r="AF3" s="14"/>
      <c r="AG3" s="13"/>
      <c r="AH3" s="14"/>
      <c r="AI3" s="13"/>
      <c r="AJ3" s="14"/>
      <c r="AK3" s="13"/>
      <c r="AL3" s="14"/>
      <c r="AM3" s="13"/>
      <c r="AN3" s="14"/>
      <c r="AO3" s="13"/>
      <c r="AP3" s="14"/>
      <c r="AQ3" s="13"/>
      <c r="AR3" s="14"/>
      <c r="AS3" s="13"/>
      <c r="AT3" s="14"/>
      <c r="AU3" s="13"/>
      <c r="AV3" s="14"/>
      <c r="AW3" s="13"/>
      <c r="AX3" s="14"/>
      <c r="AY3" s="13"/>
      <c r="AZ3" s="14"/>
      <c r="BA3" s="13"/>
      <c r="BB3" s="14"/>
      <c r="BC3" s="13"/>
      <c r="BD3" s="14"/>
      <c r="BE3" s="13"/>
      <c r="BF3" s="14"/>
      <c r="BG3" s="13"/>
      <c r="BH3" s="14"/>
      <c r="BI3" s="13"/>
      <c r="BJ3" s="14"/>
      <c r="BK3" s="13"/>
      <c r="BL3" s="14"/>
      <c r="BM3" s="13"/>
      <c r="BN3" s="14"/>
      <c r="BO3" s="12" t="s">
        <v>147</v>
      </c>
      <c r="BP3" s="8" t="s">
        <v>148</v>
      </c>
    </row>
    <row r="4" spans="1:68" ht="16.2" thickBot="1" x14ac:dyDescent="0.35">
      <c r="A4" s="20" t="s">
        <v>162</v>
      </c>
      <c r="B4" s="20" t="s">
        <v>1</v>
      </c>
      <c r="C4" s="3"/>
      <c r="D4" s="2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4"/>
      <c r="BO4" s="11"/>
      <c r="BP4" s="9"/>
    </row>
    <row r="5" spans="1:68" ht="16.2" thickBot="1" x14ac:dyDescent="0.35">
      <c r="A5" s="22"/>
      <c r="B5" s="23" t="s">
        <v>2</v>
      </c>
      <c r="C5" s="4"/>
      <c r="D5" s="24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4"/>
      <c r="BO5" s="11"/>
      <c r="BP5" s="9"/>
    </row>
    <row r="6" spans="1:68" ht="15.6" thickBot="1" x14ac:dyDescent="0.3">
      <c r="A6" s="25" t="s">
        <v>163</v>
      </c>
      <c r="B6" s="26" t="s">
        <v>3</v>
      </c>
      <c r="C6" s="3">
        <v>47</v>
      </c>
      <c r="D6" s="21">
        <f t="shared" ref="D6:D72" si="0">C6+SUM(E6:BN6)</f>
        <v>0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4">
        <v>-47</v>
      </c>
      <c r="BO6" s="11">
        <f>BM6+BG6+BE6+BC6+BA6+AY6+AW6+AU6+AS6+AQ6+AO6+AM6+AK6+AI6+AG6+AE6+AC6+AA6+Y6+W6+U6+S6+Q6+O6+M6+K6+I6+G6+E6</f>
        <v>0</v>
      </c>
      <c r="BP6" s="9">
        <f>BN6+BH6+BF6+BD6+BB6+AZ6+AX6+AV6+AT6+AR6+AP6+AN6+AL6+AJ6+AH6+AF6+AD6+AB6+Z6+X6+V6+T6+R6+P6+N6+L6+J6+H6+F6</f>
        <v>-47</v>
      </c>
    </row>
    <row r="7" spans="1:68" ht="15.6" thickBot="1" x14ac:dyDescent="0.3">
      <c r="A7" s="25" t="s">
        <v>331</v>
      </c>
      <c r="B7" s="26" t="s">
        <v>4</v>
      </c>
      <c r="C7" s="3">
        <f>79+3</f>
        <v>82</v>
      </c>
      <c r="D7" s="21">
        <f t="shared" si="0"/>
        <v>0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4">
        <v>-82</v>
      </c>
      <c r="BO7" s="11">
        <f t="shared" ref="BO7:BO73" si="1">BM7+BG7+BE7+BC7+BA7+AY7+AW7+AU7+AS7+AQ7+AO7+AM7+AK7+AI7+AG7+AE7+AC7+AA7+Y7+W7+U7+S7+Q7+O7+M7+K7+I7+G7+E7</f>
        <v>0</v>
      </c>
      <c r="BP7" s="9">
        <f t="shared" ref="BP7:BP73" si="2">BN7+BH7+BF7+BD7+BB7+AZ7+AX7+AV7+AT7+AR7+AP7+AN7+AL7+AJ7+AH7+AF7+AD7+AB7+Z7+X7+V7+T7+R7+P7+N7+L7+J7+H7+F7</f>
        <v>-82</v>
      </c>
    </row>
    <row r="8" spans="1:68" ht="15.6" thickBot="1" x14ac:dyDescent="0.3">
      <c r="A8" s="25" t="s">
        <v>353</v>
      </c>
      <c r="B8" s="26" t="s">
        <v>27</v>
      </c>
      <c r="C8" s="3">
        <f>106+36+6+35</f>
        <v>183</v>
      </c>
      <c r="D8" s="21">
        <f t="shared" si="0"/>
        <v>0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4">
        <v>-183</v>
      </c>
      <c r="BO8" s="11">
        <f t="shared" si="1"/>
        <v>0</v>
      </c>
      <c r="BP8" s="9">
        <f t="shared" si="2"/>
        <v>-183</v>
      </c>
    </row>
    <row r="9" spans="1:68" ht="15.6" thickBot="1" x14ac:dyDescent="0.3">
      <c r="A9" s="25" t="s">
        <v>164</v>
      </c>
      <c r="B9" s="26" t="s">
        <v>5</v>
      </c>
      <c r="C9" s="3">
        <f>26+7</f>
        <v>33</v>
      </c>
      <c r="D9" s="21">
        <f t="shared" si="0"/>
        <v>0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4">
        <v>-33</v>
      </c>
      <c r="BO9" s="11">
        <f t="shared" si="1"/>
        <v>0</v>
      </c>
      <c r="BP9" s="9">
        <f t="shared" si="2"/>
        <v>-33</v>
      </c>
    </row>
    <row r="10" spans="1:68" ht="15.6" thickBot="1" x14ac:dyDescent="0.3">
      <c r="A10" s="25" t="s">
        <v>165</v>
      </c>
      <c r="B10" s="26" t="s">
        <v>6</v>
      </c>
      <c r="C10" s="3"/>
      <c r="D10" s="21">
        <f t="shared" si="0"/>
        <v>0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4"/>
      <c r="BO10" s="11">
        <f t="shared" si="1"/>
        <v>0</v>
      </c>
      <c r="BP10" s="9">
        <f t="shared" si="2"/>
        <v>0</v>
      </c>
    </row>
    <row r="11" spans="1:68" ht="15.6" thickBot="1" x14ac:dyDescent="0.3">
      <c r="A11" s="25" t="s">
        <v>330</v>
      </c>
      <c r="B11" s="26" t="s">
        <v>7</v>
      </c>
      <c r="C11" s="3"/>
      <c r="D11" s="21">
        <f t="shared" si="0"/>
        <v>0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4"/>
      <c r="BO11" s="11">
        <f t="shared" si="1"/>
        <v>0</v>
      </c>
      <c r="BP11" s="9">
        <f t="shared" si="2"/>
        <v>0</v>
      </c>
    </row>
    <row r="12" spans="1:68" ht="15.6" thickBot="1" x14ac:dyDescent="0.3">
      <c r="A12" s="25" t="s">
        <v>166</v>
      </c>
      <c r="B12" s="26" t="s">
        <v>8</v>
      </c>
      <c r="C12" s="3">
        <v>33</v>
      </c>
      <c r="D12" s="21">
        <f t="shared" si="0"/>
        <v>0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4">
        <v>-33</v>
      </c>
      <c r="BO12" s="11">
        <f t="shared" si="1"/>
        <v>0</v>
      </c>
      <c r="BP12" s="9">
        <f t="shared" si="2"/>
        <v>-33</v>
      </c>
    </row>
    <row r="13" spans="1:68" ht="16.2" thickBot="1" x14ac:dyDescent="0.35">
      <c r="A13" s="25"/>
      <c r="B13" s="23" t="s">
        <v>15</v>
      </c>
      <c r="C13" s="3"/>
      <c r="D13" s="21">
        <f t="shared" si="0"/>
        <v>0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4"/>
      <c r="BO13" s="11">
        <f t="shared" si="1"/>
        <v>0</v>
      </c>
      <c r="BP13" s="9">
        <f t="shared" si="2"/>
        <v>0</v>
      </c>
    </row>
    <row r="14" spans="1:68" ht="15.6" thickBot="1" x14ac:dyDescent="0.3">
      <c r="A14" s="25" t="s">
        <v>195</v>
      </c>
      <c r="B14" s="18" t="s">
        <v>193</v>
      </c>
      <c r="C14" s="3">
        <f>27+95+3+3+2+9+92+10+10</f>
        <v>251</v>
      </c>
      <c r="D14" s="21">
        <f t="shared" si="0"/>
        <v>251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4"/>
      <c r="BO14" s="11">
        <f t="shared" si="1"/>
        <v>0</v>
      </c>
      <c r="BP14" s="9">
        <f t="shared" si="2"/>
        <v>0</v>
      </c>
    </row>
    <row r="15" spans="1:68" ht="15.6" thickBot="1" x14ac:dyDescent="0.3">
      <c r="A15" s="25" t="s">
        <v>196</v>
      </c>
      <c r="B15" s="18" t="s">
        <v>194</v>
      </c>
      <c r="C15" s="3">
        <f>78+6+1+42+7</f>
        <v>134</v>
      </c>
      <c r="D15" s="21">
        <f t="shared" si="0"/>
        <v>134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4"/>
      <c r="BO15" s="11">
        <f t="shared" si="1"/>
        <v>0</v>
      </c>
      <c r="BP15" s="9">
        <f t="shared" si="2"/>
        <v>0</v>
      </c>
    </row>
    <row r="16" spans="1:68" ht="15.6" thickBot="1" x14ac:dyDescent="0.3">
      <c r="A16" s="25" t="s">
        <v>197</v>
      </c>
      <c r="B16" s="18" t="s">
        <v>16</v>
      </c>
      <c r="C16" s="3">
        <f>103+9+30+1+5</f>
        <v>148</v>
      </c>
      <c r="D16" s="21">
        <f t="shared" si="0"/>
        <v>151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>
        <v>3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4"/>
      <c r="BO16" s="11">
        <f t="shared" si="1"/>
        <v>3</v>
      </c>
      <c r="BP16" s="9">
        <f t="shared" si="2"/>
        <v>0</v>
      </c>
    </row>
    <row r="17" spans="1:68" ht="15.6" thickBot="1" x14ac:dyDescent="0.3">
      <c r="A17" s="25" t="s">
        <v>198</v>
      </c>
      <c r="B17" s="18" t="s">
        <v>17</v>
      </c>
      <c r="C17" s="3">
        <f>25+13+5+52+65+1+30+8+8+4+2+3+12+38+1</f>
        <v>267</v>
      </c>
      <c r="D17" s="21">
        <f t="shared" si="0"/>
        <v>42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>
        <v>-4</v>
      </c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>
        <v>14</v>
      </c>
      <c r="BL17" s="10"/>
      <c r="BM17" s="10"/>
      <c r="BN17" s="14">
        <v>-235</v>
      </c>
      <c r="BO17" s="11">
        <f t="shared" si="1"/>
        <v>0</v>
      </c>
      <c r="BP17" s="9">
        <f t="shared" si="2"/>
        <v>-239</v>
      </c>
    </row>
    <row r="18" spans="1:68" ht="15.6" thickBot="1" x14ac:dyDescent="0.3">
      <c r="A18" s="25" t="s">
        <v>332</v>
      </c>
      <c r="B18" s="18" t="s">
        <v>18</v>
      </c>
      <c r="C18" s="3">
        <v>20</v>
      </c>
      <c r="D18" s="21">
        <f t="shared" si="0"/>
        <v>16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>
        <v>-4</v>
      </c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4"/>
      <c r="BO18" s="11">
        <f t="shared" si="1"/>
        <v>0</v>
      </c>
      <c r="BP18" s="9">
        <f t="shared" si="2"/>
        <v>-4</v>
      </c>
    </row>
    <row r="19" spans="1:68" ht="15.6" thickBot="1" x14ac:dyDescent="0.3">
      <c r="A19" s="25" t="s">
        <v>333</v>
      </c>
      <c r="B19" s="18" t="s">
        <v>19</v>
      </c>
      <c r="C19" s="3">
        <v>3</v>
      </c>
      <c r="D19" s="21">
        <f t="shared" si="0"/>
        <v>3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4"/>
      <c r="BO19" s="11">
        <f t="shared" si="1"/>
        <v>0</v>
      </c>
      <c r="BP19" s="9">
        <f t="shared" si="2"/>
        <v>0</v>
      </c>
    </row>
    <row r="20" spans="1:68" ht="15.6" thickBot="1" x14ac:dyDescent="0.3">
      <c r="A20" s="25" t="s">
        <v>199</v>
      </c>
      <c r="B20" s="18" t="s">
        <v>20</v>
      </c>
      <c r="C20" s="3">
        <v>123</v>
      </c>
      <c r="D20" s="21">
        <f t="shared" si="0"/>
        <v>298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>
        <f>112+63</f>
        <v>175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4"/>
      <c r="BO20" s="11">
        <f t="shared" si="1"/>
        <v>175</v>
      </c>
      <c r="BP20" s="9">
        <f t="shared" si="2"/>
        <v>0</v>
      </c>
    </row>
    <row r="21" spans="1:68" ht="15.6" thickBot="1" x14ac:dyDescent="0.3">
      <c r="A21" s="25"/>
      <c r="B21" s="18" t="s">
        <v>850</v>
      </c>
      <c r="C21" s="3">
        <f>485+543+24+272+482+12</f>
        <v>1818</v>
      </c>
      <c r="D21" s="21">
        <f t="shared" si="0"/>
        <v>2420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>
        <f>132+74</f>
        <v>206</v>
      </c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>
        <f>132*3</f>
        <v>396</v>
      </c>
      <c r="BL21" s="10"/>
      <c r="BM21" s="10"/>
      <c r="BN21" s="14"/>
      <c r="BO21" s="11">
        <f t="shared" si="1"/>
        <v>206</v>
      </c>
      <c r="BP21" s="9">
        <f t="shared" si="2"/>
        <v>0</v>
      </c>
    </row>
    <row r="22" spans="1:68" ht="15.6" thickBot="1" x14ac:dyDescent="0.3">
      <c r="A22" s="25" t="s">
        <v>200</v>
      </c>
      <c r="B22" s="18" t="s">
        <v>21</v>
      </c>
      <c r="C22" s="3"/>
      <c r="D22" s="21">
        <f t="shared" si="0"/>
        <v>0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4"/>
      <c r="BO22" s="11">
        <f t="shared" si="1"/>
        <v>0</v>
      </c>
      <c r="BP22" s="9">
        <f t="shared" si="2"/>
        <v>0</v>
      </c>
    </row>
    <row r="23" spans="1:68" ht="15.75" customHeight="1" thickBot="1" x14ac:dyDescent="0.3">
      <c r="A23" s="25"/>
      <c r="B23" s="18" t="s">
        <v>851</v>
      </c>
      <c r="C23" s="3">
        <f>264+412+15+15</f>
        <v>706</v>
      </c>
      <c r="D23" s="21">
        <f t="shared" si="0"/>
        <v>1235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>
        <f>132*3</f>
        <v>396</v>
      </c>
      <c r="T23" s="10"/>
      <c r="U23" s="10">
        <f>18+115</f>
        <v>133</v>
      </c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4"/>
      <c r="BO23" s="11">
        <f t="shared" si="1"/>
        <v>529</v>
      </c>
      <c r="BP23" s="9">
        <f t="shared" si="2"/>
        <v>0</v>
      </c>
    </row>
    <row r="24" spans="1:68" s="51" customFormat="1" ht="15.6" thickBot="1" x14ac:dyDescent="0.3">
      <c r="A24" s="45" t="s">
        <v>201</v>
      </c>
      <c r="B24" s="46" t="s">
        <v>13</v>
      </c>
      <c r="C24" s="47">
        <f>227+218+68+240+225+210+241+8+76+108+49+41</f>
        <v>1711</v>
      </c>
      <c r="D24" s="48">
        <f t="shared" si="0"/>
        <v>2153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>
        <v>112</v>
      </c>
      <c r="AP24" s="44"/>
      <c r="AQ24" s="44"/>
      <c r="AR24" s="44"/>
      <c r="AS24" s="44"/>
      <c r="AT24" s="44"/>
      <c r="AU24" s="44">
        <f>112+112+106</f>
        <v>330</v>
      </c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9">
        <f t="shared" si="1"/>
        <v>442</v>
      </c>
      <c r="BP24" s="50">
        <f t="shared" si="2"/>
        <v>0</v>
      </c>
    </row>
    <row r="25" spans="1:68" ht="15.6" thickBot="1" x14ac:dyDescent="0.3">
      <c r="A25" s="25" t="s">
        <v>203</v>
      </c>
      <c r="B25" s="18" t="s">
        <v>14</v>
      </c>
      <c r="C25" s="3">
        <f>330+160+224+196+170+14+9</f>
        <v>1103</v>
      </c>
      <c r="D25" s="21">
        <f t="shared" si="0"/>
        <v>1622</v>
      </c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>
        <v>224</v>
      </c>
      <c r="AX25" s="10"/>
      <c r="AY25" s="10">
        <f>112+112+71</f>
        <v>295</v>
      </c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4"/>
      <c r="BO25" s="11">
        <f t="shared" si="1"/>
        <v>519</v>
      </c>
      <c r="BP25" s="9">
        <f t="shared" si="2"/>
        <v>0</v>
      </c>
    </row>
    <row r="26" spans="1:68" ht="15.6" thickBot="1" x14ac:dyDescent="0.3">
      <c r="A26" s="25" t="s">
        <v>202</v>
      </c>
      <c r="B26" s="18" t="s">
        <v>12</v>
      </c>
      <c r="C26" s="3">
        <f>190+81+226+10+102+64+48+170+166+255+112+230+218+106+230+329+119+71+99+2+11</f>
        <v>2839</v>
      </c>
      <c r="D26" s="21">
        <f t="shared" si="0"/>
        <v>2839</v>
      </c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4"/>
      <c r="BO26" s="11">
        <f t="shared" si="1"/>
        <v>0</v>
      </c>
      <c r="BP26" s="9">
        <f t="shared" si="2"/>
        <v>0</v>
      </c>
    </row>
    <row r="27" spans="1:68" ht="15.6" thickBot="1" x14ac:dyDescent="0.3">
      <c r="A27" s="25" t="s">
        <v>204</v>
      </c>
      <c r="B27" s="18" t="s">
        <v>6</v>
      </c>
      <c r="C27" s="3">
        <f>260+236+345+230+154+157+14</f>
        <v>1396</v>
      </c>
      <c r="D27" s="21">
        <f t="shared" si="0"/>
        <v>2303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>
        <f>80+32+90</f>
        <v>202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>
        <f>112+112</f>
        <v>224</v>
      </c>
      <c r="BB27" s="10"/>
      <c r="BC27" s="10">
        <f>15+97+112+112+112+33</f>
        <v>481</v>
      </c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4"/>
      <c r="BO27" s="11">
        <f t="shared" si="1"/>
        <v>907</v>
      </c>
      <c r="BP27" s="9">
        <f t="shared" si="2"/>
        <v>0</v>
      </c>
    </row>
    <row r="28" spans="1:68" ht="15.6" thickBot="1" x14ac:dyDescent="0.3">
      <c r="A28" s="25" t="s">
        <v>205</v>
      </c>
      <c r="B28" s="18" t="s">
        <v>7</v>
      </c>
      <c r="C28" s="3">
        <f>322+380+112+112+178+230+237+4+182+21+2+1+1+3</f>
        <v>1785</v>
      </c>
      <c r="D28" s="21">
        <f t="shared" si="0"/>
        <v>1887</v>
      </c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>
        <v>102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4"/>
      <c r="BO28" s="11">
        <f t="shared" si="1"/>
        <v>102</v>
      </c>
      <c r="BP28" s="9">
        <f t="shared" si="2"/>
        <v>0</v>
      </c>
    </row>
    <row r="29" spans="1:68" ht="15.6" thickBot="1" x14ac:dyDescent="0.3">
      <c r="A29" s="25" t="s">
        <v>206</v>
      </c>
      <c r="B29" s="18" t="s">
        <v>22</v>
      </c>
      <c r="C29" s="3">
        <f>232+104</f>
        <v>336</v>
      </c>
      <c r="D29" s="21">
        <f t="shared" si="0"/>
        <v>336</v>
      </c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4"/>
      <c r="BO29" s="11">
        <f t="shared" si="1"/>
        <v>0</v>
      </c>
      <c r="BP29" s="9">
        <f t="shared" si="2"/>
        <v>0</v>
      </c>
    </row>
    <row r="30" spans="1:68" ht="15.6" thickBot="1" x14ac:dyDescent="0.3">
      <c r="A30" s="25" t="s">
        <v>207</v>
      </c>
      <c r="B30" s="18" t="s">
        <v>23</v>
      </c>
      <c r="C30" s="3">
        <f>137+301+4</f>
        <v>442</v>
      </c>
      <c r="D30" s="21">
        <f t="shared" si="0"/>
        <v>442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4"/>
      <c r="BO30" s="11">
        <f t="shared" si="1"/>
        <v>0</v>
      </c>
      <c r="BP30" s="9">
        <f t="shared" si="2"/>
        <v>0</v>
      </c>
    </row>
    <row r="31" spans="1:68" ht="15.6" thickBot="1" x14ac:dyDescent="0.3">
      <c r="A31" s="25" t="s">
        <v>208</v>
      </c>
      <c r="B31" s="18" t="s">
        <v>24</v>
      </c>
      <c r="C31" s="3">
        <f>127+97+49+112+110</f>
        <v>495</v>
      </c>
      <c r="D31" s="21">
        <f t="shared" si="0"/>
        <v>545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>
        <v>50</v>
      </c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4"/>
      <c r="BO31" s="11">
        <f t="shared" si="1"/>
        <v>50</v>
      </c>
      <c r="BP31" s="9">
        <f t="shared" si="2"/>
        <v>0</v>
      </c>
    </row>
    <row r="32" spans="1:68" ht="15.6" thickBot="1" x14ac:dyDescent="0.3">
      <c r="A32" s="25" t="s">
        <v>211</v>
      </c>
      <c r="B32" s="18" t="s">
        <v>210</v>
      </c>
      <c r="C32" s="3"/>
      <c r="D32" s="21">
        <f t="shared" si="0"/>
        <v>0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4"/>
      <c r="BO32" s="11">
        <f t="shared" si="1"/>
        <v>0</v>
      </c>
      <c r="BP32" s="9">
        <f t="shared" si="2"/>
        <v>0</v>
      </c>
    </row>
    <row r="33" spans="1:68" ht="15.6" thickBot="1" x14ac:dyDescent="0.3">
      <c r="A33" s="25" t="s">
        <v>334</v>
      </c>
      <c r="B33" s="18" t="s">
        <v>508</v>
      </c>
      <c r="C33" s="3"/>
      <c r="D33" s="21">
        <f t="shared" si="0"/>
        <v>0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4"/>
      <c r="BO33" s="11">
        <f t="shared" si="1"/>
        <v>0</v>
      </c>
      <c r="BP33" s="9">
        <f t="shared" si="2"/>
        <v>0</v>
      </c>
    </row>
    <row r="34" spans="1:68" ht="15.6" thickBot="1" x14ac:dyDescent="0.3">
      <c r="A34" s="25" t="s">
        <v>335</v>
      </c>
      <c r="B34" s="18" t="s">
        <v>25</v>
      </c>
      <c r="C34" s="3">
        <v>10</v>
      </c>
      <c r="D34" s="21">
        <f t="shared" si="0"/>
        <v>10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4"/>
      <c r="BO34" s="11">
        <f t="shared" si="1"/>
        <v>0</v>
      </c>
      <c r="BP34" s="9">
        <f t="shared" si="2"/>
        <v>0</v>
      </c>
    </row>
    <row r="35" spans="1:68" ht="15.6" thickBot="1" x14ac:dyDescent="0.3">
      <c r="A35" s="25"/>
      <c r="B35" s="18" t="s">
        <v>866</v>
      </c>
      <c r="C35" s="3"/>
      <c r="D35" s="21">
        <f t="shared" ref="D35:D36" si="3">C35+SUM(E35:BN35)</f>
        <v>0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4"/>
      <c r="BO35" s="11">
        <f t="shared" ref="BO35:BO36" si="4">BM35+BG35+BE35+BC35+BA35+AY35+AW35+AU35+AS35+AQ35+AO35+AM35+AK35+AI35+AG35+AE35+AC35+AA35+Y35+W35+U35+S35+Q35+O35+M35+K35+I35+G35+E35</f>
        <v>0</v>
      </c>
      <c r="BP35" s="9">
        <f t="shared" ref="BP35:BP36" si="5">BN35+BH35+BF35+BD35+BB35+AZ35+AX35+AV35+AT35+AR35+AP35+AN35+AL35+AJ35+AH35+AF35+AD35+AB35+Z35+X35+V35+T35+R35+P35+N35+L35+J35+H35+F35</f>
        <v>0</v>
      </c>
    </row>
    <row r="36" spans="1:68" ht="15.6" thickBot="1" x14ac:dyDescent="0.3">
      <c r="A36" s="25"/>
      <c r="B36" s="18" t="s">
        <v>867</v>
      </c>
      <c r="C36" s="3"/>
      <c r="D36" s="21">
        <f t="shared" si="3"/>
        <v>0</v>
      </c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4"/>
      <c r="BO36" s="11">
        <f t="shared" si="4"/>
        <v>0</v>
      </c>
      <c r="BP36" s="9">
        <f t="shared" si="5"/>
        <v>0</v>
      </c>
    </row>
    <row r="37" spans="1:68" ht="16.2" thickBot="1" x14ac:dyDescent="0.35">
      <c r="A37" s="25"/>
      <c r="B37" s="23" t="s">
        <v>26</v>
      </c>
      <c r="C37" s="3"/>
      <c r="D37" s="21">
        <f t="shared" si="0"/>
        <v>0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4"/>
      <c r="BO37" s="11">
        <f t="shared" si="1"/>
        <v>0</v>
      </c>
      <c r="BP37" s="9">
        <f t="shared" si="2"/>
        <v>0</v>
      </c>
    </row>
    <row r="38" spans="1:68" ht="15.6" thickBot="1" x14ac:dyDescent="0.3">
      <c r="A38" s="25" t="s">
        <v>338</v>
      </c>
      <c r="B38" s="18" t="s">
        <v>4</v>
      </c>
      <c r="C38" s="3"/>
      <c r="D38" s="21">
        <f t="shared" si="0"/>
        <v>0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4"/>
      <c r="BO38" s="11">
        <f t="shared" si="1"/>
        <v>0</v>
      </c>
      <c r="BP38" s="9">
        <f t="shared" si="2"/>
        <v>0</v>
      </c>
    </row>
    <row r="39" spans="1:68" ht="15.6" thickBot="1" x14ac:dyDescent="0.3">
      <c r="A39" s="25" t="s">
        <v>339</v>
      </c>
      <c r="B39" s="18" t="s">
        <v>3</v>
      </c>
      <c r="C39" s="3"/>
      <c r="D39" s="21">
        <f t="shared" si="0"/>
        <v>0</v>
      </c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4"/>
      <c r="BO39" s="11">
        <f t="shared" si="1"/>
        <v>0</v>
      </c>
      <c r="BP39" s="9">
        <f t="shared" si="2"/>
        <v>0</v>
      </c>
    </row>
    <row r="40" spans="1:68" ht="15.6" thickBot="1" x14ac:dyDescent="0.3">
      <c r="A40" s="25" t="s">
        <v>337</v>
      </c>
      <c r="B40" s="18" t="s">
        <v>27</v>
      </c>
      <c r="C40" s="3"/>
      <c r="D40" s="21">
        <f t="shared" si="0"/>
        <v>0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4"/>
      <c r="BO40" s="11">
        <f t="shared" si="1"/>
        <v>0</v>
      </c>
      <c r="BP40" s="9">
        <f t="shared" si="2"/>
        <v>0</v>
      </c>
    </row>
    <row r="41" spans="1:68" ht="15.6" thickBot="1" x14ac:dyDescent="0.3">
      <c r="A41" s="25" t="s">
        <v>336</v>
      </c>
      <c r="B41" s="18" t="s">
        <v>13</v>
      </c>
      <c r="C41" s="3"/>
      <c r="D41" s="21">
        <f t="shared" si="0"/>
        <v>0</v>
      </c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4"/>
      <c r="BO41" s="11">
        <f t="shared" si="1"/>
        <v>0</v>
      </c>
      <c r="BP41" s="9">
        <f t="shared" si="2"/>
        <v>0</v>
      </c>
    </row>
    <row r="42" spans="1:68" ht="15.6" thickBot="1" x14ac:dyDescent="0.3">
      <c r="A42" s="25" t="s">
        <v>340</v>
      </c>
      <c r="B42" s="18" t="s">
        <v>160</v>
      </c>
      <c r="C42" s="3"/>
      <c r="D42" s="21">
        <f t="shared" si="0"/>
        <v>0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4"/>
      <c r="BO42" s="11">
        <f t="shared" si="1"/>
        <v>0</v>
      </c>
      <c r="BP42" s="9">
        <f t="shared" si="2"/>
        <v>0</v>
      </c>
    </row>
    <row r="43" spans="1:68" ht="16.2" thickBot="1" x14ac:dyDescent="0.35">
      <c r="A43" s="25"/>
      <c r="B43" s="23" t="s">
        <v>491</v>
      </c>
      <c r="C43" s="3"/>
      <c r="D43" s="21">
        <f t="shared" si="0"/>
        <v>0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4"/>
      <c r="BO43" s="11">
        <f t="shared" si="1"/>
        <v>0</v>
      </c>
      <c r="BP43" s="9">
        <f t="shared" si="2"/>
        <v>0</v>
      </c>
    </row>
    <row r="44" spans="1:68" ht="15.6" thickBot="1" x14ac:dyDescent="0.3">
      <c r="A44" s="25" t="s">
        <v>643</v>
      </c>
      <c r="B44" s="18" t="s">
        <v>492</v>
      </c>
      <c r="C44" s="3">
        <v>22</v>
      </c>
      <c r="D44" s="21">
        <f t="shared" si="0"/>
        <v>10</v>
      </c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4">
        <v>-12</v>
      </c>
      <c r="BO44" s="11">
        <f t="shared" si="1"/>
        <v>0</v>
      </c>
      <c r="BP44" s="9">
        <f t="shared" si="2"/>
        <v>-12</v>
      </c>
    </row>
    <row r="45" spans="1:68" ht="15.6" thickBot="1" x14ac:dyDescent="0.3">
      <c r="A45" s="25" t="s">
        <v>190</v>
      </c>
      <c r="B45" s="18" t="s">
        <v>493</v>
      </c>
      <c r="C45" s="3">
        <f>52+52+34</f>
        <v>138</v>
      </c>
      <c r="D45" s="21">
        <f t="shared" si="0"/>
        <v>10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>
        <v>-5</v>
      </c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4">
        <v>-123</v>
      </c>
      <c r="BO45" s="11">
        <f t="shared" si="1"/>
        <v>0</v>
      </c>
      <c r="BP45" s="9">
        <f t="shared" si="2"/>
        <v>-128</v>
      </c>
    </row>
    <row r="46" spans="1:68" ht="15.6" thickBot="1" x14ac:dyDescent="0.3">
      <c r="A46" s="25" t="s">
        <v>189</v>
      </c>
      <c r="B46" s="18" t="s">
        <v>494</v>
      </c>
      <c r="C46" s="3">
        <v>35</v>
      </c>
      <c r="D46" s="21">
        <f t="shared" si="0"/>
        <v>10</v>
      </c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4">
        <v>-25</v>
      </c>
      <c r="BO46" s="11">
        <f t="shared" si="1"/>
        <v>0</v>
      </c>
      <c r="BP46" s="9">
        <f t="shared" si="2"/>
        <v>-25</v>
      </c>
    </row>
    <row r="47" spans="1:68" ht="15.6" thickBot="1" x14ac:dyDescent="0.3">
      <c r="A47" s="25" t="s">
        <v>191</v>
      </c>
      <c r="B47" s="18" t="s">
        <v>495</v>
      </c>
      <c r="C47" s="3"/>
      <c r="D47" s="21">
        <f t="shared" si="0"/>
        <v>0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4"/>
      <c r="BO47" s="11">
        <f t="shared" si="1"/>
        <v>0</v>
      </c>
      <c r="BP47" s="9">
        <f t="shared" si="2"/>
        <v>0</v>
      </c>
    </row>
    <row r="48" spans="1:68" ht="15.6" thickBot="1" x14ac:dyDescent="0.3">
      <c r="A48" s="25" t="s">
        <v>192</v>
      </c>
      <c r="B48" s="18" t="s">
        <v>341</v>
      </c>
      <c r="C48" s="3"/>
      <c r="D48" s="21">
        <f t="shared" si="0"/>
        <v>0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4"/>
      <c r="BO48" s="11">
        <f t="shared" si="1"/>
        <v>0</v>
      </c>
      <c r="BP48" s="9">
        <f t="shared" si="2"/>
        <v>0</v>
      </c>
    </row>
    <row r="49" spans="1:68" ht="16.2" thickBot="1" x14ac:dyDescent="0.35">
      <c r="A49" s="25"/>
      <c r="B49" s="23" t="s">
        <v>185</v>
      </c>
      <c r="C49" s="3"/>
      <c r="D49" s="21">
        <f t="shared" si="0"/>
        <v>0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4"/>
      <c r="BO49" s="11">
        <f t="shared" si="1"/>
        <v>0</v>
      </c>
      <c r="BP49" s="9">
        <f t="shared" si="2"/>
        <v>0</v>
      </c>
    </row>
    <row r="50" spans="1:68" ht="15.6" thickBot="1" x14ac:dyDescent="0.3">
      <c r="A50" s="25" t="s">
        <v>186</v>
      </c>
      <c r="B50" s="18" t="s">
        <v>28</v>
      </c>
      <c r="C50" s="3"/>
      <c r="D50" s="21">
        <f t="shared" si="0"/>
        <v>0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4"/>
      <c r="BO50" s="11">
        <f t="shared" si="1"/>
        <v>0</v>
      </c>
      <c r="BP50" s="9">
        <f t="shared" si="2"/>
        <v>0</v>
      </c>
    </row>
    <row r="51" spans="1:68" ht="15.6" thickBot="1" x14ac:dyDescent="0.3">
      <c r="A51" s="25" t="s">
        <v>187</v>
      </c>
      <c r="B51" s="18" t="s">
        <v>10</v>
      </c>
      <c r="C51" s="3">
        <v>28</v>
      </c>
      <c r="D51" s="21">
        <f t="shared" si="0"/>
        <v>10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4">
        <v>-18</v>
      </c>
      <c r="BO51" s="11">
        <f t="shared" si="1"/>
        <v>0</v>
      </c>
      <c r="BP51" s="9">
        <f t="shared" si="2"/>
        <v>-18</v>
      </c>
    </row>
    <row r="52" spans="1:68" ht="15.6" thickBot="1" x14ac:dyDescent="0.3">
      <c r="A52" s="25" t="s">
        <v>188</v>
      </c>
      <c r="B52" s="18" t="s">
        <v>750</v>
      </c>
      <c r="C52" s="3">
        <v>15</v>
      </c>
      <c r="D52" s="21">
        <f t="shared" si="0"/>
        <v>10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4">
        <v>-5</v>
      </c>
      <c r="BO52" s="11">
        <f t="shared" si="1"/>
        <v>0</v>
      </c>
      <c r="BP52" s="9">
        <f t="shared" si="2"/>
        <v>-5</v>
      </c>
    </row>
    <row r="53" spans="1:68" ht="15.6" thickBot="1" x14ac:dyDescent="0.3">
      <c r="A53" s="25" t="s">
        <v>586</v>
      </c>
      <c r="B53" s="26" t="s">
        <v>490</v>
      </c>
      <c r="C53" s="3"/>
      <c r="D53" s="21">
        <f t="shared" si="0"/>
        <v>0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4"/>
      <c r="BO53" s="11">
        <f t="shared" si="1"/>
        <v>0</v>
      </c>
      <c r="BP53" s="9">
        <f t="shared" si="2"/>
        <v>0</v>
      </c>
    </row>
    <row r="54" spans="1:68" ht="15.6" thickBot="1" x14ac:dyDescent="0.3">
      <c r="A54" s="25"/>
      <c r="B54" s="18" t="s">
        <v>868</v>
      </c>
      <c r="C54" s="3"/>
      <c r="D54" s="21">
        <f t="shared" ref="D54" si="6">C54+SUM(E54:BN54)</f>
        <v>0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4"/>
      <c r="BO54" s="11">
        <f t="shared" ref="BO54" si="7">BM54+BG54+BE54+BC54+BA54+AY54+AW54+AU54+AS54+AQ54+AO54+AM54+AK54+AI54+AG54+AE54+AC54+AA54+Y54+W54+U54+S54+Q54+O54+M54+K54+I54+G54+E54</f>
        <v>0</v>
      </c>
      <c r="BP54" s="9">
        <f t="shared" ref="BP54" si="8">BN54+BH54+BF54+BD54+BB54+AZ54+AX54+AV54+AT54+AR54+AP54+AN54+AL54+AJ54+AH54+AF54+AD54+AB54+Z54+X54+V54+T54+R54+P54+N54+L54+J54+H54+F54</f>
        <v>0</v>
      </c>
    </row>
    <row r="55" spans="1:68" ht="16.2" thickBot="1" x14ac:dyDescent="0.35">
      <c r="A55" s="25"/>
      <c r="B55" s="23" t="s">
        <v>29</v>
      </c>
      <c r="C55" s="3"/>
      <c r="D55" s="21">
        <f t="shared" si="0"/>
        <v>0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4"/>
      <c r="BO55" s="11">
        <f t="shared" si="1"/>
        <v>0</v>
      </c>
      <c r="BP55" s="9">
        <f t="shared" si="2"/>
        <v>0</v>
      </c>
    </row>
    <row r="56" spans="1:68" ht="15.6" thickBot="1" x14ac:dyDescent="0.3">
      <c r="A56" s="25" t="s">
        <v>212</v>
      </c>
      <c r="B56" s="6" t="s">
        <v>30</v>
      </c>
      <c r="C56" s="3"/>
      <c r="D56" s="21">
        <f t="shared" si="0"/>
        <v>0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4"/>
      <c r="BO56" s="11">
        <f t="shared" si="1"/>
        <v>0</v>
      </c>
      <c r="BP56" s="9">
        <f t="shared" si="2"/>
        <v>0</v>
      </c>
    </row>
    <row r="57" spans="1:68" ht="15.6" thickBot="1" x14ac:dyDescent="0.3">
      <c r="A57" s="25" t="s">
        <v>213</v>
      </c>
      <c r="B57" s="6" t="s">
        <v>31</v>
      </c>
      <c r="C57" s="3">
        <v>93</v>
      </c>
      <c r="D57" s="21">
        <f t="shared" si="0"/>
        <v>0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>
        <v>-5</v>
      </c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4">
        <v>-88</v>
      </c>
      <c r="BO57" s="11">
        <f t="shared" si="1"/>
        <v>0</v>
      </c>
      <c r="BP57" s="9">
        <f t="shared" si="2"/>
        <v>-93</v>
      </c>
    </row>
    <row r="58" spans="1:68" ht="16.2" thickBot="1" x14ac:dyDescent="0.35">
      <c r="A58" s="25"/>
      <c r="B58" s="23" t="s">
        <v>32</v>
      </c>
      <c r="C58" s="3"/>
      <c r="D58" s="21">
        <f t="shared" si="0"/>
        <v>0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4"/>
      <c r="BO58" s="11">
        <f t="shared" si="1"/>
        <v>0</v>
      </c>
      <c r="BP58" s="9">
        <f t="shared" si="2"/>
        <v>0</v>
      </c>
    </row>
    <row r="59" spans="1:68" ht="15.6" thickBot="1" x14ac:dyDescent="0.3">
      <c r="A59" s="25" t="s">
        <v>214</v>
      </c>
      <c r="B59" s="18" t="s">
        <v>181</v>
      </c>
      <c r="C59" s="3">
        <f>53+3+41+9+8+8</f>
        <v>122</v>
      </c>
      <c r="D59" s="21">
        <f t="shared" si="0"/>
        <v>0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4">
        <v>-122</v>
      </c>
      <c r="BO59" s="11">
        <f t="shared" si="1"/>
        <v>0</v>
      </c>
      <c r="BP59" s="9">
        <f t="shared" si="2"/>
        <v>-122</v>
      </c>
    </row>
    <row r="60" spans="1:68" ht="15.6" thickBot="1" x14ac:dyDescent="0.3">
      <c r="A60" s="25" t="s">
        <v>215</v>
      </c>
      <c r="B60" s="18" t="s">
        <v>33</v>
      </c>
      <c r="C60" s="3"/>
      <c r="D60" s="21">
        <f t="shared" si="0"/>
        <v>0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4"/>
      <c r="BO60" s="11">
        <f t="shared" si="1"/>
        <v>0</v>
      </c>
      <c r="BP60" s="9">
        <f t="shared" si="2"/>
        <v>0</v>
      </c>
    </row>
    <row r="61" spans="1:68" ht="15.6" thickBot="1" x14ac:dyDescent="0.3">
      <c r="A61" s="25" t="s">
        <v>216</v>
      </c>
      <c r="B61" s="26" t="s">
        <v>182</v>
      </c>
      <c r="C61" s="3"/>
      <c r="D61" s="21">
        <f t="shared" si="0"/>
        <v>0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4"/>
      <c r="BO61" s="11">
        <f t="shared" si="1"/>
        <v>0</v>
      </c>
      <c r="BP61" s="9">
        <f t="shared" si="2"/>
        <v>0</v>
      </c>
    </row>
    <row r="62" spans="1:68" ht="16.2" thickBot="1" x14ac:dyDescent="0.35">
      <c r="A62" s="25"/>
      <c r="B62" s="23" t="s">
        <v>34</v>
      </c>
      <c r="C62" s="3"/>
      <c r="D62" s="21">
        <f t="shared" si="0"/>
        <v>0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4"/>
      <c r="BO62" s="11">
        <f t="shared" si="1"/>
        <v>0</v>
      </c>
      <c r="BP62" s="9">
        <f t="shared" si="2"/>
        <v>0</v>
      </c>
    </row>
    <row r="63" spans="1:68" ht="15.6" thickBot="1" x14ac:dyDescent="0.3">
      <c r="A63" s="25" t="s">
        <v>217</v>
      </c>
      <c r="B63" s="26" t="s">
        <v>35</v>
      </c>
      <c r="C63" s="3"/>
      <c r="D63" s="21">
        <f t="shared" si="0"/>
        <v>0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4"/>
      <c r="BO63" s="11">
        <f t="shared" si="1"/>
        <v>0</v>
      </c>
      <c r="BP63" s="9">
        <f t="shared" si="2"/>
        <v>0</v>
      </c>
    </row>
    <row r="64" spans="1:68" ht="15.6" thickBot="1" x14ac:dyDescent="0.3">
      <c r="A64" s="25" t="s">
        <v>218</v>
      </c>
      <c r="B64" s="26" t="s">
        <v>36</v>
      </c>
      <c r="C64" s="3">
        <v>58</v>
      </c>
      <c r="D64" s="21">
        <f t="shared" si="0"/>
        <v>0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4">
        <v>-58</v>
      </c>
      <c r="BO64" s="11">
        <f t="shared" si="1"/>
        <v>0</v>
      </c>
      <c r="BP64" s="9">
        <f t="shared" si="2"/>
        <v>-58</v>
      </c>
    </row>
    <row r="65" spans="1:68" ht="16.2" thickBot="1" x14ac:dyDescent="0.35">
      <c r="A65" s="25"/>
      <c r="B65" s="23" t="s">
        <v>373</v>
      </c>
      <c r="C65" s="3"/>
      <c r="D65" s="21">
        <f t="shared" si="0"/>
        <v>0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4"/>
      <c r="BO65" s="11">
        <f t="shared" si="1"/>
        <v>0</v>
      </c>
      <c r="BP65" s="9">
        <f t="shared" si="2"/>
        <v>0</v>
      </c>
    </row>
    <row r="66" spans="1:68" ht="15.6" thickBot="1" x14ac:dyDescent="0.3">
      <c r="A66" s="25" t="s">
        <v>219</v>
      </c>
      <c r="B66" s="18" t="s">
        <v>37</v>
      </c>
      <c r="C66" s="3"/>
      <c r="D66" s="21">
        <f t="shared" si="0"/>
        <v>871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>
        <f>143+25</f>
        <v>168</v>
      </c>
      <c r="V66" s="10"/>
      <c r="W66" s="10">
        <f>(168*4)+47</f>
        <v>719</v>
      </c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>
        <v>-6</v>
      </c>
      <c r="AM66" s="10"/>
      <c r="AN66" s="10"/>
      <c r="AO66" s="10"/>
      <c r="AP66" s="10">
        <v>-10</v>
      </c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4"/>
      <c r="BO66" s="11">
        <f t="shared" si="1"/>
        <v>887</v>
      </c>
      <c r="BP66" s="9">
        <f t="shared" si="2"/>
        <v>-16</v>
      </c>
    </row>
    <row r="67" spans="1:68" ht="15.6" thickBot="1" x14ac:dyDescent="0.3">
      <c r="A67" s="25" t="s">
        <v>522</v>
      </c>
      <c r="B67" s="18" t="s">
        <v>431</v>
      </c>
      <c r="C67" s="3"/>
      <c r="D67" s="21">
        <f t="shared" si="0"/>
        <v>566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>
        <v>168</v>
      </c>
      <c r="Z67" s="10"/>
      <c r="AA67" s="10">
        <f>168+168+72</f>
        <v>408</v>
      </c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>
        <v>-10</v>
      </c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4"/>
      <c r="BO67" s="11">
        <f t="shared" si="1"/>
        <v>576</v>
      </c>
      <c r="BP67" s="9">
        <f t="shared" si="2"/>
        <v>-10</v>
      </c>
    </row>
    <row r="68" spans="1:68" ht="15.6" thickBot="1" x14ac:dyDescent="0.3">
      <c r="A68" s="25" t="s">
        <v>220</v>
      </c>
      <c r="B68" s="18" t="s">
        <v>38</v>
      </c>
      <c r="C68" s="3">
        <f>168+694+188+18</f>
        <v>1068</v>
      </c>
      <c r="D68" s="21">
        <f t="shared" si="0"/>
        <v>1094</v>
      </c>
      <c r="E68" s="10"/>
      <c r="F68" s="10"/>
      <c r="G68" s="10"/>
      <c r="H68" s="10"/>
      <c r="I68" s="10">
        <v>28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>
        <v>-2</v>
      </c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4"/>
      <c r="BO68" s="11">
        <f t="shared" si="1"/>
        <v>28</v>
      </c>
      <c r="BP68" s="9">
        <f t="shared" si="2"/>
        <v>-2</v>
      </c>
    </row>
    <row r="69" spans="1:68" ht="15.6" thickBot="1" x14ac:dyDescent="0.3">
      <c r="A69" s="25" t="s">
        <v>221</v>
      </c>
      <c r="B69" s="18" t="s">
        <v>39</v>
      </c>
      <c r="C69" s="3"/>
      <c r="D69" s="21">
        <f t="shared" si="0"/>
        <v>635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>
        <f>168+168</f>
        <v>336</v>
      </c>
      <c r="AB69" s="10"/>
      <c r="AC69" s="10"/>
      <c r="AD69" s="10"/>
      <c r="AE69" s="10"/>
      <c r="AF69" s="10"/>
      <c r="AG69" s="10"/>
      <c r="AH69" s="10"/>
      <c r="AI69" s="10"/>
      <c r="AJ69" s="10"/>
      <c r="AK69" s="10">
        <f>168+131</f>
        <v>299</v>
      </c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4"/>
      <c r="BO69" s="11">
        <f t="shared" si="1"/>
        <v>635</v>
      </c>
      <c r="BP69" s="9">
        <f t="shared" si="2"/>
        <v>0</v>
      </c>
    </row>
    <row r="70" spans="1:68" ht="15.6" thickBot="1" x14ac:dyDescent="0.3">
      <c r="A70" s="25" t="s">
        <v>756</v>
      </c>
      <c r="B70" s="18" t="s">
        <v>432</v>
      </c>
      <c r="C70" s="3"/>
      <c r="D70" s="21">
        <f t="shared" si="0"/>
        <v>867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>
        <f>168*2</f>
        <v>336</v>
      </c>
      <c r="AJ70" s="10"/>
      <c r="AK70" s="10">
        <f>168+168+143+25+32</f>
        <v>536</v>
      </c>
      <c r="AL70" s="10"/>
      <c r="AM70" s="10"/>
      <c r="AN70" s="10"/>
      <c r="AO70" s="10"/>
      <c r="AP70" s="10">
        <v>-5</v>
      </c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4"/>
      <c r="BO70" s="11">
        <f t="shared" si="1"/>
        <v>872</v>
      </c>
      <c r="BP70" s="9">
        <f t="shared" si="2"/>
        <v>-5</v>
      </c>
    </row>
    <row r="71" spans="1:68" ht="15.6" thickBot="1" x14ac:dyDescent="0.3">
      <c r="A71" s="25" t="s">
        <v>222</v>
      </c>
      <c r="B71" s="18" t="s">
        <v>40</v>
      </c>
      <c r="C71" s="3"/>
      <c r="D71" s="21">
        <f t="shared" si="0"/>
        <v>759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>
        <f>168+168+168</f>
        <v>504</v>
      </c>
      <c r="AL71" s="10"/>
      <c r="AM71" s="10">
        <f>154+101</f>
        <v>255</v>
      </c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4"/>
      <c r="BO71" s="11">
        <f t="shared" si="1"/>
        <v>759</v>
      </c>
      <c r="BP71" s="9">
        <f t="shared" si="2"/>
        <v>0</v>
      </c>
    </row>
    <row r="72" spans="1:68" ht="16.2" thickBot="1" x14ac:dyDescent="0.35">
      <c r="A72" s="25"/>
      <c r="B72" s="23" t="s">
        <v>226</v>
      </c>
      <c r="C72" s="3"/>
      <c r="D72" s="21">
        <f t="shared" si="0"/>
        <v>0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4"/>
      <c r="BO72" s="11">
        <f t="shared" si="1"/>
        <v>0</v>
      </c>
      <c r="BP72" s="9">
        <f t="shared" si="2"/>
        <v>0</v>
      </c>
    </row>
    <row r="73" spans="1:68" ht="15.6" thickBot="1" x14ac:dyDescent="0.3">
      <c r="A73" s="25" t="s">
        <v>229</v>
      </c>
      <c r="B73" s="18" t="s">
        <v>227</v>
      </c>
      <c r="C73" s="3"/>
      <c r="D73" s="21">
        <f t="shared" ref="D73:D141" si="9">C73+SUM(E73:BN73)</f>
        <v>0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4"/>
      <c r="BO73" s="11">
        <f t="shared" si="1"/>
        <v>0</v>
      </c>
      <c r="BP73" s="9">
        <f t="shared" si="2"/>
        <v>0</v>
      </c>
    </row>
    <row r="74" spans="1:68" ht="15.6" thickBot="1" x14ac:dyDescent="0.3">
      <c r="A74" s="25" t="s">
        <v>870</v>
      </c>
      <c r="B74" s="18" t="s">
        <v>77</v>
      </c>
      <c r="C74" s="3"/>
      <c r="D74" s="21">
        <f t="shared" si="9"/>
        <v>0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4"/>
      <c r="BO74" s="11">
        <f t="shared" ref="BO74:BO142" si="10">BM74+BG74+BE74+BC74+BA74+AY74+AW74+AU74+AS74+AQ74+AO74+AM74+AK74+AI74+AG74+AE74+AC74+AA74+Y74+W74+U74+S74+Q74+O74+M74+K74+I74+G74+E74</f>
        <v>0</v>
      </c>
      <c r="BP74" s="9">
        <f t="shared" ref="BP74:BP142" si="11">BN74+BH74+BF74+BD74+BB74+AZ74+AX74+AV74+AT74+AR74+AP74+AN74+AL74+AJ74+AH74+AF74+AD74+AB74+Z74+X74+V74+T74+R74+P74+N74+L74+J74+H74+F74</f>
        <v>0</v>
      </c>
    </row>
    <row r="75" spans="1:68" ht="15.6" thickBot="1" x14ac:dyDescent="0.3">
      <c r="A75" s="25" t="s">
        <v>498</v>
      </c>
      <c r="B75" s="18" t="s">
        <v>228</v>
      </c>
      <c r="C75" s="3"/>
      <c r="D75" s="21">
        <f t="shared" si="9"/>
        <v>0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4"/>
      <c r="BO75" s="11">
        <f t="shared" si="10"/>
        <v>0</v>
      </c>
      <c r="BP75" s="9">
        <f t="shared" si="11"/>
        <v>0</v>
      </c>
    </row>
    <row r="76" spans="1:68" ht="16.2" thickBot="1" x14ac:dyDescent="0.35">
      <c r="A76" s="25"/>
      <c r="B76" s="23" t="s">
        <v>506</v>
      </c>
      <c r="C76" s="3"/>
      <c r="D76" s="21">
        <f t="shared" si="9"/>
        <v>0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4"/>
      <c r="BO76" s="11">
        <f t="shared" si="10"/>
        <v>0</v>
      </c>
      <c r="BP76" s="9">
        <f t="shared" si="11"/>
        <v>0</v>
      </c>
    </row>
    <row r="77" spans="1:68" ht="15.6" thickBot="1" x14ac:dyDescent="0.3">
      <c r="A77" s="25" t="s">
        <v>530</v>
      </c>
      <c r="B77" s="18" t="s">
        <v>532</v>
      </c>
      <c r="C77" s="3">
        <f>116+76+49</f>
        <v>241</v>
      </c>
      <c r="D77" s="21">
        <f t="shared" si="9"/>
        <v>0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4">
        <v>-241</v>
      </c>
      <c r="BO77" s="11">
        <f t="shared" si="10"/>
        <v>0</v>
      </c>
      <c r="BP77" s="9">
        <f t="shared" si="11"/>
        <v>-241</v>
      </c>
    </row>
    <row r="78" spans="1:68" ht="15.6" thickBot="1" x14ac:dyDescent="0.3">
      <c r="A78" s="25" t="s">
        <v>552</v>
      </c>
      <c r="B78" s="18" t="s">
        <v>427</v>
      </c>
      <c r="C78" s="3">
        <f>108+52+55+52+3+40</f>
        <v>310</v>
      </c>
      <c r="D78" s="21">
        <f t="shared" si="9"/>
        <v>0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4">
        <v>-310</v>
      </c>
      <c r="BO78" s="11">
        <f t="shared" si="10"/>
        <v>0</v>
      </c>
      <c r="BP78" s="9">
        <f t="shared" si="11"/>
        <v>-310</v>
      </c>
    </row>
    <row r="79" spans="1:68" ht="15.6" thickBot="1" x14ac:dyDescent="0.3">
      <c r="A79" s="25" t="s">
        <v>559</v>
      </c>
      <c r="B79" s="18" t="s">
        <v>558</v>
      </c>
      <c r="C79" s="3">
        <f>43+108</f>
        <v>151</v>
      </c>
      <c r="D79" s="21">
        <f t="shared" si="9"/>
        <v>0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4">
        <v>-151</v>
      </c>
      <c r="BO79" s="11">
        <f t="shared" si="10"/>
        <v>0</v>
      </c>
      <c r="BP79" s="9">
        <f t="shared" si="11"/>
        <v>-151</v>
      </c>
    </row>
    <row r="80" spans="1:68" ht="15.6" thickBot="1" x14ac:dyDescent="0.3">
      <c r="A80" s="25" t="s">
        <v>736</v>
      </c>
      <c r="B80" s="18" t="s">
        <v>41</v>
      </c>
      <c r="C80" s="3">
        <f>234+109</f>
        <v>343</v>
      </c>
      <c r="D80" s="21">
        <f t="shared" si="9"/>
        <v>0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4">
        <v>-343</v>
      </c>
      <c r="BO80" s="11">
        <f t="shared" si="10"/>
        <v>0</v>
      </c>
      <c r="BP80" s="9">
        <f t="shared" si="11"/>
        <v>-343</v>
      </c>
    </row>
    <row r="81" spans="1:68" ht="15.6" thickBot="1" x14ac:dyDescent="0.3">
      <c r="A81" s="25" t="s">
        <v>531</v>
      </c>
      <c r="B81" s="18" t="s">
        <v>272</v>
      </c>
      <c r="C81" s="3">
        <f>66+16</f>
        <v>82</v>
      </c>
      <c r="D81" s="21">
        <f t="shared" si="9"/>
        <v>0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4">
        <v>-82</v>
      </c>
      <c r="BO81" s="11">
        <f t="shared" si="10"/>
        <v>0</v>
      </c>
      <c r="BP81" s="9">
        <f t="shared" si="11"/>
        <v>-82</v>
      </c>
    </row>
    <row r="82" spans="1:68" ht="15.6" thickBot="1" x14ac:dyDescent="0.3">
      <c r="A82" s="25" t="s">
        <v>901</v>
      </c>
      <c r="B82" s="18" t="s">
        <v>116</v>
      </c>
      <c r="C82" s="3"/>
      <c r="D82" s="21">
        <f t="shared" ref="D82" si="12">C82+SUM(E82:BN82)</f>
        <v>0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4"/>
      <c r="BO82" s="11">
        <f t="shared" ref="BO82" si="13">BM82+BG82+BE82+BC82+BA82+AY82+AW82+AU82+AS82+AQ82+AO82+AM82+AK82+AI82+AG82+AE82+AC82+AA82+Y82+W82+U82+S82+Q82+O82+M82+K82+I82+G82+E82</f>
        <v>0</v>
      </c>
      <c r="BP82" s="9">
        <f t="shared" ref="BP82" si="14">BN82+BH82+BF82+BD82+BB82+AZ82+AX82+AV82+AT82+AR82+AP82+AN82+AL82+AJ82+AH82+AF82+AD82+AB82+Z82+X82+V82+T82+R82+P82+N82+L82+J82+H82+F82</f>
        <v>0</v>
      </c>
    </row>
    <row r="83" spans="1:68" ht="15.6" thickBot="1" x14ac:dyDescent="0.3">
      <c r="A83" s="25" t="s">
        <v>535</v>
      </c>
      <c r="B83" s="18" t="s">
        <v>223</v>
      </c>
      <c r="C83" s="3">
        <f>35+21+52</f>
        <v>108</v>
      </c>
      <c r="D83" s="21">
        <f t="shared" si="9"/>
        <v>0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4">
        <v>-108</v>
      </c>
      <c r="BO83" s="11">
        <f t="shared" si="10"/>
        <v>0</v>
      </c>
      <c r="BP83" s="9">
        <f t="shared" si="11"/>
        <v>-108</v>
      </c>
    </row>
    <row r="84" spans="1:68" ht="15.6" thickBot="1" x14ac:dyDescent="0.3">
      <c r="A84" s="25" t="s">
        <v>534</v>
      </c>
      <c r="B84" s="18" t="s">
        <v>224</v>
      </c>
      <c r="C84" s="3">
        <f>30+123</f>
        <v>153</v>
      </c>
      <c r="D84" s="21">
        <f t="shared" si="9"/>
        <v>0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4">
        <v>-153</v>
      </c>
      <c r="BO84" s="11">
        <f t="shared" si="10"/>
        <v>0</v>
      </c>
      <c r="BP84" s="9">
        <f t="shared" si="11"/>
        <v>-153</v>
      </c>
    </row>
    <row r="85" spans="1:68" ht="15.6" thickBot="1" x14ac:dyDescent="0.3">
      <c r="A85" s="25" t="s">
        <v>533</v>
      </c>
      <c r="B85" s="18" t="s">
        <v>225</v>
      </c>
      <c r="C85" s="3">
        <f>58+90</f>
        <v>148</v>
      </c>
      <c r="D85" s="21">
        <f t="shared" si="9"/>
        <v>10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4">
        <v>-138</v>
      </c>
      <c r="BO85" s="11">
        <f t="shared" si="10"/>
        <v>0</v>
      </c>
      <c r="BP85" s="9">
        <f t="shared" si="11"/>
        <v>-138</v>
      </c>
    </row>
    <row r="86" spans="1:68" ht="15.6" thickBot="1" x14ac:dyDescent="0.3">
      <c r="A86" s="25" t="s">
        <v>899</v>
      </c>
      <c r="B86" s="18" t="s">
        <v>900</v>
      </c>
      <c r="C86" s="3"/>
      <c r="D86" s="21">
        <f t="shared" ref="D86" si="15">C86+SUM(E86:BN86)</f>
        <v>0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4"/>
      <c r="BO86" s="11">
        <f t="shared" ref="BO86" si="16">BM86+BG86+BE86+BC86+BA86+AY86+AW86+AU86+AS86+AQ86+AO86+AM86+AK86+AI86+AG86+AE86+AC86+AA86+Y86+W86+U86+S86+Q86+O86+M86+K86+I86+G86+E86</f>
        <v>0</v>
      </c>
      <c r="BP86" s="9">
        <f t="shared" ref="BP86" si="17">BN86+BH86+BF86+BD86+BB86+AZ86+AX86+AV86+AT86+AR86+AP86+AN86+AL86+AJ86+AH86+AF86+AD86+AB86+Z86+X86+V86+T86+R86+P86+N86+L86+J86+H86+F86</f>
        <v>0</v>
      </c>
    </row>
    <row r="87" spans="1:68" ht="15.6" thickBot="1" x14ac:dyDescent="0.3">
      <c r="A87" s="25" t="s">
        <v>556</v>
      </c>
      <c r="B87" s="18" t="s">
        <v>555</v>
      </c>
      <c r="C87" s="3">
        <v>18</v>
      </c>
      <c r="D87" s="21">
        <f>C87+SUM(E87:BN87)</f>
        <v>0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4">
        <v>-18</v>
      </c>
      <c r="BO87" s="11">
        <f>BM87+BG87+BE87+BC87+BA87+AY87+AW87+AU87+AS87+AQ87+AO87+AM87+AK87+AI87+AG87+AE87+AC87+AA87+Y87+W87+U87+S87+Q87+O87+M87+K87+I87+G87+E87</f>
        <v>0</v>
      </c>
      <c r="BP87" s="9">
        <f>BN87+BH87+BF87+BD87+BB87+AZ87+AX87+AV87+AT87+AR87+AP87+AN87+AL87+AJ87+AH87+AF87+AD87+AB87+Z87+X87+V87+T87+R87+P87+N87+L87+J87+H87+F87</f>
        <v>-18</v>
      </c>
    </row>
    <row r="88" spans="1:68" ht="15.6" thickBot="1" x14ac:dyDescent="0.3">
      <c r="A88" s="25" t="s">
        <v>557</v>
      </c>
      <c r="B88" s="18" t="s">
        <v>507</v>
      </c>
      <c r="C88" s="3">
        <v>4</v>
      </c>
      <c r="D88" s="21">
        <f>C88+SUM(E88:BN88)</f>
        <v>0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4">
        <v>-4</v>
      </c>
      <c r="BO88" s="11">
        <f>BM88+BG88+BE88+BC88+BA88+AY88+AW88+AU88+AS88+AQ88+AO88+AM88+AK88+AI88+AG88+AE88+AC88+AA88+Y88+W88+U88+S88+Q88+O88+M88+K88+I88+G88+E88</f>
        <v>0</v>
      </c>
      <c r="BP88" s="9">
        <f>BN88+BH88+BF88+BD88+BB88+AZ88+AX88+AV88+AT88+AR88+AP88+AN88+AL88+AJ88+AH88+AF88+AD88+AB88+Z88+X88+V88+T88+R88+P88+N88+L88+J88+H88+F88</f>
        <v>-4</v>
      </c>
    </row>
    <row r="89" spans="1:68" ht="16.2" thickBot="1" x14ac:dyDescent="0.35">
      <c r="A89" s="25"/>
      <c r="B89" s="23" t="s">
        <v>861</v>
      </c>
      <c r="C89" s="3"/>
      <c r="D89" s="21">
        <f t="shared" ref="D89:D91" si="18">C89+SUM(E89:BN89)</f>
        <v>0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4"/>
      <c r="BO89" s="11">
        <f t="shared" ref="BO89:BO91" si="19">BM89+BG89+BE89+BC89+BA89+AY89+AW89+AU89+AS89+AQ89+AO89+AM89+AK89+AI89+AG89+AE89+AC89+AA89+Y89+W89+U89+S89+Q89+O89+M89+K89+I89+G89+E89</f>
        <v>0</v>
      </c>
      <c r="BP89" s="9">
        <f t="shared" ref="BP89:BP91" si="20">BN89+BH89+BF89+BD89+BB89+AZ89+AX89+AV89+AT89+AR89+AP89+AN89+AL89+AJ89+AH89+AF89+AD89+AB89+Z89+X89+V89+T89+R89+P89+N89+L89+J89+H89+F89</f>
        <v>0</v>
      </c>
    </row>
    <row r="90" spans="1:68" ht="15.6" thickBot="1" x14ac:dyDescent="0.3">
      <c r="A90" s="25" t="s">
        <v>862</v>
      </c>
      <c r="B90" s="18" t="s">
        <v>863</v>
      </c>
      <c r="C90" s="3"/>
      <c r="D90" s="21">
        <f t="shared" si="18"/>
        <v>810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>
        <v>54</v>
      </c>
      <c r="BJ90" s="10"/>
      <c r="BK90" s="10">
        <f>54*2+54*4</f>
        <v>324</v>
      </c>
      <c r="BL90" s="10"/>
      <c r="BM90" s="10">
        <f>54*8</f>
        <v>432</v>
      </c>
      <c r="BN90" s="14"/>
      <c r="BO90" s="11">
        <f t="shared" si="19"/>
        <v>432</v>
      </c>
      <c r="BP90" s="9">
        <f t="shared" si="20"/>
        <v>0</v>
      </c>
    </row>
    <row r="91" spans="1:68" ht="15.6" thickBot="1" x14ac:dyDescent="0.3">
      <c r="A91" s="25" t="s">
        <v>864</v>
      </c>
      <c r="B91" s="18" t="s">
        <v>865</v>
      </c>
      <c r="C91" s="3"/>
      <c r="D91" s="21">
        <f t="shared" si="18"/>
        <v>0</v>
      </c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4"/>
      <c r="BO91" s="11">
        <f t="shared" si="19"/>
        <v>0</v>
      </c>
      <c r="BP91" s="9">
        <f t="shared" si="20"/>
        <v>0</v>
      </c>
    </row>
    <row r="92" spans="1:68" ht="16.2" thickBot="1" x14ac:dyDescent="0.35">
      <c r="A92" s="25"/>
      <c r="B92" s="23" t="s">
        <v>167</v>
      </c>
      <c r="C92" s="3"/>
      <c r="D92" s="21">
        <f t="shared" si="9"/>
        <v>0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4"/>
      <c r="BO92" s="11">
        <f t="shared" si="10"/>
        <v>0</v>
      </c>
      <c r="BP92" s="9">
        <f t="shared" si="11"/>
        <v>0</v>
      </c>
    </row>
    <row r="93" spans="1:68" ht="15.6" thickBot="1" x14ac:dyDescent="0.3">
      <c r="A93" s="25" t="s">
        <v>168</v>
      </c>
      <c r="B93" s="18" t="s">
        <v>107</v>
      </c>
      <c r="C93" s="3"/>
      <c r="D93" s="21">
        <f t="shared" si="9"/>
        <v>200</v>
      </c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>
        <f>72+72+56</f>
        <v>200</v>
      </c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4"/>
      <c r="BO93" s="11">
        <f t="shared" si="10"/>
        <v>200</v>
      </c>
      <c r="BP93" s="9">
        <f t="shared" si="11"/>
        <v>0</v>
      </c>
    </row>
    <row r="94" spans="1:68" ht="15.6" thickBot="1" x14ac:dyDescent="0.3">
      <c r="A94" s="25" t="s">
        <v>169</v>
      </c>
      <c r="B94" s="18" t="s">
        <v>11</v>
      </c>
      <c r="C94" s="3"/>
      <c r="D94" s="21">
        <f t="shared" si="9"/>
        <v>200</v>
      </c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>
        <f>72+72</f>
        <v>144</v>
      </c>
      <c r="AH94" s="10"/>
      <c r="AI94" s="10">
        <v>56</v>
      </c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4"/>
      <c r="BO94" s="11">
        <f t="shared" si="10"/>
        <v>200</v>
      </c>
      <c r="BP94" s="9">
        <f t="shared" si="11"/>
        <v>0</v>
      </c>
    </row>
    <row r="95" spans="1:68" ht="15.6" thickBot="1" x14ac:dyDescent="0.3">
      <c r="A95" s="25" t="s">
        <v>170</v>
      </c>
      <c r="B95" s="18" t="s">
        <v>42</v>
      </c>
      <c r="C95" s="3"/>
      <c r="D95" s="21">
        <f t="shared" si="9"/>
        <v>200</v>
      </c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>
        <f>72+72+56</f>
        <v>200</v>
      </c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4"/>
      <c r="BO95" s="11">
        <f t="shared" si="10"/>
        <v>200</v>
      </c>
      <c r="BP95" s="9">
        <f t="shared" si="11"/>
        <v>0</v>
      </c>
    </row>
    <row r="96" spans="1:68" ht="15.6" thickBot="1" x14ac:dyDescent="0.3">
      <c r="A96" s="25" t="s">
        <v>171</v>
      </c>
      <c r="B96" s="18" t="s">
        <v>43</v>
      </c>
      <c r="C96" s="3"/>
      <c r="D96" s="21">
        <f t="shared" si="9"/>
        <v>0</v>
      </c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4"/>
      <c r="BO96" s="11">
        <f t="shared" si="10"/>
        <v>0</v>
      </c>
      <c r="BP96" s="9">
        <f t="shared" si="11"/>
        <v>0</v>
      </c>
    </row>
    <row r="97" spans="1:68" ht="15.6" thickBot="1" x14ac:dyDescent="0.3">
      <c r="A97" s="25" t="s">
        <v>172</v>
      </c>
      <c r="B97" s="18" t="s">
        <v>44</v>
      </c>
      <c r="C97" s="3"/>
      <c r="D97" s="21">
        <f t="shared" si="9"/>
        <v>0</v>
      </c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4"/>
      <c r="BO97" s="11">
        <f t="shared" si="10"/>
        <v>0</v>
      </c>
      <c r="BP97" s="9">
        <f t="shared" si="11"/>
        <v>0</v>
      </c>
    </row>
    <row r="98" spans="1:68" ht="15.6" thickBot="1" x14ac:dyDescent="0.3">
      <c r="A98" s="25" t="s">
        <v>173</v>
      </c>
      <c r="B98" s="18" t="s">
        <v>45</v>
      </c>
      <c r="C98" s="3"/>
      <c r="D98" s="21">
        <f t="shared" si="9"/>
        <v>0</v>
      </c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4"/>
      <c r="BO98" s="11">
        <f t="shared" si="10"/>
        <v>0</v>
      </c>
      <c r="BP98" s="9">
        <f t="shared" si="11"/>
        <v>0</v>
      </c>
    </row>
    <row r="99" spans="1:68" ht="15.6" thickBot="1" x14ac:dyDescent="0.3">
      <c r="A99" s="25" t="s">
        <v>505</v>
      </c>
      <c r="B99" s="18" t="s">
        <v>504</v>
      </c>
      <c r="C99" s="3"/>
      <c r="D99" s="21">
        <f t="shared" si="9"/>
        <v>200</v>
      </c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>
        <f>72+72+56</f>
        <v>200</v>
      </c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4"/>
      <c r="BO99" s="11">
        <f t="shared" si="10"/>
        <v>200</v>
      </c>
      <c r="BP99" s="9">
        <f t="shared" si="11"/>
        <v>0</v>
      </c>
    </row>
    <row r="100" spans="1:68" ht="15.6" thickBot="1" x14ac:dyDescent="0.3">
      <c r="A100" s="25" t="s">
        <v>270</v>
      </c>
      <c r="B100" s="18" t="s">
        <v>76</v>
      </c>
      <c r="C100" s="3"/>
      <c r="D100" s="21">
        <f t="shared" si="9"/>
        <v>100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>
        <f>72+28</f>
        <v>100</v>
      </c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4"/>
      <c r="BO100" s="11">
        <f t="shared" si="10"/>
        <v>100</v>
      </c>
      <c r="BP100" s="9">
        <f t="shared" si="11"/>
        <v>0</v>
      </c>
    </row>
    <row r="101" spans="1:68" ht="15.6" thickBot="1" x14ac:dyDescent="0.3">
      <c r="A101" s="25" t="s">
        <v>271</v>
      </c>
      <c r="B101" s="18" t="s">
        <v>272</v>
      </c>
      <c r="C101" s="3"/>
      <c r="D101" s="21">
        <f t="shared" si="9"/>
        <v>250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>
        <f>72+72+72+34</f>
        <v>250</v>
      </c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4"/>
      <c r="BO101" s="11">
        <f t="shared" si="10"/>
        <v>250</v>
      </c>
      <c r="BP101" s="9">
        <f t="shared" si="11"/>
        <v>0</v>
      </c>
    </row>
    <row r="102" spans="1:68" ht="15.6" thickBot="1" x14ac:dyDescent="0.3">
      <c r="A102" s="25" t="s">
        <v>265</v>
      </c>
      <c r="B102" s="18" t="s">
        <v>268</v>
      </c>
      <c r="C102" s="3"/>
      <c r="D102" s="21">
        <f t="shared" si="9"/>
        <v>0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4"/>
      <c r="BO102" s="11">
        <f t="shared" si="10"/>
        <v>0</v>
      </c>
      <c r="BP102" s="9">
        <f t="shared" si="11"/>
        <v>0</v>
      </c>
    </row>
    <row r="103" spans="1:68" ht="15.6" thickBot="1" x14ac:dyDescent="0.3">
      <c r="A103" s="25" t="s">
        <v>266</v>
      </c>
      <c r="B103" s="18" t="s">
        <v>269</v>
      </c>
      <c r="C103" s="3"/>
      <c r="D103" s="21">
        <f t="shared" si="9"/>
        <v>200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>
        <v>72</v>
      </c>
      <c r="AH103" s="10"/>
      <c r="AI103" s="14">
        <f>72+56</f>
        <v>128</v>
      </c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4"/>
      <c r="BO103" s="11">
        <f t="shared" si="10"/>
        <v>200</v>
      </c>
      <c r="BP103" s="9">
        <f t="shared" si="11"/>
        <v>0</v>
      </c>
    </row>
    <row r="104" spans="1:68" ht="15.6" thickBot="1" x14ac:dyDescent="0.3">
      <c r="A104" s="25" t="s">
        <v>267</v>
      </c>
      <c r="B104" s="18" t="s">
        <v>116</v>
      </c>
      <c r="C104" s="3"/>
      <c r="D104" s="21">
        <f t="shared" si="9"/>
        <v>150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>
        <f>72+72+6</f>
        <v>150</v>
      </c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4"/>
      <c r="BO104" s="11">
        <f t="shared" si="10"/>
        <v>150</v>
      </c>
      <c r="BP104" s="9">
        <f t="shared" si="11"/>
        <v>0</v>
      </c>
    </row>
    <row r="105" spans="1:68" ht="15.6" thickBot="1" x14ac:dyDescent="0.3">
      <c r="A105" s="25" t="s">
        <v>174</v>
      </c>
      <c r="B105" s="18" t="s">
        <v>77</v>
      </c>
      <c r="C105" s="3">
        <f>28</f>
        <v>28</v>
      </c>
      <c r="D105" s="21">
        <f t="shared" si="9"/>
        <v>0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4">
        <v>-28</v>
      </c>
      <c r="BO105" s="11">
        <f t="shared" si="10"/>
        <v>0</v>
      </c>
      <c r="BP105" s="9">
        <f t="shared" si="11"/>
        <v>-28</v>
      </c>
    </row>
    <row r="106" spans="1:68" ht="15.6" thickBot="1" x14ac:dyDescent="0.3">
      <c r="A106" s="25" t="s">
        <v>175</v>
      </c>
      <c r="B106" s="18" t="s">
        <v>176</v>
      </c>
      <c r="C106" s="3">
        <v>2</v>
      </c>
      <c r="D106" s="21">
        <f t="shared" si="9"/>
        <v>0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4">
        <v>-2</v>
      </c>
      <c r="BO106" s="11">
        <f t="shared" si="10"/>
        <v>0</v>
      </c>
      <c r="BP106" s="9">
        <f t="shared" si="11"/>
        <v>-2</v>
      </c>
    </row>
    <row r="107" spans="1:68" ht="15.6" thickBot="1" x14ac:dyDescent="0.3">
      <c r="A107" s="25" t="s">
        <v>587</v>
      </c>
      <c r="B107" s="18" t="s">
        <v>488</v>
      </c>
      <c r="C107" s="3"/>
      <c r="D107" s="21">
        <f t="shared" si="9"/>
        <v>150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>
        <f>72*2+6</f>
        <v>150</v>
      </c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4"/>
      <c r="BO107" s="11">
        <f t="shared" si="10"/>
        <v>150</v>
      </c>
      <c r="BP107" s="9">
        <f t="shared" si="11"/>
        <v>0</v>
      </c>
    </row>
    <row r="108" spans="1:68" ht="15.6" thickBot="1" x14ac:dyDescent="0.3">
      <c r="A108" s="25" t="s">
        <v>588</v>
      </c>
      <c r="B108" s="18" t="s">
        <v>489</v>
      </c>
      <c r="C108" s="3"/>
      <c r="D108" s="21">
        <f t="shared" si="9"/>
        <v>150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>
        <f>72*2+6</f>
        <v>150</v>
      </c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4"/>
      <c r="BO108" s="11">
        <f t="shared" si="10"/>
        <v>150</v>
      </c>
      <c r="BP108" s="9">
        <f t="shared" si="11"/>
        <v>0</v>
      </c>
    </row>
    <row r="109" spans="1:68" ht="15.6" thickBot="1" x14ac:dyDescent="0.3">
      <c r="A109" s="25" t="s">
        <v>743</v>
      </c>
      <c r="B109" s="18" t="s">
        <v>510</v>
      </c>
      <c r="C109" s="3"/>
      <c r="D109" s="21">
        <f t="shared" si="9"/>
        <v>0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4"/>
      <c r="BO109" s="11">
        <f t="shared" si="10"/>
        <v>0</v>
      </c>
      <c r="BP109" s="9">
        <f t="shared" si="11"/>
        <v>0</v>
      </c>
    </row>
    <row r="110" spans="1:68" ht="16.2" thickBot="1" x14ac:dyDescent="0.35">
      <c r="A110" s="25"/>
      <c r="B110" s="23" t="s">
        <v>455</v>
      </c>
      <c r="C110" s="3"/>
      <c r="D110" s="21">
        <f t="shared" si="9"/>
        <v>0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4"/>
      <c r="BO110" s="11">
        <f t="shared" si="10"/>
        <v>0</v>
      </c>
      <c r="BP110" s="9">
        <f t="shared" si="11"/>
        <v>0</v>
      </c>
    </row>
    <row r="111" spans="1:68" ht="15.6" thickBot="1" x14ac:dyDescent="0.3">
      <c r="A111" s="25" t="s">
        <v>612</v>
      </c>
      <c r="B111" s="26" t="s">
        <v>433</v>
      </c>
      <c r="C111" s="3"/>
      <c r="D111" s="21">
        <f t="shared" si="9"/>
        <v>0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4"/>
      <c r="BO111" s="11">
        <f t="shared" si="10"/>
        <v>0</v>
      </c>
      <c r="BP111" s="9">
        <f t="shared" si="11"/>
        <v>0</v>
      </c>
    </row>
    <row r="112" spans="1:68" ht="15.6" thickBot="1" x14ac:dyDescent="0.3">
      <c r="A112" s="25" t="s">
        <v>759</v>
      </c>
      <c r="B112" s="26" t="s">
        <v>434</v>
      </c>
      <c r="C112" s="3"/>
      <c r="D112" s="21">
        <f t="shared" si="9"/>
        <v>0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4"/>
      <c r="BO112" s="11">
        <f t="shared" si="10"/>
        <v>0</v>
      </c>
      <c r="BP112" s="9">
        <f t="shared" si="11"/>
        <v>0</v>
      </c>
    </row>
    <row r="113" spans="1:68" ht="15.6" thickBot="1" x14ac:dyDescent="0.3">
      <c r="A113" s="25" t="s">
        <v>611</v>
      </c>
      <c r="B113" s="26" t="s">
        <v>435</v>
      </c>
      <c r="C113" s="3"/>
      <c r="D113" s="21">
        <f t="shared" si="9"/>
        <v>0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4"/>
      <c r="BO113" s="11">
        <f t="shared" si="10"/>
        <v>0</v>
      </c>
      <c r="BP113" s="9">
        <f t="shared" si="11"/>
        <v>0</v>
      </c>
    </row>
    <row r="114" spans="1:68" ht="15.6" thickBot="1" x14ac:dyDescent="0.3">
      <c r="A114" s="25" t="s">
        <v>825</v>
      </c>
      <c r="B114" s="18" t="s">
        <v>436</v>
      </c>
      <c r="C114" s="3"/>
      <c r="D114" s="21">
        <f t="shared" si="9"/>
        <v>0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4"/>
      <c r="BO114" s="11">
        <f t="shared" si="10"/>
        <v>0</v>
      </c>
      <c r="BP114" s="9">
        <f t="shared" si="11"/>
        <v>0</v>
      </c>
    </row>
    <row r="115" spans="1:68" ht="15.6" thickBot="1" x14ac:dyDescent="0.3">
      <c r="A115" s="25" t="s">
        <v>179</v>
      </c>
      <c r="B115" s="26" t="s">
        <v>46</v>
      </c>
      <c r="C115" s="3">
        <v>59</v>
      </c>
      <c r="D115" s="21">
        <f t="shared" si="9"/>
        <v>0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4">
        <v>-59</v>
      </c>
      <c r="BO115" s="11">
        <f t="shared" si="10"/>
        <v>0</v>
      </c>
      <c r="BP115" s="9">
        <f t="shared" si="11"/>
        <v>-59</v>
      </c>
    </row>
    <row r="116" spans="1:68" ht="15.6" thickBot="1" x14ac:dyDescent="0.3">
      <c r="A116" s="25" t="s">
        <v>180</v>
      </c>
      <c r="B116" s="26" t="s">
        <v>47</v>
      </c>
      <c r="C116" s="3">
        <v>40</v>
      </c>
      <c r="D116" s="21">
        <f t="shared" si="9"/>
        <v>5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4">
        <v>-35</v>
      </c>
      <c r="BO116" s="11">
        <f t="shared" si="10"/>
        <v>0</v>
      </c>
      <c r="BP116" s="9">
        <f t="shared" si="11"/>
        <v>-35</v>
      </c>
    </row>
    <row r="117" spans="1:68" ht="15.6" thickBot="1" x14ac:dyDescent="0.3">
      <c r="A117" s="25" t="s">
        <v>740</v>
      </c>
      <c r="B117" s="26" t="s">
        <v>437</v>
      </c>
      <c r="C117" s="3"/>
      <c r="D117" s="21">
        <f t="shared" si="9"/>
        <v>0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4"/>
      <c r="BO117" s="11">
        <f t="shared" si="10"/>
        <v>0</v>
      </c>
      <c r="BP117" s="9">
        <f t="shared" si="11"/>
        <v>0</v>
      </c>
    </row>
    <row r="118" spans="1:68" ht="15.6" thickBot="1" x14ac:dyDescent="0.3">
      <c r="A118" s="25" t="s">
        <v>178</v>
      </c>
      <c r="B118" s="26" t="s">
        <v>177</v>
      </c>
      <c r="C118" s="3"/>
      <c r="D118" s="21">
        <f t="shared" si="9"/>
        <v>0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4"/>
      <c r="BO118" s="11">
        <f t="shared" si="10"/>
        <v>0</v>
      </c>
      <c r="BP118" s="9">
        <f t="shared" si="11"/>
        <v>0</v>
      </c>
    </row>
    <row r="119" spans="1:68" ht="15.6" thickBot="1" x14ac:dyDescent="0.3">
      <c r="A119" s="25" t="s">
        <v>869</v>
      </c>
      <c r="B119" s="26" t="s">
        <v>261</v>
      </c>
      <c r="C119" s="3"/>
      <c r="D119" s="21">
        <f t="shared" si="9"/>
        <v>0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4"/>
      <c r="BO119" s="11">
        <f t="shared" si="10"/>
        <v>0</v>
      </c>
      <c r="BP119" s="9">
        <f t="shared" si="11"/>
        <v>0</v>
      </c>
    </row>
    <row r="120" spans="1:68" ht="16.2" thickBot="1" x14ac:dyDescent="0.35">
      <c r="A120" s="25"/>
      <c r="B120" s="20" t="s">
        <v>744</v>
      </c>
      <c r="C120" s="3"/>
      <c r="D120" s="21">
        <f t="shared" si="9"/>
        <v>0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4"/>
      <c r="BO120" s="11">
        <f t="shared" si="10"/>
        <v>0</v>
      </c>
      <c r="BP120" s="9">
        <f t="shared" si="11"/>
        <v>0</v>
      </c>
    </row>
    <row r="121" spans="1:68" ht="15.6" thickBot="1" x14ac:dyDescent="0.3">
      <c r="A121" s="25" t="s">
        <v>745</v>
      </c>
      <c r="B121" s="26" t="s">
        <v>836</v>
      </c>
      <c r="C121" s="3"/>
      <c r="D121" s="21">
        <f t="shared" si="9"/>
        <v>0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4"/>
      <c r="BO121" s="11">
        <f t="shared" si="10"/>
        <v>0</v>
      </c>
      <c r="BP121" s="9">
        <f t="shared" si="11"/>
        <v>0</v>
      </c>
    </row>
    <row r="122" spans="1:68" ht="15.6" thickBot="1" x14ac:dyDescent="0.3">
      <c r="A122" s="25" t="s">
        <v>746</v>
      </c>
      <c r="B122" s="26" t="s">
        <v>751</v>
      </c>
      <c r="C122" s="3"/>
      <c r="D122" s="21">
        <f t="shared" si="9"/>
        <v>0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4"/>
      <c r="BO122" s="11">
        <f t="shared" si="10"/>
        <v>0</v>
      </c>
      <c r="BP122" s="9">
        <f t="shared" si="11"/>
        <v>0</v>
      </c>
    </row>
    <row r="123" spans="1:68" ht="15.6" thickBot="1" x14ac:dyDescent="0.3">
      <c r="A123" s="25" t="s">
        <v>747</v>
      </c>
      <c r="B123" s="26" t="s">
        <v>748</v>
      </c>
      <c r="C123" s="3"/>
      <c r="D123" s="21">
        <f t="shared" si="9"/>
        <v>0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4"/>
      <c r="BO123" s="11">
        <f t="shared" si="10"/>
        <v>0</v>
      </c>
      <c r="BP123" s="9">
        <f t="shared" si="11"/>
        <v>0</v>
      </c>
    </row>
    <row r="124" spans="1:68" ht="15.6" thickBot="1" x14ac:dyDescent="0.3">
      <c r="A124" s="25" t="s">
        <v>511</v>
      </c>
      <c r="B124" s="26" t="s">
        <v>754</v>
      </c>
      <c r="C124" s="3"/>
      <c r="D124" s="21">
        <f t="shared" si="9"/>
        <v>0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4"/>
      <c r="BO124" s="11">
        <f t="shared" si="10"/>
        <v>0</v>
      </c>
      <c r="BP124" s="9">
        <f t="shared" si="11"/>
        <v>0</v>
      </c>
    </row>
    <row r="125" spans="1:68" ht="15.6" thickBot="1" x14ac:dyDescent="0.3">
      <c r="A125" s="25" t="s">
        <v>783</v>
      </c>
      <c r="B125" s="26" t="s">
        <v>5</v>
      </c>
      <c r="C125" s="3"/>
      <c r="D125" s="21">
        <f t="shared" si="9"/>
        <v>0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4"/>
      <c r="BO125" s="11">
        <f t="shared" si="10"/>
        <v>0</v>
      </c>
      <c r="BP125" s="9">
        <f t="shared" si="11"/>
        <v>0</v>
      </c>
    </row>
    <row r="126" spans="1:68" ht="15.6" thickBot="1" x14ac:dyDescent="0.3">
      <c r="A126" s="25" t="s">
        <v>780</v>
      </c>
      <c r="B126" s="26" t="s">
        <v>781</v>
      </c>
      <c r="C126" s="3"/>
      <c r="D126" s="21">
        <f t="shared" si="9"/>
        <v>0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4"/>
      <c r="BO126" s="11">
        <f t="shared" si="10"/>
        <v>0</v>
      </c>
      <c r="BP126" s="9">
        <f t="shared" si="11"/>
        <v>0</v>
      </c>
    </row>
    <row r="127" spans="1:68" ht="15.6" thickBot="1" x14ac:dyDescent="0.3">
      <c r="A127" s="25" t="s">
        <v>782</v>
      </c>
      <c r="B127" s="26" t="s">
        <v>6</v>
      </c>
      <c r="C127" s="3"/>
      <c r="D127" s="21">
        <f t="shared" si="9"/>
        <v>0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4"/>
      <c r="BO127" s="11">
        <f t="shared" si="10"/>
        <v>0</v>
      </c>
      <c r="BP127" s="9">
        <f t="shared" si="11"/>
        <v>0</v>
      </c>
    </row>
    <row r="128" spans="1:68" ht="15.6" thickBot="1" x14ac:dyDescent="0.3">
      <c r="A128" s="25"/>
      <c r="B128" s="26"/>
      <c r="C128" s="3"/>
      <c r="D128" s="21">
        <f t="shared" si="9"/>
        <v>0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4"/>
      <c r="BO128" s="11">
        <f t="shared" si="10"/>
        <v>0</v>
      </c>
      <c r="BP128" s="9">
        <f t="shared" si="11"/>
        <v>0</v>
      </c>
    </row>
    <row r="129" spans="1:68" ht="16.2" thickBot="1" x14ac:dyDescent="0.35">
      <c r="A129" s="25"/>
      <c r="B129" s="23" t="s">
        <v>458</v>
      </c>
      <c r="C129" s="3"/>
      <c r="D129" s="21">
        <f t="shared" si="9"/>
        <v>0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4"/>
      <c r="BO129" s="11">
        <f t="shared" si="10"/>
        <v>0</v>
      </c>
      <c r="BP129" s="9">
        <f t="shared" si="11"/>
        <v>0</v>
      </c>
    </row>
    <row r="130" spans="1:68" ht="15.6" thickBot="1" x14ac:dyDescent="0.3">
      <c r="A130" s="25" t="s">
        <v>598</v>
      </c>
      <c r="B130" s="26" t="s">
        <v>459</v>
      </c>
      <c r="C130" s="3">
        <v>23</v>
      </c>
      <c r="D130" s="21">
        <f t="shared" si="9"/>
        <v>0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4">
        <v>-23</v>
      </c>
      <c r="BO130" s="11">
        <f t="shared" si="10"/>
        <v>0</v>
      </c>
      <c r="BP130" s="9">
        <f t="shared" si="11"/>
        <v>-23</v>
      </c>
    </row>
    <row r="131" spans="1:68" ht="15.6" thickBot="1" x14ac:dyDescent="0.3">
      <c r="A131" s="25" t="s">
        <v>597</v>
      </c>
      <c r="B131" s="26" t="s">
        <v>176</v>
      </c>
      <c r="C131" s="3">
        <v>9</v>
      </c>
      <c r="D131" s="21">
        <f t="shared" si="9"/>
        <v>0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4">
        <v>-9</v>
      </c>
      <c r="BO131" s="11">
        <f t="shared" si="10"/>
        <v>0</v>
      </c>
      <c r="BP131" s="9">
        <f t="shared" si="11"/>
        <v>-9</v>
      </c>
    </row>
    <row r="132" spans="1:68" ht="15.6" thickBot="1" x14ac:dyDescent="0.3">
      <c r="A132" s="25" t="s">
        <v>620</v>
      </c>
      <c r="B132" s="26" t="s">
        <v>460</v>
      </c>
      <c r="C132" s="3"/>
      <c r="D132" s="21">
        <f t="shared" si="9"/>
        <v>0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4"/>
      <c r="BO132" s="11">
        <f t="shared" si="10"/>
        <v>0</v>
      </c>
      <c r="BP132" s="9">
        <f t="shared" si="11"/>
        <v>0</v>
      </c>
    </row>
    <row r="133" spans="1:68" ht="16.2" thickBot="1" x14ac:dyDescent="0.35">
      <c r="A133" s="25"/>
      <c r="B133" s="23" t="s">
        <v>634</v>
      </c>
      <c r="C133" s="3"/>
      <c r="D133" s="21">
        <f t="shared" si="9"/>
        <v>0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4"/>
      <c r="BO133" s="11">
        <f t="shared" si="10"/>
        <v>0</v>
      </c>
      <c r="BP133" s="9">
        <f t="shared" si="11"/>
        <v>0</v>
      </c>
    </row>
    <row r="134" spans="1:68" ht="15.6" thickBot="1" x14ac:dyDescent="0.3">
      <c r="A134" s="25" t="s">
        <v>631</v>
      </c>
      <c r="B134" s="26" t="s">
        <v>48</v>
      </c>
      <c r="C134" s="3"/>
      <c r="D134" s="21">
        <f t="shared" si="9"/>
        <v>0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4"/>
      <c r="BO134" s="11">
        <f t="shared" si="10"/>
        <v>0</v>
      </c>
      <c r="BP134" s="9">
        <f t="shared" si="11"/>
        <v>0</v>
      </c>
    </row>
    <row r="135" spans="1:68" ht="15.6" thickBot="1" x14ac:dyDescent="0.3">
      <c r="A135" s="25" t="s">
        <v>633</v>
      </c>
      <c r="B135" s="26" t="s">
        <v>49</v>
      </c>
      <c r="C135" s="3"/>
      <c r="D135" s="21">
        <f t="shared" si="9"/>
        <v>0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4"/>
      <c r="BO135" s="11">
        <f t="shared" si="10"/>
        <v>0</v>
      </c>
      <c r="BP135" s="9">
        <f t="shared" si="11"/>
        <v>0</v>
      </c>
    </row>
    <row r="136" spans="1:68" ht="15.6" thickBot="1" x14ac:dyDescent="0.3">
      <c r="A136" s="25" t="s">
        <v>632</v>
      </c>
      <c r="B136" s="26" t="s">
        <v>50</v>
      </c>
      <c r="C136" s="3"/>
      <c r="D136" s="21">
        <f t="shared" si="9"/>
        <v>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4"/>
      <c r="BO136" s="11">
        <f t="shared" si="10"/>
        <v>0</v>
      </c>
      <c r="BP136" s="9">
        <f t="shared" si="11"/>
        <v>0</v>
      </c>
    </row>
    <row r="137" spans="1:68" ht="16.2" thickBot="1" x14ac:dyDescent="0.35">
      <c r="A137" s="25"/>
      <c r="B137" s="20" t="s">
        <v>453</v>
      </c>
      <c r="C137" s="3"/>
      <c r="D137" s="21">
        <f t="shared" si="9"/>
        <v>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4"/>
      <c r="BO137" s="11">
        <f t="shared" si="10"/>
        <v>0</v>
      </c>
      <c r="BP137" s="9">
        <f t="shared" si="11"/>
        <v>0</v>
      </c>
    </row>
    <row r="138" spans="1:68" ht="15.6" thickBot="1" x14ac:dyDescent="0.3">
      <c r="A138" s="25" t="s">
        <v>285</v>
      </c>
      <c r="B138" s="26" t="s">
        <v>51</v>
      </c>
      <c r="C138" s="3"/>
      <c r="D138" s="21">
        <f t="shared" si="9"/>
        <v>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4"/>
      <c r="BO138" s="11">
        <f t="shared" si="10"/>
        <v>0</v>
      </c>
      <c r="BP138" s="9">
        <f t="shared" si="11"/>
        <v>0</v>
      </c>
    </row>
    <row r="139" spans="1:68" ht="15.6" thickBot="1" x14ac:dyDescent="0.3">
      <c r="A139" s="25" t="s">
        <v>286</v>
      </c>
      <c r="B139" s="26" t="s">
        <v>52</v>
      </c>
      <c r="C139" s="3"/>
      <c r="D139" s="21">
        <f t="shared" si="9"/>
        <v>0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4"/>
      <c r="BO139" s="11">
        <f t="shared" si="10"/>
        <v>0</v>
      </c>
      <c r="BP139" s="9">
        <f t="shared" si="11"/>
        <v>0</v>
      </c>
    </row>
    <row r="140" spans="1:68" ht="15.6" thickBot="1" x14ac:dyDescent="0.3">
      <c r="A140" s="25" t="s">
        <v>287</v>
      </c>
      <c r="B140" s="26" t="s">
        <v>53</v>
      </c>
      <c r="C140" s="3"/>
      <c r="D140" s="21">
        <f t="shared" si="9"/>
        <v>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4"/>
      <c r="BO140" s="11">
        <f t="shared" si="10"/>
        <v>0</v>
      </c>
      <c r="BP140" s="9">
        <f t="shared" si="11"/>
        <v>0</v>
      </c>
    </row>
    <row r="141" spans="1:68" ht="15.6" thickBot="1" x14ac:dyDescent="0.3">
      <c r="A141" s="25" t="s">
        <v>288</v>
      </c>
      <c r="B141" s="26" t="s">
        <v>54</v>
      </c>
      <c r="C141" s="3">
        <v>4</v>
      </c>
      <c r="D141" s="21">
        <f t="shared" si="9"/>
        <v>0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4">
        <v>-4</v>
      </c>
      <c r="BO141" s="11">
        <f t="shared" si="10"/>
        <v>0</v>
      </c>
      <c r="BP141" s="9">
        <f t="shared" si="11"/>
        <v>-4</v>
      </c>
    </row>
    <row r="142" spans="1:68" ht="15.6" thickBot="1" x14ac:dyDescent="0.3">
      <c r="A142" s="25" t="s">
        <v>550</v>
      </c>
      <c r="B142" s="26" t="s">
        <v>551</v>
      </c>
      <c r="C142" s="3"/>
      <c r="D142" s="21">
        <f t="shared" ref="D142:D205" si="21">C142+SUM(E142:BN142)</f>
        <v>0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4"/>
      <c r="BO142" s="11">
        <f t="shared" si="10"/>
        <v>0</v>
      </c>
      <c r="BP142" s="9">
        <f t="shared" si="11"/>
        <v>0</v>
      </c>
    </row>
    <row r="143" spans="1:68" ht="16.2" thickBot="1" x14ac:dyDescent="0.35">
      <c r="A143" s="25"/>
      <c r="B143" s="20" t="s">
        <v>452</v>
      </c>
      <c r="C143" s="3"/>
      <c r="D143" s="21">
        <f t="shared" si="21"/>
        <v>0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4"/>
      <c r="BO143" s="11">
        <f t="shared" ref="BO143:BO206" si="22">BM143+BG143+BE143+BC143+BA143+AY143+AW143+AU143+AS143+AQ143+AO143+AM143+AK143+AI143+AG143+AE143+AC143+AA143+Y143+W143+U143+S143+Q143+O143+M143+K143+I143+G143+E143</f>
        <v>0</v>
      </c>
      <c r="BP143" s="9">
        <f t="shared" ref="BP143:BP206" si="23">BN143+BH143+BF143+BD143+BB143+AZ143+AX143+AV143+AT143+AR143+AP143+AN143+AL143+AJ143+AH143+AF143+AD143+AB143+Z143+X143+V143+T143+R143+P143+N143+L143+J143+H143+F143</f>
        <v>0</v>
      </c>
    </row>
    <row r="144" spans="1:68" ht="15.6" thickBot="1" x14ac:dyDescent="0.3">
      <c r="A144" s="25" t="s">
        <v>289</v>
      </c>
      <c r="B144" s="26" t="s">
        <v>55</v>
      </c>
      <c r="C144" s="3">
        <v>12</v>
      </c>
      <c r="D144" s="21">
        <f t="shared" si="21"/>
        <v>0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4">
        <v>-12</v>
      </c>
      <c r="BO144" s="11">
        <f t="shared" si="22"/>
        <v>0</v>
      </c>
      <c r="BP144" s="9">
        <f t="shared" si="23"/>
        <v>-12</v>
      </c>
    </row>
    <row r="145" spans="1:68" ht="15.6" thickBot="1" x14ac:dyDescent="0.3">
      <c r="A145" s="25" t="s">
        <v>290</v>
      </c>
      <c r="B145" s="26" t="s">
        <v>9</v>
      </c>
      <c r="C145" s="3"/>
      <c r="D145" s="21">
        <f t="shared" si="21"/>
        <v>0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4"/>
      <c r="BO145" s="11">
        <f t="shared" si="22"/>
        <v>0</v>
      </c>
      <c r="BP145" s="9">
        <f t="shared" si="23"/>
        <v>0</v>
      </c>
    </row>
    <row r="146" spans="1:68" ht="15.6" thickBot="1" x14ac:dyDescent="0.3">
      <c r="A146" s="25" t="s">
        <v>291</v>
      </c>
      <c r="B146" s="26" t="s">
        <v>56</v>
      </c>
      <c r="C146" s="3">
        <v>11</v>
      </c>
      <c r="D146" s="21">
        <f t="shared" si="21"/>
        <v>0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4">
        <v>-11</v>
      </c>
      <c r="BO146" s="11">
        <f t="shared" si="22"/>
        <v>0</v>
      </c>
      <c r="BP146" s="9">
        <f t="shared" si="23"/>
        <v>-11</v>
      </c>
    </row>
    <row r="147" spans="1:68" ht="16.2" thickBot="1" x14ac:dyDescent="0.35">
      <c r="A147" s="25"/>
      <c r="B147" s="20" t="s">
        <v>467</v>
      </c>
      <c r="C147" s="3"/>
      <c r="D147" s="21">
        <f t="shared" si="21"/>
        <v>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4"/>
      <c r="BO147" s="11">
        <f t="shared" si="22"/>
        <v>0</v>
      </c>
      <c r="BP147" s="9">
        <f t="shared" si="23"/>
        <v>0</v>
      </c>
    </row>
    <row r="148" spans="1:68" ht="15.6" thickBot="1" x14ac:dyDescent="0.3">
      <c r="A148" s="25" t="s">
        <v>674</v>
      </c>
      <c r="B148" s="26" t="s">
        <v>55</v>
      </c>
      <c r="C148" s="3"/>
      <c r="D148" s="21">
        <f t="shared" si="21"/>
        <v>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4"/>
      <c r="BO148" s="11">
        <f t="shared" si="22"/>
        <v>0</v>
      </c>
      <c r="BP148" s="9">
        <f t="shared" si="23"/>
        <v>0</v>
      </c>
    </row>
    <row r="149" spans="1:68" ht="15.6" thickBot="1" x14ac:dyDescent="0.3">
      <c r="A149" s="25" t="s">
        <v>675</v>
      </c>
      <c r="B149" s="26" t="s">
        <v>9</v>
      </c>
      <c r="C149" s="3"/>
      <c r="D149" s="21">
        <f t="shared" si="21"/>
        <v>0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4"/>
      <c r="BO149" s="11">
        <f t="shared" si="22"/>
        <v>0</v>
      </c>
      <c r="BP149" s="9">
        <f t="shared" si="23"/>
        <v>0</v>
      </c>
    </row>
    <row r="150" spans="1:68" ht="16.2" thickBot="1" x14ac:dyDescent="0.35">
      <c r="A150" s="25"/>
      <c r="B150" s="20" t="s">
        <v>463</v>
      </c>
      <c r="C150" s="3"/>
      <c r="D150" s="21">
        <f t="shared" si="21"/>
        <v>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4"/>
      <c r="BO150" s="11">
        <f t="shared" si="22"/>
        <v>0</v>
      </c>
      <c r="BP150" s="9">
        <f t="shared" si="23"/>
        <v>0</v>
      </c>
    </row>
    <row r="151" spans="1:68" ht="15.6" thickBot="1" x14ac:dyDescent="0.3">
      <c r="A151" s="25" t="s">
        <v>545</v>
      </c>
      <c r="B151" s="26" t="s">
        <v>464</v>
      </c>
      <c r="C151" s="3"/>
      <c r="D151" s="21">
        <f t="shared" si="21"/>
        <v>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4"/>
      <c r="BO151" s="11">
        <f t="shared" si="22"/>
        <v>0</v>
      </c>
      <c r="BP151" s="9">
        <f t="shared" si="23"/>
        <v>0</v>
      </c>
    </row>
    <row r="152" spans="1:68" ht="15.6" thickBot="1" x14ac:dyDescent="0.3">
      <c r="A152" s="25" t="s">
        <v>562</v>
      </c>
      <c r="B152" s="26" t="s">
        <v>465</v>
      </c>
      <c r="C152" s="3">
        <v>35</v>
      </c>
      <c r="D152" s="21">
        <f t="shared" si="21"/>
        <v>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4">
        <v>-35</v>
      </c>
      <c r="BO152" s="11">
        <f t="shared" si="22"/>
        <v>0</v>
      </c>
      <c r="BP152" s="9">
        <f t="shared" si="23"/>
        <v>-35</v>
      </c>
    </row>
    <row r="153" spans="1:68" ht="16.2" thickBot="1" x14ac:dyDescent="0.35">
      <c r="A153" s="25"/>
      <c r="B153" s="23" t="s">
        <v>461</v>
      </c>
      <c r="C153" s="3"/>
      <c r="D153" s="21">
        <f t="shared" si="21"/>
        <v>0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4"/>
      <c r="BO153" s="11">
        <f t="shared" si="22"/>
        <v>0</v>
      </c>
      <c r="BP153" s="9">
        <f t="shared" si="23"/>
        <v>0</v>
      </c>
    </row>
    <row r="154" spans="1:68" ht="15.6" thickBot="1" x14ac:dyDescent="0.3">
      <c r="A154" s="25" t="s">
        <v>599</v>
      </c>
      <c r="B154" s="26" t="s">
        <v>630</v>
      </c>
      <c r="C154" s="3"/>
      <c r="D154" s="21">
        <f t="shared" si="21"/>
        <v>0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4"/>
      <c r="BO154" s="11">
        <f t="shared" si="22"/>
        <v>0</v>
      </c>
      <c r="BP154" s="9">
        <f t="shared" si="23"/>
        <v>0</v>
      </c>
    </row>
    <row r="155" spans="1:68" ht="15.6" thickBot="1" x14ac:dyDescent="0.3">
      <c r="A155" s="25" t="s">
        <v>760</v>
      </c>
      <c r="B155" s="26" t="s">
        <v>435</v>
      </c>
      <c r="C155" s="3"/>
      <c r="D155" s="21">
        <f t="shared" si="21"/>
        <v>0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4"/>
      <c r="BO155" s="11">
        <f t="shared" si="22"/>
        <v>0</v>
      </c>
      <c r="BP155" s="9">
        <f t="shared" si="23"/>
        <v>0</v>
      </c>
    </row>
    <row r="156" spans="1:68" ht="15.6" thickBot="1" x14ac:dyDescent="0.3">
      <c r="A156" s="25" t="s">
        <v>614</v>
      </c>
      <c r="B156" s="26" t="s">
        <v>462</v>
      </c>
      <c r="C156" s="3"/>
      <c r="D156" s="21">
        <f t="shared" si="21"/>
        <v>0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4"/>
      <c r="BO156" s="11">
        <f t="shared" si="22"/>
        <v>0</v>
      </c>
      <c r="BP156" s="9">
        <f t="shared" si="23"/>
        <v>0</v>
      </c>
    </row>
    <row r="157" spans="1:68" ht="15.6" thickBot="1" x14ac:dyDescent="0.3">
      <c r="A157" s="25" t="s">
        <v>761</v>
      </c>
      <c r="B157" s="26" t="s">
        <v>436</v>
      </c>
      <c r="C157" s="3"/>
      <c r="D157" s="21">
        <f t="shared" si="21"/>
        <v>0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4"/>
      <c r="BO157" s="11">
        <f t="shared" si="22"/>
        <v>0</v>
      </c>
      <c r="BP157" s="9">
        <f t="shared" si="23"/>
        <v>0</v>
      </c>
    </row>
    <row r="158" spans="1:68" ht="15.6" thickBot="1" x14ac:dyDescent="0.3">
      <c r="A158" s="25" t="s">
        <v>604</v>
      </c>
      <c r="B158" s="18" t="s">
        <v>57</v>
      </c>
      <c r="C158" s="3"/>
      <c r="D158" s="21">
        <f t="shared" si="21"/>
        <v>0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4"/>
      <c r="BO158" s="11">
        <f t="shared" si="22"/>
        <v>0</v>
      </c>
      <c r="BP158" s="9">
        <f t="shared" si="23"/>
        <v>0</v>
      </c>
    </row>
    <row r="159" spans="1:68" ht="16.2" thickBot="1" x14ac:dyDescent="0.35">
      <c r="A159" s="25"/>
      <c r="B159" s="23" t="s">
        <v>454</v>
      </c>
      <c r="C159" s="3"/>
      <c r="D159" s="21">
        <f t="shared" si="21"/>
        <v>0</v>
      </c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4"/>
      <c r="BO159" s="11">
        <f t="shared" si="22"/>
        <v>0</v>
      </c>
      <c r="BP159" s="9">
        <f t="shared" si="23"/>
        <v>0</v>
      </c>
    </row>
    <row r="160" spans="1:68" ht="15.6" thickBot="1" x14ac:dyDescent="0.3">
      <c r="A160" s="25" t="s">
        <v>676</v>
      </c>
      <c r="B160" s="26" t="s">
        <v>503</v>
      </c>
      <c r="C160" s="3"/>
      <c r="D160" s="21">
        <f t="shared" si="21"/>
        <v>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4"/>
      <c r="BO160" s="11">
        <f t="shared" si="22"/>
        <v>0</v>
      </c>
      <c r="BP160" s="9">
        <f t="shared" si="23"/>
        <v>0</v>
      </c>
    </row>
    <row r="161" spans="1:68" ht="16.2" thickBot="1" x14ac:dyDescent="0.35">
      <c r="A161" s="25"/>
      <c r="B161" s="20" t="s">
        <v>487</v>
      </c>
      <c r="C161" s="3"/>
      <c r="D161" s="21">
        <f t="shared" si="21"/>
        <v>0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4"/>
      <c r="BO161" s="11">
        <f t="shared" si="22"/>
        <v>0</v>
      </c>
      <c r="BP161" s="9">
        <f t="shared" si="23"/>
        <v>0</v>
      </c>
    </row>
    <row r="162" spans="1:68" ht="15.6" thickBot="1" x14ac:dyDescent="0.3">
      <c r="A162" s="25" t="s">
        <v>874</v>
      </c>
      <c r="B162" s="18" t="s">
        <v>875</v>
      </c>
      <c r="C162" s="3"/>
      <c r="D162" s="21">
        <f t="shared" si="21"/>
        <v>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4"/>
      <c r="BO162" s="11">
        <f t="shared" si="22"/>
        <v>0</v>
      </c>
      <c r="BP162" s="9">
        <f t="shared" si="23"/>
        <v>0</v>
      </c>
    </row>
    <row r="163" spans="1:68" ht="15.6" thickBot="1" x14ac:dyDescent="0.3">
      <c r="A163" s="25" t="s">
        <v>876</v>
      </c>
      <c r="B163" s="18" t="s">
        <v>877</v>
      </c>
      <c r="C163" s="3"/>
      <c r="D163" s="21">
        <f t="shared" si="21"/>
        <v>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4"/>
      <c r="BO163" s="11">
        <f t="shared" si="22"/>
        <v>0</v>
      </c>
      <c r="BP163" s="9">
        <f t="shared" si="23"/>
        <v>0</v>
      </c>
    </row>
    <row r="164" spans="1:68" ht="15.6" thickBot="1" x14ac:dyDescent="0.3">
      <c r="A164" s="25" t="s">
        <v>878</v>
      </c>
      <c r="B164" s="18" t="s">
        <v>879</v>
      </c>
      <c r="C164" s="3"/>
      <c r="D164" s="21">
        <f t="shared" si="21"/>
        <v>2057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>
        <f>112+112+112</f>
        <v>336</v>
      </c>
      <c r="AL164" s="10"/>
      <c r="AM164" s="10">
        <f>58</f>
        <v>58</v>
      </c>
      <c r="AN164" s="10"/>
      <c r="AO164" s="10">
        <f>112*3</f>
        <v>336</v>
      </c>
      <c r="AP164" s="10"/>
      <c r="AQ164" s="10"/>
      <c r="AR164" s="10"/>
      <c r="AS164" s="10"/>
      <c r="AT164" s="10"/>
      <c r="AU164" s="10">
        <f>112</f>
        <v>112</v>
      </c>
      <c r="AV164" s="10"/>
      <c r="AW164" s="10">
        <f>112*4</f>
        <v>448</v>
      </c>
      <c r="AX164" s="10"/>
      <c r="AY164" s="10">
        <f>112+112+112</f>
        <v>336</v>
      </c>
      <c r="AZ164" s="10"/>
      <c r="BA164" s="10">
        <f>112+112</f>
        <v>224</v>
      </c>
      <c r="BB164" s="10"/>
      <c r="BC164" s="10">
        <f>112+95</f>
        <v>207</v>
      </c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4"/>
      <c r="BO164" s="11">
        <f t="shared" si="22"/>
        <v>2057</v>
      </c>
      <c r="BP164" s="9">
        <f t="shared" si="23"/>
        <v>0</v>
      </c>
    </row>
    <row r="165" spans="1:68" ht="15.6" thickBot="1" x14ac:dyDescent="0.3">
      <c r="A165" s="25" t="s">
        <v>243</v>
      </c>
      <c r="B165" s="18" t="s">
        <v>58</v>
      </c>
      <c r="C165" s="3"/>
      <c r="D165" s="21">
        <f t="shared" si="21"/>
        <v>191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>
        <f>112+79</f>
        <v>191</v>
      </c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4"/>
      <c r="BO165" s="11">
        <f t="shared" si="22"/>
        <v>191</v>
      </c>
      <c r="BP165" s="9">
        <f t="shared" si="23"/>
        <v>0</v>
      </c>
    </row>
    <row r="166" spans="1:68" ht="15.6" thickBot="1" x14ac:dyDescent="0.3">
      <c r="A166" s="25"/>
      <c r="B166" s="18"/>
      <c r="C166" s="3"/>
      <c r="D166" s="21">
        <f t="shared" si="21"/>
        <v>0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4"/>
      <c r="BO166" s="11">
        <f t="shared" si="22"/>
        <v>0</v>
      </c>
      <c r="BP166" s="9">
        <f t="shared" si="23"/>
        <v>0</v>
      </c>
    </row>
    <row r="167" spans="1:68" ht="15.6" thickBot="1" x14ac:dyDescent="0.3">
      <c r="A167" s="25" t="s">
        <v>244</v>
      </c>
      <c r="B167" s="18" t="s">
        <v>183</v>
      </c>
      <c r="C167" s="3"/>
      <c r="D167" s="21">
        <f t="shared" si="21"/>
        <v>666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>
        <f>41+112</f>
        <v>153</v>
      </c>
      <c r="AN167" s="10"/>
      <c r="AO167" s="10">
        <v>112</v>
      </c>
      <c r="AP167" s="10"/>
      <c r="AQ167" s="10"/>
      <c r="AR167" s="10"/>
      <c r="AS167" s="10"/>
      <c r="AT167" s="10"/>
      <c r="AU167" s="10">
        <f>112</f>
        <v>112</v>
      </c>
      <c r="AV167" s="10"/>
      <c r="AW167" s="10"/>
      <c r="AX167" s="10"/>
      <c r="AY167" s="10">
        <v>112</v>
      </c>
      <c r="AZ167" s="10"/>
      <c r="BA167" s="10"/>
      <c r="BB167" s="10"/>
      <c r="BC167" s="10">
        <f>112+65</f>
        <v>177</v>
      </c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4"/>
      <c r="BO167" s="11">
        <f t="shared" si="22"/>
        <v>666</v>
      </c>
      <c r="BP167" s="9">
        <f t="shared" si="23"/>
        <v>0</v>
      </c>
    </row>
    <row r="168" spans="1:68" ht="15.6" thickBot="1" x14ac:dyDescent="0.3">
      <c r="A168" s="25" t="s">
        <v>880</v>
      </c>
      <c r="B168" s="18" t="s">
        <v>881</v>
      </c>
      <c r="C168" s="3"/>
      <c r="D168" s="21">
        <f t="shared" si="21"/>
        <v>0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4"/>
      <c r="BO168" s="11">
        <f t="shared" si="22"/>
        <v>0</v>
      </c>
      <c r="BP168" s="9">
        <f t="shared" si="23"/>
        <v>0</v>
      </c>
    </row>
    <row r="169" spans="1:68" ht="16.2" thickBot="1" x14ac:dyDescent="0.35">
      <c r="A169" s="25"/>
      <c r="B169" s="20" t="s">
        <v>59</v>
      </c>
      <c r="C169" s="3"/>
      <c r="D169" s="21">
        <f t="shared" si="21"/>
        <v>0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4"/>
      <c r="BO169" s="11">
        <f t="shared" si="22"/>
        <v>0</v>
      </c>
      <c r="BP169" s="9">
        <f t="shared" si="23"/>
        <v>0</v>
      </c>
    </row>
    <row r="170" spans="1:68" ht="15.6" thickBot="1" x14ac:dyDescent="0.3">
      <c r="A170" s="25" t="s">
        <v>762</v>
      </c>
      <c r="B170" s="18" t="s">
        <v>451</v>
      </c>
      <c r="C170" s="3"/>
      <c r="D170" s="21">
        <f t="shared" si="21"/>
        <v>0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4"/>
      <c r="BO170" s="11">
        <f t="shared" si="22"/>
        <v>0</v>
      </c>
      <c r="BP170" s="9">
        <f t="shared" si="23"/>
        <v>0</v>
      </c>
    </row>
    <row r="171" spans="1:68" ht="16.2" thickBot="1" x14ac:dyDescent="0.35">
      <c r="A171" s="25"/>
      <c r="B171" s="20" t="s">
        <v>60</v>
      </c>
      <c r="C171" s="3"/>
      <c r="D171" s="21">
        <f t="shared" si="21"/>
        <v>0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4"/>
      <c r="BO171" s="11">
        <f t="shared" si="22"/>
        <v>0</v>
      </c>
      <c r="BP171" s="9">
        <f t="shared" si="23"/>
        <v>0</v>
      </c>
    </row>
    <row r="172" spans="1:68" ht="15.6" thickBot="1" x14ac:dyDescent="0.3">
      <c r="A172" s="25" t="s">
        <v>408</v>
      </c>
      <c r="B172" s="18" t="s">
        <v>132</v>
      </c>
      <c r="C172" s="3"/>
      <c r="D172" s="21">
        <f t="shared" si="21"/>
        <v>0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>
        <f>299+277</f>
        <v>576</v>
      </c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>
        <v>-299</v>
      </c>
      <c r="BM172" s="10"/>
      <c r="BN172" s="14">
        <v>-277</v>
      </c>
      <c r="BO172" s="11">
        <f t="shared" si="22"/>
        <v>576</v>
      </c>
      <c r="BP172" s="9">
        <f t="shared" si="23"/>
        <v>-277</v>
      </c>
    </row>
    <row r="173" spans="1:68" ht="15.6" thickBot="1" x14ac:dyDescent="0.3">
      <c r="A173" s="25" t="s">
        <v>409</v>
      </c>
      <c r="B173" s="18" t="s">
        <v>61</v>
      </c>
      <c r="C173" s="3"/>
      <c r="D173" s="21">
        <f t="shared" si="21"/>
        <v>0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>
        <f>299*3+63</f>
        <v>960</v>
      </c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>
        <v>-299</v>
      </c>
      <c r="BM173" s="10"/>
      <c r="BN173" s="14">
        <v>-661</v>
      </c>
      <c r="BO173" s="11">
        <f t="shared" si="22"/>
        <v>960</v>
      </c>
      <c r="BP173" s="9">
        <f t="shared" si="23"/>
        <v>-661</v>
      </c>
    </row>
    <row r="174" spans="1:68" ht="15.6" thickBot="1" x14ac:dyDescent="0.3">
      <c r="A174" s="25" t="s">
        <v>407</v>
      </c>
      <c r="B174" s="18" t="s">
        <v>137</v>
      </c>
      <c r="C174" s="3"/>
      <c r="D174" s="21">
        <f t="shared" si="21"/>
        <v>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>
        <f>24*7+12</f>
        <v>180</v>
      </c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>
        <v>-168</v>
      </c>
      <c r="BM174" s="10"/>
      <c r="BN174" s="14">
        <v>-12</v>
      </c>
      <c r="BO174" s="11">
        <f t="shared" si="22"/>
        <v>180</v>
      </c>
      <c r="BP174" s="9">
        <f t="shared" si="23"/>
        <v>-12</v>
      </c>
    </row>
    <row r="175" spans="1:68" ht="15.6" thickBot="1" x14ac:dyDescent="0.3">
      <c r="A175" s="25" t="s">
        <v>398</v>
      </c>
      <c r="B175" s="18" t="s">
        <v>133</v>
      </c>
      <c r="C175" s="3"/>
      <c r="D175" s="21">
        <f t="shared" si="21"/>
        <v>0</v>
      </c>
      <c r="E175" s="10"/>
      <c r="F175" s="10"/>
      <c r="G175" s="10"/>
      <c r="H175" s="10"/>
      <c r="I175" s="10">
        <f>299+299</f>
        <v>598</v>
      </c>
      <c r="J175" s="10"/>
      <c r="K175" s="10">
        <v>170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>
        <v>-299</v>
      </c>
      <c r="BM175" s="10"/>
      <c r="BN175" s="14">
        <v>-469</v>
      </c>
      <c r="BO175" s="11">
        <f t="shared" si="22"/>
        <v>768</v>
      </c>
      <c r="BP175" s="9">
        <f t="shared" si="23"/>
        <v>-469</v>
      </c>
    </row>
    <row r="176" spans="1:68" ht="15.6" thickBot="1" x14ac:dyDescent="0.3">
      <c r="A176" s="25" t="s">
        <v>410</v>
      </c>
      <c r="B176" s="18" t="s">
        <v>134</v>
      </c>
      <c r="C176" s="3"/>
      <c r="D176" s="21">
        <f t="shared" si="21"/>
        <v>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>
        <f>299+277</f>
        <v>576</v>
      </c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>
        <v>-299</v>
      </c>
      <c r="BM176" s="10"/>
      <c r="BN176" s="14">
        <v>-277</v>
      </c>
      <c r="BO176" s="11">
        <f t="shared" si="22"/>
        <v>576</v>
      </c>
      <c r="BP176" s="9">
        <f t="shared" si="23"/>
        <v>-277</v>
      </c>
    </row>
    <row r="177" spans="1:68" ht="15.6" thickBot="1" x14ac:dyDescent="0.3">
      <c r="A177" s="25" t="s">
        <v>406</v>
      </c>
      <c r="B177" s="18" t="s">
        <v>135</v>
      </c>
      <c r="C177" s="3"/>
      <c r="D177" s="21">
        <f t="shared" si="21"/>
        <v>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>
        <v>299</v>
      </c>
      <c r="AB177" s="10"/>
      <c r="AC177" s="10"/>
      <c r="AD177" s="10"/>
      <c r="AE177" s="10"/>
      <c r="AF177" s="10"/>
      <c r="AG177" s="10"/>
      <c r="AH177" s="10"/>
      <c r="AI177" s="10">
        <f>277</f>
        <v>277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>
        <v>-299</v>
      </c>
      <c r="BM177" s="10"/>
      <c r="BN177" s="14">
        <v>-277</v>
      </c>
      <c r="BO177" s="11">
        <f t="shared" si="22"/>
        <v>576</v>
      </c>
      <c r="BP177" s="9">
        <f t="shared" si="23"/>
        <v>-277</v>
      </c>
    </row>
    <row r="178" spans="1:68" ht="15.6" thickBot="1" x14ac:dyDescent="0.3">
      <c r="A178" s="25" t="s">
        <v>245</v>
      </c>
      <c r="B178" s="18" t="s">
        <v>257</v>
      </c>
      <c r="C178" s="3"/>
      <c r="D178" s="21">
        <f t="shared" si="21"/>
        <v>0</v>
      </c>
      <c r="E178" s="10"/>
      <c r="F178" s="10"/>
      <c r="G178" s="10"/>
      <c r="H178" s="10"/>
      <c r="I178" s="10">
        <f>299</f>
        <v>299</v>
      </c>
      <c r="J178" s="10"/>
      <c r="K178" s="10">
        <v>85</v>
      </c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>
        <v>-299</v>
      </c>
      <c r="BM178" s="10"/>
      <c r="BN178" s="14">
        <v>-85</v>
      </c>
      <c r="BO178" s="11">
        <f t="shared" si="22"/>
        <v>384</v>
      </c>
      <c r="BP178" s="9">
        <f t="shared" si="23"/>
        <v>-85</v>
      </c>
    </row>
    <row r="179" spans="1:68" ht="15.6" thickBot="1" x14ac:dyDescent="0.3">
      <c r="A179" s="25" t="s">
        <v>246</v>
      </c>
      <c r="B179" s="18" t="s">
        <v>136</v>
      </c>
      <c r="C179" s="3"/>
      <c r="D179" s="21">
        <f t="shared" si="21"/>
        <v>0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>
        <v>192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>
        <v>-192</v>
      </c>
      <c r="BM179" s="10"/>
      <c r="BN179" s="14"/>
      <c r="BO179" s="11">
        <f t="shared" si="22"/>
        <v>192</v>
      </c>
      <c r="BP179" s="9">
        <f t="shared" si="23"/>
        <v>0</v>
      </c>
    </row>
    <row r="180" spans="1:68" ht="15.6" thickBot="1" x14ac:dyDescent="0.3">
      <c r="A180" s="25" t="s">
        <v>404</v>
      </c>
      <c r="B180" s="18" t="s">
        <v>449</v>
      </c>
      <c r="C180" s="3"/>
      <c r="D180" s="21">
        <f t="shared" si="21"/>
        <v>264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3">
        <f>132+132</f>
        <v>264</v>
      </c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4"/>
      <c r="BO180" s="11">
        <f t="shared" si="22"/>
        <v>264</v>
      </c>
      <c r="BP180" s="9">
        <f t="shared" si="23"/>
        <v>0</v>
      </c>
    </row>
    <row r="181" spans="1:68" ht="15.6" thickBot="1" x14ac:dyDescent="0.3">
      <c r="A181" s="25" t="s">
        <v>411</v>
      </c>
      <c r="B181" s="18" t="s">
        <v>138</v>
      </c>
      <c r="C181" s="3"/>
      <c r="D181" s="21">
        <f t="shared" si="21"/>
        <v>0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>
        <f>24*5</f>
        <v>120</v>
      </c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>
        <v>-120</v>
      </c>
      <c r="BM181" s="10"/>
      <c r="BN181" s="14"/>
      <c r="BO181" s="11">
        <f t="shared" si="22"/>
        <v>120</v>
      </c>
      <c r="BP181" s="9">
        <f t="shared" si="23"/>
        <v>0</v>
      </c>
    </row>
    <row r="182" spans="1:68" ht="15.6" thickBot="1" x14ac:dyDescent="0.3">
      <c r="A182" s="25" t="s">
        <v>405</v>
      </c>
      <c r="B182" s="18" t="s">
        <v>139</v>
      </c>
      <c r="C182" s="3"/>
      <c r="D182" s="21">
        <f t="shared" si="21"/>
        <v>0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>
        <f>24*8</f>
        <v>192</v>
      </c>
      <c r="AJ182" s="10"/>
      <c r="AK182" s="10">
        <v>8</v>
      </c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4">
        <v>-200</v>
      </c>
      <c r="BO182" s="11">
        <f t="shared" si="22"/>
        <v>200</v>
      </c>
      <c r="BP182" s="9">
        <f t="shared" si="23"/>
        <v>-200</v>
      </c>
    </row>
    <row r="183" spans="1:68" ht="15.6" thickBot="1" x14ac:dyDescent="0.3">
      <c r="A183" s="25" t="s">
        <v>247</v>
      </c>
      <c r="B183" s="18" t="s">
        <v>248</v>
      </c>
      <c r="C183" s="3"/>
      <c r="D183" s="21">
        <f t="shared" si="21"/>
        <v>720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3">
        <f>90*2</f>
        <v>180</v>
      </c>
      <c r="AP183" s="10"/>
      <c r="AQ183" s="10"/>
      <c r="AR183" s="10"/>
      <c r="AS183" s="10"/>
      <c r="AT183" s="10"/>
      <c r="AU183" s="13">
        <f>90*5</f>
        <v>450</v>
      </c>
      <c r="AV183" s="10"/>
      <c r="AW183" s="13">
        <v>90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4"/>
      <c r="BO183" s="11">
        <f t="shared" si="22"/>
        <v>720</v>
      </c>
      <c r="BP183" s="9">
        <f t="shared" si="23"/>
        <v>0</v>
      </c>
    </row>
    <row r="184" spans="1:68" ht="15.6" thickBot="1" x14ac:dyDescent="0.3">
      <c r="A184" s="25" t="s">
        <v>249</v>
      </c>
      <c r="B184" s="18" t="s">
        <v>250</v>
      </c>
      <c r="C184" s="3"/>
      <c r="D184" s="21">
        <f t="shared" si="21"/>
        <v>630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3">
        <v>360</v>
      </c>
      <c r="AZ184" s="10"/>
      <c r="BA184" s="13">
        <v>270</v>
      </c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4"/>
      <c r="BO184" s="11">
        <f t="shared" si="22"/>
        <v>630</v>
      </c>
      <c r="BP184" s="9">
        <f t="shared" si="23"/>
        <v>0</v>
      </c>
    </row>
    <row r="185" spans="1:68" ht="15.6" thickBot="1" x14ac:dyDescent="0.3">
      <c r="A185" s="25" t="s">
        <v>251</v>
      </c>
      <c r="B185" s="18" t="s">
        <v>252</v>
      </c>
      <c r="C185" s="3"/>
      <c r="D185" s="21">
        <f t="shared" si="21"/>
        <v>700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3">
        <v>270</v>
      </c>
      <c r="BB185" s="10"/>
      <c r="BC185" s="10">
        <f>360+70</f>
        <v>430</v>
      </c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4"/>
      <c r="BO185" s="11">
        <f t="shared" si="22"/>
        <v>700</v>
      </c>
      <c r="BP185" s="9">
        <f t="shared" si="23"/>
        <v>0</v>
      </c>
    </row>
    <row r="186" spans="1:68" ht="15.6" thickBot="1" x14ac:dyDescent="0.3">
      <c r="A186" s="25" t="s">
        <v>253</v>
      </c>
      <c r="B186" s="18" t="s">
        <v>254</v>
      </c>
      <c r="C186" s="3"/>
      <c r="D186" s="21">
        <f t="shared" si="21"/>
        <v>700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3">
        <f>90*5</f>
        <v>450</v>
      </c>
      <c r="AX186" s="10"/>
      <c r="AY186" s="13">
        <f>180+70</f>
        <v>250</v>
      </c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4"/>
      <c r="BO186" s="11">
        <f t="shared" si="22"/>
        <v>700</v>
      </c>
      <c r="BP186" s="9">
        <f t="shared" si="23"/>
        <v>0</v>
      </c>
    </row>
    <row r="187" spans="1:68" ht="15.6" thickBot="1" x14ac:dyDescent="0.3">
      <c r="A187" s="25" t="s">
        <v>412</v>
      </c>
      <c r="B187" s="18" t="s">
        <v>161</v>
      </c>
      <c r="C187" s="3"/>
      <c r="D187" s="21">
        <f t="shared" si="21"/>
        <v>0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4"/>
      <c r="BO187" s="11">
        <f t="shared" si="22"/>
        <v>0</v>
      </c>
      <c r="BP187" s="9">
        <f t="shared" si="23"/>
        <v>0</v>
      </c>
    </row>
    <row r="188" spans="1:68" ht="15.6" thickBot="1" x14ac:dyDescent="0.3">
      <c r="A188" s="25" t="s">
        <v>413</v>
      </c>
      <c r="B188" s="26" t="s">
        <v>403</v>
      </c>
      <c r="C188" s="3"/>
      <c r="D188" s="21">
        <f t="shared" si="21"/>
        <v>0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4"/>
      <c r="BO188" s="11">
        <f t="shared" si="22"/>
        <v>0</v>
      </c>
      <c r="BP188" s="9">
        <f t="shared" si="23"/>
        <v>0</v>
      </c>
    </row>
    <row r="189" spans="1:68" ht="15.6" thickBot="1" x14ac:dyDescent="0.3">
      <c r="A189" s="25" t="s">
        <v>415</v>
      </c>
      <c r="B189" s="18" t="s">
        <v>416</v>
      </c>
      <c r="C189" s="3"/>
      <c r="D189" s="21">
        <f t="shared" si="21"/>
        <v>0</v>
      </c>
      <c r="E189" s="10">
        <f>299</f>
        <v>299</v>
      </c>
      <c r="F189" s="10"/>
      <c r="G189" s="10">
        <v>85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>
        <v>-299</v>
      </c>
      <c r="BM189" s="10"/>
      <c r="BN189" s="14">
        <v>-85</v>
      </c>
      <c r="BO189" s="11">
        <f t="shared" si="22"/>
        <v>384</v>
      </c>
      <c r="BP189" s="9">
        <f t="shared" si="23"/>
        <v>-85</v>
      </c>
    </row>
    <row r="190" spans="1:68" ht="15.6" thickBot="1" x14ac:dyDescent="0.3">
      <c r="A190" s="25" t="s">
        <v>414</v>
      </c>
      <c r="B190" s="18" t="s">
        <v>497</v>
      </c>
      <c r="C190" s="3"/>
      <c r="D190" s="21">
        <f t="shared" si="21"/>
        <v>180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3">
        <v>56</v>
      </c>
      <c r="AL190" s="10"/>
      <c r="AM190" s="13">
        <f>56*3+90</f>
        <v>258</v>
      </c>
      <c r="AN190" s="10"/>
      <c r="AO190" s="13">
        <f>90+28</f>
        <v>118</v>
      </c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4">
        <v>-252</v>
      </c>
      <c r="BO190" s="11">
        <f t="shared" si="22"/>
        <v>432</v>
      </c>
      <c r="BP190" s="9">
        <f t="shared" si="23"/>
        <v>-252</v>
      </c>
    </row>
    <row r="191" spans="1:68" ht="15.6" thickBot="1" x14ac:dyDescent="0.3">
      <c r="A191" s="25" t="s">
        <v>412</v>
      </c>
      <c r="B191" s="26" t="s">
        <v>417</v>
      </c>
      <c r="C191" s="3"/>
      <c r="D191" s="21">
        <f t="shared" si="21"/>
        <v>360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3">
        <f>72*5</f>
        <v>360</v>
      </c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4"/>
      <c r="BO191" s="11">
        <f t="shared" si="22"/>
        <v>360</v>
      </c>
      <c r="BP191" s="9">
        <f t="shared" si="23"/>
        <v>0</v>
      </c>
    </row>
    <row r="192" spans="1:68" ht="15.6" thickBot="1" x14ac:dyDescent="0.3">
      <c r="A192" s="25" t="s">
        <v>418</v>
      </c>
      <c r="B192" s="26" t="s">
        <v>419</v>
      </c>
      <c r="C192" s="3"/>
      <c r="D192" s="21">
        <f t="shared" si="21"/>
        <v>144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3">
        <v>72</v>
      </c>
      <c r="AN192" s="10"/>
      <c r="AO192" s="13">
        <v>72</v>
      </c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4"/>
      <c r="BO192" s="11">
        <f t="shared" si="22"/>
        <v>144</v>
      </c>
      <c r="BP192" s="9">
        <f t="shared" si="23"/>
        <v>0</v>
      </c>
    </row>
    <row r="193" spans="1:68" ht="15.6" thickBot="1" x14ac:dyDescent="0.3">
      <c r="A193" s="25" t="s">
        <v>420</v>
      </c>
      <c r="B193" s="18" t="s">
        <v>421</v>
      </c>
      <c r="C193" s="3"/>
      <c r="D193" s="21">
        <f t="shared" si="21"/>
        <v>144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3">
        <v>144</v>
      </c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4"/>
      <c r="BO193" s="11">
        <f t="shared" si="22"/>
        <v>144</v>
      </c>
      <c r="BP193" s="9">
        <f t="shared" si="23"/>
        <v>0</v>
      </c>
    </row>
    <row r="194" spans="1:68" ht="15.6" thickBot="1" x14ac:dyDescent="0.3">
      <c r="A194" s="25" t="s">
        <v>422</v>
      </c>
      <c r="B194" s="18" t="s">
        <v>423</v>
      </c>
      <c r="C194" s="3"/>
      <c r="D194" s="21">
        <f t="shared" si="21"/>
        <v>0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4"/>
      <c r="BO194" s="11">
        <f t="shared" si="22"/>
        <v>0</v>
      </c>
      <c r="BP194" s="9">
        <f t="shared" si="23"/>
        <v>0</v>
      </c>
    </row>
    <row r="195" spans="1:68" ht="16.2" thickBot="1" x14ac:dyDescent="0.35">
      <c r="A195" s="25"/>
      <c r="B195" s="20" t="s">
        <v>62</v>
      </c>
      <c r="C195" s="3"/>
      <c r="D195" s="21">
        <f t="shared" si="21"/>
        <v>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4"/>
      <c r="BO195" s="11">
        <f t="shared" si="22"/>
        <v>0</v>
      </c>
      <c r="BP195" s="9">
        <f t="shared" si="23"/>
        <v>0</v>
      </c>
    </row>
    <row r="196" spans="1:68" ht="15.6" thickBot="1" x14ac:dyDescent="0.3">
      <c r="A196" s="25" t="s">
        <v>653</v>
      </c>
      <c r="B196" s="18" t="s">
        <v>648</v>
      </c>
      <c r="C196" s="3"/>
      <c r="D196" s="21">
        <f t="shared" si="21"/>
        <v>0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4"/>
      <c r="BO196" s="11">
        <f t="shared" si="22"/>
        <v>0</v>
      </c>
      <c r="BP196" s="9">
        <f t="shared" si="23"/>
        <v>0</v>
      </c>
    </row>
    <row r="197" spans="1:68" ht="15.6" thickBot="1" x14ac:dyDescent="0.3">
      <c r="A197" s="25" t="s">
        <v>654</v>
      </c>
      <c r="B197" s="18" t="s">
        <v>649</v>
      </c>
      <c r="C197" s="3"/>
      <c r="D197" s="21">
        <f t="shared" si="21"/>
        <v>0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4"/>
      <c r="BO197" s="11">
        <f t="shared" si="22"/>
        <v>0</v>
      </c>
      <c r="BP197" s="9">
        <f t="shared" si="23"/>
        <v>0</v>
      </c>
    </row>
    <row r="198" spans="1:68" ht="15.6" thickBot="1" x14ac:dyDescent="0.3">
      <c r="A198" s="25" t="s">
        <v>655</v>
      </c>
      <c r="B198" s="18" t="s">
        <v>367</v>
      </c>
      <c r="C198" s="3"/>
      <c r="D198" s="21">
        <f t="shared" si="21"/>
        <v>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4"/>
      <c r="BO198" s="11">
        <f t="shared" si="22"/>
        <v>0</v>
      </c>
      <c r="BP198" s="9">
        <f t="shared" si="23"/>
        <v>0</v>
      </c>
    </row>
    <row r="199" spans="1:68" ht="15.6" thickBot="1" x14ac:dyDescent="0.3">
      <c r="A199" s="25" t="s">
        <v>809</v>
      </c>
      <c r="B199" s="18" t="s">
        <v>63</v>
      </c>
      <c r="C199" s="3"/>
      <c r="D199" s="21">
        <f t="shared" si="21"/>
        <v>0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4"/>
      <c r="BO199" s="11">
        <f t="shared" si="22"/>
        <v>0</v>
      </c>
      <c r="BP199" s="9">
        <f t="shared" si="23"/>
        <v>0</v>
      </c>
    </row>
    <row r="200" spans="1:68" ht="15.6" thickBot="1" x14ac:dyDescent="0.3">
      <c r="A200" s="25" t="s">
        <v>656</v>
      </c>
      <c r="B200" s="18" t="s">
        <v>184</v>
      </c>
      <c r="C200" s="3"/>
      <c r="D200" s="21">
        <f t="shared" si="21"/>
        <v>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4"/>
      <c r="BO200" s="11">
        <f t="shared" si="22"/>
        <v>0</v>
      </c>
      <c r="BP200" s="9">
        <f t="shared" si="23"/>
        <v>0</v>
      </c>
    </row>
    <row r="201" spans="1:68" ht="15.6" thickBot="1" x14ac:dyDescent="0.3">
      <c r="A201" s="25" t="s">
        <v>657</v>
      </c>
      <c r="B201" s="18" t="s">
        <v>650</v>
      </c>
      <c r="C201" s="3"/>
      <c r="D201" s="21">
        <f t="shared" si="21"/>
        <v>0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4"/>
      <c r="BO201" s="11">
        <f t="shared" si="22"/>
        <v>0</v>
      </c>
      <c r="BP201" s="9">
        <f t="shared" si="23"/>
        <v>0</v>
      </c>
    </row>
    <row r="202" spans="1:68" ht="15.6" thickBot="1" x14ac:dyDescent="0.3">
      <c r="A202" s="25" t="s">
        <v>658</v>
      </c>
      <c r="B202" s="18" t="s">
        <v>651</v>
      </c>
      <c r="C202" s="3"/>
      <c r="D202" s="21">
        <f t="shared" si="21"/>
        <v>0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4"/>
      <c r="BO202" s="11">
        <f t="shared" si="22"/>
        <v>0</v>
      </c>
      <c r="BP202" s="9">
        <f t="shared" si="23"/>
        <v>0</v>
      </c>
    </row>
    <row r="203" spans="1:68" ht="15.6" thickBot="1" x14ac:dyDescent="0.3">
      <c r="A203" s="25" t="s">
        <v>659</v>
      </c>
      <c r="B203" s="18" t="s">
        <v>652</v>
      </c>
      <c r="C203" s="3"/>
      <c r="D203" s="21">
        <f t="shared" si="21"/>
        <v>0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4"/>
      <c r="BO203" s="11">
        <f t="shared" si="22"/>
        <v>0</v>
      </c>
      <c r="BP203" s="9">
        <f t="shared" si="23"/>
        <v>0</v>
      </c>
    </row>
    <row r="204" spans="1:68" ht="15.6" thickBot="1" x14ac:dyDescent="0.3">
      <c r="A204" s="25" t="s">
        <v>660</v>
      </c>
      <c r="B204" s="18" t="s">
        <v>64</v>
      </c>
      <c r="C204" s="3"/>
      <c r="D204" s="21">
        <f t="shared" si="21"/>
        <v>0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4"/>
      <c r="BO204" s="11">
        <f t="shared" si="22"/>
        <v>0</v>
      </c>
      <c r="BP204" s="9">
        <f t="shared" si="23"/>
        <v>0</v>
      </c>
    </row>
    <row r="205" spans="1:68" ht="16.2" thickBot="1" x14ac:dyDescent="0.35">
      <c r="A205" s="25"/>
      <c r="B205" s="20" t="s">
        <v>65</v>
      </c>
      <c r="C205" s="3"/>
      <c r="D205" s="21">
        <f t="shared" si="21"/>
        <v>0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4"/>
      <c r="BO205" s="11">
        <f t="shared" si="22"/>
        <v>0</v>
      </c>
      <c r="BP205" s="9">
        <f t="shared" si="23"/>
        <v>0</v>
      </c>
    </row>
    <row r="206" spans="1:68" ht="15.6" thickBot="1" x14ac:dyDescent="0.3">
      <c r="A206" s="25" t="s">
        <v>262</v>
      </c>
      <c r="B206" s="18" t="s">
        <v>325</v>
      </c>
      <c r="C206" s="3">
        <v>10</v>
      </c>
      <c r="D206" s="21">
        <f t="shared" ref="D206:D269" si="24">C206+SUM(E206:BN206)</f>
        <v>0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>
        <v>-10</v>
      </c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4"/>
      <c r="BO206" s="11">
        <f t="shared" si="22"/>
        <v>0</v>
      </c>
      <c r="BP206" s="9">
        <f t="shared" si="23"/>
        <v>-10</v>
      </c>
    </row>
    <row r="207" spans="1:68" ht="15.6" thickBot="1" x14ac:dyDescent="0.3">
      <c r="A207" s="25" t="s">
        <v>321</v>
      </c>
      <c r="B207" s="18" t="s">
        <v>121</v>
      </c>
      <c r="C207" s="3">
        <v>10</v>
      </c>
      <c r="D207" s="21">
        <f t="shared" si="24"/>
        <v>0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4">
        <v>-10</v>
      </c>
      <c r="BO207" s="11">
        <f t="shared" ref="BO207:BO270" si="25">BM207+BG207+BE207+BC207+BA207+AY207+AW207+AU207+AS207+AQ207+AO207+AM207+AK207+AI207+AG207+AE207+AC207+AA207+Y207+W207+U207+S207+Q207+O207+M207+K207+I207+G207+E207</f>
        <v>0</v>
      </c>
      <c r="BP207" s="9">
        <f t="shared" ref="BP207:BP270" si="26">BN207+BH207+BF207+BD207+BB207+AZ207+AX207+AV207+AT207+AR207+AP207+AN207+AL207+AJ207+AH207+AF207+AD207+AB207+Z207+X207+V207+T207+R207+P207+N207+L207+J207+H207+F207</f>
        <v>-10</v>
      </c>
    </row>
    <row r="208" spans="1:68" ht="15.6" thickBot="1" x14ac:dyDescent="0.3">
      <c r="A208" s="27">
        <v>3801289</v>
      </c>
      <c r="B208" s="18" t="s">
        <v>263</v>
      </c>
      <c r="C208" s="3"/>
      <c r="D208" s="21">
        <f t="shared" si="24"/>
        <v>0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4"/>
      <c r="BO208" s="11">
        <f t="shared" si="25"/>
        <v>0</v>
      </c>
      <c r="BP208" s="9">
        <f t="shared" si="26"/>
        <v>0</v>
      </c>
    </row>
    <row r="209" spans="1:68" ht="15.6" thickBot="1" x14ac:dyDescent="0.3">
      <c r="B209" s="18" t="s">
        <v>354</v>
      </c>
      <c r="C209" s="3"/>
      <c r="D209" s="21">
        <f t="shared" si="24"/>
        <v>0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4"/>
      <c r="BO209" s="11">
        <f t="shared" si="25"/>
        <v>0</v>
      </c>
      <c r="BP209" s="9">
        <f t="shared" si="26"/>
        <v>0</v>
      </c>
    </row>
    <row r="210" spans="1:68" ht="15.6" thickBot="1" x14ac:dyDescent="0.3">
      <c r="A210" s="25" t="s">
        <v>322</v>
      </c>
      <c r="B210" s="18" t="s">
        <v>122</v>
      </c>
      <c r="C210" s="3"/>
      <c r="D210" s="21">
        <f t="shared" si="24"/>
        <v>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4"/>
      <c r="BO210" s="11">
        <f t="shared" si="25"/>
        <v>0</v>
      </c>
      <c r="BP210" s="9">
        <f t="shared" si="26"/>
        <v>0</v>
      </c>
    </row>
    <row r="211" spans="1:68" ht="15.6" thickBot="1" x14ac:dyDescent="0.3">
      <c r="A211" s="25" t="s">
        <v>561</v>
      </c>
      <c r="B211" s="18" t="s">
        <v>264</v>
      </c>
      <c r="C211" s="3"/>
      <c r="D211" s="21">
        <f t="shared" si="24"/>
        <v>0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4"/>
      <c r="BO211" s="11">
        <f t="shared" si="25"/>
        <v>0</v>
      </c>
      <c r="BP211" s="9">
        <f t="shared" si="26"/>
        <v>0</v>
      </c>
    </row>
    <row r="212" spans="1:68" ht="15.6" thickBot="1" x14ac:dyDescent="0.3">
      <c r="A212" s="25" t="s">
        <v>284</v>
      </c>
      <c r="B212" s="18" t="s">
        <v>326</v>
      </c>
      <c r="C212" s="3">
        <v>9</v>
      </c>
      <c r="D212" s="21">
        <f t="shared" si="24"/>
        <v>0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>
        <v>-9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4"/>
      <c r="BO212" s="11">
        <f t="shared" si="25"/>
        <v>0</v>
      </c>
      <c r="BP212" s="9">
        <f t="shared" si="26"/>
        <v>-9</v>
      </c>
    </row>
    <row r="213" spans="1:68" ht="15.6" thickBot="1" x14ac:dyDescent="0.3">
      <c r="A213" s="25" t="s">
        <v>292</v>
      </c>
      <c r="B213" s="18" t="s">
        <v>327</v>
      </c>
      <c r="C213" s="3"/>
      <c r="D213" s="21">
        <f t="shared" si="24"/>
        <v>0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4"/>
      <c r="BO213" s="11">
        <f t="shared" si="25"/>
        <v>0</v>
      </c>
      <c r="BP213" s="9">
        <f t="shared" si="26"/>
        <v>0</v>
      </c>
    </row>
    <row r="214" spans="1:68" ht="15.6" thickBot="1" x14ac:dyDescent="0.3">
      <c r="A214" s="25" t="s">
        <v>609</v>
      </c>
      <c r="B214" s="18" t="s">
        <v>457</v>
      </c>
      <c r="C214" s="3"/>
      <c r="D214" s="21">
        <f t="shared" si="24"/>
        <v>0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4"/>
      <c r="BO214" s="11">
        <f t="shared" si="25"/>
        <v>0</v>
      </c>
      <c r="BP214" s="9">
        <f t="shared" si="26"/>
        <v>0</v>
      </c>
    </row>
    <row r="215" spans="1:68" ht="15.6" thickBot="1" x14ac:dyDescent="0.3">
      <c r="A215" s="25" t="s">
        <v>323</v>
      </c>
      <c r="B215" s="18" t="s">
        <v>328</v>
      </c>
      <c r="C215" s="3"/>
      <c r="D215" s="21">
        <f t="shared" si="24"/>
        <v>0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4"/>
      <c r="BO215" s="11">
        <f t="shared" si="25"/>
        <v>0</v>
      </c>
      <c r="BP215" s="9">
        <f t="shared" si="26"/>
        <v>0</v>
      </c>
    </row>
    <row r="216" spans="1:68" ht="15.6" thickBot="1" x14ac:dyDescent="0.3">
      <c r="A216" s="25" t="s">
        <v>324</v>
      </c>
      <c r="B216" s="18" t="s">
        <v>329</v>
      </c>
      <c r="C216" s="3"/>
      <c r="D216" s="21">
        <f t="shared" si="24"/>
        <v>0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4"/>
      <c r="BO216" s="11">
        <f t="shared" si="25"/>
        <v>0</v>
      </c>
      <c r="BP216" s="9">
        <f t="shared" si="26"/>
        <v>0</v>
      </c>
    </row>
    <row r="217" spans="1:68" ht="15.6" thickBot="1" x14ac:dyDescent="0.3">
      <c r="A217" s="25"/>
      <c r="B217" s="18" t="s">
        <v>466</v>
      </c>
      <c r="C217" s="3"/>
      <c r="D217" s="21">
        <f t="shared" si="24"/>
        <v>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4"/>
      <c r="BO217" s="11">
        <f t="shared" si="25"/>
        <v>0</v>
      </c>
      <c r="BP217" s="9">
        <f t="shared" si="26"/>
        <v>0</v>
      </c>
    </row>
    <row r="218" spans="1:68" ht="15.6" thickBot="1" x14ac:dyDescent="0.3">
      <c r="A218" s="25" t="s">
        <v>528</v>
      </c>
      <c r="B218" s="18" t="s">
        <v>529</v>
      </c>
      <c r="C218" s="3"/>
      <c r="D218" s="21">
        <f t="shared" si="24"/>
        <v>0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4"/>
      <c r="BO218" s="11">
        <f t="shared" si="25"/>
        <v>0</v>
      </c>
      <c r="BP218" s="9">
        <f t="shared" si="26"/>
        <v>0</v>
      </c>
    </row>
    <row r="219" spans="1:68" ht="15.6" thickBot="1" x14ac:dyDescent="0.3">
      <c r="A219" s="25" t="s">
        <v>600</v>
      </c>
      <c r="B219" s="18" t="s">
        <v>601</v>
      </c>
      <c r="C219" s="3">
        <v>48</v>
      </c>
      <c r="D219" s="21">
        <f t="shared" si="24"/>
        <v>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4">
        <v>-48</v>
      </c>
      <c r="BO219" s="11">
        <f t="shared" si="25"/>
        <v>0</v>
      </c>
      <c r="BP219" s="9">
        <f t="shared" si="26"/>
        <v>-48</v>
      </c>
    </row>
    <row r="220" spans="1:68" ht="15.6" thickBot="1" x14ac:dyDescent="0.3">
      <c r="A220" s="25" t="s">
        <v>645</v>
      </c>
      <c r="B220" s="10" t="s">
        <v>644</v>
      </c>
      <c r="C220" s="3">
        <v>116</v>
      </c>
      <c r="D220" s="21">
        <f t="shared" si="24"/>
        <v>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4">
        <v>-116</v>
      </c>
      <c r="BO220" s="11">
        <f t="shared" si="25"/>
        <v>0</v>
      </c>
      <c r="BP220" s="9">
        <f t="shared" si="26"/>
        <v>-116</v>
      </c>
    </row>
    <row r="221" spans="1:68" ht="15.6" thickBot="1" x14ac:dyDescent="0.3">
      <c r="A221" s="25" t="s">
        <v>646</v>
      </c>
      <c r="B221" s="10" t="s">
        <v>647</v>
      </c>
      <c r="C221" s="3">
        <v>96</v>
      </c>
      <c r="D221" s="21">
        <f t="shared" si="24"/>
        <v>0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4">
        <v>-96</v>
      </c>
      <c r="BO221" s="11">
        <f t="shared" si="25"/>
        <v>0</v>
      </c>
      <c r="BP221" s="9">
        <f t="shared" si="26"/>
        <v>-96</v>
      </c>
    </row>
    <row r="222" spans="1:68" ht="15.6" thickBot="1" x14ac:dyDescent="0.3">
      <c r="A222" s="25" t="s">
        <v>784</v>
      </c>
      <c r="B222" s="18" t="s">
        <v>785</v>
      </c>
      <c r="C222" s="3"/>
      <c r="D222" s="21">
        <f t="shared" si="24"/>
        <v>0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4"/>
      <c r="BO222" s="11">
        <f t="shared" si="25"/>
        <v>0</v>
      </c>
      <c r="BP222" s="9">
        <f t="shared" si="26"/>
        <v>0</v>
      </c>
    </row>
    <row r="223" spans="1:68" ht="15.6" thickBot="1" x14ac:dyDescent="0.3">
      <c r="A223" s="25" t="s">
        <v>610</v>
      </c>
      <c r="B223" s="18" t="s">
        <v>486</v>
      </c>
      <c r="C223" s="3"/>
      <c r="D223" s="21">
        <f t="shared" si="24"/>
        <v>0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4"/>
      <c r="BO223" s="11">
        <f t="shared" si="25"/>
        <v>0</v>
      </c>
      <c r="BP223" s="9">
        <f t="shared" si="26"/>
        <v>0</v>
      </c>
    </row>
    <row r="224" spans="1:68" ht="15.6" thickBot="1" x14ac:dyDescent="0.3">
      <c r="A224" s="25" t="s">
        <v>544</v>
      </c>
      <c r="B224" s="18" t="s">
        <v>482</v>
      </c>
      <c r="C224" s="3"/>
      <c r="D224" s="21">
        <f t="shared" si="24"/>
        <v>0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>
        <f>112*6+96</f>
        <v>768</v>
      </c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>
        <v>-768</v>
      </c>
      <c r="BM224" s="10"/>
      <c r="BN224" s="14"/>
      <c r="BO224" s="11">
        <f t="shared" si="25"/>
        <v>768</v>
      </c>
      <c r="BP224" s="9">
        <f t="shared" si="26"/>
        <v>0</v>
      </c>
    </row>
    <row r="225" spans="1:68" ht="15.6" thickBot="1" x14ac:dyDescent="0.3">
      <c r="A225" s="25" t="s">
        <v>677</v>
      </c>
      <c r="B225" s="18" t="s">
        <v>358</v>
      </c>
      <c r="C225" s="3"/>
      <c r="D225" s="21">
        <f t="shared" si="24"/>
        <v>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4"/>
      <c r="BO225" s="11">
        <f t="shared" si="25"/>
        <v>0</v>
      </c>
      <c r="BP225" s="9">
        <f t="shared" si="26"/>
        <v>0</v>
      </c>
    </row>
    <row r="226" spans="1:68" ht="15.6" thickBot="1" x14ac:dyDescent="0.3">
      <c r="A226" s="25" t="s">
        <v>678</v>
      </c>
      <c r="B226" s="18" t="s">
        <v>359</v>
      </c>
      <c r="C226" s="3"/>
      <c r="D226" s="21">
        <f t="shared" si="24"/>
        <v>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4"/>
      <c r="BO226" s="11">
        <f t="shared" si="25"/>
        <v>0</v>
      </c>
      <c r="BP226" s="9">
        <f t="shared" si="26"/>
        <v>0</v>
      </c>
    </row>
    <row r="227" spans="1:68" ht="15.6" thickBot="1" x14ac:dyDescent="0.3">
      <c r="A227" s="25" t="s">
        <v>679</v>
      </c>
      <c r="B227" s="18" t="s">
        <v>360</v>
      </c>
      <c r="C227" s="3"/>
      <c r="D227" s="21">
        <f t="shared" si="24"/>
        <v>0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4"/>
      <c r="BO227" s="11">
        <f t="shared" si="25"/>
        <v>0</v>
      </c>
      <c r="BP227" s="9">
        <f t="shared" si="26"/>
        <v>0</v>
      </c>
    </row>
    <row r="228" spans="1:68" ht="15.6" thickBot="1" x14ac:dyDescent="0.3">
      <c r="A228" s="25" t="s">
        <v>680</v>
      </c>
      <c r="B228" s="18" t="s">
        <v>615</v>
      </c>
      <c r="C228" s="3"/>
      <c r="D228" s="21">
        <f t="shared" si="24"/>
        <v>0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4"/>
      <c r="BO228" s="11">
        <f t="shared" si="25"/>
        <v>0</v>
      </c>
      <c r="BP228" s="9">
        <f t="shared" si="26"/>
        <v>0</v>
      </c>
    </row>
    <row r="229" spans="1:68" ht="15.6" thickBot="1" x14ac:dyDescent="0.3">
      <c r="A229" s="25" t="s">
        <v>681</v>
      </c>
      <c r="B229" s="18" t="s">
        <v>616</v>
      </c>
      <c r="C229" s="3"/>
      <c r="D229" s="21">
        <f t="shared" si="24"/>
        <v>0</v>
      </c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4"/>
      <c r="BO229" s="11">
        <f t="shared" si="25"/>
        <v>0</v>
      </c>
      <c r="BP229" s="9">
        <f t="shared" si="26"/>
        <v>0</v>
      </c>
    </row>
    <row r="230" spans="1:68" ht="15.6" thickBot="1" x14ac:dyDescent="0.3">
      <c r="A230" s="25" t="s">
        <v>682</v>
      </c>
      <c r="B230" s="18" t="s">
        <v>617</v>
      </c>
      <c r="C230" s="3"/>
      <c r="D230" s="21">
        <f t="shared" si="24"/>
        <v>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4"/>
      <c r="BO230" s="11">
        <f t="shared" si="25"/>
        <v>0</v>
      </c>
      <c r="BP230" s="9">
        <f t="shared" si="26"/>
        <v>0</v>
      </c>
    </row>
    <row r="231" spans="1:68" ht="16.2" thickBot="1" x14ac:dyDescent="0.35">
      <c r="A231" s="25"/>
      <c r="B231" s="20" t="s">
        <v>66</v>
      </c>
      <c r="C231" s="3"/>
      <c r="D231" s="21">
        <f t="shared" si="24"/>
        <v>0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4"/>
      <c r="BO231" s="11">
        <f t="shared" si="25"/>
        <v>0</v>
      </c>
      <c r="BP231" s="9">
        <f t="shared" si="26"/>
        <v>0</v>
      </c>
    </row>
    <row r="232" spans="1:68" ht="15.6" thickBot="1" x14ac:dyDescent="0.3">
      <c r="A232" s="25" t="s">
        <v>683</v>
      </c>
      <c r="B232" s="18" t="s">
        <v>67</v>
      </c>
      <c r="C232" s="3"/>
      <c r="D232" s="21">
        <f t="shared" si="24"/>
        <v>0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4"/>
      <c r="BO232" s="11">
        <f t="shared" si="25"/>
        <v>0</v>
      </c>
      <c r="BP232" s="9">
        <f t="shared" si="26"/>
        <v>0</v>
      </c>
    </row>
    <row r="233" spans="1:68" ht="15.6" thickBot="1" x14ac:dyDescent="0.3">
      <c r="A233" s="25" t="s">
        <v>684</v>
      </c>
      <c r="B233" s="18" t="s">
        <v>68</v>
      </c>
      <c r="C233" s="3"/>
      <c r="D233" s="21">
        <f t="shared" si="24"/>
        <v>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4"/>
      <c r="BO233" s="11">
        <f t="shared" si="25"/>
        <v>0</v>
      </c>
      <c r="BP233" s="9">
        <f t="shared" si="26"/>
        <v>0</v>
      </c>
    </row>
    <row r="234" spans="1:68" ht="15.6" thickBot="1" x14ac:dyDescent="0.3">
      <c r="A234" s="25" t="s">
        <v>685</v>
      </c>
      <c r="B234" s="18" t="s">
        <v>69</v>
      </c>
      <c r="C234" s="3"/>
      <c r="D234" s="21">
        <f t="shared" si="24"/>
        <v>0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4"/>
      <c r="BO234" s="11">
        <f t="shared" si="25"/>
        <v>0</v>
      </c>
      <c r="BP234" s="9">
        <f t="shared" si="26"/>
        <v>0</v>
      </c>
    </row>
    <row r="235" spans="1:68" ht="15.6" thickBot="1" x14ac:dyDescent="0.3">
      <c r="A235" s="25" t="s">
        <v>686</v>
      </c>
      <c r="B235" s="18" t="s">
        <v>70</v>
      </c>
      <c r="C235" s="3"/>
      <c r="D235" s="21">
        <f t="shared" si="24"/>
        <v>0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4"/>
      <c r="BO235" s="11">
        <f t="shared" si="25"/>
        <v>0</v>
      </c>
      <c r="BP235" s="9">
        <f t="shared" si="26"/>
        <v>0</v>
      </c>
    </row>
    <row r="236" spans="1:68" ht="15.6" thickBot="1" x14ac:dyDescent="0.3">
      <c r="A236" s="25" t="s">
        <v>687</v>
      </c>
      <c r="B236" s="18" t="s">
        <v>71</v>
      </c>
      <c r="C236" s="3"/>
      <c r="D236" s="21">
        <f t="shared" si="24"/>
        <v>0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4"/>
      <c r="BO236" s="11">
        <f t="shared" si="25"/>
        <v>0</v>
      </c>
      <c r="BP236" s="9">
        <f t="shared" si="26"/>
        <v>0</v>
      </c>
    </row>
    <row r="237" spans="1:68" ht="15.6" thickBot="1" x14ac:dyDescent="0.3">
      <c r="A237" s="25" t="s">
        <v>688</v>
      </c>
      <c r="B237" s="18" t="s">
        <v>872</v>
      </c>
      <c r="C237" s="3"/>
      <c r="D237" s="21">
        <f t="shared" si="24"/>
        <v>0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4"/>
      <c r="BO237" s="11">
        <f t="shared" si="25"/>
        <v>0</v>
      </c>
      <c r="BP237" s="9">
        <f t="shared" si="26"/>
        <v>0</v>
      </c>
    </row>
    <row r="238" spans="1:68" ht="15.6" thickBot="1" x14ac:dyDescent="0.3">
      <c r="A238" s="25" t="s">
        <v>689</v>
      </c>
      <c r="B238" s="18" t="s">
        <v>125</v>
      </c>
      <c r="C238" s="3"/>
      <c r="D238" s="21">
        <f t="shared" si="24"/>
        <v>0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4"/>
      <c r="BO238" s="11">
        <f t="shared" si="25"/>
        <v>0</v>
      </c>
      <c r="BP238" s="9">
        <f t="shared" si="26"/>
        <v>0</v>
      </c>
    </row>
    <row r="239" spans="1:68" ht="15.6" thickBot="1" x14ac:dyDescent="0.3">
      <c r="A239" s="25" t="s">
        <v>690</v>
      </c>
      <c r="B239" s="18" t="s">
        <v>126</v>
      </c>
      <c r="C239" s="3"/>
      <c r="D239" s="21">
        <f t="shared" si="24"/>
        <v>0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4"/>
      <c r="BO239" s="11">
        <f t="shared" si="25"/>
        <v>0</v>
      </c>
      <c r="BP239" s="9">
        <f t="shared" si="26"/>
        <v>0</v>
      </c>
    </row>
    <row r="240" spans="1:68" ht="15.6" thickBot="1" x14ac:dyDescent="0.3">
      <c r="A240" s="25" t="s">
        <v>800</v>
      </c>
      <c r="B240" s="18" t="s">
        <v>127</v>
      </c>
      <c r="C240" s="3"/>
      <c r="D240" s="21">
        <f t="shared" si="24"/>
        <v>0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4"/>
      <c r="BO240" s="11">
        <f t="shared" si="25"/>
        <v>0</v>
      </c>
      <c r="BP240" s="9">
        <f t="shared" si="26"/>
        <v>0</v>
      </c>
    </row>
    <row r="241" spans="1:68" ht="15.6" thickBot="1" x14ac:dyDescent="0.3">
      <c r="A241" s="25" t="s">
        <v>873</v>
      </c>
      <c r="B241" s="18" t="s">
        <v>327</v>
      </c>
      <c r="C241" s="3"/>
      <c r="D241" s="21">
        <f t="shared" si="24"/>
        <v>0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4"/>
      <c r="BO241" s="11">
        <f t="shared" si="25"/>
        <v>0</v>
      </c>
      <c r="BP241" s="9">
        <f t="shared" si="26"/>
        <v>0</v>
      </c>
    </row>
    <row r="242" spans="1:68" ht="15.6" thickBot="1" x14ac:dyDescent="0.3">
      <c r="A242" s="25" t="s">
        <v>801</v>
      </c>
      <c r="B242" s="18" t="s">
        <v>128</v>
      </c>
      <c r="C242" s="3"/>
      <c r="D242" s="21">
        <f t="shared" si="24"/>
        <v>0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4"/>
      <c r="BO242" s="11">
        <f t="shared" si="25"/>
        <v>0</v>
      </c>
      <c r="BP242" s="9">
        <f t="shared" si="26"/>
        <v>0</v>
      </c>
    </row>
    <row r="243" spans="1:68" ht="15.6" thickBot="1" x14ac:dyDescent="0.3">
      <c r="A243" s="25" t="s">
        <v>802</v>
      </c>
      <c r="B243" s="18" t="s">
        <v>129</v>
      </c>
      <c r="C243" s="3"/>
      <c r="D243" s="21">
        <f t="shared" si="24"/>
        <v>0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4"/>
      <c r="BO243" s="11">
        <f t="shared" si="25"/>
        <v>0</v>
      </c>
      <c r="BP243" s="9">
        <f t="shared" si="26"/>
        <v>0</v>
      </c>
    </row>
    <row r="244" spans="1:68" ht="15.6" thickBot="1" x14ac:dyDescent="0.3">
      <c r="A244" s="25" t="s">
        <v>803</v>
      </c>
      <c r="B244" s="18" t="s">
        <v>130</v>
      </c>
      <c r="C244" s="3"/>
      <c r="D244" s="21">
        <f t="shared" si="24"/>
        <v>0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4"/>
      <c r="BO244" s="11">
        <f t="shared" si="25"/>
        <v>0</v>
      </c>
      <c r="BP244" s="9">
        <f t="shared" si="26"/>
        <v>0</v>
      </c>
    </row>
    <row r="245" spans="1:68" ht="15.6" thickBot="1" x14ac:dyDescent="0.3">
      <c r="A245" s="25"/>
      <c r="B245" s="18"/>
      <c r="C245" s="3"/>
      <c r="D245" s="21">
        <f t="shared" si="24"/>
        <v>0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4"/>
      <c r="BO245" s="11">
        <f t="shared" si="25"/>
        <v>0</v>
      </c>
      <c r="BP245" s="9">
        <f t="shared" si="26"/>
        <v>0</v>
      </c>
    </row>
    <row r="246" spans="1:68" ht="15.6" thickBot="1" x14ac:dyDescent="0.3">
      <c r="A246" s="25" t="s">
        <v>691</v>
      </c>
      <c r="B246" s="18" t="s">
        <v>151</v>
      </c>
      <c r="C246" s="3"/>
      <c r="D246" s="21">
        <f t="shared" si="24"/>
        <v>0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4"/>
      <c r="BO246" s="11">
        <f t="shared" si="25"/>
        <v>0</v>
      </c>
      <c r="BP246" s="9">
        <f t="shared" si="26"/>
        <v>0</v>
      </c>
    </row>
    <row r="247" spans="1:68" ht="15.6" thickBot="1" x14ac:dyDescent="0.3">
      <c r="A247" s="25" t="s">
        <v>692</v>
      </c>
      <c r="B247" s="18" t="s">
        <v>131</v>
      </c>
      <c r="C247" s="3"/>
      <c r="D247" s="21">
        <f t="shared" si="24"/>
        <v>0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4"/>
      <c r="BO247" s="11">
        <f t="shared" si="25"/>
        <v>0</v>
      </c>
      <c r="BP247" s="9">
        <f t="shared" si="26"/>
        <v>0</v>
      </c>
    </row>
    <row r="248" spans="1:68" ht="15.6" thickBot="1" x14ac:dyDescent="0.3">
      <c r="A248" s="25" t="s">
        <v>693</v>
      </c>
      <c r="B248" s="18" t="s">
        <v>152</v>
      </c>
      <c r="C248" s="3"/>
      <c r="D248" s="21">
        <f t="shared" si="24"/>
        <v>0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4"/>
      <c r="BO248" s="11">
        <f t="shared" si="25"/>
        <v>0</v>
      </c>
      <c r="BP248" s="9">
        <f t="shared" si="26"/>
        <v>0</v>
      </c>
    </row>
    <row r="249" spans="1:68" ht="15.6" thickBot="1" x14ac:dyDescent="0.3">
      <c r="A249" s="25" t="s">
        <v>694</v>
      </c>
      <c r="B249" s="18" t="s">
        <v>153</v>
      </c>
      <c r="C249" s="3"/>
      <c r="D249" s="21">
        <f t="shared" si="24"/>
        <v>0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4"/>
      <c r="BO249" s="11">
        <f t="shared" si="25"/>
        <v>0</v>
      </c>
      <c r="BP249" s="9">
        <f t="shared" si="26"/>
        <v>0</v>
      </c>
    </row>
    <row r="250" spans="1:68" ht="15.6" thickBot="1" x14ac:dyDescent="0.3">
      <c r="A250" s="25" t="s">
        <v>695</v>
      </c>
      <c r="B250" s="18" t="s">
        <v>142</v>
      </c>
      <c r="C250" s="3"/>
      <c r="D250" s="21">
        <f t="shared" si="24"/>
        <v>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4"/>
      <c r="BO250" s="11">
        <f t="shared" si="25"/>
        <v>0</v>
      </c>
      <c r="BP250" s="9">
        <f t="shared" si="26"/>
        <v>0</v>
      </c>
    </row>
    <row r="251" spans="1:68" ht="15.6" thickBot="1" x14ac:dyDescent="0.3">
      <c r="A251" s="25" t="s">
        <v>696</v>
      </c>
      <c r="B251" s="18" t="s">
        <v>143</v>
      </c>
      <c r="C251" s="3"/>
      <c r="D251" s="21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4"/>
      <c r="BO251" s="11"/>
      <c r="BP251" s="9"/>
    </row>
    <row r="252" spans="1:68" ht="16.2" thickBot="1" x14ac:dyDescent="0.35">
      <c r="A252" s="25"/>
      <c r="B252" s="20" t="s">
        <v>496</v>
      </c>
      <c r="C252" s="3"/>
      <c r="D252" s="21">
        <f t="shared" si="24"/>
        <v>0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4"/>
      <c r="BO252" s="11">
        <f t="shared" si="25"/>
        <v>0</v>
      </c>
      <c r="BP252" s="9">
        <f t="shared" si="26"/>
        <v>0</v>
      </c>
    </row>
    <row r="253" spans="1:68" ht="15.6" thickBot="1" x14ac:dyDescent="0.3">
      <c r="A253" s="25" t="s">
        <v>661</v>
      </c>
      <c r="B253" s="18" t="s">
        <v>255</v>
      </c>
      <c r="C253" s="3"/>
      <c r="D253" s="21">
        <f t="shared" si="24"/>
        <v>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4"/>
      <c r="BO253" s="11">
        <f t="shared" si="25"/>
        <v>0</v>
      </c>
      <c r="BP253" s="9">
        <f t="shared" si="26"/>
        <v>0</v>
      </c>
    </row>
    <row r="254" spans="1:68" ht="15.6" thickBot="1" x14ac:dyDescent="0.3">
      <c r="A254" s="25" t="s">
        <v>662</v>
      </c>
      <c r="B254" s="18" t="s">
        <v>256</v>
      </c>
      <c r="C254" s="3"/>
      <c r="D254" s="21">
        <f t="shared" si="24"/>
        <v>0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4"/>
      <c r="BO254" s="11">
        <f t="shared" si="25"/>
        <v>0</v>
      </c>
      <c r="BP254" s="9">
        <f t="shared" si="26"/>
        <v>0</v>
      </c>
    </row>
    <row r="255" spans="1:68" ht="15.6" thickBot="1" x14ac:dyDescent="0.3">
      <c r="A255" s="25" t="s">
        <v>804</v>
      </c>
      <c r="B255" s="18" t="s">
        <v>156</v>
      </c>
      <c r="C255" s="3"/>
      <c r="D255" s="21">
        <f t="shared" si="24"/>
        <v>0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4"/>
      <c r="BO255" s="11">
        <f t="shared" si="25"/>
        <v>0</v>
      </c>
      <c r="BP255" s="9">
        <f t="shared" si="26"/>
        <v>0</v>
      </c>
    </row>
    <row r="256" spans="1:68" ht="15.6" thickBot="1" x14ac:dyDescent="0.3">
      <c r="A256" s="25" t="s">
        <v>805</v>
      </c>
      <c r="B256" s="18" t="s">
        <v>509</v>
      </c>
      <c r="C256" s="3"/>
      <c r="D256" s="21">
        <f t="shared" si="24"/>
        <v>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4"/>
      <c r="BO256" s="11">
        <f t="shared" si="25"/>
        <v>0</v>
      </c>
      <c r="BP256" s="9">
        <f t="shared" si="26"/>
        <v>0</v>
      </c>
    </row>
    <row r="257" spans="1:68" ht="15.6" thickBot="1" x14ac:dyDescent="0.3">
      <c r="A257" s="25" t="s">
        <v>806</v>
      </c>
      <c r="B257" s="18" t="s">
        <v>157</v>
      </c>
      <c r="C257" s="3"/>
      <c r="D257" s="21">
        <f t="shared" si="24"/>
        <v>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4"/>
      <c r="BO257" s="11">
        <f t="shared" si="25"/>
        <v>0</v>
      </c>
      <c r="BP257" s="9">
        <f t="shared" si="26"/>
        <v>0</v>
      </c>
    </row>
    <row r="258" spans="1:68" ht="15.6" thickBot="1" x14ac:dyDescent="0.3">
      <c r="A258" s="25" t="s">
        <v>578</v>
      </c>
      <c r="B258" s="18" t="s">
        <v>158</v>
      </c>
      <c r="C258" s="3"/>
      <c r="D258" s="21">
        <f t="shared" si="24"/>
        <v>0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4"/>
      <c r="BO258" s="11">
        <f t="shared" si="25"/>
        <v>0</v>
      </c>
      <c r="BP258" s="9">
        <f t="shared" si="26"/>
        <v>0</v>
      </c>
    </row>
    <row r="259" spans="1:68" ht="16.2" thickBot="1" x14ac:dyDescent="0.35">
      <c r="A259" s="25"/>
      <c r="B259" s="23" t="s">
        <v>73</v>
      </c>
      <c r="C259" s="3"/>
      <c r="D259" s="21">
        <f t="shared" si="24"/>
        <v>0</v>
      </c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4"/>
      <c r="BO259" s="11">
        <f t="shared" si="25"/>
        <v>0</v>
      </c>
      <c r="BP259" s="9">
        <f t="shared" si="26"/>
        <v>0</v>
      </c>
    </row>
    <row r="260" spans="1:68" ht="15.6" thickBot="1" x14ac:dyDescent="0.3">
      <c r="A260" s="25" t="s">
        <v>563</v>
      </c>
      <c r="B260" s="18" t="s">
        <v>564</v>
      </c>
      <c r="C260" s="3"/>
      <c r="D260" s="21">
        <f t="shared" si="24"/>
        <v>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4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4"/>
      <c r="BO260" s="11">
        <f t="shared" si="25"/>
        <v>0</v>
      </c>
      <c r="BP260" s="9">
        <f t="shared" si="26"/>
        <v>0</v>
      </c>
    </row>
    <row r="261" spans="1:68" ht="15.6" thickBot="1" x14ac:dyDescent="0.3">
      <c r="A261" s="25" t="s">
        <v>232</v>
      </c>
      <c r="B261" s="18" t="s">
        <v>74</v>
      </c>
      <c r="C261" s="3"/>
      <c r="D261" s="21">
        <f t="shared" si="24"/>
        <v>0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4"/>
      <c r="BO261" s="11">
        <f t="shared" si="25"/>
        <v>0</v>
      </c>
      <c r="BP261" s="9">
        <f t="shared" si="26"/>
        <v>0</v>
      </c>
    </row>
    <row r="262" spans="1:68" ht="15.6" thickBot="1" x14ac:dyDescent="0.3">
      <c r="A262" s="25" t="s">
        <v>230</v>
      </c>
      <c r="B262" s="18" t="s">
        <v>231</v>
      </c>
      <c r="C262" s="3"/>
      <c r="D262" s="21">
        <f t="shared" si="24"/>
        <v>0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4"/>
      <c r="BO262" s="11">
        <f t="shared" si="25"/>
        <v>0</v>
      </c>
      <c r="BP262" s="9">
        <f t="shared" si="26"/>
        <v>0</v>
      </c>
    </row>
    <row r="263" spans="1:68" ht="15.6" thickBot="1" x14ac:dyDescent="0.3">
      <c r="A263" s="25" t="s">
        <v>566</v>
      </c>
      <c r="B263" s="18" t="s">
        <v>565</v>
      </c>
      <c r="C263" s="3"/>
      <c r="D263" s="21">
        <f t="shared" si="24"/>
        <v>0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4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4"/>
      <c r="BO263" s="11">
        <f t="shared" si="25"/>
        <v>0</v>
      </c>
      <c r="BP263" s="9">
        <f t="shared" si="26"/>
        <v>0</v>
      </c>
    </row>
    <row r="264" spans="1:68" ht="15.6" thickBot="1" x14ac:dyDescent="0.3">
      <c r="A264" s="25" t="s">
        <v>233</v>
      </c>
      <c r="B264" s="18" t="s">
        <v>75</v>
      </c>
      <c r="C264" s="3"/>
      <c r="D264" s="21">
        <f t="shared" si="24"/>
        <v>0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4"/>
      <c r="BO264" s="11">
        <f t="shared" si="25"/>
        <v>0</v>
      </c>
      <c r="BP264" s="9">
        <f t="shared" si="26"/>
        <v>0</v>
      </c>
    </row>
    <row r="265" spans="1:68" ht="15.6" thickBot="1" x14ac:dyDescent="0.3">
      <c r="A265" s="25" t="s">
        <v>234</v>
      </c>
      <c r="B265" s="18" t="s">
        <v>429</v>
      </c>
      <c r="C265" s="3"/>
      <c r="D265" s="21">
        <f t="shared" si="24"/>
        <v>0</v>
      </c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4"/>
      <c r="BO265" s="11">
        <f t="shared" si="25"/>
        <v>0</v>
      </c>
      <c r="BP265" s="9">
        <f t="shared" si="26"/>
        <v>0</v>
      </c>
    </row>
    <row r="266" spans="1:68" ht="15.6" thickBot="1" x14ac:dyDescent="0.3">
      <c r="A266" s="25" t="s">
        <v>235</v>
      </c>
      <c r="B266" s="18" t="s">
        <v>430</v>
      </c>
      <c r="C266" s="3"/>
      <c r="D266" s="21">
        <f t="shared" si="24"/>
        <v>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4"/>
      <c r="BO266" s="11">
        <f t="shared" si="25"/>
        <v>0</v>
      </c>
      <c r="BP266" s="9">
        <f t="shared" si="26"/>
        <v>0</v>
      </c>
    </row>
    <row r="267" spans="1:68" ht="15.6" thickBot="1" x14ac:dyDescent="0.3">
      <c r="A267" s="28" t="s">
        <v>589</v>
      </c>
      <c r="B267" s="18" t="s">
        <v>590</v>
      </c>
      <c r="C267" s="3"/>
      <c r="D267" s="21">
        <f t="shared" si="24"/>
        <v>0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4"/>
      <c r="BO267" s="11">
        <f t="shared" si="25"/>
        <v>0</v>
      </c>
      <c r="BP267" s="9">
        <f t="shared" si="26"/>
        <v>0</v>
      </c>
    </row>
    <row r="268" spans="1:68" ht="15.6" thickBot="1" x14ac:dyDescent="0.3">
      <c r="A268" s="25" t="s">
        <v>236</v>
      </c>
      <c r="B268" s="18" t="s">
        <v>622</v>
      </c>
      <c r="C268" s="3"/>
      <c r="D268" s="21">
        <f t="shared" si="24"/>
        <v>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4"/>
      <c r="BO268" s="11">
        <f t="shared" si="25"/>
        <v>0</v>
      </c>
      <c r="BP268" s="9">
        <f t="shared" si="26"/>
        <v>0</v>
      </c>
    </row>
    <row r="269" spans="1:68" ht="16.2" thickBot="1" x14ac:dyDescent="0.35">
      <c r="A269" s="25"/>
      <c r="B269" s="20" t="s">
        <v>78</v>
      </c>
      <c r="C269" s="3"/>
      <c r="D269" s="21">
        <f t="shared" si="24"/>
        <v>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4"/>
      <c r="BO269" s="11">
        <f t="shared" si="25"/>
        <v>0</v>
      </c>
      <c r="BP269" s="9">
        <f t="shared" si="26"/>
        <v>0</v>
      </c>
    </row>
    <row r="270" spans="1:68" ht="15.6" thickBot="1" x14ac:dyDescent="0.3">
      <c r="A270" s="25" t="s">
        <v>937</v>
      </c>
      <c r="B270" s="18" t="s">
        <v>938</v>
      </c>
      <c r="C270" s="3"/>
      <c r="D270" s="21">
        <f t="shared" ref="D270:D336" si="27">C270+SUM(E270:BN270)</f>
        <v>0</v>
      </c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4"/>
      <c r="BO270" s="11">
        <f t="shared" si="25"/>
        <v>0</v>
      </c>
      <c r="BP270" s="9">
        <f t="shared" si="26"/>
        <v>0</v>
      </c>
    </row>
    <row r="271" spans="1:68" ht="15.6" thickBot="1" x14ac:dyDescent="0.3">
      <c r="A271" s="25" t="s">
        <v>939</v>
      </c>
      <c r="B271" s="18" t="s">
        <v>940</v>
      </c>
      <c r="C271" s="3"/>
      <c r="D271" s="21">
        <f t="shared" si="27"/>
        <v>0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4"/>
      <c r="BO271" s="11">
        <f t="shared" ref="BO271:BO337" si="28">BM271+BG271+BE271+BC271+BA271+AY271+AW271+AU271+AS271+AQ271+AO271+AM271+AK271+AI271+AG271+AE271+AC271+AA271+Y271+W271+U271+S271+Q271+O271+M271+K271+I271+G271+E271</f>
        <v>0</v>
      </c>
      <c r="BP271" s="9">
        <f t="shared" ref="BP271:BP337" si="29">BN271+BH271+BF271+BD271+BB271+AZ271+AX271+AV271+AT271+AR271+AP271+AN271+AL271+AJ271+AH271+AF271+AD271+AB271+Z271+X271+V271+T271+R271+P271+N271+L271+J271+H271+F271</f>
        <v>0</v>
      </c>
    </row>
    <row r="272" spans="1:68" ht="16.2" thickBot="1" x14ac:dyDescent="0.35">
      <c r="B272" s="20"/>
      <c r="C272" s="3"/>
      <c r="D272" s="21">
        <f t="shared" si="27"/>
        <v>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4"/>
      <c r="BO272" s="11">
        <f t="shared" si="28"/>
        <v>0</v>
      </c>
      <c r="BP272" s="9">
        <f t="shared" si="29"/>
        <v>0</v>
      </c>
    </row>
    <row r="273" spans="1:68" ht="15.6" thickBot="1" x14ac:dyDescent="0.3">
      <c r="A273" s="25" t="s">
        <v>538</v>
      </c>
      <c r="B273" s="18" t="s">
        <v>539</v>
      </c>
      <c r="C273" s="3"/>
      <c r="D273" s="21">
        <f t="shared" si="27"/>
        <v>0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4"/>
      <c r="BO273" s="11">
        <f t="shared" si="28"/>
        <v>0</v>
      </c>
      <c r="BP273" s="9">
        <f t="shared" si="29"/>
        <v>0</v>
      </c>
    </row>
    <row r="274" spans="1:68" ht="15.6" thickBot="1" x14ac:dyDescent="0.3">
      <c r="A274" s="25" t="s">
        <v>560</v>
      </c>
      <c r="B274" s="15" t="s">
        <v>540</v>
      </c>
      <c r="C274" s="3"/>
      <c r="D274" s="21">
        <f t="shared" si="27"/>
        <v>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4"/>
      <c r="BO274" s="11">
        <f t="shared" si="28"/>
        <v>0</v>
      </c>
      <c r="BP274" s="9">
        <f t="shared" si="29"/>
        <v>0</v>
      </c>
    </row>
    <row r="275" spans="1:68" ht="15.6" thickBot="1" x14ac:dyDescent="0.3">
      <c r="A275" s="25" t="s">
        <v>387</v>
      </c>
      <c r="B275" s="18" t="s">
        <v>278</v>
      </c>
      <c r="C275" s="3"/>
      <c r="D275" s="21">
        <f t="shared" si="27"/>
        <v>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4"/>
      <c r="BO275" s="11">
        <f t="shared" si="28"/>
        <v>0</v>
      </c>
      <c r="BP275" s="9">
        <f t="shared" si="29"/>
        <v>0</v>
      </c>
    </row>
    <row r="276" spans="1:68" ht="15.6" thickBot="1" x14ac:dyDescent="0.3">
      <c r="A276" s="25" t="s">
        <v>818</v>
      </c>
      <c r="B276" s="18" t="s">
        <v>819</v>
      </c>
      <c r="C276" s="3"/>
      <c r="D276" s="21">
        <f t="shared" si="27"/>
        <v>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4"/>
      <c r="BO276" s="11">
        <f t="shared" si="28"/>
        <v>0</v>
      </c>
      <c r="BP276" s="9">
        <f t="shared" si="29"/>
        <v>0</v>
      </c>
    </row>
    <row r="277" spans="1:68" ht="15.6" thickBot="1" x14ac:dyDescent="0.3">
      <c r="A277" s="25" t="s">
        <v>541</v>
      </c>
      <c r="B277" s="18" t="s">
        <v>279</v>
      </c>
      <c r="C277" s="3">
        <v>24</v>
      </c>
      <c r="D277" s="21">
        <f t="shared" si="27"/>
        <v>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4">
        <v>-24</v>
      </c>
      <c r="BO277" s="11">
        <f t="shared" si="28"/>
        <v>0</v>
      </c>
      <c r="BP277" s="9">
        <f t="shared" si="29"/>
        <v>-24</v>
      </c>
    </row>
    <row r="278" spans="1:68" ht="15.6" thickBot="1" x14ac:dyDescent="0.3">
      <c r="A278" s="25" t="s">
        <v>371</v>
      </c>
      <c r="B278" s="18" t="s">
        <v>372</v>
      </c>
      <c r="C278" s="3"/>
      <c r="D278" s="21">
        <f t="shared" si="27"/>
        <v>0</v>
      </c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4"/>
      <c r="BO278" s="11">
        <f t="shared" si="28"/>
        <v>0</v>
      </c>
      <c r="BP278" s="9">
        <f t="shared" si="29"/>
        <v>0</v>
      </c>
    </row>
    <row r="279" spans="1:68" ht="15.6" thickBot="1" x14ac:dyDescent="0.3">
      <c r="A279" s="25" t="s">
        <v>826</v>
      </c>
      <c r="B279" s="18" t="s">
        <v>368</v>
      </c>
      <c r="C279" s="3"/>
      <c r="D279" s="21">
        <f t="shared" si="27"/>
        <v>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4"/>
      <c r="BO279" s="11">
        <f t="shared" si="28"/>
        <v>0</v>
      </c>
      <c r="BP279" s="9">
        <f t="shared" si="29"/>
        <v>0</v>
      </c>
    </row>
    <row r="280" spans="1:68" ht="15.6" thickBot="1" x14ac:dyDescent="0.3">
      <c r="A280" s="25" t="s">
        <v>542</v>
      </c>
      <c r="B280" s="18" t="s">
        <v>543</v>
      </c>
      <c r="C280" s="3"/>
      <c r="D280" s="21">
        <f t="shared" si="27"/>
        <v>0</v>
      </c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4"/>
      <c r="BO280" s="11">
        <f t="shared" si="28"/>
        <v>0</v>
      </c>
      <c r="BP280" s="9">
        <f t="shared" si="29"/>
        <v>0</v>
      </c>
    </row>
    <row r="281" spans="1:68" ht="15.6" thickBot="1" x14ac:dyDescent="0.3">
      <c r="A281" s="25" t="s">
        <v>755</v>
      </c>
      <c r="B281" s="18" t="s">
        <v>450</v>
      </c>
      <c r="C281" s="3"/>
      <c r="D281" s="21">
        <f t="shared" si="27"/>
        <v>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4"/>
      <c r="BO281" s="11">
        <f t="shared" si="28"/>
        <v>0</v>
      </c>
      <c r="BP281" s="9">
        <f t="shared" si="29"/>
        <v>0</v>
      </c>
    </row>
    <row r="282" spans="1:68" ht="15.6" thickBot="1" x14ac:dyDescent="0.3">
      <c r="A282" s="25"/>
      <c r="B282" s="18" t="s">
        <v>834</v>
      </c>
      <c r="C282" s="3"/>
      <c r="D282" s="21">
        <f t="shared" si="27"/>
        <v>0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4"/>
      <c r="BO282" s="11">
        <f t="shared" si="28"/>
        <v>0</v>
      </c>
      <c r="BP282" s="9">
        <f t="shared" si="29"/>
        <v>0</v>
      </c>
    </row>
    <row r="283" spans="1:68" ht="15.6" thickBot="1" x14ac:dyDescent="0.3">
      <c r="A283" s="25" t="s">
        <v>786</v>
      </c>
      <c r="B283" s="18" t="s">
        <v>788</v>
      </c>
      <c r="C283" s="3"/>
      <c r="D283" s="21">
        <f t="shared" si="27"/>
        <v>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4"/>
      <c r="BO283" s="11">
        <f t="shared" si="28"/>
        <v>0</v>
      </c>
      <c r="BP283" s="9">
        <f t="shared" si="29"/>
        <v>0</v>
      </c>
    </row>
    <row r="284" spans="1:68" ht="15.6" thickBot="1" x14ac:dyDescent="0.3">
      <c r="A284" s="25" t="s">
        <v>787</v>
      </c>
      <c r="B284" s="18" t="s">
        <v>789</v>
      </c>
      <c r="C284" s="3"/>
      <c r="D284" s="21">
        <f t="shared" si="27"/>
        <v>0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4"/>
      <c r="BO284" s="11">
        <f t="shared" si="28"/>
        <v>0</v>
      </c>
      <c r="BP284" s="9">
        <f t="shared" si="29"/>
        <v>0</v>
      </c>
    </row>
    <row r="285" spans="1:68" ht="15.6" thickBot="1" x14ac:dyDescent="0.3">
      <c r="A285" s="25" t="s">
        <v>595</v>
      </c>
      <c r="B285" s="18" t="s">
        <v>456</v>
      </c>
      <c r="C285" s="3"/>
      <c r="D285" s="21">
        <f t="shared" si="27"/>
        <v>0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4"/>
      <c r="BO285" s="11">
        <f t="shared" si="28"/>
        <v>0</v>
      </c>
      <c r="BP285" s="9">
        <f t="shared" si="29"/>
        <v>0</v>
      </c>
    </row>
    <row r="286" spans="1:68" ht="15.6" thickBot="1" x14ac:dyDescent="0.3">
      <c r="A286" s="25" t="s">
        <v>626</v>
      </c>
      <c r="B286" s="18" t="s">
        <v>627</v>
      </c>
      <c r="C286" s="3"/>
      <c r="D286" s="21">
        <f t="shared" si="27"/>
        <v>0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4"/>
      <c r="BO286" s="11">
        <f t="shared" si="28"/>
        <v>0</v>
      </c>
      <c r="BP286" s="9">
        <f t="shared" si="29"/>
        <v>0</v>
      </c>
    </row>
    <row r="287" spans="1:68" ht="15.6" thickBot="1" x14ac:dyDescent="0.3">
      <c r="A287" s="25" t="s">
        <v>716</v>
      </c>
      <c r="B287" s="18" t="s">
        <v>717</v>
      </c>
      <c r="C287" s="3"/>
      <c r="D287" s="21">
        <f t="shared" si="27"/>
        <v>0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4"/>
      <c r="BO287" s="11">
        <f t="shared" si="28"/>
        <v>0</v>
      </c>
      <c r="BP287" s="9">
        <f t="shared" si="29"/>
        <v>0</v>
      </c>
    </row>
    <row r="288" spans="1:68" ht="16.2" thickBot="1" x14ac:dyDescent="0.35">
      <c r="A288" s="25"/>
      <c r="B288" s="20" t="s">
        <v>79</v>
      </c>
      <c r="C288" s="3"/>
      <c r="D288" s="21">
        <f t="shared" si="27"/>
        <v>0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4"/>
      <c r="BO288" s="11">
        <f t="shared" si="28"/>
        <v>0</v>
      </c>
      <c r="BP288" s="9">
        <f t="shared" si="29"/>
        <v>0</v>
      </c>
    </row>
    <row r="289" spans="1:68" ht="15.6" thickBot="1" x14ac:dyDescent="0.3">
      <c r="A289" s="25" t="s">
        <v>807</v>
      </c>
      <c r="B289" s="18" t="s">
        <v>181</v>
      </c>
      <c r="C289" s="3"/>
      <c r="D289" s="21">
        <f t="shared" si="27"/>
        <v>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4"/>
      <c r="BO289" s="11">
        <f t="shared" si="28"/>
        <v>0</v>
      </c>
      <c r="BP289" s="9">
        <f t="shared" si="29"/>
        <v>0</v>
      </c>
    </row>
    <row r="290" spans="1:68" ht="15.6" thickBot="1" x14ac:dyDescent="0.3">
      <c r="A290" s="25" t="s">
        <v>808</v>
      </c>
      <c r="B290" s="18" t="s">
        <v>33</v>
      </c>
      <c r="C290" s="3"/>
      <c r="D290" s="21">
        <f t="shared" si="27"/>
        <v>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4"/>
      <c r="BO290" s="11">
        <f t="shared" si="28"/>
        <v>0</v>
      </c>
      <c r="BP290" s="9">
        <f t="shared" si="29"/>
        <v>0</v>
      </c>
    </row>
    <row r="291" spans="1:68" ht="15.6" thickBot="1" x14ac:dyDescent="0.3">
      <c r="A291" s="25" t="s">
        <v>809</v>
      </c>
      <c r="B291" s="18" t="s">
        <v>182</v>
      </c>
      <c r="C291" s="3"/>
      <c r="D291" s="21">
        <f t="shared" si="27"/>
        <v>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4"/>
      <c r="BO291" s="11">
        <f t="shared" si="28"/>
        <v>0</v>
      </c>
      <c r="BP291" s="9">
        <f t="shared" si="29"/>
        <v>0</v>
      </c>
    </row>
    <row r="292" spans="1:68" ht="16.2" thickBot="1" x14ac:dyDescent="0.35">
      <c r="A292" s="25"/>
      <c r="B292" s="20" t="s">
        <v>553</v>
      </c>
      <c r="C292" s="3"/>
      <c r="D292" s="21">
        <f t="shared" si="27"/>
        <v>0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4"/>
      <c r="BO292" s="11">
        <f t="shared" si="28"/>
        <v>0</v>
      </c>
      <c r="BP292" s="9">
        <f t="shared" si="29"/>
        <v>0</v>
      </c>
    </row>
    <row r="293" spans="1:68" ht="15.6" thickBot="1" x14ac:dyDescent="0.3">
      <c r="A293" s="25" t="s">
        <v>827</v>
      </c>
      <c r="B293" s="18" t="s">
        <v>554</v>
      </c>
      <c r="C293" s="3"/>
      <c r="D293" s="21">
        <f t="shared" si="27"/>
        <v>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4"/>
      <c r="BO293" s="11">
        <f t="shared" si="28"/>
        <v>0</v>
      </c>
      <c r="BP293" s="9">
        <f t="shared" si="29"/>
        <v>0</v>
      </c>
    </row>
    <row r="294" spans="1:68" ht="16.2" thickBot="1" x14ac:dyDescent="0.35">
      <c r="A294" s="25"/>
      <c r="B294" s="20" t="s">
        <v>80</v>
      </c>
      <c r="C294" s="3"/>
      <c r="D294" s="21">
        <f t="shared" si="27"/>
        <v>0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4"/>
      <c r="BO294" s="11">
        <f t="shared" si="28"/>
        <v>0</v>
      </c>
      <c r="BP294" s="9">
        <f t="shared" si="29"/>
        <v>0</v>
      </c>
    </row>
    <row r="295" spans="1:68" ht="15.6" thickBot="1" x14ac:dyDescent="0.3">
      <c r="A295" s="25" t="s">
        <v>666</v>
      </c>
      <c r="B295" s="18" t="s">
        <v>81</v>
      </c>
      <c r="C295" s="3"/>
      <c r="D295" s="21">
        <f t="shared" si="27"/>
        <v>36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>
        <v>36</v>
      </c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4"/>
      <c r="BO295" s="11">
        <f t="shared" si="28"/>
        <v>36</v>
      </c>
      <c r="BP295" s="9">
        <f t="shared" si="29"/>
        <v>0</v>
      </c>
    </row>
    <row r="296" spans="1:68" ht="15.6" thickBot="1" x14ac:dyDescent="0.3">
      <c r="A296" s="25" t="s">
        <v>667</v>
      </c>
      <c r="B296" s="18" t="s">
        <v>82</v>
      </c>
      <c r="C296" s="3">
        <v>160</v>
      </c>
      <c r="D296" s="21">
        <f t="shared" si="27"/>
        <v>160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4"/>
      <c r="BO296" s="11">
        <f t="shared" si="28"/>
        <v>0</v>
      </c>
      <c r="BP296" s="9">
        <f t="shared" si="29"/>
        <v>0</v>
      </c>
    </row>
    <row r="297" spans="1:68" ht="15.6" thickBot="1" x14ac:dyDescent="0.3">
      <c r="A297" s="25" t="s">
        <v>697</v>
      </c>
      <c r="B297" s="18" t="s">
        <v>83</v>
      </c>
      <c r="C297" s="3">
        <v>246</v>
      </c>
      <c r="D297" s="21">
        <f t="shared" si="27"/>
        <v>246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4"/>
      <c r="BO297" s="11">
        <f t="shared" si="28"/>
        <v>0</v>
      </c>
      <c r="BP297" s="9">
        <f t="shared" si="29"/>
        <v>0</v>
      </c>
    </row>
    <row r="298" spans="1:68" ht="15.6" thickBot="1" x14ac:dyDescent="0.3">
      <c r="A298" s="25" t="s">
        <v>698</v>
      </c>
      <c r="B298" s="18" t="s">
        <v>84</v>
      </c>
      <c r="C298" s="3">
        <v>130</v>
      </c>
      <c r="D298" s="21">
        <f t="shared" si="27"/>
        <v>130</v>
      </c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4"/>
      <c r="BO298" s="11">
        <f t="shared" si="28"/>
        <v>0</v>
      </c>
      <c r="BP298" s="9">
        <f t="shared" si="29"/>
        <v>0</v>
      </c>
    </row>
    <row r="299" spans="1:68" ht="15.6" thickBot="1" x14ac:dyDescent="0.3">
      <c r="A299" s="25" t="s">
        <v>672</v>
      </c>
      <c r="B299" s="18" t="s">
        <v>85</v>
      </c>
      <c r="C299" s="3">
        <v>62</v>
      </c>
      <c r="D299" s="21">
        <f t="shared" si="27"/>
        <v>170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>
        <f>72+36</f>
        <v>108</v>
      </c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4"/>
      <c r="BO299" s="11">
        <f t="shared" si="28"/>
        <v>108</v>
      </c>
      <c r="BP299" s="9">
        <f t="shared" si="29"/>
        <v>0</v>
      </c>
    </row>
    <row r="300" spans="1:68" ht="15.6" thickBot="1" x14ac:dyDescent="0.3">
      <c r="A300" s="25" t="s">
        <v>673</v>
      </c>
      <c r="B300" s="18" t="s">
        <v>159</v>
      </c>
      <c r="C300" s="3">
        <v>120</v>
      </c>
      <c r="D300" s="21">
        <f t="shared" si="27"/>
        <v>120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4"/>
      <c r="BO300" s="11">
        <f t="shared" si="28"/>
        <v>0</v>
      </c>
      <c r="BP300" s="9">
        <f t="shared" si="29"/>
        <v>0</v>
      </c>
    </row>
    <row r="301" spans="1:68" ht="15.6" thickBot="1" x14ac:dyDescent="0.3">
      <c r="A301" s="25" t="s">
        <v>833</v>
      </c>
      <c r="B301" s="18" t="s">
        <v>258</v>
      </c>
      <c r="C301" s="3"/>
      <c r="D301" s="21">
        <f t="shared" si="27"/>
        <v>0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4"/>
      <c r="BO301" s="11">
        <f t="shared" si="28"/>
        <v>0</v>
      </c>
      <c r="BP301" s="9">
        <f t="shared" si="29"/>
        <v>0</v>
      </c>
    </row>
    <row r="302" spans="1:68" ht="15.6" thickBot="1" x14ac:dyDescent="0.3">
      <c r="A302" s="25" t="s">
        <v>699</v>
      </c>
      <c r="B302" s="18" t="s">
        <v>259</v>
      </c>
      <c r="C302" s="3"/>
      <c r="D302" s="21">
        <f t="shared" si="27"/>
        <v>0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4"/>
      <c r="BO302" s="11">
        <f t="shared" si="28"/>
        <v>0</v>
      </c>
      <c r="BP302" s="9">
        <f t="shared" si="29"/>
        <v>0</v>
      </c>
    </row>
    <row r="303" spans="1:68" ht="15.6" thickBot="1" x14ac:dyDescent="0.3">
      <c r="A303" s="25" t="s">
        <v>700</v>
      </c>
      <c r="B303" s="18" t="s">
        <v>260</v>
      </c>
      <c r="C303" s="3">
        <v>34</v>
      </c>
      <c r="D303" s="21">
        <f t="shared" si="27"/>
        <v>34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4"/>
      <c r="BO303" s="11">
        <f t="shared" si="28"/>
        <v>0</v>
      </c>
      <c r="BP303" s="9">
        <f t="shared" si="29"/>
        <v>0</v>
      </c>
    </row>
    <row r="304" spans="1:68" ht="15.6" thickBot="1" x14ac:dyDescent="0.3">
      <c r="A304" s="25" t="s">
        <v>701</v>
      </c>
      <c r="B304" s="18" t="s">
        <v>476</v>
      </c>
      <c r="C304" s="3"/>
      <c r="D304" s="21">
        <f t="shared" si="27"/>
        <v>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4"/>
      <c r="BO304" s="11">
        <f t="shared" si="28"/>
        <v>0</v>
      </c>
      <c r="BP304" s="9">
        <f t="shared" si="29"/>
        <v>0</v>
      </c>
    </row>
    <row r="305" spans="1:68" ht="15.6" thickBot="1" x14ac:dyDescent="0.3">
      <c r="A305" s="25" t="s">
        <v>702</v>
      </c>
      <c r="B305" s="18" t="s">
        <v>479</v>
      </c>
      <c r="C305" s="3"/>
      <c r="D305" s="21">
        <f t="shared" si="27"/>
        <v>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4"/>
      <c r="BO305" s="11">
        <f t="shared" si="28"/>
        <v>0</v>
      </c>
      <c r="BP305" s="9">
        <f t="shared" si="29"/>
        <v>0</v>
      </c>
    </row>
    <row r="306" spans="1:68" ht="15.6" thickBot="1" x14ac:dyDescent="0.3">
      <c r="A306" s="25" t="s">
        <v>703</v>
      </c>
      <c r="B306" s="18" t="s">
        <v>477</v>
      </c>
      <c r="C306" s="3">
        <v>40</v>
      </c>
      <c r="D306" s="21">
        <f t="shared" si="27"/>
        <v>40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4"/>
      <c r="BO306" s="11">
        <f t="shared" si="28"/>
        <v>0</v>
      </c>
      <c r="BP306" s="9">
        <f t="shared" si="29"/>
        <v>0</v>
      </c>
    </row>
    <row r="307" spans="1:68" ht="16.2" thickBot="1" x14ac:dyDescent="0.35">
      <c r="A307" s="25"/>
      <c r="B307" s="20" t="s">
        <v>86</v>
      </c>
      <c r="C307" s="3"/>
      <c r="D307" s="21">
        <f t="shared" si="27"/>
        <v>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4"/>
      <c r="BO307" s="11">
        <f t="shared" si="28"/>
        <v>0</v>
      </c>
      <c r="BP307" s="9">
        <f t="shared" si="29"/>
        <v>0</v>
      </c>
    </row>
    <row r="308" spans="1:68" ht="15.6" thickBot="1" x14ac:dyDescent="0.3">
      <c r="A308" s="25" t="s">
        <v>319</v>
      </c>
      <c r="B308" s="18" t="s">
        <v>362</v>
      </c>
      <c r="C308" s="3"/>
      <c r="D308" s="21">
        <f t="shared" si="27"/>
        <v>0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4"/>
      <c r="BO308" s="11">
        <f t="shared" si="28"/>
        <v>0</v>
      </c>
      <c r="BP308" s="9">
        <f t="shared" si="29"/>
        <v>0</v>
      </c>
    </row>
    <row r="309" spans="1:68" ht="15.6" thickBot="1" x14ac:dyDescent="0.3">
      <c r="A309" s="25" t="s">
        <v>342</v>
      </c>
      <c r="B309" s="18" t="s">
        <v>363</v>
      </c>
      <c r="C309" s="3"/>
      <c r="D309" s="21">
        <f t="shared" si="27"/>
        <v>0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4"/>
      <c r="BO309" s="11">
        <f t="shared" si="28"/>
        <v>0</v>
      </c>
      <c r="BP309" s="9">
        <f t="shared" si="29"/>
        <v>0</v>
      </c>
    </row>
    <row r="310" spans="1:68" ht="15.6" thickBot="1" x14ac:dyDescent="0.3">
      <c r="A310" s="25" t="s">
        <v>343</v>
      </c>
      <c r="B310" s="18" t="s">
        <v>88</v>
      </c>
      <c r="C310" s="3"/>
      <c r="D310" s="21">
        <f t="shared" si="27"/>
        <v>0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4"/>
      <c r="BO310" s="11">
        <f t="shared" si="28"/>
        <v>0</v>
      </c>
      <c r="BP310" s="9">
        <f t="shared" si="29"/>
        <v>0</v>
      </c>
    </row>
    <row r="311" spans="1:68" ht="15.6" thickBot="1" x14ac:dyDescent="0.3">
      <c r="A311" s="25" t="s">
        <v>344</v>
      </c>
      <c r="B311" s="18" t="s">
        <v>89</v>
      </c>
      <c r="C311" s="3"/>
      <c r="D311" s="21">
        <f t="shared" si="27"/>
        <v>0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4"/>
      <c r="BO311" s="11">
        <f t="shared" si="28"/>
        <v>0</v>
      </c>
      <c r="BP311" s="9">
        <f t="shared" si="29"/>
        <v>0</v>
      </c>
    </row>
    <row r="312" spans="1:68" ht="15.6" thickBot="1" x14ac:dyDescent="0.3">
      <c r="A312" s="25" t="s">
        <v>345</v>
      </c>
      <c r="B312" s="18" t="s">
        <v>90</v>
      </c>
      <c r="C312" s="3"/>
      <c r="D312" s="21">
        <f t="shared" si="27"/>
        <v>0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4"/>
      <c r="BO312" s="11">
        <f t="shared" si="28"/>
        <v>0</v>
      </c>
      <c r="BP312" s="9">
        <f t="shared" si="29"/>
        <v>0</v>
      </c>
    </row>
    <row r="313" spans="1:68" ht="15.6" thickBot="1" x14ac:dyDescent="0.3">
      <c r="A313" s="25" t="s">
        <v>346</v>
      </c>
      <c r="B313" s="18" t="s">
        <v>91</v>
      </c>
      <c r="C313" s="3"/>
      <c r="D313" s="21">
        <f t="shared" si="27"/>
        <v>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4"/>
      <c r="BO313" s="11">
        <f t="shared" si="28"/>
        <v>0</v>
      </c>
      <c r="BP313" s="9">
        <f t="shared" si="29"/>
        <v>0</v>
      </c>
    </row>
    <row r="314" spans="1:68" ht="15.6" thickBot="1" x14ac:dyDescent="0.3">
      <c r="A314" s="25" t="s">
        <v>347</v>
      </c>
      <c r="B314" s="18" t="s">
        <v>47</v>
      </c>
      <c r="C314" s="3"/>
      <c r="D314" s="21">
        <f t="shared" si="27"/>
        <v>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4"/>
      <c r="BO314" s="11">
        <f t="shared" si="28"/>
        <v>0</v>
      </c>
      <c r="BP314" s="9">
        <f t="shared" si="29"/>
        <v>0</v>
      </c>
    </row>
    <row r="315" spans="1:68" ht="15.6" thickBot="1" x14ac:dyDescent="0.3">
      <c r="A315" s="25" t="s">
        <v>320</v>
      </c>
      <c r="B315" s="18" t="s">
        <v>261</v>
      </c>
      <c r="C315" s="3"/>
      <c r="D315" s="21">
        <f t="shared" si="27"/>
        <v>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4"/>
      <c r="BO315" s="11">
        <f t="shared" si="28"/>
        <v>0</v>
      </c>
      <c r="BP315" s="9">
        <f t="shared" si="29"/>
        <v>0</v>
      </c>
    </row>
    <row r="316" spans="1:68" ht="16.2" thickBot="1" x14ac:dyDescent="0.35">
      <c r="A316" s="25"/>
      <c r="B316" s="20" t="s">
        <v>87</v>
      </c>
      <c r="C316" s="3"/>
      <c r="D316" s="21">
        <f t="shared" si="27"/>
        <v>0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4"/>
      <c r="BO316" s="11">
        <f t="shared" si="28"/>
        <v>0</v>
      </c>
      <c r="BP316" s="9">
        <f t="shared" si="29"/>
        <v>0</v>
      </c>
    </row>
    <row r="317" spans="1:68" ht="15.6" thickBot="1" x14ac:dyDescent="0.3">
      <c r="A317" s="25" t="s">
        <v>776</v>
      </c>
      <c r="B317" s="18" t="s">
        <v>122</v>
      </c>
      <c r="C317" s="3"/>
      <c r="D317" s="21">
        <f t="shared" si="27"/>
        <v>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4"/>
      <c r="BO317" s="11">
        <f t="shared" si="28"/>
        <v>0</v>
      </c>
      <c r="BP317" s="9">
        <f t="shared" si="29"/>
        <v>0</v>
      </c>
    </row>
    <row r="318" spans="1:68" ht="15.6" thickBot="1" x14ac:dyDescent="0.3">
      <c r="A318" s="25" t="s">
        <v>777</v>
      </c>
      <c r="B318" s="18" t="s">
        <v>149</v>
      </c>
      <c r="C318" s="3"/>
      <c r="D318" s="21">
        <f t="shared" si="27"/>
        <v>0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4"/>
      <c r="BO318" s="11">
        <f t="shared" si="28"/>
        <v>0</v>
      </c>
      <c r="BP318" s="9">
        <f t="shared" si="29"/>
        <v>0</v>
      </c>
    </row>
    <row r="319" spans="1:68" ht="15.6" thickBot="1" x14ac:dyDescent="0.3">
      <c r="A319" s="25" t="s">
        <v>778</v>
      </c>
      <c r="B319" s="18" t="s">
        <v>150</v>
      </c>
      <c r="C319" s="3"/>
      <c r="D319" s="21">
        <f t="shared" si="27"/>
        <v>0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4"/>
      <c r="BO319" s="11">
        <f t="shared" si="28"/>
        <v>0</v>
      </c>
      <c r="BP319" s="9">
        <f t="shared" si="29"/>
        <v>0</v>
      </c>
    </row>
    <row r="320" spans="1:68" ht="15.6" thickBot="1" x14ac:dyDescent="0.3">
      <c r="A320" s="25"/>
      <c r="B320" s="18" t="s">
        <v>848</v>
      </c>
      <c r="C320" s="3"/>
      <c r="D320" s="21">
        <f t="shared" si="27"/>
        <v>0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4"/>
      <c r="BO320" s="11"/>
      <c r="BP320" s="9"/>
    </row>
    <row r="321" spans="1:68" ht="15.6" thickBot="1" x14ac:dyDescent="0.3">
      <c r="A321" s="25"/>
      <c r="B321" s="18" t="s">
        <v>849</v>
      </c>
      <c r="C321" s="3"/>
      <c r="D321" s="21">
        <f t="shared" si="27"/>
        <v>0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4"/>
      <c r="BO321" s="11"/>
      <c r="BP321" s="9"/>
    </row>
    <row r="322" spans="1:68" ht="16.2" thickBot="1" x14ac:dyDescent="0.35">
      <c r="A322" s="25"/>
      <c r="B322" s="20"/>
      <c r="C322" s="3"/>
      <c r="D322" s="21">
        <f t="shared" si="27"/>
        <v>0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4"/>
      <c r="BO322" s="11"/>
      <c r="BP322" s="9"/>
    </row>
    <row r="323" spans="1:68" ht="16.2" thickBot="1" x14ac:dyDescent="0.35">
      <c r="A323" s="25"/>
      <c r="B323" s="20" t="s">
        <v>92</v>
      </c>
      <c r="C323" s="3"/>
      <c r="D323" s="21">
        <f t="shared" si="27"/>
        <v>0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4"/>
      <c r="BO323" s="11">
        <f t="shared" si="28"/>
        <v>0</v>
      </c>
      <c r="BP323" s="9">
        <f t="shared" si="29"/>
        <v>0</v>
      </c>
    </row>
    <row r="324" spans="1:68" ht="15.6" thickBot="1" x14ac:dyDescent="0.3">
      <c r="A324" s="25" t="s">
        <v>704</v>
      </c>
      <c r="B324" s="18" t="s">
        <v>93</v>
      </c>
      <c r="C324" s="3"/>
      <c r="D324" s="21">
        <f t="shared" si="27"/>
        <v>0</v>
      </c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4"/>
      <c r="BO324" s="11">
        <f t="shared" si="28"/>
        <v>0</v>
      </c>
      <c r="BP324" s="9">
        <f t="shared" si="29"/>
        <v>0</v>
      </c>
    </row>
    <row r="325" spans="1:68" ht="15.6" thickBot="1" x14ac:dyDescent="0.3">
      <c r="A325" s="25" t="s">
        <v>810</v>
      </c>
      <c r="B325" s="18" t="s">
        <v>94</v>
      </c>
      <c r="C325" s="3"/>
      <c r="D325" s="21">
        <f t="shared" si="27"/>
        <v>0</v>
      </c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4"/>
      <c r="BO325" s="11">
        <f t="shared" si="28"/>
        <v>0</v>
      </c>
      <c r="BP325" s="9">
        <f t="shared" si="29"/>
        <v>0</v>
      </c>
    </row>
    <row r="326" spans="1:68" ht="15.6" thickBot="1" x14ac:dyDescent="0.3">
      <c r="A326" s="25" t="s">
        <v>542</v>
      </c>
      <c r="B326" s="18" t="s">
        <v>472</v>
      </c>
      <c r="C326" s="3"/>
      <c r="D326" s="21">
        <f t="shared" si="27"/>
        <v>0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4"/>
      <c r="BO326" s="11">
        <f t="shared" si="28"/>
        <v>0</v>
      </c>
      <c r="BP326" s="9">
        <f t="shared" si="29"/>
        <v>0</v>
      </c>
    </row>
    <row r="327" spans="1:68" ht="15.6" thickBot="1" x14ac:dyDescent="0.3">
      <c r="A327" s="25" t="s">
        <v>811</v>
      </c>
      <c r="B327" s="18" t="s">
        <v>95</v>
      </c>
      <c r="C327" s="3"/>
      <c r="D327" s="21">
        <f t="shared" si="27"/>
        <v>0</v>
      </c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4"/>
      <c r="BO327" s="11">
        <f t="shared" si="28"/>
        <v>0</v>
      </c>
      <c r="BP327" s="9">
        <f t="shared" si="29"/>
        <v>0</v>
      </c>
    </row>
    <row r="328" spans="1:68" ht="16.2" thickBot="1" x14ac:dyDescent="0.35">
      <c r="A328" s="25"/>
      <c r="B328" s="20" t="s">
        <v>97</v>
      </c>
      <c r="C328" s="3"/>
      <c r="D328" s="21">
        <f t="shared" si="27"/>
        <v>0</v>
      </c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4"/>
      <c r="BO328" s="11">
        <f t="shared" si="28"/>
        <v>0</v>
      </c>
      <c r="BP328" s="9">
        <f t="shared" si="29"/>
        <v>0</v>
      </c>
    </row>
    <row r="329" spans="1:68" ht="15.6" thickBot="1" x14ac:dyDescent="0.3">
      <c r="A329" s="25" t="s">
        <v>752</v>
      </c>
      <c r="B329" s="26" t="s">
        <v>753</v>
      </c>
      <c r="C329" s="3"/>
      <c r="D329" s="21">
        <f t="shared" si="27"/>
        <v>0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4"/>
      <c r="BO329" s="11">
        <f t="shared" si="28"/>
        <v>0</v>
      </c>
      <c r="BP329" s="9">
        <f t="shared" si="29"/>
        <v>0</v>
      </c>
    </row>
    <row r="330" spans="1:68" ht="15.6" thickBot="1" x14ac:dyDescent="0.3">
      <c r="A330" s="25" t="s">
        <v>713</v>
      </c>
      <c r="B330" s="18" t="s">
        <v>98</v>
      </c>
      <c r="C330" s="3"/>
      <c r="D330" s="21">
        <f t="shared" si="27"/>
        <v>0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4"/>
      <c r="BO330" s="11">
        <f t="shared" si="28"/>
        <v>0</v>
      </c>
      <c r="BP330" s="9">
        <f t="shared" si="29"/>
        <v>0</v>
      </c>
    </row>
    <row r="331" spans="1:68" ht="15.6" thickBot="1" x14ac:dyDescent="0.3">
      <c r="A331" s="25" t="s">
        <v>714</v>
      </c>
      <c r="B331" s="18" t="s">
        <v>99</v>
      </c>
      <c r="C331" s="3"/>
      <c r="D331" s="21">
        <f t="shared" si="27"/>
        <v>0</v>
      </c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4"/>
      <c r="BO331" s="11">
        <f t="shared" si="28"/>
        <v>0</v>
      </c>
      <c r="BP331" s="9">
        <f t="shared" si="29"/>
        <v>0</v>
      </c>
    </row>
    <row r="332" spans="1:68" ht="15.6" thickBot="1" x14ac:dyDescent="0.3">
      <c r="A332" s="25" t="s">
        <v>715</v>
      </c>
      <c r="B332" s="18" t="s">
        <v>100</v>
      </c>
      <c r="C332" s="3"/>
      <c r="D332" s="21">
        <f t="shared" si="27"/>
        <v>0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4"/>
      <c r="BO332" s="11">
        <f t="shared" si="28"/>
        <v>0</v>
      </c>
      <c r="BP332" s="9">
        <f t="shared" si="29"/>
        <v>0</v>
      </c>
    </row>
    <row r="333" spans="1:68" ht="16.2" thickBot="1" x14ac:dyDescent="0.35">
      <c r="A333" s="25"/>
      <c r="B333" s="20" t="s">
        <v>101</v>
      </c>
      <c r="C333" s="3"/>
      <c r="D333" s="21">
        <f t="shared" si="27"/>
        <v>0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4"/>
      <c r="BO333" s="11">
        <f t="shared" si="28"/>
        <v>0</v>
      </c>
      <c r="BP333" s="9">
        <f t="shared" si="29"/>
        <v>0</v>
      </c>
    </row>
    <row r="334" spans="1:68" ht="15.6" thickBot="1" x14ac:dyDescent="0.3">
      <c r="A334" s="25" t="s">
        <v>567</v>
      </c>
      <c r="B334" s="18" t="s">
        <v>102</v>
      </c>
      <c r="C334" s="3"/>
      <c r="D334" s="21">
        <f t="shared" si="27"/>
        <v>0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4"/>
      <c r="BO334" s="11">
        <f t="shared" si="28"/>
        <v>0</v>
      </c>
      <c r="BP334" s="9">
        <f t="shared" si="29"/>
        <v>0</v>
      </c>
    </row>
    <row r="335" spans="1:68" ht="15.6" thickBot="1" x14ac:dyDescent="0.3">
      <c r="A335" s="25" t="s">
        <v>568</v>
      </c>
      <c r="B335" s="18" t="s">
        <v>103</v>
      </c>
      <c r="C335" s="3"/>
      <c r="D335" s="21">
        <f t="shared" si="27"/>
        <v>0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4"/>
      <c r="BO335" s="11">
        <f t="shared" si="28"/>
        <v>0</v>
      </c>
      <c r="BP335" s="9">
        <f t="shared" si="29"/>
        <v>0</v>
      </c>
    </row>
    <row r="336" spans="1:68" ht="15.6" thickBot="1" x14ac:dyDescent="0.3">
      <c r="A336" s="25"/>
      <c r="B336" s="18" t="s">
        <v>104</v>
      </c>
      <c r="C336" s="3"/>
      <c r="D336" s="21">
        <f t="shared" si="27"/>
        <v>0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4"/>
      <c r="BO336" s="11">
        <f t="shared" si="28"/>
        <v>0</v>
      </c>
      <c r="BP336" s="9">
        <f t="shared" si="29"/>
        <v>0</v>
      </c>
    </row>
    <row r="337" spans="1:68" ht="15.6" thickBot="1" x14ac:dyDescent="0.3">
      <c r="A337" s="25" t="s">
        <v>569</v>
      </c>
      <c r="B337" s="18" t="s">
        <v>570</v>
      </c>
      <c r="C337" s="3"/>
      <c r="D337" s="21">
        <f t="shared" ref="D337:D403" si="30">C337+SUM(E337:BN337)</f>
        <v>0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4"/>
      <c r="BO337" s="11">
        <f t="shared" si="28"/>
        <v>0</v>
      </c>
      <c r="BP337" s="9">
        <f t="shared" si="29"/>
        <v>0</v>
      </c>
    </row>
    <row r="338" spans="1:68" ht="15.6" thickBot="1" x14ac:dyDescent="0.3">
      <c r="A338" s="25" t="s">
        <v>571</v>
      </c>
      <c r="B338" s="18" t="s">
        <v>96</v>
      </c>
      <c r="C338" s="3"/>
      <c r="D338" s="21">
        <f t="shared" si="30"/>
        <v>0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4"/>
      <c r="BO338" s="11">
        <f t="shared" ref="BO338:BO404" si="31">BM338+BG338+BE338+BC338+BA338+AY338+AW338+AU338+AS338+AQ338+AO338+AM338+AK338+AI338+AG338+AE338+AC338+AA338+Y338+W338+U338+S338+Q338+O338+M338+K338+I338+G338+E338</f>
        <v>0</v>
      </c>
      <c r="BP338" s="9">
        <f t="shared" ref="BP338:BP404" si="32">BN338+BH338+BF338+BD338+BB338+AZ338+AX338+AV338+AT338+AR338+AP338+AN338+AL338+AJ338+AH338+AF338+AD338+AB338+Z338+X338+V338+T338+R338+P338+N338+L338+J338+H338+F338</f>
        <v>0</v>
      </c>
    </row>
    <row r="339" spans="1:68" ht="15.6" thickBot="1" x14ac:dyDescent="0.3">
      <c r="A339" s="25" t="s">
        <v>572</v>
      </c>
      <c r="B339" s="18" t="s">
        <v>573</v>
      </c>
      <c r="C339" s="3"/>
      <c r="D339" s="21">
        <f t="shared" si="30"/>
        <v>0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4"/>
      <c r="BO339" s="11">
        <f t="shared" si="31"/>
        <v>0</v>
      </c>
      <c r="BP339" s="9">
        <f t="shared" si="32"/>
        <v>0</v>
      </c>
    </row>
    <row r="340" spans="1:68" ht="15.6" thickBot="1" x14ac:dyDescent="0.3">
      <c r="A340" s="25" t="s">
        <v>574</v>
      </c>
      <c r="B340" s="18" t="s">
        <v>575</v>
      </c>
      <c r="C340" s="3"/>
      <c r="D340" s="21">
        <f t="shared" si="30"/>
        <v>0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4"/>
      <c r="BO340" s="11">
        <f t="shared" si="31"/>
        <v>0</v>
      </c>
      <c r="BP340" s="9">
        <f t="shared" si="32"/>
        <v>0</v>
      </c>
    </row>
    <row r="341" spans="1:68" ht="15.6" thickBot="1" x14ac:dyDescent="0.3">
      <c r="A341" s="25" t="s">
        <v>576</v>
      </c>
      <c r="B341" s="18" t="s">
        <v>577</v>
      </c>
      <c r="C341" s="3"/>
      <c r="D341" s="21">
        <f t="shared" si="30"/>
        <v>0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4"/>
      <c r="BO341" s="11">
        <f t="shared" si="31"/>
        <v>0</v>
      </c>
      <c r="BP341" s="9">
        <f t="shared" si="32"/>
        <v>0</v>
      </c>
    </row>
    <row r="342" spans="1:68" ht="15.6" thickBot="1" x14ac:dyDescent="0.3">
      <c r="A342" s="25" t="s">
        <v>578</v>
      </c>
      <c r="B342" s="18" t="s">
        <v>579</v>
      </c>
      <c r="C342" s="3"/>
      <c r="D342" s="21">
        <f t="shared" si="30"/>
        <v>0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4"/>
      <c r="BO342" s="11">
        <f t="shared" si="31"/>
        <v>0</v>
      </c>
      <c r="BP342" s="9">
        <f t="shared" si="32"/>
        <v>0</v>
      </c>
    </row>
    <row r="343" spans="1:68" ht="15.6" thickBot="1" x14ac:dyDescent="0.3">
      <c r="A343" s="25" t="s">
        <v>580</v>
      </c>
      <c r="B343" s="18" t="s">
        <v>581</v>
      </c>
      <c r="C343" s="3"/>
      <c r="D343" s="21">
        <f t="shared" si="30"/>
        <v>0</v>
      </c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4"/>
      <c r="BO343" s="11">
        <f t="shared" si="31"/>
        <v>0</v>
      </c>
      <c r="BP343" s="9">
        <f t="shared" si="32"/>
        <v>0</v>
      </c>
    </row>
    <row r="344" spans="1:68" ht="15.6" thickBot="1" x14ac:dyDescent="0.3">
      <c r="A344" s="25" t="s">
        <v>582</v>
      </c>
      <c r="B344" s="18" t="s">
        <v>583</v>
      </c>
      <c r="C344" s="3"/>
      <c r="D344" s="21">
        <f t="shared" si="30"/>
        <v>0</v>
      </c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4"/>
      <c r="BO344" s="11">
        <f t="shared" si="31"/>
        <v>0</v>
      </c>
      <c r="BP344" s="9">
        <f t="shared" si="32"/>
        <v>0</v>
      </c>
    </row>
    <row r="345" spans="1:68" ht="15.6" thickBot="1" x14ac:dyDescent="0.3">
      <c r="A345" s="25" t="s">
        <v>584</v>
      </c>
      <c r="B345" s="18" t="s">
        <v>585</v>
      </c>
      <c r="C345" s="3"/>
      <c r="D345" s="21">
        <f t="shared" si="30"/>
        <v>0</v>
      </c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4"/>
      <c r="BO345" s="11">
        <f t="shared" si="31"/>
        <v>0</v>
      </c>
      <c r="BP345" s="9">
        <f t="shared" si="32"/>
        <v>0</v>
      </c>
    </row>
    <row r="346" spans="1:68" ht="16.2" thickBot="1" x14ac:dyDescent="0.35">
      <c r="A346" s="25"/>
      <c r="B346" s="20" t="s">
        <v>605</v>
      </c>
      <c r="C346" s="3"/>
      <c r="D346" s="21">
        <f t="shared" si="30"/>
        <v>0</v>
      </c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4"/>
      <c r="BO346" s="11">
        <f t="shared" si="31"/>
        <v>0</v>
      </c>
      <c r="BP346" s="9">
        <f t="shared" si="32"/>
        <v>0</v>
      </c>
    </row>
    <row r="347" spans="1:68" ht="15.6" thickBot="1" x14ac:dyDescent="0.3">
      <c r="A347" s="25" t="s">
        <v>606</v>
      </c>
      <c r="B347" s="18" t="s">
        <v>607</v>
      </c>
      <c r="C347" s="3">
        <f>57+64+64+48+64+7+64+16+64+64+64+64+64+33+64+64+31</f>
        <v>896</v>
      </c>
      <c r="D347" s="21">
        <f t="shared" si="30"/>
        <v>0</v>
      </c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>
        <f>26+38+64</f>
        <v>128</v>
      </c>
      <c r="T347" s="10"/>
      <c r="U347" s="10">
        <f>10+54+64+64</f>
        <v>192</v>
      </c>
      <c r="V347" s="10"/>
      <c r="W347" s="10">
        <f>8+56+64+34</f>
        <v>162</v>
      </c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>
        <v>-1378</v>
      </c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4"/>
      <c r="BO347" s="11">
        <f t="shared" si="31"/>
        <v>482</v>
      </c>
      <c r="BP347" s="9">
        <f t="shared" si="32"/>
        <v>-1378</v>
      </c>
    </row>
    <row r="348" spans="1:68" ht="15.6" thickBot="1" x14ac:dyDescent="0.3">
      <c r="A348" s="25" t="s">
        <v>790</v>
      </c>
      <c r="B348" s="18" t="s">
        <v>105</v>
      </c>
      <c r="C348" s="3"/>
      <c r="D348" s="21">
        <f t="shared" si="30"/>
        <v>0</v>
      </c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4"/>
      <c r="BO348" s="11">
        <f t="shared" si="31"/>
        <v>0</v>
      </c>
      <c r="BP348" s="9">
        <f t="shared" si="32"/>
        <v>0</v>
      </c>
    </row>
    <row r="349" spans="1:68" ht="15.6" thickBot="1" x14ac:dyDescent="0.3">
      <c r="A349" s="25" t="s">
        <v>792</v>
      </c>
      <c r="B349" s="18" t="s">
        <v>106</v>
      </c>
      <c r="C349" s="3"/>
      <c r="D349" s="21">
        <f t="shared" si="30"/>
        <v>0</v>
      </c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4"/>
      <c r="BO349" s="11">
        <f t="shared" si="31"/>
        <v>0</v>
      </c>
      <c r="BP349" s="9">
        <f t="shared" si="32"/>
        <v>0</v>
      </c>
    </row>
    <row r="350" spans="1:68" ht="15.6" thickBot="1" x14ac:dyDescent="0.3">
      <c r="A350" s="25" t="s">
        <v>608</v>
      </c>
      <c r="B350" s="18" t="s">
        <v>107</v>
      </c>
      <c r="C350" s="3"/>
      <c r="D350" s="21">
        <f t="shared" si="30"/>
        <v>0</v>
      </c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4"/>
      <c r="BO350" s="11">
        <f t="shared" si="31"/>
        <v>0</v>
      </c>
      <c r="BP350" s="9">
        <f t="shared" si="32"/>
        <v>0</v>
      </c>
    </row>
    <row r="351" spans="1:68" ht="15.6" thickBot="1" x14ac:dyDescent="0.3">
      <c r="A351" s="25" t="s">
        <v>793</v>
      </c>
      <c r="B351" s="18" t="s">
        <v>794</v>
      </c>
      <c r="C351" s="3"/>
      <c r="D351" s="21">
        <f t="shared" si="30"/>
        <v>0</v>
      </c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4"/>
      <c r="BO351" s="11">
        <f t="shared" si="31"/>
        <v>0</v>
      </c>
      <c r="BP351" s="9">
        <f t="shared" si="32"/>
        <v>0</v>
      </c>
    </row>
    <row r="352" spans="1:68" ht="15.6" thickBot="1" x14ac:dyDescent="0.3">
      <c r="A352" s="25" t="s">
        <v>822</v>
      </c>
      <c r="B352" s="18" t="s">
        <v>369</v>
      </c>
      <c r="C352" s="3"/>
      <c r="D352" s="21">
        <f t="shared" si="30"/>
        <v>0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4"/>
      <c r="BO352" s="11">
        <f t="shared" si="31"/>
        <v>0</v>
      </c>
      <c r="BP352" s="9">
        <f t="shared" si="32"/>
        <v>0</v>
      </c>
    </row>
    <row r="353" spans="1:68" ht="15.6" thickBot="1" x14ac:dyDescent="0.3">
      <c r="A353" s="25" t="s">
        <v>791</v>
      </c>
      <c r="B353" s="18" t="s">
        <v>370</v>
      </c>
      <c r="C353" s="3"/>
      <c r="D353" s="21">
        <f t="shared" si="30"/>
        <v>0</v>
      </c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4"/>
      <c r="BO353" s="11">
        <f t="shared" si="31"/>
        <v>0</v>
      </c>
      <c r="BP353" s="9">
        <f t="shared" si="32"/>
        <v>0</v>
      </c>
    </row>
    <row r="354" spans="1:68" ht="15.6" thickBot="1" x14ac:dyDescent="0.3">
      <c r="A354" s="25" t="s">
        <v>902</v>
      </c>
      <c r="B354" s="18" t="s">
        <v>903</v>
      </c>
      <c r="C354" s="3"/>
      <c r="D354" s="21">
        <f t="shared" ref="D354:D356" si="33">C354+SUM(E354:BN354)</f>
        <v>0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4"/>
      <c r="BO354" s="11">
        <f t="shared" ref="BO354:BO356" si="34">BM354+BG354+BE354+BC354+BA354+AY354+AW354+AU354+AS354+AQ354+AO354+AM354+AK354+AI354+AG354+AE354+AC354+AA354+Y354+W354+U354+S354+Q354+O354+M354+K354+I354+G354+E354</f>
        <v>0</v>
      </c>
      <c r="BP354" s="9">
        <f t="shared" ref="BP354:BP356" si="35">BN354+BH354+BF354+BD354+BB354+AZ354+AX354+AV354+AT354+AR354+AP354+AN354+AL354+AJ354+AH354+AF354+AD354+AB354+Z354+X354+V354+T354+R354+P354+N354+L354+J354+H354+F354</f>
        <v>0</v>
      </c>
    </row>
    <row r="355" spans="1:68" ht="15.6" thickBot="1" x14ac:dyDescent="0.3">
      <c r="A355" s="25" t="s">
        <v>904</v>
      </c>
      <c r="B355" s="18" t="s">
        <v>841</v>
      </c>
      <c r="C355" s="3"/>
      <c r="D355" s="21">
        <f t="shared" si="33"/>
        <v>0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4"/>
      <c r="BO355" s="11">
        <f t="shared" si="34"/>
        <v>0</v>
      </c>
      <c r="BP355" s="9">
        <f t="shared" si="35"/>
        <v>0</v>
      </c>
    </row>
    <row r="356" spans="1:68" ht="15.6" thickBot="1" x14ac:dyDescent="0.3">
      <c r="A356" s="25" t="s">
        <v>905</v>
      </c>
      <c r="B356" s="18" t="s">
        <v>843</v>
      </c>
      <c r="C356" s="3"/>
      <c r="D356" s="21">
        <f t="shared" si="33"/>
        <v>0</v>
      </c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4"/>
      <c r="BO356" s="11">
        <f t="shared" si="34"/>
        <v>0</v>
      </c>
      <c r="BP356" s="9">
        <f t="shared" si="35"/>
        <v>0</v>
      </c>
    </row>
    <row r="357" spans="1:68" ht="16.2" thickBot="1" x14ac:dyDescent="0.35">
      <c r="A357" s="25"/>
      <c r="B357" s="20" t="s">
        <v>108</v>
      </c>
      <c r="C357" s="3"/>
      <c r="D357" s="21">
        <f t="shared" si="30"/>
        <v>0</v>
      </c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4"/>
      <c r="BO357" s="11">
        <f t="shared" si="31"/>
        <v>0</v>
      </c>
      <c r="BP357" s="9">
        <f t="shared" si="32"/>
        <v>0</v>
      </c>
    </row>
    <row r="358" spans="1:68" ht="15.6" thickBot="1" x14ac:dyDescent="0.3">
      <c r="A358" s="25" t="s">
        <v>775</v>
      </c>
      <c r="B358" s="18" t="s">
        <v>109</v>
      </c>
      <c r="C358" s="3"/>
      <c r="D358" s="21">
        <f t="shared" si="30"/>
        <v>0</v>
      </c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4"/>
      <c r="BO358" s="11">
        <f t="shared" si="31"/>
        <v>0</v>
      </c>
      <c r="BP358" s="9">
        <f t="shared" si="32"/>
        <v>0</v>
      </c>
    </row>
    <row r="359" spans="1:68" ht="16.2" thickBot="1" x14ac:dyDescent="0.35">
      <c r="A359" s="25"/>
      <c r="B359" s="20" t="s">
        <v>146</v>
      </c>
      <c r="C359" s="3"/>
      <c r="D359" s="21">
        <f t="shared" si="30"/>
        <v>0</v>
      </c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4"/>
      <c r="BO359" s="11">
        <f t="shared" si="31"/>
        <v>0</v>
      </c>
      <c r="BP359" s="9">
        <f t="shared" si="32"/>
        <v>0</v>
      </c>
    </row>
    <row r="360" spans="1:68" ht="15.6" thickBot="1" x14ac:dyDescent="0.3">
      <c r="A360" s="25" t="s">
        <v>380</v>
      </c>
      <c r="B360" s="18" t="s">
        <v>480</v>
      </c>
      <c r="C360" s="3">
        <f>6+5+64+46</f>
        <v>121</v>
      </c>
      <c r="D360" s="21">
        <f t="shared" si="30"/>
        <v>121</v>
      </c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4"/>
      <c r="BO360" s="11">
        <f t="shared" si="31"/>
        <v>0</v>
      </c>
      <c r="BP360" s="9">
        <f t="shared" si="32"/>
        <v>0</v>
      </c>
    </row>
    <row r="361" spans="1:68" ht="15.6" thickBot="1" x14ac:dyDescent="0.3">
      <c r="A361" s="25" t="s">
        <v>882</v>
      </c>
      <c r="B361" s="18" t="s">
        <v>886</v>
      </c>
      <c r="C361" s="3">
        <f>25+72+14+72+59+72</f>
        <v>314</v>
      </c>
      <c r="D361" s="21">
        <f t="shared" si="30"/>
        <v>314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4"/>
      <c r="BO361" s="11">
        <f t="shared" si="31"/>
        <v>0</v>
      </c>
      <c r="BP361" s="9">
        <f t="shared" si="32"/>
        <v>0</v>
      </c>
    </row>
    <row r="362" spans="1:68" ht="15.6" thickBot="1" x14ac:dyDescent="0.3">
      <c r="A362" s="25" t="s">
        <v>882</v>
      </c>
      <c r="B362" s="18" t="s">
        <v>887</v>
      </c>
      <c r="C362" s="3">
        <f>57+35</f>
        <v>92</v>
      </c>
      <c r="D362" s="21">
        <f t="shared" si="30"/>
        <v>92</v>
      </c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4"/>
      <c r="BO362" s="11">
        <f t="shared" si="31"/>
        <v>0</v>
      </c>
      <c r="BP362" s="9">
        <f t="shared" si="32"/>
        <v>0</v>
      </c>
    </row>
    <row r="363" spans="1:68" ht="15.6" thickBot="1" x14ac:dyDescent="0.3">
      <c r="A363" s="25" t="s">
        <v>882</v>
      </c>
      <c r="B363" s="18" t="s">
        <v>888</v>
      </c>
      <c r="C363" s="3">
        <f>13+37+72+72</f>
        <v>194</v>
      </c>
      <c r="D363" s="21">
        <f t="shared" si="30"/>
        <v>194</v>
      </c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4"/>
      <c r="BO363" s="11">
        <f t="shared" si="31"/>
        <v>0</v>
      </c>
      <c r="BP363" s="9">
        <f t="shared" si="32"/>
        <v>0</v>
      </c>
    </row>
    <row r="364" spans="1:68" ht="15.6" thickBot="1" x14ac:dyDescent="0.3">
      <c r="A364" s="25" t="s">
        <v>379</v>
      </c>
      <c r="B364" s="18" t="s">
        <v>382</v>
      </c>
      <c r="C364" s="3">
        <f>59+72+72+6</f>
        <v>209</v>
      </c>
      <c r="D364" s="21">
        <f t="shared" si="30"/>
        <v>209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4"/>
      <c r="BO364" s="11">
        <f t="shared" si="31"/>
        <v>0</v>
      </c>
      <c r="BP364" s="9">
        <f t="shared" si="32"/>
        <v>0</v>
      </c>
    </row>
    <row r="365" spans="1:68" ht="15.6" thickBot="1" x14ac:dyDescent="0.3">
      <c r="A365" s="25" t="s">
        <v>379</v>
      </c>
      <c r="B365" s="18" t="s">
        <v>381</v>
      </c>
      <c r="C365" s="3">
        <f>36+72+72+22</f>
        <v>202</v>
      </c>
      <c r="D365" s="21">
        <f t="shared" si="30"/>
        <v>202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4"/>
      <c r="BO365" s="11">
        <f t="shared" si="31"/>
        <v>0</v>
      </c>
      <c r="BP365" s="9">
        <f t="shared" si="32"/>
        <v>0</v>
      </c>
    </row>
    <row r="366" spans="1:68" ht="15.6" thickBot="1" x14ac:dyDescent="0.3">
      <c r="A366" s="25" t="s">
        <v>379</v>
      </c>
      <c r="B366" s="18" t="s">
        <v>383</v>
      </c>
      <c r="C366" s="3">
        <f>59+5+6</f>
        <v>70</v>
      </c>
      <c r="D366" s="21">
        <f t="shared" si="30"/>
        <v>70</v>
      </c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4"/>
      <c r="BO366" s="11">
        <f t="shared" si="31"/>
        <v>0</v>
      </c>
      <c r="BP366" s="9">
        <f t="shared" si="32"/>
        <v>0</v>
      </c>
    </row>
    <row r="367" spans="1:68" ht="15.6" thickBot="1" x14ac:dyDescent="0.3">
      <c r="A367" s="25" t="s">
        <v>379</v>
      </c>
      <c r="B367" s="18" t="s">
        <v>891</v>
      </c>
      <c r="C367" s="3">
        <f>13+50+6</f>
        <v>69</v>
      </c>
      <c r="D367" s="21">
        <f t="shared" si="30"/>
        <v>69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4"/>
      <c r="BO367" s="11">
        <f t="shared" si="31"/>
        <v>0</v>
      </c>
      <c r="BP367" s="9">
        <f t="shared" si="32"/>
        <v>0</v>
      </c>
    </row>
    <row r="368" spans="1:68" ht="15.6" thickBot="1" x14ac:dyDescent="0.3">
      <c r="A368" s="25" t="s">
        <v>379</v>
      </c>
      <c r="B368" s="18" t="s">
        <v>892</v>
      </c>
      <c r="C368" s="3">
        <f>6+64</f>
        <v>70</v>
      </c>
      <c r="D368" s="21">
        <f t="shared" si="30"/>
        <v>70</v>
      </c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4"/>
      <c r="BO368" s="11">
        <f t="shared" si="31"/>
        <v>0</v>
      </c>
      <c r="BP368" s="9">
        <f t="shared" si="32"/>
        <v>0</v>
      </c>
    </row>
    <row r="369" spans="1:68" ht="15.6" thickBot="1" x14ac:dyDescent="0.3">
      <c r="A369" s="25" t="s">
        <v>379</v>
      </c>
      <c r="B369" s="18" t="s">
        <v>384</v>
      </c>
      <c r="C369" s="3">
        <f>72+72+59+72+72+72+4+29</f>
        <v>452</v>
      </c>
      <c r="D369" s="21">
        <f t="shared" si="30"/>
        <v>452</v>
      </c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4"/>
      <c r="BO369" s="11">
        <f t="shared" si="31"/>
        <v>0</v>
      </c>
      <c r="BP369" s="9">
        <f t="shared" si="32"/>
        <v>0</v>
      </c>
    </row>
    <row r="370" spans="1:68" ht="15" customHeight="1" thickBot="1" x14ac:dyDescent="0.3">
      <c r="A370" s="25" t="s">
        <v>379</v>
      </c>
      <c r="B370" s="18" t="s">
        <v>893</v>
      </c>
      <c r="C370" s="3">
        <f>6+3+62</f>
        <v>71</v>
      </c>
      <c r="D370" s="21">
        <f t="shared" si="30"/>
        <v>71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4"/>
      <c r="BO370" s="11">
        <f t="shared" si="31"/>
        <v>0</v>
      </c>
      <c r="BP370" s="9">
        <f t="shared" si="32"/>
        <v>0</v>
      </c>
    </row>
    <row r="371" spans="1:68" ht="15.6" thickBot="1" x14ac:dyDescent="0.3">
      <c r="A371" s="25" t="s">
        <v>884</v>
      </c>
      <c r="B371" s="18" t="s">
        <v>885</v>
      </c>
      <c r="C371" s="3">
        <f>72+72+72+72+72+72+72+72+72+72+72+58+72+72+8+72+28</f>
        <v>1102</v>
      </c>
      <c r="D371" s="21">
        <f t="shared" si="30"/>
        <v>1102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4"/>
      <c r="BO371" s="11">
        <f t="shared" si="31"/>
        <v>0</v>
      </c>
      <c r="BP371" s="9">
        <f t="shared" si="32"/>
        <v>0</v>
      </c>
    </row>
    <row r="372" spans="1:68" ht="15.6" thickBot="1" x14ac:dyDescent="0.3">
      <c r="A372" s="25" t="s">
        <v>884</v>
      </c>
      <c r="B372" s="18" t="s">
        <v>889</v>
      </c>
      <c r="C372" s="3">
        <f>14+19</f>
        <v>33</v>
      </c>
      <c r="D372" s="21">
        <f t="shared" si="30"/>
        <v>33</v>
      </c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4"/>
      <c r="BO372" s="11">
        <f t="shared" si="31"/>
        <v>0</v>
      </c>
      <c r="BP372" s="9">
        <f t="shared" si="32"/>
        <v>0</v>
      </c>
    </row>
    <row r="373" spans="1:68" ht="15.6" thickBot="1" x14ac:dyDescent="0.3">
      <c r="A373" s="25" t="s">
        <v>884</v>
      </c>
      <c r="B373" s="18" t="s">
        <v>890</v>
      </c>
      <c r="C373" s="3">
        <v>36</v>
      </c>
      <c r="D373" s="21">
        <f t="shared" si="30"/>
        <v>36</v>
      </c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4"/>
      <c r="BO373" s="11">
        <f t="shared" si="31"/>
        <v>0</v>
      </c>
      <c r="BP373" s="9">
        <f t="shared" si="32"/>
        <v>0</v>
      </c>
    </row>
    <row r="374" spans="1:68" ht="15.6" thickBot="1" x14ac:dyDescent="0.3">
      <c r="A374" s="25" t="s">
        <v>380</v>
      </c>
      <c r="B374" s="18" t="s">
        <v>481</v>
      </c>
      <c r="C374" s="3">
        <v>6</v>
      </c>
      <c r="D374" s="21">
        <f t="shared" si="30"/>
        <v>6</v>
      </c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4"/>
      <c r="BO374" s="11">
        <f t="shared" si="31"/>
        <v>0</v>
      </c>
      <c r="BP374" s="9">
        <f t="shared" si="32"/>
        <v>0</v>
      </c>
    </row>
    <row r="375" spans="1:68" ht="15.6" thickBot="1" x14ac:dyDescent="0.3">
      <c r="A375" s="25" t="s">
        <v>380</v>
      </c>
      <c r="B375" s="18" t="s">
        <v>896</v>
      </c>
      <c r="C375" s="3">
        <v>6</v>
      </c>
      <c r="D375" s="21">
        <f t="shared" si="30"/>
        <v>6</v>
      </c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4"/>
      <c r="BO375" s="11">
        <f t="shared" si="31"/>
        <v>0</v>
      </c>
      <c r="BP375" s="9">
        <f t="shared" si="32"/>
        <v>0</v>
      </c>
    </row>
    <row r="376" spans="1:68" ht="15.6" thickBot="1" x14ac:dyDescent="0.3">
      <c r="A376" s="25" t="s">
        <v>380</v>
      </c>
      <c r="B376" s="18" t="s">
        <v>895</v>
      </c>
      <c r="C376" s="3">
        <f>6+24</f>
        <v>30</v>
      </c>
      <c r="D376" s="21">
        <f t="shared" si="30"/>
        <v>30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4"/>
      <c r="BO376" s="11">
        <f t="shared" si="31"/>
        <v>0</v>
      </c>
      <c r="BP376" s="9">
        <f t="shared" si="32"/>
        <v>0</v>
      </c>
    </row>
    <row r="377" spans="1:68" ht="15.6" thickBot="1" x14ac:dyDescent="0.3">
      <c r="A377" s="25" t="s">
        <v>380</v>
      </c>
      <c r="B377" s="18" t="s">
        <v>385</v>
      </c>
      <c r="C377" s="3">
        <f>9</f>
        <v>9</v>
      </c>
      <c r="D377" s="21">
        <f t="shared" si="30"/>
        <v>9</v>
      </c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4"/>
      <c r="BO377" s="11">
        <f t="shared" si="31"/>
        <v>0</v>
      </c>
      <c r="BP377" s="9">
        <f t="shared" si="32"/>
        <v>0</v>
      </c>
    </row>
    <row r="378" spans="1:68" ht="15.6" thickBot="1" x14ac:dyDescent="0.3">
      <c r="A378" s="25" t="s">
        <v>380</v>
      </c>
      <c r="B378" s="18" t="s">
        <v>386</v>
      </c>
      <c r="C378" s="3">
        <f>16+37+26+46+72</f>
        <v>197</v>
      </c>
      <c r="D378" s="21">
        <f t="shared" si="30"/>
        <v>197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4"/>
      <c r="BO378" s="11">
        <f t="shared" si="31"/>
        <v>0</v>
      </c>
      <c r="BP378" s="9">
        <f t="shared" si="32"/>
        <v>0</v>
      </c>
    </row>
    <row r="379" spans="1:68" ht="15.6" thickBot="1" x14ac:dyDescent="0.3">
      <c r="A379" s="25" t="s">
        <v>380</v>
      </c>
      <c r="B379" s="18" t="s">
        <v>835</v>
      </c>
      <c r="C379" s="3"/>
      <c r="D379" s="21">
        <f t="shared" si="30"/>
        <v>0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4"/>
      <c r="BO379" s="11">
        <f t="shared" si="31"/>
        <v>0</v>
      </c>
      <c r="BP379" s="9">
        <f t="shared" si="32"/>
        <v>0</v>
      </c>
    </row>
    <row r="380" spans="1:68" ht="15.6" thickBot="1" x14ac:dyDescent="0.3">
      <c r="A380" s="25" t="s">
        <v>524</v>
      </c>
      <c r="B380" s="18" t="s">
        <v>120</v>
      </c>
      <c r="C380" s="3"/>
      <c r="D380" s="21">
        <f t="shared" si="30"/>
        <v>0</v>
      </c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4"/>
      <c r="BO380" s="11">
        <f t="shared" si="31"/>
        <v>0</v>
      </c>
      <c r="BP380" s="9">
        <f t="shared" si="32"/>
        <v>0</v>
      </c>
    </row>
    <row r="381" spans="1:68" ht="15.6" thickBot="1" x14ac:dyDescent="0.3">
      <c r="A381" s="25" t="s">
        <v>882</v>
      </c>
      <c r="B381" s="18" t="s">
        <v>883</v>
      </c>
      <c r="C381" s="3">
        <f>72+15+72+72+72</f>
        <v>303</v>
      </c>
      <c r="D381" s="21">
        <f t="shared" si="30"/>
        <v>303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4"/>
      <c r="BO381" s="11">
        <f t="shared" si="31"/>
        <v>0</v>
      </c>
      <c r="BP381" s="9">
        <f t="shared" si="32"/>
        <v>0</v>
      </c>
    </row>
    <row r="382" spans="1:68" ht="15.6" thickBot="1" x14ac:dyDescent="0.3">
      <c r="A382" s="25" t="s">
        <v>379</v>
      </c>
      <c r="B382" s="18" t="s">
        <v>894</v>
      </c>
      <c r="C382" s="3">
        <v>6</v>
      </c>
      <c r="D382" s="21">
        <f t="shared" si="30"/>
        <v>6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4"/>
      <c r="BO382" s="11">
        <f t="shared" si="31"/>
        <v>0</v>
      </c>
      <c r="BP382" s="9">
        <f t="shared" si="32"/>
        <v>0</v>
      </c>
    </row>
    <row r="383" spans="1:68" ht="15.6" thickBot="1" x14ac:dyDescent="0.3">
      <c r="A383" s="25" t="s">
        <v>380</v>
      </c>
      <c r="B383" s="18" t="s">
        <v>897</v>
      </c>
      <c r="C383" s="3">
        <f>6+30+72+40</f>
        <v>148</v>
      </c>
      <c r="D383" s="21">
        <f t="shared" si="30"/>
        <v>148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4"/>
      <c r="BO383" s="11">
        <f t="shared" si="31"/>
        <v>0</v>
      </c>
      <c r="BP383" s="9">
        <f t="shared" si="32"/>
        <v>0</v>
      </c>
    </row>
    <row r="384" spans="1:68" ht="15.6" thickBot="1" x14ac:dyDescent="0.3">
      <c r="A384" s="25" t="s">
        <v>380</v>
      </c>
      <c r="B384" s="18" t="s">
        <v>480</v>
      </c>
      <c r="C384" s="3">
        <v>6</v>
      </c>
      <c r="D384" s="21">
        <f t="shared" si="30"/>
        <v>6</v>
      </c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4"/>
      <c r="BO384" s="11">
        <f t="shared" si="31"/>
        <v>0</v>
      </c>
      <c r="BP384" s="9">
        <f t="shared" si="32"/>
        <v>0</v>
      </c>
    </row>
    <row r="385" spans="1:68" ht="15.6" thickBot="1" x14ac:dyDescent="0.3">
      <c r="A385" s="25" t="s">
        <v>379</v>
      </c>
      <c r="B385" s="18" t="s">
        <v>898</v>
      </c>
      <c r="C385" s="3">
        <f>10+19+49+3+72+39</f>
        <v>192</v>
      </c>
      <c r="D385" s="21">
        <f t="shared" si="30"/>
        <v>192</v>
      </c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4"/>
      <c r="BO385" s="11">
        <f t="shared" si="31"/>
        <v>0</v>
      </c>
      <c r="BP385" s="9">
        <f t="shared" si="32"/>
        <v>0</v>
      </c>
    </row>
    <row r="386" spans="1:68" ht="16.2" thickBot="1" x14ac:dyDescent="0.35">
      <c r="A386" s="25"/>
      <c r="B386" s="20" t="s">
        <v>110</v>
      </c>
      <c r="C386" s="3"/>
      <c r="D386" s="21">
        <f t="shared" si="30"/>
        <v>0</v>
      </c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4"/>
      <c r="BO386" s="11">
        <f t="shared" si="31"/>
        <v>0</v>
      </c>
      <c r="BP386" s="9">
        <f t="shared" si="32"/>
        <v>0</v>
      </c>
    </row>
    <row r="387" spans="1:68" ht="15.6" thickBot="1" x14ac:dyDescent="0.3">
      <c r="A387" s="25" t="s">
        <v>523</v>
      </c>
      <c r="B387" s="18" t="s">
        <v>837</v>
      </c>
      <c r="C387" s="3"/>
      <c r="D387" s="21">
        <f t="shared" si="30"/>
        <v>0</v>
      </c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4"/>
      <c r="BO387" s="11">
        <f t="shared" si="31"/>
        <v>0</v>
      </c>
      <c r="BP387" s="9">
        <f t="shared" si="32"/>
        <v>0</v>
      </c>
    </row>
    <row r="388" spans="1:68" ht="15.6" thickBot="1" x14ac:dyDescent="0.3">
      <c r="A388" s="25" t="s">
        <v>512</v>
      </c>
      <c r="B388" s="18" t="s">
        <v>111</v>
      </c>
      <c r="C388" s="3"/>
      <c r="D388" s="21">
        <f t="shared" si="30"/>
        <v>0</v>
      </c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4"/>
      <c r="BO388" s="11">
        <f t="shared" si="31"/>
        <v>0</v>
      </c>
      <c r="BP388" s="9">
        <f t="shared" si="32"/>
        <v>0</v>
      </c>
    </row>
    <row r="389" spans="1:68" ht="15.6" thickBot="1" x14ac:dyDescent="0.3">
      <c r="A389" s="25" t="s">
        <v>519</v>
      </c>
      <c r="B389" s="18" t="s">
        <v>112</v>
      </c>
      <c r="C389" s="3"/>
      <c r="D389" s="21">
        <f t="shared" si="30"/>
        <v>0</v>
      </c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4"/>
      <c r="BO389" s="11">
        <f t="shared" si="31"/>
        <v>0</v>
      </c>
      <c r="BP389" s="9">
        <f t="shared" si="32"/>
        <v>0</v>
      </c>
    </row>
    <row r="390" spans="1:68" ht="15.6" thickBot="1" x14ac:dyDescent="0.3">
      <c r="A390" s="25" t="s">
        <v>521</v>
      </c>
      <c r="B390" s="18" t="s">
        <v>113</v>
      </c>
      <c r="C390" s="3"/>
      <c r="D390" s="21">
        <f t="shared" si="30"/>
        <v>0</v>
      </c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4"/>
      <c r="BO390" s="11">
        <f t="shared" si="31"/>
        <v>0</v>
      </c>
      <c r="BP390" s="9">
        <f t="shared" si="32"/>
        <v>0</v>
      </c>
    </row>
    <row r="391" spans="1:68" ht="15.6" thickBot="1" x14ac:dyDescent="0.3">
      <c r="A391" s="25" t="s">
        <v>520</v>
      </c>
      <c r="B391" s="18" t="s">
        <v>114</v>
      </c>
      <c r="C391" s="3"/>
      <c r="D391" s="21">
        <f t="shared" si="30"/>
        <v>0</v>
      </c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4"/>
      <c r="BO391" s="11">
        <f t="shared" si="31"/>
        <v>0</v>
      </c>
      <c r="BP391" s="9">
        <f t="shared" si="32"/>
        <v>0</v>
      </c>
    </row>
    <row r="392" spans="1:68" ht="15.6" thickBot="1" x14ac:dyDescent="0.3">
      <c r="A392" s="25" t="s">
        <v>705</v>
      </c>
      <c r="B392" s="18" t="s">
        <v>115</v>
      </c>
      <c r="C392" s="3"/>
      <c r="D392" s="21">
        <f t="shared" si="30"/>
        <v>0</v>
      </c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4"/>
      <c r="BO392" s="11">
        <f t="shared" si="31"/>
        <v>0</v>
      </c>
      <c r="BP392" s="9">
        <f t="shared" si="32"/>
        <v>0</v>
      </c>
    </row>
    <row r="393" spans="1:68" ht="15.6" thickBot="1" x14ac:dyDescent="0.3">
      <c r="A393" s="25" t="s">
        <v>838</v>
      </c>
      <c r="B393" s="18" t="s">
        <v>839</v>
      </c>
      <c r="C393" s="3"/>
      <c r="D393" s="21">
        <f t="shared" si="30"/>
        <v>0</v>
      </c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4"/>
      <c r="BO393" s="11">
        <f t="shared" si="31"/>
        <v>0</v>
      </c>
      <c r="BP393" s="9">
        <f t="shared" si="32"/>
        <v>0</v>
      </c>
    </row>
    <row r="394" spans="1:68" ht="15.6" thickBot="1" x14ac:dyDescent="0.3">
      <c r="A394" s="25" t="s">
        <v>840</v>
      </c>
      <c r="B394" s="18" t="s">
        <v>841</v>
      </c>
      <c r="C394" s="3"/>
      <c r="D394" s="21">
        <f t="shared" si="30"/>
        <v>0</v>
      </c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4"/>
      <c r="BO394" s="11">
        <f t="shared" si="31"/>
        <v>0</v>
      </c>
      <c r="BP394" s="9">
        <f t="shared" si="32"/>
        <v>0</v>
      </c>
    </row>
    <row r="395" spans="1:68" ht="15.6" thickBot="1" x14ac:dyDescent="0.3">
      <c r="A395" s="25" t="s">
        <v>842</v>
      </c>
      <c r="B395" s="18" t="s">
        <v>843</v>
      </c>
      <c r="C395" s="3"/>
      <c r="D395" s="21">
        <f t="shared" si="30"/>
        <v>0</v>
      </c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4"/>
      <c r="BO395" s="11">
        <f t="shared" si="31"/>
        <v>0</v>
      </c>
      <c r="BP395" s="9">
        <f t="shared" si="32"/>
        <v>0</v>
      </c>
    </row>
    <row r="396" spans="1:68" ht="15.6" thickBot="1" x14ac:dyDescent="0.3">
      <c r="A396" s="25" t="s">
        <v>513</v>
      </c>
      <c r="B396" s="18" t="s">
        <v>117</v>
      </c>
      <c r="C396" s="3"/>
      <c r="D396" s="21">
        <f t="shared" si="30"/>
        <v>0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4"/>
      <c r="BO396" s="11">
        <f t="shared" si="31"/>
        <v>0</v>
      </c>
      <c r="BP396" s="9">
        <f t="shared" si="32"/>
        <v>0</v>
      </c>
    </row>
    <row r="397" spans="1:68" ht="15.6" thickBot="1" x14ac:dyDescent="0.3">
      <c r="A397" s="25" t="s">
        <v>514</v>
      </c>
      <c r="B397" s="18" t="s">
        <v>118</v>
      </c>
      <c r="C397" s="3"/>
      <c r="D397" s="21">
        <f t="shared" si="30"/>
        <v>0</v>
      </c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4"/>
      <c r="BO397" s="11">
        <f t="shared" si="31"/>
        <v>0</v>
      </c>
      <c r="BP397" s="9">
        <f t="shared" si="32"/>
        <v>0</v>
      </c>
    </row>
    <row r="398" spans="1:68" ht="15.6" thickBot="1" x14ac:dyDescent="0.3">
      <c r="A398" s="25" t="s">
        <v>706</v>
      </c>
      <c r="B398" s="18" t="s">
        <v>119</v>
      </c>
      <c r="C398" s="3"/>
      <c r="D398" s="21">
        <f t="shared" si="30"/>
        <v>0</v>
      </c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4"/>
      <c r="BO398" s="11">
        <f t="shared" si="31"/>
        <v>0</v>
      </c>
      <c r="BP398" s="9">
        <f t="shared" si="32"/>
        <v>0</v>
      </c>
    </row>
    <row r="399" spans="1:68" ht="16.2" thickBot="1" x14ac:dyDescent="0.35">
      <c r="A399" s="25"/>
      <c r="B399" s="23" t="s">
        <v>123</v>
      </c>
      <c r="C399" s="3"/>
      <c r="D399" s="21">
        <f t="shared" si="30"/>
        <v>0</v>
      </c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4"/>
      <c r="BO399" s="11">
        <f t="shared" si="31"/>
        <v>0</v>
      </c>
      <c r="BP399" s="9">
        <f t="shared" si="32"/>
        <v>0</v>
      </c>
    </row>
    <row r="400" spans="1:68" ht="15.6" thickBot="1" x14ac:dyDescent="0.3">
      <c r="A400" s="25" t="s">
        <v>707</v>
      </c>
      <c r="B400" s="18" t="s">
        <v>124</v>
      </c>
      <c r="C400" s="3"/>
      <c r="D400" s="21">
        <f t="shared" si="30"/>
        <v>0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4"/>
      <c r="BO400" s="11">
        <f t="shared" si="31"/>
        <v>0</v>
      </c>
      <c r="BP400" s="9">
        <f t="shared" si="32"/>
        <v>0</v>
      </c>
    </row>
    <row r="401" spans="1:68" ht="16.2" thickBot="1" x14ac:dyDescent="0.35">
      <c r="A401" s="25"/>
      <c r="B401" s="23" t="s">
        <v>140</v>
      </c>
      <c r="C401" s="3"/>
      <c r="D401" s="21">
        <f t="shared" si="30"/>
        <v>0</v>
      </c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4"/>
      <c r="BO401" s="11">
        <f t="shared" si="31"/>
        <v>0</v>
      </c>
      <c r="BP401" s="9">
        <f t="shared" si="32"/>
        <v>0</v>
      </c>
    </row>
    <row r="402" spans="1:68" ht="15.6" thickBot="1" x14ac:dyDescent="0.3">
      <c r="A402" s="25" t="s">
        <v>708</v>
      </c>
      <c r="B402" s="18" t="s">
        <v>141</v>
      </c>
      <c r="C402" s="3"/>
      <c r="D402" s="21">
        <f t="shared" si="30"/>
        <v>0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4"/>
      <c r="BO402" s="11">
        <f t="shared" si="31"/>
        <v>0</v>
      </c>
      <c r="BP402" s="9">
        <f t="shared" si="32"/>
        <v>0</v>
      </c>
    </row>
    <row r="403" spans="1:68" ht="16.2" thickBot="1" x14ac:dyDescent="0.35">
      <c r="A403" s="25"/>
      <c r="B403" s="23" t="s">
        <v>144</v>
      </c>
      <c r="C403" s="3"/>
      <c r="D403" s="21">
        <f t="shared" si="30"/>
        <v>0</v>
      </c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4"/>
      <c r="BO403" s="11">
        <f t="shared" si="31"/>
        <v>0</v>
      </c>
      <c r="BP403" s="9">
        <f t="shared" si="32"/>
        <v>0</v>
      </c>
    </row>
    <row r="404" spans="1:68" ht="15.6" thickBot="1" x14ac:dyDescent="0.3">
      <c r="A404" s="25"/>
      <c r="B404" s="18" t="s">
        <v>145</v>
      </c>
      <c r="C404" s="3"/>
      <c r="D404" s="21">
        <f t="shared" ref="D404:D467" si="36">C404+SUM(E404:BN404)</f>
        <v>0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4"/>
      <c r="BO404" s="11">
        <f t="shared" si="31"/>
        <v>0</v>
      </c>
      <c r="BP404" s="9">
        <f t="shared" si="32"/>
        <v>0</v>
      </c>
    </row>
    <row r="405" spans="1:68" ht="16.2" thickBot="1" x14ac:dyDescent="0.35">
      <c r="A405" s="25"/>
      <c r="B405" s="23" t="s">
        <v>154</v>
      </c>
      <c r="C405" s="3"/>
      <c r="D405" s="21">
        <f t="shared" si="36"/>
        <v>0</v>
      </c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4"/>
      <c r="BO405" s="11">
        <f t="shared" ref="BO405:BO468" si="37">BM405+BG405+BE405+BC405+BA405+AY405+AW405+AU405+AS405+AQ405+AO405+AM405+AK405+AI405+AG405+AE405+AC405+AA405+Y405+W405+U405+S405+Q405+O405+M405+K405+I405+G405+E405</f>
        <v>0</v>
      </c>
      <c r="BP405" s="9">
        <f t="shared" ref="BP405:BP468" si="38">BN405+BH405+BF405+BD405+BB405+AZ405+AX405+AV405+AT405+AR405+AP405+AN405+AL405+AJ405+AH405+AF405+AD405+AB405+Z405+X405+V405+T405+R405+P405+N405+L405+J405+H405+F405</f>
        <v>0</v>
      </c>
    </row>
    <row r="406" spans="1:68" ht="15.6" thickBot="1" x14ac:dyDescent="0.3">
      <c r="A406" s="25"/>
      <c r="B406" s="18" t="s">
        <v>155</v>
      </c>
      <c r="C406" s="3"/>
      <c r="D406" s="21">
        <f t="shared" si="36"/>
        <v>0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4"/>
      <c r="BO406" s="11">
        <f t="shared" si="37"/>
        <v>0</v>
      </c>
      <c r="BP406" s="9">
        <f t="shared" si="38"/>
        <v>0</v>
      </c>
    </row>
    <row r="407" spans="1:68" ht="16.2" thickBot="1" x14ac:dyDescent="0.35">
      <c r="A407" s="25"/>
      <c r="B407" s="23" t="s">
        <v>72</v>
      </c>
      <c r="C407" s="3"/>
      <c r="D407" s="21">
        <f t="shared" si="36"/>
        <v>0</v>
      </c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4"/>
      <c r="BO407" s="11">
        <f t="shared" si="37"/>
        <v>0</v>
      </c>
      <c r="BP407" s="9">
        <f t="shared" si="38"/>
        <v>0</v>
      </c>
    </row>
    <row r="408" spans="1:68" ht="15.6" thickBot="1" x14ac:dyDescent="0.3">
      <c r="A408" s="25"/>
      <c r="B408" s="18" t="s">
        <v>441</v>
      </c>
      <c r="C408" s="3"/>
      <c r="D408" s="21">
        <f t="shared" si="36"/>
        <v>0</v>
      </c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4"/>
      <c r="BO408" s="11">
        <f t="shared" si="37"/>
        <v>0</v>
      </c>
      <c r="BP408" s="9">
        <f t="shared" si="38"/>
        <v>0</v>
      </c>
    </row>
    <row r="409" spans="1:68" ht="15.6" thickBot="1" x14ac:dyDescent="0.3">
      <c r="A409" s="25"/>
      <c r="B409" s="18" t="s">
        <v>442</v>
      </c>
      <c r="C409" s="3"/>
      <c r="D409" s="21">
        <f t="shared" si="36"/>
        <v>0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4"/>
      <c r="BO409" s="11">
        <f t="shared" si="37"/>
        <v>0</v>
      </c>
      <c r="BP409" s="9">
        <f t="shared" si="38"/>
        <v>0</v>
      </c>
    </row>
    <row r="410" spans="1:68" ht="15.6" thickBot="1" x14ac:dyDescent="0.3">
      <c r="A410" s="25"/>
      <c r="B410" s="18" t="s">
        <v>443</v>
      </c>
      <c r="C410" s="3"/>
      <c r="D410" s="21">
        <f t="shared" si="36"/>
        <v>0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4"/>
      <c r="BO410" s="11">
        <f t="shared" si="37"/>
        <v>0</v>
      </c>
      <c r="BP410" s="9">
        <f t="shared" si="38"/>
        <v>0</v>
      </c>
    </row>
    <row r="411" spans="1:68" ht="15.6" thickBot="1" x14ac:dyDescent="0.3">
      <c r="A411" s="25" t="s">
        <v>439</v>
      </c>
      <c r="B411" s="18" t="s">
        <v>440</v>
      </c>
      <c r="C411" s="3"/>
      <c r="D411" s="21">
        <f t="shared" si="36"/>
        <v>324</v>
      </c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>
        <f>36+36</f>
        <v>72</v>
      </c>
      <c r="BB411" s="10"/>
      <c r="BC411" s="10"/>
      <c r="BD411" s="10"/>
      <c r="BE411" s="10"/>
      <c r="BF411" s="10"/>
      <c r="BG411" s="10"/>
      <c r="BH411" s="10"/>
      <c r="BI411" s="10">
        <f>7+27+2+36</f>
        <v>72</v>
      </c>
      <c r="BJ411" s="10"/>
      <c r="BK411" s="10">
        <f>36+36+36+36</f>
        <v>144</v>
      </c>
      <c r="BL411" s="10"/>
      <c r="BM411" s="10">
        <f>36</f>
        <v>36</v>
      </c>
      <c r="BN411" s="14"/>
      <c r="BO411" s="11">
        <f t="shared" si="37"/>
        <v>108</v>
      </c>
      <c r="BP411" s="9">
        <f t="shared" si="38"/>
        <v>0</v>
      </c>
    </row>
    <row r="412" spans="1:68" ht="15.6" thickBot="1" x14ac:dyDescent="0.3">
      <c r="A412" s="25" t="s">
        <v>239</v>
      </c>
      <c r="B412" s="18" t="s">
        <v>846</v>
      </c>
      <c r="C412" s="3"/>
      <c r="D412" s="21">
        <f t="shared" si="36"/>
        <v>0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4"/>
      <c r="BO412" s="11">
        <f t="shared" si="37"/>
        <v>0</v>
      </c>
      <c r="BP412" s="9">
        <f t="shared" si="38"/>
        <v>0</v>
      </c>
    </row>
    <row r="413" spans="1:68" ht="15.6" thickBot="1" x14ac:dyDescent="0.3">
      <c r="A413" s="25" t="s">
        <v>240</v>
      </c>
      <c r="B413" s="18" t="s">
        <v>237</v>
      </c>
      <c r="C413" s="3"/>
      <c r="D413" s="21">
        <f t="shared" si="36"/>
        <v>0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4"/>
      <c r="BO413" s="11">
        <f t="shared" si="37"/>
        <v>0</v>
      </c>
      <c r="BP413" s="9">
        <f t="shared" si="38"/>
        <v>0</v>
      </c>
    </row>
    <row r="414" spans="1:68" ht="15.6" thickBot="1" x14ac:dyDescent="0.3">
      <c r="A414" s="25" t="s">
        <v>241</v>
      </c>
      <c r="B414" s="18" t="s">
        <v>238</v>
      </c>
      <c r="C414" s="3"/>
      <c r="D414" s="21">
        <f t="shared" si="36"/>
        <v>0</v>
      </c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4"/>
      <c r="BO414" s="11">
        <f t="shared" si="37"/>
        <v>0</v>
      </c>
      <c r="BP414" s="9">
        <f t="shared" si="38"/>
        <v>0</v>
      </c>
    </row>
    <row r="415" spans="1:68" ht="16.2" thickBot="1" x14ac:dyDescent="0.35">
      <c r="A415" s="25"/>
      <c r="B415" s="23" t="s">
        <v>242</v>
      </c>
      <c r="C415" s="3"/>
      <c r="D415" s="21">
        <f t="shared" si="36"/>
        <v>0</v>
      </c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4"/>
      <c r="BO415" s="11">
        <f t="shared" si="37"/>
        <v>0</v>
      </c>
      <c r="BP415" s="9">
        <f t="shared" si="38"/>
        <v>0</v>
      </c>
    </row>
    <row r="416" spans="1:68" ht="15.6" thickBot="1" x14ac:dyDescent="0.3">
      <c r="A416" s="25" t="s">
        <v>174</v>
      </c>
      <c r="B416" s="18" t="s">
        <v>847</v>
      </c>
      <c r="C416" s="3"/>
      <c r="D416" s="21">
        <f t="shared" si="36"/>
        <v>0</v>
      </c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4"/>
      <c r="BO416" s="11">
        <f t="shared" si="37"/>
        <v>0</v>
      </c>
      <c r="BP416" s="9">
        <f t="shared" si="38"/>
        <v>0</v>
      </c>
    </row>
    <row r="417" spans="1:68" ht="16.2" thickBot="1" x14ac:dyDescent="0.35">
      <c r="A417" s="25"/>
      <c r="B417" s="23"/>
      <c r="C417" s="3"/>
      <c r="D417" s="21">
        <f t="shared" si="36"/>
        <v>0</v>
      </c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4"/>
      <c r="BO417" s="11">
        <f t="shared" si="37"/>
        <v>0</v>
      </c>
      <c r="BP417" s="9">
        <f t="shared" si="38"/>
        <v>0</v>
      </c>
    </row>
    <row r="418" spans="1:68" ht="15.6" thickBot="1" x14ac:dyDescent="0.3">
      <c r="A418" s="25" t="s">
        <v>355</v>
      </c>
      <c r="B418" s="18" t="s">
        <v>273</v>
      </c>
      <c r="C418" s="3"/>
      <c r="D418" s="21">
        <f t="shared" si="36"/>
        <v>0</v>
      </c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4"/>
      <c r="BO418" s="11">
        <f t="shared" si="37"/>
        <v>0</v>
      </c>
      <c r="BP418" s="9">
        <f t="shared" si="38"/>
        <v>0</v>
      </c>
    </row>
    <row r="419" spans="1:68" ht="15.6" thickBot="1" x14ac:dyDescent="0.3">
      <c r="A419" s="25" t="s">
        <v>525</v>
      </c>
      <c r="B419" s="18" t="s">
        <v>274</v>
      </c>
      <c r="C419" s="3"/>
      <c r="D419" s="21">
        <f t="shared" si="36"/>
        <v>0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4"/>
      <c r="BO419" s="11">
        <f t="shared" si="37"/>
        <v>0</v>
      </c>
      <c r="BP419" s="9">
        <f t="shared" si="38"/>
        <v>0</v>
      </c>
    </row>
    <row r="420" spans="1:68" ht="15.6" thickBot="1" x14ac:dyDescent="0.3">
      <c r="A420" s="25" t="s">
        <v>356</v>
      </c>
      <c r="B420" s="18" t="s">
        <v>275</v>
      </c>
      <c r="C420" s="3"/>
      <c r="D420" s="21">
        <f t="shared" si="36"/>
        <v>0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4"/>
      <c r="BO420" s="11">
        <f t="shared" si="37"/>
        <v>0</v>
      </c>
      <c r="BP420" s="9">
        <f t="shared" si="38"/>
        <v>0</v>
      </c>
    </row>
    <row r="421" spans="1:68" ht="15.6" thickBot="1" x14ac:dyDescent="0.3">
      <c r="A421" s="25" t="s">
        <v>357</v>
      </c>
      <c r="B421" s="18" t="s">
        <v>276</v>
      </c>
      <c r="C421" s="3"/>
      <c r="D421" s="21">
        <f t="shared" si="36"/>
        <v>0</v>
      </c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4"/>
      <c r="BO421" s="11">
        <f t="shared" si="37"/>
        <v>0</v>
      </c>
      <c r="BP421" s="9">
        <f t="shared" si="38"/>
        <v>0</v>
      </c>
    </row>
    <row r="422" spans="1:68" ht="15.6" thickBot="1" x14ac:dyDescent="0.3">
      <c r="A422" s="25" t="s">
        <v>536</v>
      </c>
      <c r="B422" s="18" t="s">
        <v>277</v>
      </c>
      <c r="C422" s="3"/>
      <c r="D422" s="21">
        <f t="shared" si="36"/>
        <v>0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4"/>
      <c r="BO422" s="11">
        <f t="shared" si="37"/>
        <v>0</v>
      </c>
      <c r="BP422" s="9">
        <f t="shared" si="38"/>
        <v>0</v>
      </c>
    </row>
    <row r="423" spans="1:68" ht="16.2" thickBot="1" x14ac:dyDescent="0.35">
      <c r="A423" s="25"/>
      <c r="B423" s="23" t="s">
        <v>280</v>
      </c>
      <c r="C423" s="3"/>
      <c r="D423" s="21">
        <f t="shared" si="36"/>
        <v>0</v>
      </c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4"/>
      <c r="BO423" s="11">
        <f t="shared" si="37"/>
        <v>0</v>
      </c>
      <c r="BP423" s="9">
        <f t="shared" si="38"/>
        <v>0</v>
      </c>
    </row>
    <row r="424" spans="1:68" ht="15.6" thickBot="1" x14ac:dyDescent="0.3">
      <c r="A424" s="25" t="s">
        <v>168</v>
      </c>
      <c r="B424" s="18" t="s">
        <v>107</v>
      </c>
      <c r="C424" s="3"/>
      <c r="D424" s="21">
        <f t="shared" si="36"/>
        <v>0</v>
      </c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4"/>
      <c r="BO424" s="11">
        <f t="shared" si="37"/>
        <v>0</v>
      </c>
      <c r="BP424" s="9">
        <f t="shared" si="38"/>
        <v>0</v>
      </c>
    </row>
    <row r="425" spans="1:68" ht="15.6" thickBot="1" x14ac:dyDescent="0.3">
      <c r="A425" s="25" t="s">
        <v>169</v>
      </c>
      <c r="B425" s="18" t="s">
        <v>11</v>
      </c>
      <c r="C425" s="3"/>
      <c r="D425" s="21">
        <f t="shared" si="36"/>
        <v>0</v>
      </c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4"/>
      <c r="BO425" s="11">
        <f t="shared" si="37"/>
        <v>0</v>
      </c>
      <c r="BP425" s="9">
        <f t="shared" si="38"/>
        <v>0</v>
      </c>
    </row>
    <row r="426" spans="1:68" ht="15.6" thickBot="1" x14ac:dyDescent="0.3">
      <c r="A426" s="25" t="s">
        <v>170</v>
      </c>
      <c r="B426" s="18" t="s">
        <v>42</v>
      </c>
      <c r="C426" s="3"/>
      <c r="D426" s="21">
        <f t="shared" si="36"/>
        <v>0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4"/>
      <c r="BO426" s="11">
        <f t="shared" si="37"/>
        <v>0</v>
      </c>
      <c r="BP426" s="9">
        <f t="shared" si="38"/>
        <v>0</v>
      </c>
    </row>
    <row r="427" spans="1:68" ht="15.6" thickBot="1" x14ac:dyDescent="0.3">
      <c r="A427" s="25" t="s">
        <v>171</v>
      </c>
      <c r="B427" s="18" t="s">
        <v>43</v>
      </c>
      <c r="C427" s="3"/>
      <c r="D427" s="21">
        <f t="shared" si="36"/>
        <v>0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4"/>
      <c r="BO427" s="11">
        <f t="shared" si="37"/>
        <v>0</v>
      </c>
      <c r="BP427" s="9">
        <f t="shared" si="38"/>
        <v>0</v>
      </c>
    </row>
    <row r="428" spans="1:68" ht="15.6" thickBot="1" x14ac:dyDescent="0.3">
      <c r="A428" s="25" t="s">
        <v>172</v>
      </c>
      <c r="B428" s="18" t="s">
        <v>44</v>
      </c>
      <c r="C428" s="3"/>
      <c r="D428" s="21">
        <f t="shared" si="36"/>
        <v>0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4"/>
      <c r="BO428" s="11">
        <f t="shared" si="37"/>
        <v>0</v>
      </c>
      <c r="BP428" s="9">
        <f t="shared" si="38"/>
        <v>0</v>
      </c>
    </row>
    <row r="429" spans="1:68" ht="15.6" thickBot="1" x14ac:dyDescent="0.3">
      <c r="A429" s="25" t="s">
        <v>270</v>
      </c>
      <c r="B429" s="18" t="s">
        <v>76</v>
      </c>
      <c r="C429" s="3"/>
      <c r="D429" s="21">
        <f t="shared" si="36"/>
        <v>0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4"/>
      <c r="BO429" s="11">
        <f t="shared" si="37"/>
        <v>0</v>
      </c>
      <c r="BP429" s="9">
        <f t="shared" si="38"/>
        <v>0</v>
      </c>
    </row>
    <row r="430" spans="1:68" ht="15.6" thickBot="1" x14ac:dyDescent="0.3">
      <c r="A430" s="25" t="s">
        <v>174</v>
      </c>
      <c r="B430" s="18" t="s">
        <v>77</v>
      </c>
      <c r="C430" s="3"/>
      <c r="D430" s="21">
        <f t="shared" si="36"/>
        <v>0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4"/>
      <c r="BO430" s="11">
        <f t="shared" si="37"/>
        <v>0</v>
      </c>
      <c r="BP430" s="9">
        <f t="shared" si="38"/>
        <v>0</v>
      </c>
    </row>
    <row r="431" spans="1:68" ht="16.2" thickBot="1" x14ac:dyDescent="0.35">
      <c r="A431" s="25"/>
      <c r="B431" s="23" t="s">
        <v>281</v>
      </c>
      <c r="C431" s="3"/>
      <c r="D431" s="21">
        <f t="shared" si="36"/>
        <v>0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4"/>
      <c r="BO431" s="11">
        <f t="shared" si="37"/>
        <v>0</v>
      </c>
      <c r="BP431" s="9">
        <f t="shared" si="38"/>
        <v>0</v>
      </c>
    </row>
    <row r="432" spans="1:68" ht="15.6" thickBot="1" x14ac:dyDescent="0.3">
      <c r="A432" s="25" t="s">
        <v>168</v>
      </c>
      <c r="B432" s="18" t="s">
        <v>107</v>
      </c>
      <c r="C432" s="3"/>
      <c r="D432" s="21">
        <f t="shared" si="36"/>
        <v>0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4"/>
      <c r="BO432" s="11">
        <f t="shared" si="37"/>
        <v>0</v>
      </c>
      <c r="BP432" s="9">
        <f t="shared" si="38"/>
        <v>0</v>
      </c>
    </row>
    <row r="433" spans="1:68" ht="15.6" thickBot="1" x14ac:dyDescent="0.3">
      <c r="A433" s="25" t="s">
        <v>172</v>
      </c>
      <c r="B433" s="18" t="s">
        <v>44</v>
      </c>
      <c r="C433" s="3"/>
      <c r="D433" s="21">
        <f t="shared" si="36"/>
        <v>0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4"/>
      <c r="BO433" s="11">
        <f t="shared" si="37"/>
        <v>0</v>
      </c>
      <c r="BP433" s="9">
        <f t="shared" si="38"/>
        <v>0</v>
      </c>
    </row>
    <row r="434" spans="1:68" ht="15.6" thickBot="1" x14ac:dyDescent="0.3">
      <c r="A434" s="25" t="s">
        <v>173</v>
      </c>
      <c r="B434" s="18" t="s">
        <v>45</v>
      </c>
      <c r="C434" s="3"/>
      <c r="D434" s="21">
        <f t="shared" si="36"/>
        <v>0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4"/>
      <c r="BO434" s="11">
        <f t="shared" si="37"/>
        <v>0</v>
      </c>
      <c r="BP434" s="9">
        <f t="shared" si="38"/>
        <v>0</v>
      </c>
    </row>
    <row r="435" spans="1:68" ht="15.6" thickBot="1" x14ac:dyDescent="0.3">
      <c r="A435" s="25" t="s">
        <v>270</v>
      </c>
      <c r="B435" s="18" t="s">
        <v>76</v>
      </c>
      <c r="C435" s="3"/>
      <c r="D435" s="21">
        <f t="shared" si="36"/>
        <v>0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4"/>
      <c r="BO435" s="11">
        <f t="shared" si="37"/>
        <v>0</v>
      </c>
      <c r="BP435" s="9">
        <f t="shared" si="38"/>
        <v>0</v>
      </c>
    </row>
    <row r="436" spans="1:68" ht="15.6" thickBot="1" x14ac:dyDescent="0.3">
      <c r="A436" s="25" t="s">
        <v>271</v>
      </c>
      <c r="B436" s="18" t="s">
        <v>272</v>
      </c>
      <c r="C436" s="3"/>
      <c r="D436" s="21">
        <f t="shared" si="36"/>
        <v>0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4"/>
      <c r="BO436" s="11">
        <f t="shared" si="37"/>
        <v>0</v>
      </c>
      <c r="BP436" s="9">
        <f t="shared" si="38"/>
        <v>0</v>
      </c>
    </row>
    <row r="437" spans="1:68" ht="15.6" thickBot="1" x14ac:dyDescent="0.3">
      <c r="A437" s="25" t="s">
        <v>265</v>
      </c>
      <c r="B437" s="18" t="s">
        <v>438</v>
      </c>
      <c r="C437" s="3"/>
      <c r="D437" s="21">
        <f t="shared" si="36"/>
        <v>0</v>
      </c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4"/>
      <c r="BO437" s="11">
        <f t="shared" si="37"/>
        <v>0</v>
      </c>
      <c r="BP437" s="9">
        <f t="shared" si="38"/>
        <v>0</v>
      </c>
    </row>
    <row r="438" spans="1:68" ht="15.6" thickBot="1" x14ac:dyDescent="0.3">
      <c r="A438" s="25" t="s">
        <v>266</v>
      </c>
      <c r="B438" s="18" t="s">
        <v>269</v>
      </c>
      <c r="C438" s="3"/>
      <c r="D438" s="21">
        <f t="shared" si="36"/>
        <v>0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4"/>
      <c r="BO438" s="11">
        <f t="shared" si="37"/>
        <v>0</v>
      </c>
      <c r="BP438" s="9">
        <f t="shared" si="38"/>
        <v>0</v>
      </c>
    </row>
    <row r="439" spans="1:68" ht="15.6" thickBot="1" x14ac:dyDescent="0.3">
      <c r="A439" s="25" t="s">
        <v>267</v>
      </c>
      <c r="B439" s="18" t="s">
        <v>116</v>
      </c>
      <c r="C439" s="3"/>
      <c r="D439" s="21">
        <f t="shared" si="36"/>
        <v>0</v>
      </c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4"/>
      <c r="BO439" s="11">
        <f t="shared" si="37"/>
        <v>0</v>
      </c>
      <c r="BP439" s="9">
        <f t="shared" si="38"/>
        <v>0</v>
      </c>
    </row>
    <row r="440" spans="1:68" ht="16.2" thickBot="1" x14ac:dyDescent="0.35">
      <c r="A440" s="25"/>
      <c r="B440" s="23" t="s">
        <v>282</v>
      </c>
      <c r="C440" s="3"/>
      <c r="D440" s="21">
        <f t="shared" si="36"/>
        <v>0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4"/>
      <c r="BO440" s="11">
        <f t="shared" si="37"/>
        <v>0</v>
      </c>
      <c r="BP440" s="9">
        <f t="shared" si="38"/>
        <v>0</v>
      </c>
    </row>
    <row r="441" spans="1:68" ht="15.6" thickBot="1" x14ac:dyDescent="0.3">
      <c r="A441" s="25" t="s">
        <v>283</v>
      </c>
      <c r="B441" s="18" t="s">
        <v>484</v>
      </c>
      <c r="C441" s="3">
        <v>34</v>
      </c>
      <c r="D441" s="21">
        <f t="shared" si="36"/>
        <v>0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4">
        <v>-34</v>
      </c>
      <c r="BO441" s="11">
        <f t="shared" si="37"/>
        <v>0</v>
      </c>
      <c r="BP441" s="9">
        <f t="shared" si="38"/>
        <v>-34</v>
      </c>
    </row>
    <row r="442" spans="1:68" ht="15.6" thickBot="1" x14ac:dyDescent="0.3">
      <c r="A442" s="25" t="s">
        <v>169</v>
      </c>
      <c r="B442" s="18" t="s">
        <v>485</v>
      </c>
      <c r="C442" s="3"/>
      <c r="D442" s="21">
        <f t="shared" si="36"/>
        <v>0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4"/>
      <c r="BO442" s="11">
        <f t="shared" si="37"/>
        <v>0</v>
      </c>
      <c r="BP442" s="9">
        <f t="shared" si="38"/>
        <v>0</v>
      </c>
    </row>
    <row r="443" spans="1:68" ht="16.2" thickBot="1" x14ac:dyDescent="0.35">
      <c r="A443" s="25"/>
      <c r="B443" s="23" t="s">
        <v>293</v>
      </c>
      <c r="C443" s="3"/>
      <c r="D443" s="21">
        <f t="shared" si="36"/>
        <v>0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4"/>
      <c r="BO443" s="11">
        <f t="shared" si="37"/>
        <v>0</v>
      </c>
      <c r="BP443" s="9">
        <f t="shared" si="38"/>
        <v>0</v>
      </c>
    </row>
    <row r="444" spans="1:68" ht="15.6" thickBot="1" x14ac:dyDescent="0.3">
      <c r="A444" s="25" t="s">
        <v>537</v>
      </c>
      <c r="B444" s="18" t="s">
        <v>483</v>
      </c>
      <c r="C444" s="3">
        <v>6</v>
      </c>
      <c r="D444" s="21">
        <f t="shared" si="36"/>
        <v>6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4"/>
      <c r="BO444" s="11">
        <f t="shared" si="37"/>
        <v>0</v>
      </c>
      <c r="BP444" s="9">
        <f t="shared" si="38"/>
        <v>0</v>
      </c>
    </row>
    <row r="445" spans="1:68" ht="15.6" thickBot="1" x14ac:dyDescent="0.3">
      <c r="A445" s="25" t="s">
        <v>618</v>
      </c>
      <c r="B445" s="18" t="s">
        <v>619</v>
      </c>
      <c r="C445" s="3"/>
      <c r="D445" s="21">
        <f t="shared" si="36"/>
        <v>176</v>
      </c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>
        <v>50</v>
      </c>
      <c r="BL445" s="10"/>
      <c r="BM445" s="10">
        <f>25+5+25+25+25+21</f>
        <v>126</v>
      </c>
      <c r="BN445" s="14"/>
      <c r="BO445" s="11">
        <f t="shared" si="37"/>
        <v>126</v>
      </c>
      <c r="BP445" s="9">
        <f t="shared" si="38"/>
        <v>0</v>
      </c>
    </row>
    <row r="446" spans="1:68" ht="16.2" thickBot="1" x14ac:dyDescent="0.35">
      <c r="A446" s="25"/>
      <c r="B446" s="23" t="s">
        <v>769</v>
      </c>
      <c r="C446" s="3"/>
      <c r="D446" s="21">
        <f t="shared" si="36"/>
        <v>0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4"/>
      <c r="BO446" s="11">
        <f t="shared" si="37"/>
        <v>0</v>
      </c>
      <c r="BP446" s="9">
        <f t="shared" si="38"/>
        <v>0</v>
      </c>
    </row>
    <row r="447" spans="1:68" ht="15.6" thickBot="1" x14ac:dyDescent="0.3">
      <c r="A447" s="25" t="s">
        <v>294</v>
      </c>
      <c r="B447" s="18" t="s">
        <v>312</v>
      </c>
      <c r="C447" s="3"/>
      <c r="D447" s="21">
        <f t="shared" si="36"/>
        <v>0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4"/>
      <c r="BO447" s="11">
        <f t="shared" si="37"/>
        <v>0</v>
      </c>
      <c r="BP447" s="9">
        <f t="shared" si="38"/>
        <v>0</v>
      </c>
    </row>
    <row r="448" spans="1:68" ht="15.6" thickBot="1" x14ac:dyDescent="0.3">
      <c r="A448" s="25" t="s">
        <v>295</v>
      </c>
      <c r="B448" s="18" t="s">
        <v>313</v>
      </c>
      <c r="C448" s="3"/>
      <c r="D448" s="21">
        <f t="shared" si="36"/>
        <v>0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4"/>
      <c r="BO448" s="11">
        <f t="shared" si="37"/>
        <v>0</v>
      </c>
      <c r="BP448" s="9">
        <f t="shared" si="38"/>
        <v>0</v>
      </c>
    </row>
    <row r="449" spans="1:68" ht="15.6" thickBot="1" x14ac:dyDescent="0.3">
      <c r="A449" s="25" t="s">
        <v>296</v>
      </c>
      <c r="B449" s="18" t="s">
        <v>314</v>
      </c>
      <c r="C449" s="3"/>
      <c r="D449" s="21">
        <f t="shared" si="36"/>
        <v>0</v>
      </c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4"/>
      <c r="BO449" s="11">
        <f t="shared" si="37"/>
        <v>0</v>
      </c>
      <c r="BP449" s="9">
        <f t="shared" si="38"/>
        <v>0</v>
      </c>
    </row>
    <row r="450" spans="1:68" ht="15.6" thickBot="1" x14ac:dyDescent="0.3">
      <c r="A450" s="25" t="s">
        <v>297</v>
      </c>
      <c r="B450" s="18" t="s">
        <v>315</v>
      </c>
      <c r="C450" s="3"/>
      <c r="D450" s="21">
        <f t="shared" si="36"/>
        <v>0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4"/>
      <c r="BO450" s="11">
        <f t="shared" si="37"/>
        <v>0</v>
      </c>
      <c r="BP450" s="9">
        <f t="shared" si="38"/>
        <v>0</v>
      </c>
    </row>
    <row r="451" spans="1:68" ht="15.6" thickBot="1" x14ac:dyDescent="0.3">
      <c r="A451" s="25" t="s">
        <v>298</v>
      </c>
      <c r="B451" s="18" t="s">
        <v>468</v>
      </c>
      <c r="C451" s="3"/>
      <c r="D451" s="21">
        <f t="shared" si="36"/>
        <v>0</v>
      </c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4"/>
      <c r="BO451" s="11">
        <f t="shared" si="37"/>
        <v>0</v>
      </c>
      <c r="BP451" s="9">
        <f t="shared" si="38"/>
        <v>0</v>
      </c>
    </row>
    <row r="452" spans="1:68" ht="15.6" thickBot="1" x14ac:dyDescent="0.3">
      <c r="A452" s="25" t="s">
        <v>299</v>
      </c>
      <c r="B452" s="18" t="s">
        <v>469</v>
      </c>
      <c r="C452" s="3"/>
      <c r="D452" s="21">
        <f t="shared" si="36"/>
        <v>0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4"/>
      <c r="BO452" s="11">
        <f t="shared" si="37"/>
        <v>0</v>
      </c>
      <c r="BP452" s="9">
        <f t="shared" si="38"/>
        <v>0</v>
      </c>
    </row>
    <row r="453" spans="1:68" ht="15.6" thickBot="1" x14ac:dyDescent="0.3">
      <c r="A453" s="25" t="s">
        <v>300</v>
      </c>
      <c r="B453" s="18" t="s">
        <v>470</v>
      </c>
      <c r="C453" s="3"/>
      <c r="D453" s="21">
        <f t="shared" si="36"/>
        <v>0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4"/>
      <c r="BO453" s="11">
        <f t="shared" si="37"/>
        <v>0</v>
      </c>
      <c r="BP453" s="9">
        <f t="shared" si="38"/>
        <v>0</v>
      </c>
    </row>
    <row r="454" spans="1:68" ht="15.6" thickBot="1" x14ac:dyDescent="0.3">
      <c r="A454" s="25" t="s">
        <v>734</v>
      </c>
      <c r="B454" s="18" t="s">
        <v>735</v>
      </c>
      <c r="C454" s="3"/>
      <c r="D454" s="21">
        <f t="shared" si="36"/>
        <v>0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4"/>
      <c r="BO454" s="11">
        <f t="shared" si="37"/>
        <v>0</v>
      </c>
      <c r="BP454" s="9">
        <f t="shared" si="38"/>
        <v>0</v>
      </c>
    </row>
    <row r="455" spans="1:68" ht="15.6" thickBot="1" x14ac:dyDescent="0.3">
      <c r="A455" s="25" t="s">
        <v>718</v>
      </c>
      <c r="B455" s="18" t="s">
        <v>193</v>
      </c>
      <c r="C455" s="3"/>
      <c r="D455" s="21">
        <f t="shared" si="36"/>
        <v>0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4"/>
      <c r="BO455" s="11">
        <f t="shared" si="37"/>
        <v>0</v>
      </c>
      <c r="BP455" s="9">
        <f t="shared" si="38"/>
        <v>0</v>
      </c>
    </row>
    <row r="456" spans="1:68" ht="15.6" thickBot="1" x14ac:dyDescent="0.3">
      <c r="A456" s="25" t="s">
        <v>719</v>
      </c>
      <c r="B456" s="18" t="s">
        <v>194</v>
      </c>
      <c r="C456" s="3"/>
      <c r="D456" s="21">
        <f t="shared" si="36"/>
        <v>0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4"/>
      <c r="BO456" s="11">
        <f t="shared" si="37"/>
        <v>0</v>
      </c>
      <c r="BP456" s="9">
        <f t="shared" si="38"/>
        <v>0</v>
      </c>
    </row>
    <row r="457" spans="1:68" ht="15.6" thickBot="1" x14ac:dyDescent="0.3">
      <c r="A457" s="25" t="s">
        <v>720</v>
      </c>
      <c r="B457" s="18" t="s">
        <v>16</v>
      </c>
      <c r="C457" s="3"/>
      <c r="D457" s="21">
        <f t="shared" si="36"/>
        <v>0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4"/>
      <c r="BO457" s="11">
        <f t="shared" si="37"/>
        <v>0</v>
      </c>
      <c r="BP457" s="9">
        <f t="shared" si="38"/>
        <v>0</v>
      </c>
    </row>
    <row r="458" spans="1:68" ht="15.6" thickBot="1" x14ac:dyDescent="0.3">
      <c r="A458" s="25" t="s">
        <v>721</v>
      </c>
      <c r="B458" s="18" t="s">
        <v>17</v>
      </c>
      <c r="C458" s="3"/>
      <c r="D458" s="21">
        <f t="shared" si="36"/>
        <v>0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4"/>
      <c r="BO458" s="11">
        <f t="shared" si="37"/>
        <v>0</v>
      </c>
      <c r="BP458" s="9">
        <f t="shared" si="38"/>
        <v>0</v>
      </c>
    </row>
    <row r="459" spans="1:68" ht="15.6" thickBot="1" x14ac:dyDescent="0.3">
      <c r="A459" s="25" t="s">
        <v>733</v>
      </c>
      <c r="B459" s="18" t="s">
        <v>21</v>
      </c>
      <c r="C459" s="3"/>
      <c r="D459" s="21">
        <f t="shared" si="36"/>
        <v>0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4"/>
      <c r="BO459" s="11">
        <f t="shared" si="37"/>
        <v>0</v>
      </c>
      <c r="BP459" s="9">
        <f t="shared" si="38"/>
        <v>0</v>
      </c>
    </row>
    <row r="460" spans="1:68" ht="15.6" thickBot="1" x14ac:dyDescent="0.3">
      <c r="A460" s="25" t="s">
        <v>722</v>
      </c>
      <c r="B460" s="18" t="s">
        <v>20</v>
      </c>
      <c r="C460" s="3"/>
      <c r="D460" s="21">
        <f t="shared" si="36"/>
        <v>0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4"/>
      <c r="BO460" s="11">
        <f t="shared" si="37"/>
        <v>0</v>
      </c>
      <c r="BP460" s="9">
        <f t="shared" si="38"/>
        <v>0</v>
      </c>
    </row>
    <row r="461" spans="1:68" ht="15.6" thickBot="1" x14ac:dyDescent="0.3">
      <c r="A461" s="25" t="s">
        <v>723</v>
      </c>
      <c r="B461" s="18" t="s">
        <v>209</v>
      </c>
      <c r="C461" s="3"/>
      <c r="D461" s="21">
        <f t="shared" si="36"/>
        <v>0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4"/>
      <c r="BO461" s="11">
        <f t="shared" si="37"/>
        <v>0</v>
      </c>
      <c r="BP461" s="9">
        <f t="shared" si="38"/>
        <v>0</v>
      </c>
    </row>
    <row r="462" spans="1:68" ht="15.6" thickBot="1" x14ac:dyDescent="0.3">
      <c r="A462" s="25" t="s">
        <v>724</v>
      </c>
      <c r="B462" s="18" t="s">
        <v>13</v>
      </c>
      <c r="C462" s="3"/>
      <c r="D462" s="21">
        <f t="shared" si="36"/>
        <v>0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4"/>
      <c r="BO462" s="11">
        <f t="shared" si="37"/>
        <v>0</v>
      </c>
      <c r="BP462" s="9">
        <f t="shared" si="38"/>
        <v>0</v>
      </c>
    </row>
    <row r="463" spans="1:68" ht="15.6" thickBot="1" x14ac:dyDescent="0.3">
      <c r="A463" s="25" t="s">
        <v>725</v>
      </c>
      <c r="B463" s="18" t="s">
        <v>14</v>
      </c>
      <c r="C463" s="3"/>
      <c r="D463" s="21">
        <f t="shared" si="36"/>
        <v>0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4"/>
      <c r="BO463" s="11">
        <f t="shared" si="37"/>
        <v>0</v>
      </c>
      <c r="BP463" s="9">
        <f t="shared" si="38"/>
        <v>0</v>
      </c>
    </row>
    <row r="464" spans="1:68" ht="15.6" thickBot="1" x14ac:dyDescent="0.3">
      <c r="A464" s="25" t="s">
        <v>726</v>
      </c>
      <c r="B464" s="18" t="s">
        <v>12</v>
      </c>
      <c r="C464" s="3"/>
      <c r="D464" s="21">
        <f t="shared" si="36"/>
        <v>0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4"/>
      <c r="BO464" s="11">
        <f t="shared" si="37"/>
        <v>0</v>
      </c>
      <c r="BP464" s="9">
        <f t="shared" si="38"/>
        <v>0</v>
      </c>
    </row>
    <row r="465" spans="1:68" ht="15.6" thickBot="1" x14ac:dyDescent="0.3">
      <c r="A465" s="25" t="s">
        <v>727</v>
      </c>
      <c r="B465" s="18" t="s">
        <v>6</v>
      </c>
      <c r="C465" s="3"/>
      <c r="D465" s="21">
        <f t="shared" si="36"/>
        <v>0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4"/>
      <c r="BO465" s="11">
        <f t="shared" si="37"/>
        <v>0</v>
      </c>
      <c r="BP465" s="9">
        <f t="shared" si="38"/>
        <v>0</v>
      </c>
    </row>
    <row r="466" spans="1:68" ht="15.6" thickBot="1" x14ac:dyDescent="0.3">
      <c r="A466" s="25" t="s">
        <v>728</v>
      </c>
      <c r="B466" s="18" t="s">
        <v>7</v>
      </c>
      <c r="C466" s="3"/>
      <c r="D466" s="21">
        <f t="shared" si="36"/>
        <v>0</v>
      </c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4"/>
      <c r="BO466" s="11">
        <f t="shared" si="37"/>
        <v>0</v>
      </c>
      <c r="BP466" s="9">
        <f t="shared" si="38"/>
        <v>0</v>
      </c>
    </row>
    <row r="467" spans="1:68" ht="15.6" thickBot="1" x14ac:dyDescent="0.3">
      <c r="A467" s="25" t="s">
        <v>729</v>
      </c>
      <c r="B467" s="18" t="s">
        <v>22</v>
      </c>
      <c r="C467" s="3"/>
      <c r="D467" s="21">
        <f t="shared" si="36"/>
        <v>0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4"/>
      <c r="BO467" s="11">
        <f t="shared" si="37"/>
        <v>0</v>
      </c>
      <c r="BP467" s="9">
        <f t="shared" si="38"/>
        <v>0</v>
      </c>
    </row>
    <row r="468" spans="1:68" ht="15.6" thickBot="1" x14ac:dyDescent="0.3">
      <c r="A468" s="25" t="s">
        <v>730</v>
      </c>
      <c r="B468" s="18" t="s">
        <v>23</v>
      </c>
      <c r="C468" s="3"/>
      <c r="D468" s="21">
        <f t="shared" ref="D468:D531" si="39">C468+SUM(E468:BN468)</f>
        <v>0</v>
      </c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4"/>
      <c r="BO468" s="11">
        <f t="shared" si="37"/>
        <v>0</v>
      </c>
      <c r="BP468" s="9">
        <f t="shared" si="38"/>
        <v>0</v>
      </c>
    </row>
    <row r="469" spans="1:68" ht="15.6" thickBot="1" x14ac:dyDescent="0.3">
      <c r="A469" s="25" t="s">
        <v>731</v>
      </c>
      <c r="B469" s="18" t="s">
        <v>24</v>
      </c>
      <c r="C469" s="3"/>
      <c r="D469" s="21">
        <f t="shared" si="39"/>
        <v>0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4"/>
      <c r="BO469" s="11">
        <f t="shared" ref="BO469:BO532" si="40">BM469+BG469+BE469+BC469+BA469+AY469+AW469+AU469+AS469+AQ469+AO469+AM469+AK469+AI469+AG469+AE469+AC469+AA469+Y469+W469+U469+S469+Q469+O469+M469+K469+I469+G469+E469</f>
        <v>0</v>
      </c>
      <c r="BP469" s="9">
        <f t="shared" ref="BP469:BP532" si="41">BN469+BH469+BF469+BD469+BB469+AZ469+AX469+AV469+AT469+AR469+AP469+AN469+AL469+AJ469+AH469+AF469+AD469+AB469+Z469+X469+V469+T469+R469+P469+N469+L469+J469+H469+F469</f>
        <v>0</v>
      </c>
    </row>
    <row r="470" spans="1:68" ht="15.6" thickBot="1" x14ac:dyDescent="0.3">
      <c r="A470" s="25" t="s">
        <v>732</v>
      </c>
      <c r="B470" s="18" t="s">
        <v>210</v>
      </c>
      <c r="C470" s="3"/>
      <c r="D470" s="21">
        <f t="shared" si="39"/>
        <v>0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4"/>
      <c r="BO470" s="11">
        <f t="shared" si="40"/>
        <v>0</v>
      </c>
      <c r="BP470" s="9">
        <f t="shared" si="41"/>
        <v>0</v>
      </c>
    </row>
    <row r="471" spans="1:68" ht="16.2" thickBot="1" x14ac:dyDescent="0.35">
      <c r="A471" s="25"/>
      <c r="B471" s="23" t="s">
        <v>301</v>
      </c>
      <c r="C471" s="3"/>
      <c r="D471" s="21">
        <f t="shared" si="39"/>
        <v>0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4"/>
      <c r="BO471" s="11">
        <f t="shared" si="40"/>
        <v>0</v>
      </c>
      <c r="BP471" s="9">
        <f t="shared" si="41"/>
        <v>0</v>
      </c>
    </row>
    <row r="472" spans="1:68" ht="15.6" thickBot="1" x14ac:dyDescent="0.3">
      <c r="A472" s="25" t="s">
        <v>302</v>
      </c>
      <c r="B472" s="18" t="s">
        <v>307</v>
      </c>
      <c r="C472" s="3"/>
      <c r="D472" s="21">
        <f t="shared" si="39"/>
        <v>0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4"/>
      <c r="BO472" s="11">
        <f t="shared" si="40"/>
        <v>0</v>
      </c>
      <c r="BP472" s="9">
        <f t="shared" si="41"/>
        <v>0</v>
      </c>
    </row>
    <row r="473" spans="1:68" ht="15.6" thickBot="1" x14ac:dyDescent="0.3">
      <c r="A473" s="25" t="s">
        <v>303</v>
      </c>
      <c r="B473" s="18" t="s">
        <v>308</v>
      </c>
      <c r="C473" s="3"/>
      <c r="D473" s="21">
        <f t="shared" si="39"/>
        <v>0</v>
      </c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4"/>
      <c r="BO473" s="11">
        <f t="shared" si="40"/>
        <v>0</v>
      </c>
      <c r="BP473" s="9">
        <f t="shared" si="41"/>
        <v>0</v>
      </c>
    </row>
    <row r="474" spans="1:68" ht="15.6" thickBot="1" x14ac:dyDescent="0.3">
      <c r="A474" s="25" t="s">
        <v>304</v>
      </c>
      <c r="B474" s="18" t="s">
        <v>309</v>
      </c>
      <c r="C474" s="3"/>
      <c r="D474" s="21">
        <f t="shared" si="39"/>
        <v>0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4"/>
      <c r="BO474" s="11">
        <f t="shared" si="40"/>
        <v>0</v>
      </c>
      <c r="BP474" s="9">
        <f t="shared" si="41"/>
        <v>0</v>
      </c>
    </row>
    <row r="475" spans="1:68" ht="15.6" thickBot="1" x14ac:dyDescent="0.3">
      <c r="A475" s="25" t="s">
        <v>305</v>
      </c>
      <c r="B475" s="18" t="s">
        <v>310</v>
      </c>
      <c r="C475" s="3"/>
      <c r="D475" s="21">
        <f t="shared" si="39"/>
        <v>0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4"/>
      <c r="BO475" s="11">
        <f t="shared" si="40"/>
        <v>0</v>
      </c>
      <c r="BP475" s="9">
        <f t="shared" si="41"/>
        <v>0</v>
      </c>
    </row>
    <row r="476" spans="1:68" ht="15.6" thickBot="1" x14ac:dyDescent="0.3">
      <c r="A476" s="25" t="s">
        <v>306</v>
      </c>
      <c r="B476" s="18" t="s">
        <v>311</v>
      </c>
      <c r="C476" s="3"/>
      <c r="D476" s="21">
        <f t="shared" si="39"/>
        <v>0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4"/>
      <c r="BO476" s="11">
        <f t="shared" si="40"/>
        <v>0</v>
      </c>
      <c r="BP476" s="9">
        <f t="shared" si="41"/>
        <v>0</v>
      </c>
    </row>
    <row r="477" spans="1:68" ht="16.2" thickBot="1" x14ac:dyDescent="0.35">
      <c r="A477" s="25"/>
      <c r="B477" s="23" t="s">
        <v>318</v>
      </c>
      <c r="C477" s="3"/>
      <c r="D477" s="21">
        <f t="shared" si="39"/>
        <v>0</v>
      </c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4"/>
      <c r="BO477" s="11">
        <f t="shared" si="40"/>
        <v>0</v>
      </c>
      <c r="BP477" s="9">
        <f t="shared" si="41"/>
        <v>0</v>
      </c>
    </row>
    <row r="478" spans="1:68" ht="15.6" thickBot="1" x14ac:dyDescent="0.3">
      <c r="A478" s="25" t="s">
        <v>797</v>
      </c>
      <c r="B478" s="18" t="s">
        <v>798</v>
      </c>
      <c r="C478" s="3"/>
      <c r="D478" s="21">
        <f t="shared" si="39"/>
        <v>0</v>
      </c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4"/>
      <c r="BO478" s="11">
        <f t="shared" si="40"/>
        <v>0</v>
      </c>
      <c r="BP478" s="9">
        <f t="shared" si="41"/>
        <v>0</v>
      </c>
    </row>
    <row r="479" spans="1:68" ht="15.6" thickBot="1" x14ac:dyDescent="0.3">
      <c r="A479" s="25" t="s">
        <v>568</v>
      </c>
      <c r="B479" s="18" t="s">
        <v>316</v>
      </c>
      <c r="C479" s="3"/>
      <c r="D479" s="21">
        <f t="shared" si="39"/>
        <v>0</v>
      </c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4"/>
      <c r="BO479" s="11">
        <f t="shared" si="40"/>
        <v>0</v>
      </c>
      <c r="BP479" s="9">
        <f t="shared" si="41"/>
        <v>0</v>
      </c>
    </row>
    <row r="480" spans="1:68" ht="15.6" thickBot="1" x14ac:dyDescent="0.3">
      <c r="A480" s="25" t="s">
        <v>567</v>
      </c>
      <c r="B480" s="18" t="s">
        <v>317</v>
      </c>
      <c r="C480" s="3"/>
      <c r="D480" s="21">
        <f t="shared" si="39"/>
        <v>0</v>
      </c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4"/>
      <c r="BO480" s="11">
        <f t="shared" si="40"/>
        <v>0</v>
      </c>
      <c r="BP480" s="9">
        <f t="shared" si="41"/>
        <v>0</v>
      </c>
    </row>
    <row r="481" spans="1:68" ht="15.6" thickBot="1" x14ac:dyDescent="0.3">
      <c r="A481" s="25" t="s">
        <v>709</v>
      </c>
      <c r="B481" s="18" t="s">
        <v>361</v>
      </c>
      <c r="C481" s="3"/>
      <c r="D481" s="21">
        <f t="shared" si="39"/>
        <v>0</v>
      </c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4"/>
      <c r="BO481" s="11">
        <f t="shared" si="40"/>
        <v>0</v>
      </c>
      <c r="BP481" s="9">
        <f t="shared" si="41"/>
        <v>0</v>
      </c>
    </row>
    <row r="482" spans="1:68" ht="16.2" thickBot="1" x14ac:dyDescent="0.35">
      <c r="A482" s="25"/>
      <c r="B482" s="23" t="s">
        <v>348</v>
      </c>
      <c r="C482" s="3"/>
      <c r="D482" s="21">
        <f t="shared" si="39"/>
        <v>0</v>
      </c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4"/>
      <c r="BO482" s="11">
        <f t="shared" si="40"/>
        <v>0</v>
      </c>
      <c r="BP482" s="9">
        <f t="shared" si="41"/>
        <v>0</v>
      </c>
    </row>
    <row r="483" spans="1:68" ht="15.6" thickBot="1" x14ac:dyDescent="0.3">
      <c r="A483" s="25" t="s">
        <v>349</v>
      </c>
      <c r="B483" s="18" t="s">
        <v>350</v>
      </c>
      <c r="C483" s="3"/>
      <c r="D483" s="21">
        <f t="shared" si="39"/>
        <v>0</v>
      </c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4"/>
      <c r="BO483" s="11">
        <f t="shared" si="40"/>
        <v>0</v>
      </c>
      <c r="BP483" s="9">
        <f t="shared" si="41"/>
        <v>0</v>
      </c>
    </row>
    <row r="484" spans="1:68" ht="15.6" thickBot="1" x14ac:dyDescent="0.3">
      <c r="A484" s="25" t="s">
        <v>351</v>
      </c>
      <c r="B484" s="18" t="s">
        <v>352</v>
      </c>
      <c r="C484" s="3"/>
      <c r="D484" s="21">
        <f t="shared" si="39"/>
        <v>0</v>
      </c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4"/>
      <c r="BO484" s="11">
        <f t="shared" si="40"/>
        <v>0</v>
      </c>
      <c r="BP484" s="9">
        <f t="shared" si="41"/>
        <v>0</v>
      </c>
    </row>
    <row r="485" spans="1:68" ht="16.2" thickBot="1" x14ac:dyDescent="0.35">
      <c r="A485" s="25"/>
      <c r="B485" s="23" t="s">
        <v>364</v>
      </c>
      <c r="C485" s="3"/>
      <c r="D485" s="21">
        <f t="shared" si="39"/>
        <v>0</v>
      </c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4"/>
      <c r="BO485" s="11">
        <f t="shared" si="40"/>
        <v>0</v>
      </c>
      <c r="BP485" s="9">
        <f t="shared" si="41"/>
        <v>0</v>
      </c>
    </row>
    <row r="486" spans="1:68" ht="15.6" thickBot="1" x14ac:dyDescent="0.3">
      <c r="A486" s="25" t="s">
        <v>779</v>
      </c>
      <c r="B486" s="18" t="s">
        <v>795</v>
      </c>
      <c r="C486" s="3"/>
      <c r="D486" s="21">
        <f t="shared" si="39"/>
        <v>0</v>
      </c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4"/>
      <c r="BO486" s="11">
        <f t="shared" si="40"/>
        <v>0</v>
      </c>
      <c r="BP486" s="9">
        <f t="shared" si="41"/>
        <v>0</v>
      </c>
    </row>
    <row r="487" spans="1:68" ht="15.6" thickBot="1" x14ac:dyDescent="0.3">
      <c r="A487" s="25" t="s">
        <v>824</v>
      </c>
      <c r="B487" s="18" t="s">
        <v>763</v>
      </c>
      <c r="C487" s="3"/>
      <c r="D487" s="21">
        <f t="shared" si="39"/>
        <v>0</v>
      </c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4"/>
      <c r="BO487" s="11">
        <f t="shared" si="40"/>
        <v>0</v>
      </c>
      <c r="BP487" s="9">
        <f t="shared" si="41"/>
        <v>0</v>
      </c>
    </row>
    <row r="488" spans="1:68" ht="15.6" thickBot="1" x14ac:dyDescent="0.3">
      <c r="A488" s="25" t="s">
        <v>710</v>
      </c>
      <c r="B488" s="18" t="s">
        <v>374</v>
      </c>
      <c r="C488" s="3"/>
      <c r="D488" s="21">
        <f t="shared" si="39"/>
        <v>0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4"/>
      <c r="BO488" s="11">
        <f t="shared" si="40"/>
        <v>0</v>
      </c>
      <c r="BP488" s="9">
        <f t="shared" si="41"/>
        <v>0</v>
      </c>
    </row>
    <row r="489" spans="1:68" ht="15.6" thickBot="1" x14ac:dyDescent="0.3">
      <c r="A489" s="25" t="s">
        <v>764</v>
      </c>
      <c r="B489" s="18" t="s">
        <v>375</v>
      </c>
      <c r="C489" s="3"/>
      <c r="D489" s="21">
        <f t="shared" si="39"/>
        <v>0</v>
      </c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4"/>
      <c r="BO489" s="11">
        <f t="shared" si="40"/>
        <v>0</v>
      </c>
      <c r="BP489" s="9">
        <f t="shared" si="41"/>
        <v>0</v>
      </c>
    </row>
    <row r="490" spans="1:68" ht="15.6" thickBot="1" x14ac:dyDescent="0.3">
      <c r="A490" s="25" t="s">
        <v>765</v>
      </c>
      <c r="B490" s="18" t="s">
        <v>376</v>
      </c>
      <c r="C490" s="3"/>
      <c r="D490" s="21">
        <f t="shared" si="39"/>
        <v>0</v>
      </c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4"/>
      <c r="BO490" s="11">
        <f t="shared" si="40"/>
        <v>0</v>
      </c>
      <c r="BP490" s="9">
        <f t="shared" si="41"/>
        <v>0</v>
      </c>
    </row>
    <row r="491" spans="1:68" ht="15.6" thickBot="1" x14ac:dyDescent="0.3">
      <c r="A491" s="25" t="s">
        <v>766</v>
      </c>
      <c r="B491" s="18" t="s">
        <v>377</v>
      </c>
      <c r="C491" s="3"/>
      <c r="D491" s="21">
        <f t="shared" si="39"/>
        <v>0</v>
      </c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4"/>
      <c r="BO491" s="11">
        <f t="shared" si="40"/>
        <v>0</v>
      </c>
      <c r="BP491" s="9">
        <f t="shared" si="41"/>
        <v>0</v>
      </c>
    </row>
    <row r="492" spans="1:68" ht="15.6" thickBot="1" x14ac:dyDescent="0.3">
      <c r="A492" s="25" t="s">
        <v>767</v>
      </c>
      <c r="B492" s="18" t="s">
        <v>393</v>
      </c>
      <c r="C492" s="3"/>
      <c r="D492" s="21">
        <f t="shared" si="39"/>
        <v>0</v>
      </c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4"/>
      <c r="BO492" s="11">
        <f t="shared" si="40"/>
        <v>0</v>
      </c>
      <c r="BP492" s="9">
        <f t="shared" si="41"/>
        <v>0</v>
      </c>
    </row>
    <row r="493" spans="1:68" ht="15.6" thickBot="1" x14ac:dyDescent="0.3">
      <c r="A493" s="25" t="s">
        <v>768</v>
      </c>
      <c r="B493" s="18" t="s">
        <v>474</v>
      </c>
      <c r="C493" s="3"/>
      <c r="D493" s="21">
        <f t="shared" si="39"/>
        <v>0</v>
      </c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4"/>
      <c r="BO493" s="11">
        <f t="shared" si="40"/>
        <v>0</v>
      </c>
      <c r="BP493" s="9">
        <f t="shared" si="41"/>
        <v>0</v>
      </c>
    </row>
    <row r="494" spans="1:68" ht="15.6" thickBot="1" x14ac:dyDescent="0.3">
      <c r="A494" s="25" t="s">
        <v>757</v>
      </c>
      <c r="B494" s="18" t="s">
        <v>758</v>
      </c>
      <c r="C494" s="3"/>
      <c r="D494" s="21">
        <f t="shared" si="39"/>
        <v>0</v>
      </c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4"/>
      <c r="BO494" s="11">
        <f t="shared" si="40"/>
        <v>0</v>
      </c>
      <c r="BP494" s="9">
        <f t="shared" si="41"/>
        <v>0</v>
      </c>
    </row>
    <row r="495" spans="1:68" ht="15.6" thickBot="1" x14ac:dyDescent="0.3">
      <c r="A495" s="25" t="s">
        <v>812</v>
      </c>
      <c r="B495" s="18" t="s">
        <v>365</v>
      </c>
      <c r="C495" s="3"/>
      <c r="D495" s="21">
        <f t="shared" si="39"/>
        <v>0</v>
      </c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4"/>
      <c r="BO495" s="11">
        <f t="shared" si="40"/>
        <v>0</v>
      </c>
      <c r="BP495" s="9">
        <f t="shared" si="41"/>
        <v>0</v>
      </c>
    </row>
    <row r="496" spans="1:68" ht="15.6" thickBot="1" x14ac:dyDescent="0.3">
      <c r="A496" s="25" t="s">
        <v>576</v>
      </c>
      <c r="B496" s="18" t="s">
        <v>366</v>
      </c>
      <c r="C496" s="3"/>
      <c r="D496" s="21">
        <f t="shared" si="39"/>
        <v>0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4"/>
      <c r="BO496" s="11">
        <f t="shared" si="40"/>
        <v>0</v>
      </c>
      <c r="BP496" s="9">
        <f t="shared" si="41"/>
        <v>0</v>
      </c>
    </row>
    <row r="497" spans="1:68" ht="16.2" thickBot="1" x14ac:dyDescent="0.35">
      <c r="A497" s="25"/>
      <c r="B497" s="23" t="s">
        <v>378</v>
      </c>
      <c r="C497" s="3"/>
      <c r="D497" s="21">
        <f t="shared" si="39"/>
        <v>0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4"/>
      <c r="BO497" s="11">
        <f t="shared" si="40"/>
        <v>0</v>
      </c>
      <c r="BP497" s="9">
        <f t="shared" si="41"/>
        <v>0</v>
      </c>
    </row>
    <row r="498" spans="1:68" ht="15.6" thickBot="1" x14ac:dyDescent="0.3">
      <c r="A498" s="25" t="s">
        <v>813</v>
      </c>
      <c r="B498" s="18" t="s">
        <v>799</v>
      </c>
      <c r="C498" s="3"/>
      <c r="D498" s="21">
        <f t="shared" si="39"/>
        <v>0</v>
      </c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4"/>
      <c r="BO498" s="11">
        <f t="shared" si="40"/>
        <v>0</v>
      </c>
      <c r="BP498" s="9">
        <f t="shared" si="41"/>
        <v>0</v>
      </c>
    </row>
    <row r="499" spans="1:68" ht="15.6" thickBot="1" x14ac:dyDescent="0.3">
      <c r="A499" s="25" t="s">
        <v>828</v>
      </c>
      <c r="B499" s="18" t="s">
        <v>796</v>
      </c>
      <c r="C499" s="3"/>
      <c r="D499" s="21">
        <f t="shared" si="39"/>
        <v>0</v>
      </c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4"/>
      <c r="BO499" s="11">
        <f t="shared" si="40"/>
        <v>0</v>
      </c>
      <c r="BP499" s="9">
        <f t="shared" si="41"/>
        <v>0</v>
      </c>
    </row>
    <row r="500" spans="1:68" ht="15.6" thickBot="1" x14ac:dyDescent="0.3">
      <c r="A500" s="25" t="s">
        <v>820</v>
      </c>
      <c r="B500" s="18" t="s">
        <v>821</v>
      </c>
      <c r="C500" s="3"/>
      <c r="D500" s="21">
        <f t="shared" si="39"/>
        <v>0</v>
      </c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4"/>
      <c r="BO500" s="11">
        <f t="shared" si="40"/>
        <v>0</v>
      </c>
      <c r="BP500" s="9">
        <f t="shared" si="41"/>
        <v>0</v>
      </c>
    </row>
    <row r="501" spans="1:68" ht="15.6" thickBot="1" x14ac:dyDescent="0.3">
      <c r="A501" s="18"/>
      <c r="B501" s="18" t="s">
        <v>475</v>
      </c>
      <c r="C501" s="3"/>
      <c r="D501" s="21">
        <f t="shared" si="39"/>
        <v>0</v>
      </c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4"/>
      <c r="BO501" s="11">
        <f t="shared" si="40"/>
        <v>0</v>
      </c>
      <c r="BP501" s="9">
        <f t="shared" si="41"/>
        <v>0</v>
      </c>
    </row>
    <row r="502" spans="1:68" ht="15.6" thickBot="1" x14ac:dyDescent="0.3">
      <c r="A502" s="18"/>
      <c r="B502" s="18" t="s">
        <v>478</v>
      </c>
      <c r="C502" s="3"/>
      <c r="D502" s="21">
        <f t="shared" si="39"/>
        <v>0</v>
      </c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4"/>
      <c r="BO502" s="11">
        <f t="shared" si="40"/>
        <v>0</v>
      </c>
      <c r="BP502" s="9">
        <f t="shared" si="41"/>
        <v>0</v>
      </c>
    </row>
    <row r="503" spans="1:68" ht="15.6" thickBot="1" x14ac:dyDescent="0.3">
      <c r="A503" s="25" t="s">
        <v>640</v>
      </c>
      <c r="B503" s="18" t="s">
        <v>641</v>
      </c>
      <c r="C503" s="3"/>
      <c r="D503" s="21">
        <f t="shared" si="39"/>
        <v>0</v>
      </c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4"/>
      <c r="BO503" s="11">
        <f t="shared" si="40"/>
        <v>0</v>
      </c>
      <c r="BP503" s="9">
        <f t="shared" si="41"/>
        <v>0</v>
      </c>
    </row>
    <row r="504" spans="1:68" ht="16.2" thickBot="1" x14ac:dyDescent="0.35">
      <c r="A504" s="25"/>
      <c r="B504" s="23" t="s">
        <v>388</v>
      </c>
      <c r="C504" s="3"/>
      <c r="D504" s="21">
        <f t="shared" si="39"/>
        <v>0</v>
      </c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4"/>
      <c r="BO504" s="11">
        <f t="shared" si="40"/>
        <v>0</v>
      </c>
      <c r="BP504" s="9">
        <f t="shared" si="41"/>
        <v>0</v>
      </c>
    </row>
    <row r="505" spans="1:68" ht="15.6" thickBot="1" x14ac:dyDescent="0.3">
      <c r="A505" s="25"/>
      <c r="B505" s="18" t="s">
        <v>394</v>
      </c>
      <c r="C505" s="3"/>
      <c r="D505" s="21">
        <f t="shared" si="39"/>
        <v>0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4"/>
      <c r="BO505" s="11">
        <f t="shared" si="40"/>
        <v>0</v>
      </c>
      <c r="BP505" s="9">
        <f t="shared" si="41"/>
        <v>0</v>
      </c>
    </row>
    <row r="506" spans="1:68" ht="15.6" thickBot="1" x14ac:dyDescent="0.3">
      <c r="A506" s="25"/>
      <c r="B506" s="18" t="s">
        <v>395</v>
      </c>
      <c r="C506" s="3"/>
      <c r="D506" s="21">
        <f t="shared" si="39"/>
        <v>0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4"/>
      <c r="BO506" s="11">
        <f t="shared" si="40"/>
        <v>0</v>
      </c>
      <c r="BP506" s="9">
        <f t="shared" si="41"/>
        <v>0</v>
      </c>
    </row>
    <row r="507" spans="1:68" ht="15.6" thickBot="1" x14ac:dyDescent="0.3">
      <c r="A507" s="25"/>
      <c r="B507" s="18" t="s">
        <v>396</v>
      </c>
      <c r="C507" s="3"/>
      <c r="D507" s="21">
        <f t="shared" si="39"/>
        <v>0</v>
      </c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4"/>
      <c r="BO507" s="11">
        <f t="shared" si="40"/>
        <v>0</v>
      </c>
      <c r="BP507" s="9">
        <f t="shared" si="41"/>
        <v>0</v>
      </c>
    </row>
    <row r="508" spans="1:68" ht="15.6" thickBot="1" x14ac:dyDescent="0.3">
      <c r="A508" s="25"/>
      <c r="B508" s="18" t="s">
        <v>397</v>
      </c>
      <c r="C508" s="3"/>
      <c r="D508" s="21">
        <f t="shared" si="39"/>
        <v>0</v>
      </c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4"/>
      <c r="BO508" s="11">
        <f t="shared" si="40"/>
        <v>0</v>
      </c>
      <c r="BP508" s="9">
        <f t="shared" si="41"/>
        <v>0</v>
      </c>
    </row>
    <row r="509" spans="1:68" ht="16.2" thickBot="1" x14ac:dyDescent="0.35">
      <c r="A509" s="25"/>
      <c r="B509" s="23" t="s">
        <v>389</v>
      </c>
      <c r="C509" s="3"/>
      <c r="D509" s="21">
        <f t="shared" si="39"/>
        <v>0</v>
      </c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4"/>
      <c r="BO509" s="11">
        <f t="shared" si="40"/>
        <v>0</v>
      </c>
      <c r="BP509" s="9">
        <f t="shared" si="41"/>
        <v>0</v>
      </c>
    </row>
    <row r="510" spans="1:68" ht="15.6" thickBot="1" x14ac:dyDescent="0.3">
      <c r="A510" s="25" t="s">
        <v>711</v>
      </c>
      <c r="B510" s="18" t="s">
        <v>473</v>
      </c>
      <c r="C510" s="3"/>
      <c r="D510" s="21">
        <f t="shared" si="39"/>
        <v>0</v>
      </c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4"/>
      <c r="BO510" s="11">
        <f t="shared" si="40"/>
        <v>0</v>
      </c>
      <c r="BP510" s="9">
        <f t="shared" si="41"/>
        <v>0</v>
      </c>
    </row>
    <row r="511" spans="1:68" ht="14.25" customHeight="1" thickBot="1" x14ac:dyDescent="0.35">
      <c r="A511" s="25"/>
      <c r="B511" s="23" t="s">
        <v>390</v>
      </c>
      <c r="C511" s="3"/>
      <c r="D511" s="21">
        <f t="shared" si="39"/>
        <v>0</v>
      </c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4"/>
      <c r="BO511" s="11">
        <f t="shared" si="40"/>
        <v>0</v>
      </c>
      <c r="BP511" s="9">
        <f t="shared" si="41"/>
        <v>0</v>
      </c>
    </row>
    <row r="512" spans="1:68" ht="15.6" thickBot="1" x14ac:dyDescent="0.3">
      <c r="A512" s="25" t="s">
        <v>745</v>
      </c>
      <c r="B512" s="18" t="s">
        <v>391</v>
      </c>
      <c r="C512" s="3"/>
      <c r="D512" s="21">
        <f t="shared" si="39"/>
        <v>0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4"/>
      <c r="BO512" s="11">
        <f t="shared" si="40"/>
        <v>0</v>
      </c>
      <c r="BP512" s="9">
        <f t="shared" si="41"/>
        <v>0</v>
      </c>
    </row>
    <row r="513" spans="1:68" ht="15.6" thickBot="1" x14ac:dyDescent="0.3">
      <c r="A513" s="25" t="s">
        <v>746</v>
      </c>
      <c r="B513" s="18" t="s">
        <v>392</v>
      </c>
      <c r="C513" s="3"/>
      <c r="D513" s="21">
        <f t="shared" si="39"/>
        <v>0</v>
      </c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4"/>
      <c r="BO513" s="11">
        <f t="shared" si="40"/>
        <v>0</v>
      </c>
      <c r="BP513" s="9">
        <f t="shared" si="41"/>
        <v>0</v>
      </c>
    </row>
    <row r="514" spans="1:68" ht="15.6" thickBot="1" x14ac:dyDescent="0.3">
      <c r="A514" s="25" t="s">
        <v>814</v>
      </c>
      <c r="B514" s="18" t="s">
        <v>402</v>
      </c>
      <c r="C514" s="3"/>
      <c r="D514" s="21">
        <f t="shared" si="39"/>
        <v>0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4"/>
      <c r="BO514" s="11">
        <f t="shared" si="40"/>
        <v>0</v>
      </c>
      <c r="BP514" s="9">
        <f t="shared" si="41"/>
        <v>0</v>
      </c>
    </row>
    <row r="515" spans="1:68" ht="15.6" thickBot="1" x14ac:dyDescent="0.3">
      <c r="A515" s="25" t="s">
        <v>815</v>
      </c>
      <c r="B515" s="18" t="s">
        <v>401</v>
      </c>
      <c r="C515" s="3"/>
      <c r="D515" s="21">
        <f t="shared" si="39"/>
        <v>0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4"/>
      <c r="BO515" s="11">
        <f t="shared" si="40"/>
        <v>0</v>
      </c>
      <c r="BP515" s="9">
        <f t="shared" si="41"/>
        <v>0</v>
      </c>
    </row>
    <row r="516" spans="1:68" ht="15.6" thickBot="1" x14ac:dyDescent="0.3">
      <c r="A516" s="25" t="s">
        <v>817</v>
      </c>
      <c r="B516" s="18" t="s">
        <v>400</v>
      </c>
      <c r="C516" s="3"/>
      <c r="D516" s="21">
        <f t="shared" si="39"/>
        <v>0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4"/>
      <c r="BO516" s="11">
        <f t="shared" si="40"/>
        <v>0</v>
      </c>
      <c r="BP516" s="9">
        <f t="shared" si="41"/>
        <v>0</v>
      </c>
    </row>
    <row r="517" spans="1:68" ht="15.6" thickBot="1" x14ac:dyDescent="0.3">
      <c r="A517" s="25" t="s">
        <v>816</v>
      </c>
      <c r="B517" s="18" t="s">
        <v>399</v>
      </c>
      <c r="C517" s="3"/>
      <c r="D517" s="21">
        <f t="shared" si="39"/>
        <v>0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4"/>
      <c r="BO517" s="11">
        <f t="shared" si="40"/>
        <v>0</v>
      </c>
      <c r="BP517" s="9">
        <f t="shared" si="41"/>
        <v>0</v>
      </c>
    </row>
    <row r="518" spans="1:68" ht="16.2" thickBot="1" x14ac:dyDescent="0.35">
      <c r="A518" s="29"/>
      <c r="B518" s="30" t="s">
        <v>424</v>
      </c>
      <c r="C518" s="3"/>
      <c r="D518" s="21">
        <f t="shared" si="39"/>
        <v>0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4"/>
      <c r="BO518" s="11">
        <f t="shared" si="40"/>
        <v>0</v>
      </c>
      <c r="BP518" s="9">
        <f t="shared" si="41"/>
        <v>0</v>
      </c>
    </row>
    <row r="519" spans="1:68" ht="15.6" thickBot="1" x14ac:dyDescent="0.3">
      <c r="A519" s="31">
        <v>12259</v>
      </c>
      <c r="B519" s="18" t="s">
        <v>425</v>
      </c>
      <c r="C519" s="3"/>
      <c r="D519" s="21">
        <f t="shared" si="39"/>
        <v>0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4"/>
      <c r="BO519" s="11">
        <f t="shared" si="40"/>
        <v>0</v>
      </c>
      <c r="BP519" s="9">
        <f t="shared" si="41"/>
        <v>0</v>
      </c>
    </row>
    <row r="520" spans="1:68" ht="15.6" thickBot="1" x14ac:dyDescent="0.3">
      <c r="A520" s="31">
        <v>14175</v>
      </c>
      <c r="B520" s="18" t="s">
        <v>426</v>
      </c>
      <c r="C520" s="3"/>
      <c r="D520" s="21">
        <f t="shared" si="39"/>
        <v>0</v>
      </c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4"/>
      <c r="BO520" s="11">
        <f t="shared" si="40"/>
        <v>0</v>
      </c>
      <c r="BP520" s="9">
        <f t="shared" si="41"/>
        <v>0</v>
      </c>
    </row>
    <row r="521" spans="1:68" ht="16.2" thickBot="1" x14ac:dyDescent="0.35">
      <c r="A521" s="29"/>
      <c r="B521" s="30" t="s">
        <v>444</v>
      </c>
      <c r="C521" s="3"/>
      <c r="D521" s="21">
        <f t="shared" si="39"/>
        <v>0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4"/>
      <c r="BO521" s="11">
        <f t="shared" si="40"/>
        <v>0</v>
      </c>
      <c r="BP521" s="9">
        <f t="shared" si="41"/>
        <v>0</v>
      </c>
    </row>
    <row r="522" spans="1:68" ht="15.6" thickBot="1" x14ac:dyDescent="0.3">
      <c r="A522" s="25"/>
      <c r="B522" s="18" t="s">
        <v>445</v>
      </c>
      <c r="C522" s="3"/>
      <c r="D522" s="21">
        <f t="shared" si="39"/>
        <v>0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4"/>
      <c r="BO522" s="11">
        <f t="shared" si="40"/>
        <v>0</v>
      </c>
      <c r="BP522" s="9">
        <f t="shared" si="41"/>
        <v>0</v>
      </c>
    </row>
    <row r="523" spans="1:68" ht="15.6" thickBot="1" x14ac:dyDescent="0.3">
      <c r="A523" s="25"/>
      <c r="B523" s="18" t="s">
        <v>446</v>
      </c>
      <c r="C523" s="3"/>
      <c r="D523" s="21">
        <f t="shared" si="39"/>
        <v>0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4"/>
      <c r="BO523" s="11">
        <f t="shared" si="40"/>
        <v>0</v>
      </c>
      <c r="BP523" s="9">
        <f t="shared" si="41"/>
        <v>0</v>
      </c>
    </row>
    <row r="524" spans="1:68" ht="15.6" thickBot="1" x14ac:dyDescent="0.3">
      <c r="A524" s="25"/>
      <c r="B524" s="18" t="s">
        <v>447</v>
      </c>
      <c r="C524" s="3"/>
      <c r="D524" s="21">
        <f t="shared" si="39"/>
        <v>0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4"/>
      <c r="BO524" s="11">
        <f t="shared" si="40"/>
        <v>0</v>
      </c>
      <c r="BP524" s="9">
        <f t="shared" si="41"/>
        <v>0</v>
      </c>
    </row>
    <row r="525" spans="1:68" ht="15.6" thickBot="1" x14ac:dyDescent="0.3">
      <c r="A525" s="25"/>
      <c r="B525" s="18" t="s">
        <v>448</v>
      </c>
      <c r="C525" s="3"/>
      <c r="D525" s="21">
        <f t="shared" si="39"/>
        <v>0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4"/>
      <c r="BO525" s="11">
        <f t="shared" si="40"/>
        <v>0</v>
      </c>
      <c r="BP525" s="9">
        <f t="shared" si="41"/>
        <v>0</v>
      </c>
    </row>
    <row r="526" spans="1:68" ht="16.2" thickBot="1" x14ac:dyDescent="0.35">
      <c r="A526" s="28"/>
      <c r="B526" s="23" t="s">
        <v>471</v>
      </c>
      <c r="C526" s="3"/>
      <c r="D526" s="21">
        <f t="shared" si="39"/>
        <v>0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4"/>
      <c r="BO526" s="11">
        <f t="shared" si="40"/>
        <v>0</v>
      </c>
      <c r="BP526" s="9">
        <f t="shared" si="41"/>
        <v>0</v>
      </c>
    </row>
    <row r="527" spans="1:68" ht="15.6" thickBot="1" x14ac:dyDescent="0.3">
      <c r="A527" s="28" t="s">
        <v>596</v>
      </c>
      <c r="B527" s="18" t="s">
        <v>591</v>
      </c>
      <c r="C527" s="3"/>
      <c r="D527" s="21">
        <f t="shared" si="39"/>
        <v>0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4"/>
      <c r="BO527" s="11">
        <f t="shared" si="40"/>
        <v>0</v>
      </c>
      <c r="BP527" s="9">
        <f t="shared" si="41"/>
        <v>0</v>
      </c>
    </row>
    <row r="528" spans="1:68" ht="15.6" thickBot="1" x14ac:dyDescent="0.3">
      <c r="A528" s="28" t="s">
        <v>621</v>
      </c>
      <c r="B528" s="18" t="s">
        <v>592</v>
      </c>
      <c r="C528" s="3"/>
      <c r="D528" s="21">
        <f t="shared" si="39"/>
        <v>0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4"/>
      <c r="BO528" s="11">
        <f t="shared" si="40"/>
        <v>0</v>
      </c>
      <c r="BP528" s="9">
        <f t="shared" si="41"/>
        <v>0</v>
      </c>
    </row>
    <row r="529" spans="1:68" ht="15.6" thickBot="1" x14ac:dyDescent="0.3">
      <c r="A529" s="28" t="s">
        <v>613</v>
      </c>
      <c r="B529" s="18" t="s">
        <v>593</v>
      </c>
      <c r="C529" s="3"/>
      <c r="D529" s="21">
        <f t="shared" si="39"/>
        <v>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4"/>
      <c r="BO529" s="11">
        <f t="shared" si="40"/>
        <v>0</v>
      </c>
      <c r="BP529" s="9">
        <f t="shared" si="41"/>
        <v>0</v>
      </c>
    </row>
    <row r="530" spans="1:68" ht="15.6" thickBot="1" x14ac:dyDescent="0.3">
      <c r="A530" s="28" t="s">
        <v>629</v>
      </c>
      <c r="B530" s="18" t="s">
        <v>594</v>
      </c>
      <c r="C530" s="3"/>
      <c r="D530" s="21">
        <f t="shared" si="39"/>
        <v>0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4"/>
      <c r="BO530" s="11">
        <f t="shared" si="40"/>
        <v>0</v>
      </c>
      <c r="BP530" s="9">
        <f t="shared" si="41"/>
        <v>0</v>
      </c>
    </row>
    <row r="531" spans="1:68" ht="15.6" thickBot="1" x14ac:dyDescent="0.3">
      <c r="A531" s="28" t="s">
        <v>623</v>
      </c>
      <c r="B531" s="18" t="s">
        <v>546</v>
      </c>
      <c r="C531" s="3"/>
      <c r="D531" s="21">
        <f t="shared" si="39"/>
        <v>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4"/>
      <c r="BO531" s="11">
        <f t="shared" si="40"/>
        <v>0</v>
      </c>
      <c r="BP531" s="9">
        <f t="shared" si="41"/>
        <v>0</v>
      </c>
    </row>
    <row r="532" spans="1:68" ht="15.6" thickBot="1" x14ac:dyDescent="0.3">
      <c r="A532" s="28" t="s">
        <v>602</v>
      </c>
      <c r="B532" s="18" t="s">
        <v>547</v>
      </c>
      <c r="C532" s="3"/>
      <c r="D532" s="21">
        <f t="shared" ref="D532:D569" si="42">C532+SUM(E532:BN532)</f>
        <v>0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4"/>
      <c r="BO532" s="11">
        <f t="shared" si="40"/>
        <v>0</v>
      </c>
      <c r="BP532" s="9">
        <f t="shared" si="41"/>
        <v>0</v>
      </c>
    </row>
    <row r="533" spans="1:68" ht="15.6" thickBot="1" x14ac:dyDescent="0.3">
      <c r="A533" s="28" t="s">
        <v>603</v>
      </c>
      <c r="B533" s="18" t="s">
        <v>548</v>
      </c>
      <c r="C533" s="3"/>
      <c r="D533" s="21">
        <f t="shared" si="42"/>
        <v>0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4"/>
      <c r="BO533" s="11">
        <f t="shared" ref="BO533:BO569" si="43">BM533+BG533+BE533+BC533+BA533+AY533+AW533+AU533+AS533+AQ533+AO533+AM533+AK533+AI533+AG533+AE533+AC533+AA533+Y533+W533+U533+S533+Q533+O533+M533+K533+I533+G533+E533</f>
        <v>0</v>
      </c>
      <c r="BP533" s="9">
        <f t="shared" ref="BP533:BP569" si="44">BN533+BH533+BF533+BD533+BB533+AZ533+AX533+AV533+AT533+AR533+AP533+AN533+AL533+AJ533+AH533+AF533+AD533+AB533+Z533+X533+V533+T533+R533+P533+N533+L533+J533+H533+F533</f>
        <v>0</v>
      </c>
    </row>
    <row r="534" spans="1:68" ht="15.6" thickBot="1" x14ac:dyDescent="0.3">
      <c r="A534" s="28" t="s">
        <v>628</v>
      </c>
      <c r="B534" s="18" t="s">
        <v>549</v>
      </c>
      <c r="C534" s="3"/>
      <c r="D534" s="21">
        <f t="shared" si="42"/>
        <v>0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4"/>
      <c r="BO534" s="11">
        <f t="shared" si="43"/>
        <v>0</v>
      </c>
      <c r="BP534" s="9">
        <f t="shared" si="44"/>
        <v>0</v>
      </c>
    </row>
    <row r="535" spans="1:68" ht="16.2" thickBot="1" x14ac:dyDescent="0.35">
      <c r="A535" s="25"/>
      <c r="B535" s="20" t="s">
        <v>499</v>
      </c>
      <c r="C535" s="3"/>
      <c r="D535" s="21">
        <f t="shared" si="42"/>
        <v>0</v>
      </c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4"/>
      <c r="BO535" s="11">
        <f t="shared" si="43"/>
        <v>0</v>
      </c>
      <c r="BP535" s="9">
        <f t="shared" si="44"/>
        <v>0</v>
      </c>
    </row>
    <row r="536" spans="1:68" ht="15.6" thickBot="1" x14ac:dyDescent="0.3">
      <c r="A536" s="25" t="s">
        <v>741</v>
      </c>
      <c r="B536" s="18" t="s">
        <v>500</v>
      </c>
      <c r="C536" s="3"/>
      <c r="D536" s="21">
        <f t="shared" si="42"/>
        <v>0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4"/>
      <c r="BO536" s="11">
        <f t="shared" si="43"/>
        <v>0</v>
      </c>
      <c r="BP536" s="9">
        <f t="shared" si="44"/>
        <v>0</v>
      </c>
    </row>
    <row r="537" spans="1:68" ht="15.6" thickBot="1" x14ac:dyDescent="0.3">
      <c r="A537" s="25" t="s">
        <v>749</v>
      </c>
      <c r="B537" s="18" t="s">
        <v>501</v>
      </c>
      <c r="C537" s="3"/>
      <c r="D537" s="21">
        <f t="shared" si="42"/>
        <v>0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4"/>
      <c r="BO537" s="11">
        <f t="shared" si="43"/>
        <v>0</v>
      </c>
      <c r="BP537" s="9">
        <f t="shared" si="44"/>
        <v>0</v>
      </c>
    </row>
    <row r="538" spans="1:68" ht="15.6" thickBot="1" x14ac:dyDescent="0.3">
      <c r="A538" s="25" t="s">
        <v>742</v>
      </c>
      <c r="B538" s="18" t="s">
        <v>502</v>
      </c>
      <c r="C538" s="3"/>
      <c r="D538" s="21">
        <f t="shared" si="42"/>
        <v>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4"/>
      <c r="BO538" s="11">
        <f t="shared" si="43"/>
        <v>0</v>
      </c>
      <c r="BP538" s="9">
        <f t="shared" si="44"/>
        <v>0</v>
      </c>
    </row>
    <row r="539" spans="1:68" ht="16.2" thickBot="1" x14ac:dyDescent="0.35">
      <c r="A539" s="18"/>
      <c r="B539" s="20" t="s">
        <v>515</v>
      </c>
      <c r="C539" s="3"/>
      <c r="D539" s="21">
        <f t="shared" si="42"/>
        <v>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4"/>
      <c r="BO539" s="11">
        <f t="shared" si="43"/>
        <v>0</v>
      </c>
      <c r="BP539" s="9">
        <f t="shared" si="44"/>
        <v>0</v>
      </c>
    </row>
    <row r="540" spans="1:68" ht="15.6" thickBot="1" x14ac:dyDescent="0.3">
      <c r="A540" s="28" t="s">
        <v>739</v>
      </c>
      <c r="B540" s="18" t="s">
        <v>516</v>
      </c>
      <c r="C540" s="3"/>
      <c r="D540" s="21">
        <f t="shared" si="42"/>
        <v>0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4"/>
      <c r="BO540" s="11">
        <f t="shared" si="43"/>
        <v>0</v>
      </c>
      <c r="BP540" s="9">
        <f t="shared" si="44"/>
        <v>0</v>
      </c>
    </row>
    <row r="541" spans="1:68" ht="15.6" thickBot="1" x14ac:dyDescent="0.3">
      <c r="A541" s="25" t="s">
        <v>542</v>
      </c>
      <c r="B541" s="18" t="s">
        <v>517</v>
      </c>
      <c r="C541" s="3"/>
      <c r="D541" s="21">
        <f t="shared" si="42"/>
        <v>0</v>
      </c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4"/>
      <c r="BO541" s="11">
        <f t="shared" si="43"/>
        <v>0</v>
      </c>
      <c r="BP541" s="9">
        <f t="shared" si="44"/>
        <v>0</v>
      </c>
    </row>
    <row r="542" spans="1:68" ht="15.6" thickBot="1" x14ac:dyDescent="0.3">
      <c r="A542" s="28" t="s">
        <v>738</v>
      </c>
      <c r="B542" s="18" t="s">
        <v>518</v>
      </c>
      <c r="C542" s="3"/>
      <c r="D542" s="21">
        <f t="shared" si="42"/>
        <v>0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4"/>
      <c r="BO542" s="11">
        <f t="shared" si="43"/>
        <v>0</v>
      </c>
      <c r="BP542" s="9">
        <f t="shared" si="44"/>
        <v>0</v>
      </c>
    </row>
    <row r="543" spans="1:68" ht="16.2" thickBot="1" x14ac:dyDescent="0.35">
      <c r="A543" s="25"/>
      <c r="B543" s="23" t="s">
        <v>526</v>
      </c>
      <c r="C543" s="3"/>
      <c r="D543" s="21">
        <f t="shared" si="42"/>
        <v>0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4"/>
      <c r="BO543" s="11">
        <f t="shared" si="43"/>
        <v>0</v>
      </c>
      <c r="BP543" s="9">
        <f t="shared" si="44"/>
        <v>0</v>
      </c>
    </row>
    <row r="544" spans="1:68" ht="15.6" thickBot="1" x14ac:dyDescent="0.3">
      <c r="A544" s="25" t="s">
        <v>527</v>
      </c>
      <c r="B544" s="18" t="s">
        <v>737</v>
      </c>
      <c r="C544" s="3"/>
      <c r="D544" s="21">
        <f t="shared" si="42"/>
        <v>0</v>
      </c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4"/>
      <c r="BO544" s="11">
        <f t="shared" si="43"/>
        <v>0</v>
      </c>
      <c r="BP544" s="9">
        <f t="shared" si="44"/>
        <v>0</v>
      </c>
    </row>
    <row r="545" spans="1:68" ht="16.2" thickBot="1" x14ac:dyDescent="0.35">
      <c r="A545" s="25"/>
      <c r="B545" s="32" t="s">
        <v>625</v>
      </c>
      <c r="C545" s="3"/>
      <c r="D545" s="21">
        <f t="shared" si="42"/>
        <v>0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4"/>
      <c r="BO545" s="11">
        <f t="shared" si="43"/>
        <v>0</v>
      </c>
      <c r="BP545" s="9">
        <f t="shared" si="44"/>
        <v>0</v>
      </c>
    </row>
    <row r="546" spans="1:68" ht="15.6" thickBot="1" x14ac:dyDescent="0.3">
      <c r="A546" s="25"/>
      <c r="B546" s="18" t="s">
        <v>637</v>
      </c>
      <c r="C546" s="3"/>
      <c r="D546" s="21">
        <f t="shared" si="42"/>
        <v>0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4"/>
      <c r="BO546" s="11">
        <f t="shared" si="43"/>
        <v>0</v>
      </c>
      <c r="BP546" s="9">
        <f t="shared" si="44"/>
        <v>0</v>
      </c>
    </row>
    <row r="547" spans="1:68" ht="15.6" thickBot="1" x14ac:dyDescent="0.3">
      <c r="A547" s="25"/>
      <c r="B547" s="18" t="s">
        <v>636</v>
      </c>
      <c r="C547" s="3"/>
      <c r="D547" s="21">
        <f t="shared" si="42"/>
        <v>0</v>
      </c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4"/>
      <c r="BO547" s="11">
        <f t="shared" si="43"/>
        <v>0</v>
      </c>
      <c r="BP547" s="9">
        <f t="shared" si="44"/>
        <v>0</v>
      </c>
    </row>
    <row r="548" spans="1:68" ht="15.6" thickBot="1" x14ac:dyDescent="0.3">
      <c r="A548" s="25"/>
      <c r="B548" s="18" t="s">
        <v>642</v>
      </c>
      <c r="C548" s="3"/>
      <c r="D548" s="21">
        <f t="shared" si="42"/>
        <v>0</v>
      </c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4"/>
      <c r="BO548" s="11">
        <f t="shared" si="43"/>
        <v>0</v>
      </c>
      <c r="BP548" s="9">
        <f t="shared" si="44"/>
        <v>0</v>
      </c>
    </row>
    <row r="549" spans="1:68" ht="15.6" thickBot="1" x14ac:dyDescent="0.3">
      <c r="A549" s="25"/>
      <c r="B549" s="18" t="s">
        <v>635</v>
      </c>
      <c r="C549" s="3"/>
      <c r="D549" s="21">
        <f t="shared" si="42"/>
        <v>0</v>
      </c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4"/>
      <c r="BO549" s="11">
        <f t="shared" si="43"/>
        <v>0</v>
      </c>
      <c r="BP549" s="9">
        <f t="shared" si="44"/>
        <v>0</v>
      </c>
    </row>
    <row r="550" spans="1:68" ht="15.6" thickBot="1" x14ac:dyDescent="0.3">
      <c r="A550" s="25"/>
      <c r="B550" s="18" t="s">
        <v>624</v>
      </c>
      <c r="C550" s="3"/>
      <c r="D550" s="21">
        <f t="shared" si="42"/>
        <v>0</v>
      </c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4"/>
      <c r="BO550" s="11">
        <f t="shared" si="43"/>
        <v>0</v>
      </c>
      <c r="BP550" s="9">
        <f t="shared" si="44"/>
        <v>0</v>
      </c>
    </row>
    <row r="551" spans="1:68" ht="15.6" thickBot="1" x14ac:dyDescent="0.3">
      <c r="A551" s="25"/>
      <c r="B551" s="18" t="s">
        <v>669</v>
      </c>
      <c r="C551" s="3"/>
      <c r="D551" s="21">
        <f t="shared" si="42"/>
        <v>0</v>
      </c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4"/>
      <c r="BO551" s="11">
        <f t="shared" si="43"/>
        <v>0</v>
      </c>
      <c r="BP551" s="9">
        <f t="shared" si="44"/>
        <v>0</v>
      </c>
    </row>
    <row r="552" spans="1:68" ht="15.6" thickBot="1" x14ac:dyDescent="0.3">
      <c r="A552" s="25"/>
      <c r="B552" s="18" t="s">
        <v>670</v>
      </c>
      <c r="C552" s="3"/>
      <c r="D552" s="21">
        <f t="shared" si="42"/>
        <v>0</v>
      </c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4"/>
      <c r="BO552" s="11">
        <f t="shared" si="43"/>
        <v>0</v>
      </c>
      <c r="BP552" s="9">
        <f t="shared" si="44"/>
        <v>0</v>
      </c>
    </row>
    <row r="553" spans="1:68" ht="15.6" thickBot="1" x14ac:dyDescent="0.3">
      <c r="A553" s="25"/>
      <c r="B553" s="18" t="s">
        <v>671</v>
      </c>
      <c r="C553" s="3"/>
      <c r="D553" s="21">
        <f t="shared" si="42"/>
        <v>0</v>
      </c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4"/>
      <c r="BO553" s="11">
        <f t="shared" si="43"/>
        <v>0</v>
      </c>
      <c r="BP553" s="9">
        <f t="shared" si="44"/>
        <v>0</v>
      </c>
    </row>
    <row r="554" spans="1:68" ht="15.6" thickBot="1" x14ac:dyDescent="0.3">
      <c r="A554" s="25"/>
      <c r="B554" s="18" t="s">
        <v>663</v>
      </c>
      <c r="C554" s="3"/>
      <c r="D554" s="21">
        <f t="shared" si="42"/>
        <v>0</v>
      </c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4"/>
      <c r="BO554" s="11">
        <f t="shared" si="43"/>
        <v>0</v>
      </c>
      <c r="BP554" s="9">
        <f t="shared" si="44"/>
        <v>0</v>
      </c>
    </row>
    <row r="555" spans="1:68" ht="15.6" thickBot="1" x14ac:dyDescent="0.3">
      <c r="A555" s="25"/>
      <c r="B555" s="18" t="s">
        <v>664</v>
      </c>
      <c r="C555" s="3"/>
      <c r="D555" s="21">
        <f t="shared" si="42"/>
        <v>0</v>
      </c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4"/>
      <c r="BO555" s="11">
        <f t="shared" si="43"/>
        <v>0</v>
      </c>
      <c r="BP555" s="9">
        <f t="shared" si="44"/>
        <v>0</v>
      </c>
    </row>
    <row r="556" spans="1:68" ht="15.6" thickBot="1" x14ac:dyDescent="0.3">
      <c r="A556" s="25"/>
      <c r="B556" s="18" t="s">
        <v>665</v>
      </c>
      <c r="C556" s="3"/>
      <c r="D556" s="21">
        <f t="shared" si="42"/>
        <v>0</v>
      </c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4"/>
      <c r="BO556" s="11">
        <f t="shared" si="43"/>
        <v>0</v>
      </c>
      <c r="BP556" s="9">
        <f t="shared" si="44"/>
        <v>0</v>
      </c>
    </row>
    <row r="557" spans="1:68" ht="15.6" thickBot="1" x14ac:dyDescent="0.3">
      <c r="A557" s="25"/>
      <c r="B557" s="18" t="s">
        <v>668</v>
      </c>
      <c r="C557" s="3"/>
      <c r="D557" s="21">
        <f t="shared" si="42"/>
        <v>0</v>
      </c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4"/>
      <c r="BO557" s="11">
        <f t="shared" si="43"/>
        <v>0</v>
      </c>
      <c r="BP557" s="9">
        <f t="shared" si="44"/>
        <v>0</v>
      </c>
    </row>
    <row r="558" spans="1:68" ht="16.2" thickBot="1" x14ac:dyDescent="0.35">
      <c r="A558" s="25"/>
      <c r="B558" s="23" t="s">
        <v>712</v>
      </c>
      <c r="C558" s="3"/>
      <c r="D558" s="21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4"/>
      <c r="BO558" s="11">
        <f t="shared" si="43"/>
        <v>0</v>
      </c>
      <c r="BP558" s="9">
        <f t="shared" si="44"/>
        <v>0</v>
      </c>
    </row>
    <row r="559" spans="1:68" ht="15.6" thickBot="1" x14ac:dyDescent="0.3">
      <c r="A559" s="25" t="s">
        <v>638</v>
      </c>
      <c r="B559" s="18" t="s">
        <v>639</v>
      </c>
      <c r="C559" s="3"/>
      <c r="D559" s="21">
        <f t="shared" si="42"/>
        <v>0</v>
      </c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4"/>
      <c r="BO559" s="11">
        <f t="shared" si="43"/>
        <v>0</v>
      </c>
      <c r="BP559" s="9">
        <f t="shared" si="44"/>
        <v>0</v>
      </c>
    </row>
    <row r="560" spans="1:68" ht="16.2" thickBot="1" x14ac:dyDescent="0.35">
      <c r="A560" s="25"/>
      <c r="B560" s="23" t="s">
        <v>770</v>
      </c>
      <c r="C560" s="3"/>
      <c r="D560" s="21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4"/>
      <c r="BO560" s="11">
        <f t="shared" si="43"/>
        <v>0</v>
      </c>
      <c r="BP560" s="9">
        <f t="shared" si="44"/>
        <v>0</v>
      </c>
    </row>
    <row r="561" spans="1:68" ht="15.6" thickBot="1" x14ac:dyDescent="0.3">
      <c r="A561" s="25" t="s">
        <v>771</v>
      </c>
      <c r="B561" s="18" t="s">
        <v>772</v>
      </c>
      <c r="C561" s="3"/>
      <c r="D561" s="21">
        <f t="shared" si="42"/>
        <v>0</v>
      </c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4"/>
      <c r="BO561" s="11">
        <f t="shared" si="43"/>
        <v>0</v>
      </c>
      <c r="BP561" s="9">
        <f t="shared" si="44"/>
        <v>0</v>
      </c>
    </row>
    <row r="562" spans="1:68" ht="15.6" thickBot="1" x14ac:dyDescent="0.3">
      <c r="A562" s="25" t="s">
        <v>773</v>
      </c>
      <c r="B562" s="18" t="s">
        <v>774</v>
      </c>
      <c r="C562" s="3"/>
      <c r="D562" s="21">
        <f t="shared" si="42"/>
        <v>0</v>
      </c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4"/>
      <c r="BO562" s="11">
        <f t="shared" si="43"/>
        <v>0</v>
      </c>
      <c r="BP562" s="9">
        <f t="shared" si="44"/>
        <v>0</v>
      </c>
    </row>
    <row r="563" spans="1:68" ht="16.2" thickBot="1" x14ac:dyDescent="0.35">
      <c r="A563" s="25"/>
      <c r="B563" s="23" t="s">
        <v>823</v>
      </c>
      <c r="C563" s="3"/>
      <c r="D563" s="21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4"/>
      <c r="BO563" s="11">
        <f t="shared" si="43"/>
        <v>0</v>
      </c>
      <c r="BP563" s="9">
        <f t="shared" si="44"/>
        <v>0</v>
      </c>
    </row>
    <row r="564" spans="1:68" ht="15.6" thickBot="1" x14ac:dyDescent="0.3">
      <c r="A564" s="25" t="s">
        <v>831</v>
      </c>
      <c r="B564" s="18" t="s">
        <v>832</v>
      </c>
      <c r="C564" s="3"/>
      <c r="D564" s="21">
        <f t="shared" si="42"/>
        <v>0</v>
      </c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4"/>
      <c r="BO564" s="11">
        <f t="shared" si="43"/>
        <v>0</v>
      </c>
      <c r="BP564" s="9">
        <f t="shared" si="44"/>
        <v>0</v>
      </c>
    </row>
    <row r="565" spans="1:68" ht="16.2" thickBot="1" x14ac:dyDescent="0.35">
      <c r="A565" s="25"/>
      <c r="B565" s="23" t="s">
        <v>829</v>
      </c>
      <c r="C565" s="3"/>
      <c r="D565" s="21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4"/>
      <c r="BO565" s="11">
        <f t="shared" si="43"/>
        <v>0</v>
      </c>
      <c r="BP565" s="9">
        <f t="shared" si="44"/>
        <v>0</v>
      </c>
    </row>
    <row r="566" spans="1:68" ht="15.6" thickBot="1" x14ac:dyDescent="0.3">
      <c r="A566" s="25" t="s">
        <v>844</v>
      </c>
      <c r="B566" s="18" t="s">
        <v>845</v>
      </c>
      <c r="C566" s="3"/>
      <c r="D566" s="21">
        <f t="shared" si="42"/>
        <v>0</v>
      </c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4"/>
      <c r="BO566" s="11">
        <f t="shared" si="43"/>
        <v>0</v>
      </c>
      <c r="BP566" s="9">
        <f t="shared" si="44"/>
        <v>0</v>
      </c>
    </row>
    <row r="567" spans="1:68" ht="15.6" thickBot="1" x14ac:dyDescent="0.3">
      <c r="A567" s="31">
        <v>1148</v>
      </c>
      <c r="B567" s="18" t="s">
        <v>830</v>
      </c>
      <c r="C567" s="3"/>
      <c r="D567" s="21">
        <f t="shared" si="42"/>
        <v>0</v>
      </c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4"/>
      <c r="BO567" s="11">
        <f t="shared" si="43"/>
        <v>0</v>
      </c>
      <c r="BP567" s="9">
        <f t="shared" si="44"/>
        <v>0</v>
      </c>
    </row>
    <row r="568" spans="1:68" ht="15.6" thickBot="1" x14ac:dyDescent="0.3">
      <c r="A568" s="31">
        <v>1147</v>
      </c>
      <c r="B568" s="18" t="s">
        <v>907</v>
      </c>
      <c r="C568" s="3"/>
      <c r="D568" s="21">
        <f t="shared" si="42"/>
        <v>0</v>
      </c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4"/>
      <c r="BO568" s="11">
        <f t="shared" si="43"/>
        <v>0</v>
      </c>
      <c r="BP568" s="9">
        <f t="shared" si="44"/>
        <v>0</v>
      </c>
    </row>
    <row r="569" spans="1:68" ht="15.6" thickBot="1" x14ac:dyDescent="0.3">
      <c r="A569" s="31">
        <v>1455</v>
      </c>
      <c r="B569" s="18" t="s">
        <v>906</v>
      </c>
      <c r="C569" s="3"/>
      <c r="D569" s="21">
        <f t="shared" si="42"/>
        <v>0</v>
      </c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4"/>
      <c r="BO569" s="11">
        <f t="shared" si="43"/>
        <v>0</v>
      </c>
      <c r="BP569" s="9">
        <f t="shared" si="44"/>
        <v>0</v>
      </c>
    </row>
    <row r="570" spans="1:68" ht="16.2" thickBot="1" x14ac:dyDescent="0.35">
      <c r="A570" s="25"/>
      <c r="B570" s="23" t="s">
        <v>852</v>
      </c>
      <c r="C570" s="3"/>
      <c r="D570" s="21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4"/>
      <c r="BO570" s="11">
        <f t="shared" ref="BO570:BO572" si="45">BM570+BG570+BE570+BC570+BA570+AY570+AW570+AU570+AS570+AQ570+AO570+AM570+AK570+AI570+AG570+AE570+AC570+AA570+Y570+W570+U570+S570+Q570+O570+M570+K570+I570+G570+E570</f>
        <v>0</v>
      </c>
      <c r="BP570" s="9">
        <f t="shared" ref="BP570:BP572" si="46">BN570+BH570+BF570+BD570+BB570+AZ570+AX570+AV570+AT570+AR570+AP570+AN570+AL570+AJ570+AH570+AF570+AD570+AB570+Z570+X570+V570+T570+R570+P570+N570+L570+J570+H570+F570</f>
        <v>0</v>
      </c>
    </row>
    <row r="571" spans="1:68" ht="15.6" thickBot="1" x14ac:dyDescent="0.3">
      <c r="A571" s="31"/>
      <c r="B571" s="18" t="s">
        <v>853</v>
      </c>
      <c r="C571" s="3"/>
      <c r="D571" s="21">
        <f t="shared" ref="D571:D572" si="47">C571+SUM(E571:BN571)</f>
        <v>0</v>
      </c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4"/>
      <c r="BO571" s="11">
        <f t="shared" si="45"/>
        <v>0</v>
      </c>
      <c r="BP571" s="9">
        <f t="shared" si="46"/>
        <v>0</v>
      </c>
    </row>
    <row r="572" spans="1:68" ht="15.6" thickBot="1" x14ac:dyDescent="0.3">
      <c r="A572" s="31"/>
      <c r="B572" s="18" t="s">
        <v>854</v>
      </c>
      <c r="C572" s="3"/>
      <c r="D572" s="21">
        <f t="shared" si="47"/>
        <v>0</v>
      </c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4"/>
      <c r="BO572" s="11">
        <f t="shared" si="45"/>
        <v>0</v>
      </c>
      <c r="BP572" s="9">
        <f t="shared" si="46"/>
        <v>0</v>
      </c>
    </row>
    <row r="573" spans="1:68" ht="16.2" thickBot="1" x14ac:dyDescent="0.35">
      <c r="A573" s="25"/>
      <c r="B573" s="23" t="s">
        <v>855</v>
      </c>
      <c r="C573" s="3"/>
      <c r="D573" s="21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4"/>
      <c r="BO573" s="11">
        <f t="shared" ref="BO573:BO577" si="48">BM573+BG573+BE573+BC573+BA573+AY573+AW573+AU573+AS573+AQ573+AO573+AM573+AK573+AI573+AG573+AE573+AC573+AA573+Y573+W573+U573+S573+Q573+O573+M573+K573+I573+G573+E573</f>
        <v>0</v>
      </c>
      <c r="BP573" s="9">
        <f t="shared" ref="BP573:BP577" si="49">BN573+BH573+BF573+BD573+BB573+AZ573+AX573+AV573+AT573+AR573+AP573+AN573+AL573+AJ573+AH573+AF573+AD573+AB573+Z573+X573+V573+T573+R573+P573+N573+L573+J573+H573+F573</f>
        <v>0</v>
      </c>
    </row>
    <row r="574" spans="1:68" ht="15.6" thickBot="1" x14ac:dyDescent="0.3">
      <c r="A574" s="25"/>
      <c r="B574" s="18" t="s">
        <v>856</v>
      </c>
      <c r="C574" s="3">
        <v>580</v>
      </c>
      <c r="D574" s="21">
        <f t="shared" ref="D574:D577" si="50">C574+SUM(E574:BN574)</f>
        <v>580</v>
      </c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4"/>
      <c r="BO574" s="11">
        <f t="shared" si="48"/>
        <v>0</v>
      </c>
      <c r="BP574" s="9">
        <f t="shared" si="49"/>
        <v>0</v>
      </c>
    </row>
    <row r="575" spans="1:68" ht="15.6" thickBot="1" x14ac:dyDescent="0.3">
      <c r="A575" s="25"/>
      <c r="B575" s="18" t="s">
        <v>857</v>
      </c>
      <c r="C575" s="3">
        <f>630</f>
        <v>630</v>
      </c>
      <c r="D575" s="21">
        <f t="shared" si="50"/>
        <v>1425</v>
      </c>
      <c r="E575" s="13">
        <v>315</v>
      </c>
      <c r="F575" s="10"/>
      <c r="G575" s="10">
        <f>315+165</f>
        <v>480</v>
      </c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4"/>
      <c r="BO575" s="11">
        <f t="shared" si="48"/>
        <v>795</v>
      </c>
      <c r="BP575" s="9">
        <f t="shared" si="49"/>
        <v>0</v>
      </c>
    </row>
    <row r="576" spans="1:68" ht="15.6" thickBot="1" x14ac:dyDescent="0.3">
      <c r="A576" s="25"/>
      <c r="B576" s="18" t="s">
        <v>858</v>
      </c>
      <c r="C576" s="3"/>
      <c r="D576" s="21">
        <f t="shared" si="50"/>
        <v>1439</v>
      </c>
      <c r="E576" s="10"/>
      <c r="F576" s="10"/>
      <c r="G576" s="10"/>
      <c r="H576" s="10"/>
      <c r="I576" s="10"/>
      <c r="J576" s="10"/>
      <c r="K576" s="10">
        <f>315+315</f>
        <v>630</v>
      </c>
      <c r="L576" s="10"/>
      <c r="M576" s="10">
        <f>315+125</f>
        <v>440</v>
      </c>
      <c r="N576" s="10"/>
      <c r="O576" s="10"/>
      <c r="P576" s="10"/>
      <c r="Q576" s="10"/>
      <c r="R576" s="10"/>
      <c r="S576" s="10">
        <f>315+54</f>
        <v>369</v>
      </c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4"/>
      <c r="BO576" s="11">
        <f t="shared" si="48"/>
        <v>1439</v>
      </c>
      <c r="BP576" s="9">
        <f t="shared" si="49"/>
        <v>0</v>
      </c>
    </row>
    <row r="577" spans="1:68" ht="15.6" thickBot="1" x14ac:dyDescent="0.3">
      <c r="A577" s="25"/>
      <c r="B577" s="18" t="s">
        <v>859</v>
      </c>
      <c r="C577" s="3"/>
      <c r="D577" s="21">
        <f t="shared" si="50"/>
        <v>496</v>
      </c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>
        <f>315+181</f>
        <v>496</v>
      </c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4"/>
      <c r="BO577" s="11">
        <f t="shared" si="48"/>
        <v>496</v>
      </c>
      <c r="BP577" s="9">
        <f t="shared" si="49"/>
        <v>0</v>
      </c>
    </row>
    <row r="578" spans="1:68" ht="15.6" thickBot="1" x14ac:dyDescent="0.3">
      <c r="A578" s="25"/>
      <c r="B578" s="18" t="s">
        <v>860</v>
      </c>
      <c r="C578" s="3"/>
      <c r="D578" s="21">
        <f t="shared" ref="D578" si="51">C578+SUM(E578:BN578)</f>
        <v>0</v>
      </c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4"/>
      <c r="BO578" s="11">
        <f t="shared" ref="BO578" si="52">BM578+BG578+BE578+BC578+BA578+AY578+AW578+AU578+AS578+AQ578+AO578+AM578+AK578+AI578+AG578+AE578+AC578+AA578+Y578+W578+U578+S578+Q578+O578+M578+K578+I578+G578+E578</f>
        <v>0</v>
      </c>
      <c r="BP578" s="9">
        <f t="shared" ref="BP578" si="53">BN578+BH578+BF578+BD578+BB578+AZ578+AX578+AV578+AT578+AR578+AP578+AN578+AL578+AJ578+AH578+AF578+AD578+AB578+Z578+X578+V578+T578+R578+P578+N578+L578+J578+H578+F578</f>
        <v>0</v>
      </c>
    </row>
  </sheetData>
  <mergeCells count="31">
    <mergeCell ref="O2:P2"/>
    <mergeCell ref="E2:F2"/>
    <mergeCell ref="G2:H2"/>
    <mergeCell ref="I2:J2"/>
    <mergeCell ref="K2:L2"/>
    <mergeCell ref="M2:N2"/>
    <mergeCell ref="AM2:AN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BM2:B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K2:BL2"/>
    <mergeCell ref="BI2:BJ2"/>
  </mergeCells>
  <conditionalFormatting sqref="A3:B3">
    <cfRule type="duplicateValues" dxfId="27" priority="5"/>
    <cfRule type="duplicateValues" dxfId="26" priority="6"/>
    <cfRule type="duplicateValues" dxfId="25" priority="7"/>
    <cfRule type="duplicateValues" dxfId="24" priority="8"/>
  </conditionalFormatting>
  <conditionalFormatting sqref="B220">
    <cfRule type="duplicateValues" dxfId="23" priority="3"/>
    <cfRule type="duplicateValues" dxfId="22" priority="4"/>
  </conditionalFormatting>
  <conditionalFormatting sqref="B221">
    <cfRule type="duplicateValues" dxfId="21" priority="1"/>
    <cfRule type="duplicateValues" dxfId="20" priority="2"/>
  </conditionalFormatting>
  <conditionalFormatting sqref="C1:C1048576">
    <cfRule type="cellIs" dxfId="19" priority="9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11F27-5121-487A-8D86-B4369CE160A3}">
  <dimension ref="A1:BP578"/>
  <sheetViews>
    <sheetView topLeftCell="A2" zoomScale="110" zoomScaleNormal="110" workbookViewId="0">
      <pane xSplit="14316" topLeftCell="BH1" activePane="topRight"/>
      <selection activeCell="A24" sqref="A24:XFD24"/>
      <selection pane="topRight" activeCell="AT24" sqref="AT24"/>
    </sheetView>
  </sheetViews>
  <sheetFormatPr defaultColWidth="9.109375" defaultRowHeight="15" x14ac:dyDescent="0.25"/>
  <cols>
    <col min="1" max="1" width="23" style="15" bestFit="1" customWidth="1"/>
    <col min="2" max="2" width="73.33203125" style="15" customWidth="1"/>
    <col min="3" max="3" width="8.5546875" style="1" customWidth="1"/>
    <col min="4" max="4" width="15" style="17" customWidth="1"/>
    <col min="5" max="66" width="9.109375" style="5"/>
    <col min="67" max="67" width="11.5546875" style="1" bestFit="1" customWidth="1"/>
    <col min="68" max="68" width="7.6640625" style="1" bestFit="1" customWidth="1"/>
    <col min="69" max="16384" width="9.109375" style="5"/>
  </cols>
  <sheetData>
    <row r="1" spans="1:68" ht="36" thickBot="1" x14ac:dyDescent="0.65">
      <c r="B1" s="16" t="s">
        <v>428</v>
      </c>
    </row>
    <row r="2" spans="1:68" ht="36" thickBot="1" x14ac:dyDescent="0.65">
      <c r="B2" s="16"/>
      <c r="E2" s="56">
        <v>45505</v>
      </c>
      <c r="F2" s="57"/>
      <c r="G2" s="56">
        <v>45506</v>
      </c>
      <c r="H2" s="57"/>
      <c r="I2" s="56">
        <v>45507</v>
      </c>
      <c r="J2" s="57"/>
      <c r="K2" s="56">
        <v>45508</v>
      </c>
      <c r="L2" s="57"/>
      <c r="M2" s="56">
        <v>45509</v>
      </c>
      <c r="N2" s="57"/>
      <c r="O2" s="56">
        <v>45510</v>
      </c>
      <c r="P2" s="57"/>
      <c r="Q2" s="56">
        <v>45511</v>
      </c>
      <c r="R2" s="57"/>
      <c r="S2" s="56">
        <v>45512</v>
      </c>
      <c r="T2" s="57"/>
      <c r="U2" s="56">
        <v>45513</v>
      </c>
      <c r="V2" s="57"/>
      <c r="W2" s="56">
        <v>45514</v>
      </c>
      <c r="X2" s="57"/>
      <c r="Y2" s="56">
        <v>45515</v>
      </c>
      <c r="Z2" s="57"/>
      <c r="AA2" s="56">
        <v>45516</v>
      </c>
      <c r="AB2" s="57"/>
      <c r="AC2" s="56">
        <v>45517</v>
      </c>
      <c r="AD2" s="57"/>
      <c r="AE2" s="56">
        <v>45518</v>
      </c>
      <c r="AF2" s="57"/>
      <c r="AG2" s="56">
        <v>45519</v>
      </c>
      <c r="AH2" s="57"/>
      <c r="AI2" s="56">
        <v>45520</v>
      </c>
      <c r="AJ2" s="57"/>
      <c r="AK2" s="56">
        <v>45521</v>
      </c>
      <c r="AL2" s="57"/>
      <c r="AM2" s="56">
        <v>45522</v>
      </c>
      <c r="AN2" s="57"/>
      <c r="AO2" s="56">
        <v>45523</v>
      </c>
      <c r="AP2" s="57"/>
      <c r="AQ2" s="56">
        <v>45524</v>
      </c>
      <c r="AR2" s="57"/>
      <c r="AS2" s="56">
        <v>45525</v>
      </c>
      <c r="AT2" s="57"/>
      <c r="AU2" s="56">
        <v>45526</v>
      </c>
      <c r="AV2" s="57"/>
      <c r="AW2" s="56">
        <v>45527</v>
      </c>
      <c r="AX2" s="57"/>
      <c r="AY2" s="56">
        <v>45528</v>
      </c>
      <c r="AZ2" s="57"/>
      <c r="BA2" s="56">
        <v>45529</v>
      </c>
      <c r="BB2" s="57"/>
      <c r="BC2" s="56">
        <v>45530</v>
      </c>
      <c r="BD2" s="57"/>
      <c r="BE2" s="56">
        <v>45531</v>
      </c>
      <c r="BF2" s="57"/>
      <c r="BG2" s="56">
        <v>45532</v>
      </c>
      <c r="BH2" s="57"/>
      <c r="BI2" s="56">
        <v>45533</v>
      </c>
      <c r="BJ2" s="57"/>
      <c r="BK2" s="56">
        <v>45534</v>
      </c>
      <c r="BL2" s="57"/>
      <c r="BM2" s="56">
        <v>45535</v>
      </c>
      <c r="BN2" s="57"/>
      <c r="BO2" s="7"/>
      <c r="BP2" s="7"/>
    </row>
    <row r="3" spans="1:68" ht="128.4" thickBot="1" x14ac:dyDescent="0.3">
      <c r="A3" s="18"/>
      <c r="B3" s="19"/>
      <c r="C3" s="2" t="s">
        <v>908</v>
      </c>
      <c r="D3" s="2" t="s">
        <v>0</v>
      </c>
      <c r="E3" s="13"/>
      <c r="F3" s="14"/>
      <c r="G3" s="13"/>
      <c r="H3" s="14"/>
      <c r="I3" s="13"/>
      <c r="J3" s="14"/>
      <c r="K3" s="13"/>
      <c r="L3" s="14"/>
      <c r="M3" s="13"/>
      <c r="N3" s="14"/>
      <c r="O3" s="13"/>
      <c r="P3" s="14"/>
      <c r="Q3" s="13"/>
      <c r="R3" s="14"/>
      <c r="S3" s="13"/>
      <c r="T3" s="14"/>
      <c r="U3" s="13"/>
      <c r="V3" s="14"/>
      <c r="W3" s="13"/>
      <c r="X3" s="14"/>
      <c r="Y3" s="13"/>
      <c r="Z3" s="14"/>
      <c r="AA3" s="13"/>
      <c r="AB3" s="14"/>
      <c r="AC3" s="13"/>
      <c r="AD3" s="14"/>
      <c r="AE3" s="13"/>
      <c r="AF3" s="14"/>
      <c r="AG3" s="13"/>
      <c r="AH3" s="14"/>
      <c r="AI3" s="13"/>
      <c r="AJ3" s="14"/>
      <c r="AK3" s="13"/>
      <c r="AL3" s="14"/>
      <c r="AM3" s="13"/>
      <c r="AN3" s="14"/>
      <c r="AO3" s="13"/>
      <c r="AP3" s="14"/>
      <c r="AQ3" s="13"/>
      <c r="AR3" s="14"/>
      <c r="AS3" s="13"/>
      <c r="AT3" s="14"/>
      <c r="AU3" s="13"/>
      <c r="AV3" s="14"/>
      <c r="AW3" s="13"/>
      <c r="AX3" s="14"/>
      <c r="AY3" s="13"/>
      <c r="AZ3" s="14"/>
      <c r="BA3" s="13"/>
      <c r="BB3" s="14"/>
      <c r="BC3" s="13"/>
      <c r="BD3" s="14"/>
      <c r="BE3" s="13"/>
      <c r="BF3" s="14"/>
      <c r="BG3" s="13"/>
      <c r="BH3" s="14"/>
      <c r="BI3" s="13"/>
      <c r="BJ3" s="14"/>
      <c r="BK3" s="13"/>
      <c r="BL3" s="14"/>
      <c r="BM3" s="13"/>
      <c r="BN3" s="14"/>
      <c r="BO3" s="12" t="s">
        <v>147</v>
      </c>
      <c r="BP3" s="8" t="s">
        <v>148</v>
      </c>
    </row>
    <row r="4" spans="1:68" ht="16.2" thickBot="1" x14ac:dyDescent="0.35">
      <c r="A4" s="20" t="s">
        <v>162</v>
      </c>
      <c r="B4" s="20" t="s">
        <v>1</v>
      </c>
      <c r="C4" s="3"/>
      <c r="D4" s="2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1"/>
      <c r="BP4" s="9"/>
    </row>
    <row r="5" spans="1:68" ht="16.2" thickBot="1" x14ac:dyDescent="0.35">
      <c r="A5" s="22"/>
      <c r="B5" s="23" t="s">
        <v>2</v>
      </c>
      <c r="C5" s="4"/>
      <c r="D5" s="24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1"/>
      <c r="BP5" s="9"/>
    </row>
    <row r="6" spans="1:68" ht="15.6" thickBot="1" x14ac:dyDescent="0.3">
      <c r="A6" s="25" t="s">
        <v>163</v>
      </c>
      <c r="B6" s="26" t="s">
        <v>3</v>
      </c>
      <c r="C6" s="3">
        <f>LUGLIO!D6</f>
        <v>0</v>
      </c>
      <c r="D6" s="21">
        <f t="shared" ref="D6:D72" si="0">C6+SUM(E6:BN6)</f>
        <v>283</v>
      </c>
      <c r="E6" s="10"/>
      <c r="F6" s="10"/>
      <c r="G6" s="10">
        <f>112+94</f>
        <v>206</v>
      </c>
      <c r="H6" s="10"/>
      <c r="I6" s="10"/>
      <c r="J6" s="10"/>
      <c r="K6" s="10"/>
      <c r="L6" s="10"/>
      <c r="M6" s="10"/>
      <c r="N6" s="10"/>
      <c r="O6" s="10"/>
      <c r="P6" s="10"/>
      <c r="Q6" s="10">
        <f>112+77</f>
        <v>189</v>
      </c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>
        <v>-112</v>
      </c>
      <c r="BK6" s="10"/>
      <c r="BL6" s="10"/>
      <c r="BM6" s="10"/>
      <c r="BN6" s="10"/>
      <c r="BO6" s="11">
        <f>BM6+BG6+BE6+BC6+BA6+AY6+AW6+AU6+AS6+AQ6+AO6+AM6+AK6+AI6+AG6+AE6+AC6+AA6+Y6+W6+U6+S6+Q6+O6+M6+K6+I6+G6+E6</f>
        <v>395</v>
      </c>
      <c r="BP6" s="9">
        <f>BN6+BH6+BF6+BD6+BB6+AZ6+AX6+AV6+AT6+AR6+AP6+AN6+AL6+AJ6+AH6+AF6+AD6+AB6+Z6+X6+V6+T6+R6+P6+N6+L6+J6+H6+F6</f>
        <v>0</v>
      </c>
    </row>
    <row r="7" spans="1:68" ht="15.6" thickBot="1" x14ac:dyDescent="0.3">
      <c r="A7" s="25" t="s">
        <v>331</v>
      </c>
      <c r="B7" s="26" t="s">
        <v>4</v>
      </c>
      <c r="C7" s="3">
        <f>LUGLIO!D7</f>
        <v>0</v>
      </c>
      <c r="D7" s="21">
        <f t="shared" si="0"/>
        <v>105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>
        <v>105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1">
        <f t="shared" ref="BO7:BP73" si="1">BM7+BG7+BE7+BC7+BA7+AY7+AW7+AU7+AS7+AQ7+AO7+AM7+AK7+AI7+AG7+AE7+AC7+AA7+Y7+W7+U7+S7+Q7+O7+M7+K7+I7+G7+E7</f>
        <v>105</v>
      </c>
      <c r="BP7" s="9">
        <f t="shared" si="1"/>
        <v>0</v>
      </c>
    </row>
    <row r="8" spans="1:68" ht="15.6" thickBot="1" x14ac:dyDescent="0.3">
      <c r="A8" s="25" t="s">
        <v>353</v>
      </c>
      <c r="B8" s="26" t="s">
        <v>27</v>
      </c>
      <c r="C8" s="3">
        <f>LUGLIO!D8</f>
        <v>0</v>
      </c>
      <c r="D8" s="21">
        <f t="shared" si="0"/>
        <v>0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1">
        <f t="shared" si="1"/>
        <v>0</v>
      </c>
      <c r="BP8" s="9">
        <f t="shared" si="1"/>
        <v>0</v>
      </c>
    </row>
    <row r="9" spans="1:68" ht="15.6" thickBot="1" x14ac:dyDescent="0.3">
      <c r="A9" s="25" t="s">
        <v>164</v>
      </c>
      <c r="B9" s="26" t="s">
        <v>5</v>
      </c>
      <c r="C9" s="3">
        <f>LUGLIO!D9</f>
        <v>0</v>
      </c>
      <c r="D9" s="21">
        <f t="shared" si="0"/>
        <v>0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1">
        <f t="shared" si="1"/>
        <v>0</v>
      </c>
      <c r="BP9" s="9">
        <f t="shared" si="1"/>
        <v>0</v>
      </c>
    </row>
    <row r="10" spans="1:68" ht="15.6" thickBot="1" x14ac:dyDescent="0.3">
      <c r="A10" s="25" t="s">
        <v>165</v>
      </c>
      <c r="B10" s="26" t="s">
        <v>6</v>
      </c>
      <c r="C10" s="3">
        <f>LUGLIO!D10</f>
        <v>0</v>
      </c>
      <c r="D10" s="21">
        <f t="shared" si="0"/>
        <v>0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1">
        <f t="shared" si="1"/>
        <v>0</v>
      </c>
      <c r="BP10" s="9">
        <f t="shared" si="1"/>
        <v>0</v>
      </c>
    </row>
    <row r="11" spans="1:68" ht="15.6" thickBot="1" x14ac:dyDescent="0.3">
      <c r="A11" s="25" t="s">
        <v>330</v>
      </c>
      <c r="B11" s="26" t="s">
        <v>7</v>
      </c>
      <c r="C11" s="3">
        <f>LUGLIO!D11</f>
        <v>0</v>
      </c>
      <c r="D11" s="21">
        <f t="shared" si="0"/>
        <v>0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1">
        <f t="shared" si="1"/>
        <v>0</v>
      </c>
      <c r="BP11" s="9">
        <f t="shared" si="1"/>
        <v>0</v>
      </c>
    </row>
    <row r="12" spans="1:68" ht="15.6" thickBot="1" x14ac:dyDescent="0.3">
      <c r="A12" s="25" t="s">
        <v>166</v>
      </c>
      <c r="B12" s="26" t="s">
        <v>8</v>
      </c>
      <c r="C12" s="3">
        <f>LUGLIO!D12</f>
        <v>0</v>
      </c>
      <c r="D12" s="21">
        <f t="shared" si="0"/>
        <v>0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1">
        <f t="shared" si="1"/>
        <v>0</v>
      </c>
      <c r="BP12" s="9">
        <f t="shared" si="1"/>
        <v>0</v>
      </c>
    </row>
    <row r="13" spans="1:68" ht="16.2" thickBot="1" x14ac:dyDescent="0.35">
      <c r="A13" s="25"/>
      <c r="B13" s="23" t="s">
        <v>15</v>
      </c>
      <c r="C13" s="3">
        <f>LUGLIO!D13</f>
        <v>0</v>
      </c>
      <c r="D13" s="21">
        <f t="shared" si="0"/>
        <v>0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1">
        <f t="shared" si="1"/>
        <v>0</v>
      </c>
      <c r="BP13" s="9">
        <f t="shared" si="1"/>
        <v>0</v>
      </c>
    </row>
    <row r="14" spans="1:68" ht="15.6" thickBot="1" x14ac:dyDescent="0.3">
      <c r="A14" s="25" t="s">
        <v>195</v>
      </c>
      <c r="B14" s="18" t="s">
        <v>193</v>
      </c>
      <c r="C14" s="3">
        <f>LUGLIO!D14</f>
        <v>251</v>
      </c>
      <c r="D14" s="21">
        <f t="shared" si="0"/>
        <v>241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>
        <v>-10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1">
        <f t="shared" si="1"/>
        <v>0</v>
      </c>
      <c r="BP14" s="9">
        <f t="shared" si="1"/>
        <v>-10</v>
      </c>
    </row>
    <row r="15" spans="1:68" ht="15.6" thickBot="1" x14ac:dyDescent="0.3">
      <c r="A15" s="25" t="s">
        <v>196</v>
      </c>
      <c r="B15" s="18" t="s">
        <v>194</v>
      </c>
      <c r="C15" s="3">
        <f>LUGLIO!D15</f>
        <v>134</v>
      </c>
      <c r="D15" s="21">
        <f t="shared" si="0"/>
        <v>124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>
        <v>-10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1">
        <f t="shared" si="1"/>
        <v>0</v>
      </c>
      <c r="BP15" s="9">
        <f t="shared" si="1"/>
        <v>-10</v>
      </c>
    </row>
    <row r="16" spans="1:68" ht="15.6" thickBot="1" x14ac:dyDescent="0.3">
      <c r="A16" s="25" t="s">
        <v>197</v>
      </c>
      <c r="B16" s="18" t="s">
        <v>16</v>
      </c>
      <c r="C16" s="3">
        <f>LUGLIO!D16</f>
        <v>151</v>
      </c>
      <c r="D16" s="21">
        <f t="shared" si="0"/>
        <v>268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>
        <v>61</v>
      </c>
      <c r="P16" s="10"/>
      <c r="Q16" s="10"/>
      <c r="R16" s="10"/>
      <c r="S16" s="10">
        <v>56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1">
        <f t="shared" si="1"/>
        <v>117</v>
      </c>
      <c r="BP16" s="9">
        <f t="shared" si="1"/>
        <v>0</v>
      </c>
    </row>
    <row r="17" spans="1:68" ht="15.6" thickBot="1" x14ac:dyDescent="0.3">
      <c r="A17" s="25" t="s">
        <v>198</v>
      </c>
      <c r="B17" s="18" t="s">
        <v>17</v>
      </c>
      <c r="C17" s="3">
        <f>LUGLIO!D17</f>
        <v>42</v>
      </c>
      <c r="D17" s="21">
        <f t="shared" si="0"/>
        <v>11</v>
      </c>
      <c r="E17" s="10"/>
      <c r="F17" s="10"/>
      <c r="G17" s="10">
        <v>-4</v>
      </c>
      <c r="H17" s="10"/>
      <c r="I17" s="10"/>
      <c r="J17" s="10"/>
      <c r="K17" s="10"/>
      <c r="L17" s="10"/>
      <c r="M17" s="10"/>
      <c r="N17" s="10"/>
      <c r="O17" s="10"/>
      <c r="P17" s="10">
        <v>-15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>
        <v>-10</v>
      </c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>
        <v>-2</v>
      </c>
      <c r="BI17" s="10"/>
      <c r="BJ17" s="10"/>
      <c r="BK17" s="10"/>
      <c r="BL17" s="10"/>
      <c r="BM17" s="10"/>
      <c r="BN17" s="10"/>
      <c r="BO17" s="11">
        <f t="shared" si="1"/>
        <v>-4</v>
      </c>
      <c r="BP17" s="9">
        <f t="shared" si="1"/>
        <v>-27</v>
      </c>
    </row>
    <row r="18" spans="1:68" ht="15.6" thickBot="1" x14ac:dyDescent="0.3">
      <c r="A18" s="25" t="s">
        <v>332</v>
      </c>
      <c r="B18" s="18" t="s">
        <v>18</v>
      </c>
      <c r="C18" s="3">
        <f>LUGLIO!D18</f>
        <v>16</v>
      </c>
      <c r="D18" s="21">
        <f t="shared" si="0"/>
        <v>20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>
        <v>19</v>
      </c>
      <c r="P18" s="10">
        <v>-10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>
        <v>-5</v>
      </c>
      <c r="BM18" s="10"/>
      <c r="BN18" s="10"/>
      <c r="BO18" s="11">
        <f t="shared" si="1"/>
        <v>19</v>
      </c>
      <c r="BP18" s="9">
        <f t="shared" si="1"/>
        <v>-10</v>
      </c>
    </row>
    <row r="19" spans="1:68" ht="15.6" thickBot="1" x14ac:dyDescent="0.3">
      <c r="A19" s="25" t="s">
        <v>333</v>
      </c>
      <c r="B19" s="18" t="s">
        <v>19</v>
      </c>
      <c r="C19" s="3">
        <f>LUGLIO!D19</f>
        <v>3</v>
      </c>
      <c r="D19" s="21">
        <f t="shared" si="0"/>
        <v>21</v>
      </c>
      <c r="E19" s="10"/>
      <c r="F19" s="10"/>
      <c r="G19" s="10"/>
      <c r="H19" s="10"/>
      <c r="I19" s="10"/>
      <c r="J19" s="10"/>
      <c r="K19" s="10"/>
      <c r="L19" s="10"/>
      <c r="M19" s="10">
        <v>18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1">
        <f t="shared" si="1"/>
        <v>18</v>
      </c>
      <c r="BP19" s="9">
        <f t="shared" si="1"/>
        <v>0</v>
      </c>
    </row>
    <row r="20" spans="1:68" ht="15.6" thickBot="1" x14ac:dyDescent="0.3">
      <c r="A20" s="25" t="s">
        <v>199</v>
      </c>
      <c r="B20" s="18" t="s">
        <v>20</v>
      </c>
      <c r="C20" s="3">
        <f>LUGLIO!D20</f>
        <v>298</v>
      </c>
      <c r="D20" s="21">
        <f t="shared" si="0"/>
        <v>288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-10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1">
        <f t="shared" si="1"/>
        <v>0</v>
      </c>
      <c r="BP20" s="9">
        <f t="shared" si="1"/>
        <v>-10</v>
      </c>
    </row>
    <row r="21" spans="1:68" ht="15.6" thickBot="1" x14ac:dyDescent="0.3">
      <c r="A21" s="25"/>
      <c r="B21" s="18" t="s">
        <v>850</v>
      </c>
      <c r="C21" s="3">
        <f>LUGLIO!D21</f>
        <v>2420</v>
      </c>
      <c r="D21" s="21">
        <f t="shared" si="0"/>
        <v>2410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>
        <v>-10</v>
      </c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1">
        <f t="shared" si="1"/>
        <v>0</v>
      </c>
      <c r="BP21" s="9">
        <f t="shared" si="1"/>
        <v>-10</v>
      </c>
    </row>
    <row r="22" spans="1:68" ht="15.6" thickBot="1" x14ac:dyDescent="0.3">
      <c r="A22" s="25" t="s">
        <v>200</v>
      </c>
      <c r="B22" s="18" t="s">
        <v>21</v>
      </c>
      <c r="C22" s="3">
        <f>LUGLIO!D22</f>
        <v>0</v>
      </c>
      <c r="D22" s="21">
        <f t="shared" si="0"/>
        <v>0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1">
        <f t="shared" si="1"/>
        <v>0</v>
      </c>
      <c r="BP22" s="9">
        <f t="shared" si="1"/>
        <v>0</v>
      </c>
    </row>
    <row r="23" spans="1:68" ht="15.75" customHeight="1" thickBot="1" x14ac:dyDescent="0.3">
      <c r="A23" s="25"/>
      <c r="B23" s="18" t="s">
        <v>851</v>
      </c>
      <c r="C23" s="3">
        <f>LUGLIO!D23</f>
        <v>1235</v>
      </c>
      <c r="D23" s="21">
        <f t="shared" si="0"/>
        <v>1286</v>
      </c>
      <c r="E23" s="10"/>
      <c r="F23" s="10"/>
      <c r="G23" s="10">
        <v>61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>
        <v>-10</v>
      </c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1">
        <f t="shared" si="1"/>
        <v>61</v>
      </c>
      <c r="BP23" s="9">
        <f t="shared" si="1"/>
        <v>-10</v>
      </c>
    </row>
    <row r="24" spans="1:68" s="51" customFormat="1" ht="15.6" thickBot="1" x14ac:dyDescent="0.3">
      <c r="A24" s="45" t="s">
        <v>201</v>
      </c>
      <c r="B24" s="46" t="s">
        <v>13</v>
      </c>
      <c r="C24" s="47">
        <f>LUGLIO!D24</f>
        <v>2153</v>
      </c>
      <c r="D24" s="48">
        <f t="shared" si="0"/>
        <v>2133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>
        <v>-10</v>
      </c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>
        <v>-10</v>
      </c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9">
        <f t="shared" si="1"/>
        <v>0</v>
      </c>
      <c r="BP24" s="50">
        <f t="shared" si="1"/>
        <v>-20</v>
      </c>
    </row>
    <row r="25" spans="1:68" ht="15.6" thickBot="1" x14ac:dyDescent="0.3">
      <c r="A25" s="25" t="s">
        <v>203</v>
      </c>
      <c r="B25" s="18" t="s">
        <v>14</v>
      </c>
      <c r="C25" s="3">
        <f>LUGLIO!D25</f>
        <v>1622</v>
      </c>
      <c r="D25" s="21">
        <f t="shared" si="0"/>
        <v>1765</v>
      </c>
      <c r="E25" s="10"/>
      <c r="F25" s="10"/>
      <c r="G25" s="10">
        <v>-4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>
        <v>-10</v>
      </c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>
        <f>112+45</f>
        <v>157</v>
      </c>
      <c r="BL25" s="10"/>
      <c r="BM25" s="10"/>
      <c r="BN25" s="10"/>
      <c r="BO25" s="11">
        <f t="shared" si="1"/>
        <v>-4</v>
      </c>
      <c r="BP25" s="9">
        <f t="shared" si="1"/>
        <v>-10</v>
      </c>
    </row>
    <row r="26" spans="1:68" ht="15.6" thickBot="1" x14ac:dyDescent="0.3">
      <c r="A26" s="25" t="s">
        <v>202</v>
      </c>
      <c r="B26" s="18" t="s">
        <v>12</v>
      </c>
      <c r="C26" s="3">
        <f>LUGLIO!D26</f>
        <v>2839</v>
      </c>
      <c r="D26" s="21">
        <f t="shared" si="0"/>
        <v>2819</v>
      </c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>
        <v>-10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>
        <v>-10</v>
      </c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1">
        <f t="shared" si="1"/>
        <v>0</v>
      </c>
      <c r="BP26" s="9">
        <f t="shared" si="1"/>
        <v>-20</v>
      </c>
    </row>
    <row r="27" spans="1:68" ht="15.6" thickBot="1" x14ac:dyDescent="0.3">
      <c r="A27" s="25" t="s">
        <v>204</v>
      </c>
      <c r="B27" s="18" t="s">
        <v>6</v>
      </c>
      <c r="C27" s="3">
        <f>LUGLIO!D27</f>
        <v>2303</v>
      </c>
      <c r="D27" s="21">
        <f t="shared" si="0"/>
        <v>2175</v>
      </c>
      <c r="E27" s="10"/>
      <c r="F27" s="10"/>
      <c r="G27" s="10">
        <v>-4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>
        <v>-10</v>
      </c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>
        <v>-2</v>
      </c>
      <c r="BI27" s="10"/>
      <c r="BJ27" s="10">
        <v>-112</v>
      </c>
      <c r="BK27" s="10"/>
      <c r="BL27" s="10"/>
      <c r="BM27" s="10"/>
      <c r="BN27" s="10"/>
      <c r="BO27" s="11">
        <f t="shared" si="1"/>
        <v>-4</v>
      </c>
      <c r="BP27" s="9">
        <f t="shared" si="1"/>
        <v>-12</v>
      </c>
    </row>
    <row r="28" spans="1:68" ht="15.6" thickBot="1" x14ac:dyDescent="0.3">
      <c r="A28" s="25" t="s">
        <v>205</v>
      </c>
      <c r="B28" s="18" t="s">
        <v>7</v>
      </c>
      <c r="C28" s="3">
        <f>LUGLIO!D28</f>
        <v>1887</v>
      </c>
      <c r="D28" s="21">
        <f t="shared" si="0"/>
        <v>1759</v>
      </c>
      <c r="E28" s="10"/>
      <c r="F28" s="10"/>
      <c r="G28" s="10">
        <v>-4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>
        <v>-10</v>
      </c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>
        <v>-2</v>
      </c>
      <c r="BI28" s="10"/>
      <c r="BJ28" s="10">
        <v>-112</v>
      </c>
      <c r="BK28" s="10"/>
      <c r="BL28" s="10"/>
      <c r="BM28" s="10"/>
      <c r="BN28" s="10"/>
      <c r="BO28" s="11">
        <f t="shared" si="1"/>
        <v>-4</v>
      </c>
      <c r="BP28" s="9">
        <f t="shared" si="1"/>
        <v>-12</v>
      </c>
    </row>
    <row r="29" spans="1:68" ht="15.6" thickBot="1" x14ac:dyDescent="0.3">
      <c r="A29" s="25" t="s">
        <v>206</v>
      </c>
      <c r="B29" s="18" t="s">
        <v>22</v>
      </c>
      <c r="C29" s="3">
        <f>LUGLIO!D29</f>
        <v>336</v>
      </c>
      <c r="D29" s="21">
        <f t="shared" si="0"/>
        <v>336</v>
      </c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1">
        <f t="shared" si="1"/>
        <v>0</v>
      </c>
      <c r="BP29" s="9">
        <f t="shared" si="1"/>
        <v>0</v>
      </c>
    </row>
    <row r="30" spans="1:68" ht="15.6" thickBot="1" x14ac:dyDescent="0.3">
      <c r="A30" s="25" t="s">
        <v>207</v>
      </c>
      <c r="B30" s="18" t="s">
        <v>23</v>
      </c>
      <c r="C30" s="3">
        <f>LUGLIO!D30</f>
        <v>442</v>
      </c>
      <c r="D30" s="21">
        <f t="shared" si="0"/>
        <v>442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1">
        <f t="shared" si="1"/>
        <v>0</v>
      </c>
      <c r="BP30" s="9">
        <f t="shared" si="1"/>
        <v>0</v>
      </c>
    </row>
    <row r="31" spans="1:68" ht="15.6" thickBot="1" x14ac:dyDescent="0.3">
      <c r="A31" s="25" t="s">
        <v>208</v>
      </c>
      <c r="B31" s="18" t="s">
        <v>24</v>
      </c>
      <c r="C31" s="3">
        <f>LUGLIO!D31</f>
        <v>545</v>
      </c>
      <c r="D31" s="21">
        <f t="shared" si="0"/>
        <v>545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1">
        <f t="shared" si="1"/>
        <v>0</v>
      </c>
      <c r="BP31" s="9">
        <f t="shared" si="1"/>
        <v>0</v>
      </c>
    </row>
    <row r="32" spans="1:68" ht="15.6" thickBot="1" x14ac:dyDescent="0.3">
      <c r="A32" s="25" t="s">
        <v>211</v>
      </c>
      <c r="B32" s="18" t="s">
        <v>210</v>
      </c>
      <c r="C32" s="3">
        <f>LUGLIO!D32</f>
        <v>0</v>
      </c>
      <c r="D32" s="21">
        <f t="shared" si="0"/>
        <v>0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1">
        <f t="shared" si="1"/>
        <v>0</v>
      </c>
      <c r="BP32" s="9">
        <f t="shared" si="1"/>
        <v>0</v>
      </c>
    </row>
    <row r="33" spans="1:68" ht="15.6" thickBot="1" x14ac:dyDescent="0.3">
      <c r="A33" s="25" t="s">
        <v>334</v>
      </c>
      <c r="B33" s="18" t="s">
        <v>508</v>
      </c>
      <c r="C33" s="3">
        <f>LUGLIO!D33</f>
        <v>0</v>
      </c>
      <c r="D33" s="21">
        <f t="shared" si="0"/>
        <v>0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1">
        <f t="shared" si="1"/>
        <v>0</v>
      </c>
      <c r="BP33" s="9">
        <f t="shared" si="1"/>
        <v>0</v>
      </c>
    </row>
    <row r="34" spans="1:68" ht="15.6" thickBot="1" x14ac:dyDescent="0.3">
      <c r="A34" s="25" t="s">
        <v>335</v>
      </c>
      <c r="B34" s="18" t="s">
        <v>25</v>
      </c>
      <c r="C34" s="3">
        <f>LUGLIO!D34</f>
        <v>10</v>
      </c>
      <c r="D34" s="21">
        <f t="shared" si="0"/>
        <v>10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1">
        <f t="shared" si="1"/>
        <v>0</v>
      </c>
      <c r="BP34" s="9">
        <f t="shared" si="1"/>
        <v>0</v>
      </c>
    </row>
    <row r="35" spans="1:68" ht="15.6" thickBot="1" x14ac:dyDescent="0.3">
      <c r="A35" s="25"/>
      <c r="B35" s="18" t="s">
        <v>866</v>
      </c>
      <c r="C35" s="3">
        <f>LUGLIO!D35</f>
        <v>0</v>
      </c>
      <c r="D35" s="21">
        <f t="shared" ref="D35:D36" si="2">C35+SUM(E35:BN35)</f>
        <v>0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1">
        <f t="shared" si="1"/>
        <v>0</v>
      </c>
      <c r="BP35" s="9">
        <f t="shared" si="1"/>
        <v>0</v>
      </c>
    </row>
    <row r="36" spans="1:68" ht="15.6" thickBot="1" x14ac:dyDescent="0.3">
      <c r="A36" s="25"/>
      <c r="B36" s="18" t="s">
        <v>867</v>
      </c>
      <c r="C36" s="3">
        <f>LUGLIO!D36</f>
        <v>0</v>
      </c>
      <c r="D36" s="21">
        <f t="shared" si="2"/>
        <v>0</v>
      </c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1">
        <f t="shared" si="1"/>
        <v>0</v>
      </c>
      <c r="BP36" s="9">
        <f t="shared" si="1"/>
        <v>0</v>
      </c>
    </row>
    <row r="37" spans="1:68" ht="16.2" thickBot="1" x14ac:dyDescent="0.35">
      <c r="A37" s="25"/>
      <c r="B37" s="23" t="s">
        <v>26</v>
      </c>
      <c r="C37" s="3">
        <f>LUGLIO!D37</f>
        <v>0</v>
      </c>
      <c r="D37" s="21">
        <f t="shared" si="0"/>
        <v>0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1">
        <f t="shared" si="1"/>
        <v>0</v>
      </c>
      <c r="BP37" s="9">
        <f t="shared" si="1"/>
        <v>0</v>
      </c>
    </row>
    <row r="38" spans="1:68" ht="15.6" thickBot="1" x14ac:dyDescent="0.3">
      <c r="A38" s="25" t="s">
        <v>338</v>
      </c>
      <c r="B38" s="18" t="s">
        <v>4</v>
      </c>
      <c r="C38" s="3">
        <f>LUGLIO!D38</f>
        <v>0</v>
      </c>
      <c r="D38" s="21">
        <f t="shared" si="0"/>
        <v>0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1">
        <f t="shared" si="1"/>
        <v>0</v>
      </c>
      <c r="BP38" s="9">
        <f t="shared" si="1"/>
        <v>0</v>
      </c>
    </row>
    <row r="39" spans="1:68" ht="15.6" thickBot="1" x14ac:dyDescent="0.3">
      <c r="A39" s="25" t="s">
        <v>339</v>
      </c>
      <c r="B39" s="18" t="s">
        <v>3</v>
      </c>
      <c r="C39" s="3">
        <f>LUGLIO!D39</f>
        <v>0</v>
      </c>
      <c r="D39" s="21">
        <f t="shared" si="0"/>
        <v>0</v>
      </c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1">
        <f t="shared" si="1"/>
        <v>0</v>
      </c>
      <c r="BP39" s="9">
        <f t="shared" si="1"/>
        <v>0</v>
      </c>
    </row>
    <row r="40" spans="1:68" ht="15.6" thickBot="1" x14ac:dyDescent="0.3">
      <c r="A40" s="25" t="s">
        <v>337</v>
      </c>
      <c r="B40" s="18" t="s">
        <v>27</v>
      </c>
      <c r="C40" s="3">
        <f>LUGLIO!D40</f>
        <v>0</v>
      </c>
      <c r="D40" s="21">
        <f t="shared" si="0"/>
        <v>0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1">
        <f t="shared" si="1"/>
        <v>0</v>
      </c>
      <c r="BP40" s="9">
        <f t="shared" si="1"/>
        <v>0</v>
      </c>
    </row>
    <row r="41" spans="1:68" ht="15.6" thickBot="1" x14ac:dyDescent="0.3">
      <c r="A41" s="25" t="s">
        <v>336</v>
      </c>
      <c r="B41" s="18" t="s">
        <v>13</v>
      </c>
      <c r="C41" s="3">
        <f>LUGLIO!D41</f>
        <v>0</v>
      </c>
      <c r="D41" s="21">
        <f t="shared" si="0"/>
        <v>0</v>
      </c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1">
        <f t="shared" si="1"/>
        <v>0</v>
      </c>
      <c r="BP41" s="9">
        <f t="shared" si="1"/>
        <v>0</v>
      </c>
    </row>
    <row r="42" spans="1:68" ht="15.6" thickBot="1" x14ac:dyDescent="0.3">
      <c r="A42" s="25" t="s">
        <v>340</v>
      </c>
      <c r="B42" s="18" t="s">
        <v>160</v>
      </c>
      <c r="C42" s="3">
        <f>LUGLIO!D42</f>
        <v>0</v>
      </c>
      <c r="D42" s="21">
        <f t="shared" si="0"/>
        <v>0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1">
        <f t="shared" si="1"/>
        <v>0</v>
      </c>
      <c r="BP42" s="9">
        <f t="shared" si="1"/>
        <v>0</v>
      </c>
    </row>
    <row r="43" spans="1:68" ht="16.2" thickBot="1" x14ac:dyDescent="0.35">
      <c r="A43" s="25"/>
      <c r="B43" s="23" t="s">
        <v>491</v>
      </c>
      <c r="C43" s="3">
        <f>LUGLIO!D43</f>
        <v>0</v>
      </c>
      <c r="D43" s="21">
        <f t="shared" si="0"/>
        <v>0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1">
        <f t="shared" si="1"/>
        <v>0</v>
      </c>
      <c r="BP43" s="9">
        <f t="shared" si="1"/>
        <v>0</v>
      </c>
    </row>
    <row r="44" spans="1:68" ht="15.6" thickBot="1" x14ac:dyDescent="0.3">
      <c r="A44" s="25" t="s">
        <v>643</v>
      </c>
      <c r="B44" s="18" t="s">
        <v>492</v>
      </c>
      <c r="C44" s="3">
        <f>LUGLIO!D44</f>
        <v>10</v>
      </c>
      <c r="D44" s="21">
        <f t="shared" si="0"/>
        <v>0</v>
      </c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>
        <v>-10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1">
        <f t="shared" si="1"/>
        <v>0</v>
      </c>
      <c r="BP44" s="9">
        <f t="shared" si="1"/>
        <v>-10</v>
      </c>
    </row>
    <row r="45" spans="1:68" ht="15.6" thickBot="1" x14ac:dyDescent="0.3">
      <c r="A45" s="25" t="s">
        <v>190</v>
      </c>
      <c r="B45" s="18" t="s">
        <v>493</v>
      </c>
      <c r="C45" s="3">
        <f>LUGLIO!D45</f>
        <v>10</v>
      </c>
      <c r="D45" s="21">
        <f t="shared" si="0"/>
        <v>0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>
        <v>-10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1">
        <f t="shared" si="1"/>
        <v>0</v>
      </c>
      <c r="BP45" s="9">
        <f t="shared" si="1"/>
        <v>-10</v>
      </c>
    </row>
    <row r="46" spans="1:68" ht="15.6" thickBot="1" x14ac:dyDescent="0.3">
      <c r="A46" s="25" t="s">
        <v>189</v>
      </c>
      <c r="B46" s="18" t="s">
        <v>494</v>
      </c>
      <c r="C46" s="3">
        <f>LUGLIO!D46</f>
        <v>10</v>
      </c>
      <c r="D46" s="21">
        <f t="shared" si="0"/>
        <v>0</v>
      </c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>
        <v>-10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1">
        <f t="shared" si="1"/>
        <v>0</v>
      </c>
      <c r="BP46" s="9">
        <f t="shared" si="1"/>
        <v>-10</v>
      </c>
    </row>
    <row r="47" spans="1:68" ht="15.6" thickBot="1" x14ac:dyDescent="0.3">
      <c r="A47" s="25" t="s">
        <v>191</v>
      </c>
      <c r="B47" s="18" t="s">
        <v>495</v>
      </c>
      <c r="C47" s="3">
        <f>LUGLIO!D47</f>
        <v>0</v>
      </c>
      <c r="D47" s="21">
        <f t="shared" si="0"/>
        <v>0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1">
        <f t="shared" si="1"/>
        <v>0</v>
      </c>
      <c r="BP47" s="9">
        <f t="shared" si="1"/>
        <v>0</v>
      </c>
    </row>
    <row r="48" spans="1:68" ht="15.6" thickBot="1" x14ac:dyDescent="0.3">
      <c r="A48" s="25" t="s">
        <v>192</v>
      </c>
      <c r="B48" s="18" t="s">
        <v>341</v>
      </c>
      <c r="C48" s="3">
        <f>LUGLIO!D48</f>
        <v>0</v>
      </c>
      <c r="D48" s="21">
        <f t="shared" si="0"/>
        <v>0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1">
        <f t="shared" si="1"/>
        <v>0</v>
      </c>
      <c r="BP48" s="9">
        <f t="shared" si="1"/>
        <v>0</v>
      </c>
    </row>
    <row r="49" spans="1:68" ht="16.2" thickBot="1" x14ac:dyDescent="0.35">
      <c r="A49" s="25"/>
      <c r="B49" s="23" t="s">
        <v>185</v>
      </c>
      <c r="C49" s="3">
        <f>LUGLIO!D49</f>
        <v>0</v>
      </c>
      <c r="D49" s="21">
        <f t="shared" si="0"/>
        <v>0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1">
        <f t="shared" si="1"/>
        <v>0</v>
      </c>
      <c r="BP49" s="9">
        <f t="shared" si="1"/>
        <v>0</v>
      </c>
    </row>
    <row r="50" spans="1:68" ht="15.6" thickBot="1" x14ac:dyDescent="0.3">
      <c r="A50" s="25" t="s">
        <v>186</v>
      </c>
      <c r="B50" s="18" t="s">
        <v>28</v>
      </c>
      <c r="C50" s="3">
        <f>LUGLIO!D50</f>
        <v>0</v>
      </c>
      <c r="D50" s="21">
        <f t="shared" si="0"/>
        <v>0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1">
        <f t="shared" si="1"/>
        <v>0</v>
      </c>
      <c r="BP50" s="9">
        <f t="shared" si="1"/>
        <v>0</v>
      </c>
    </row>
    <row r="51" spans="1:68" ht="15.6" thickBot="1" x14ac:dyDescent="0.3">
      <c r="A51" s="25" t="s">
        <v>187</v>
      </c>
      <c r="B51" s="18" t="s">
        <v>10</v>
      </c>
      <c r="C51" s="3">
        <f>LUGLIO!D51</f>
        <v>10</v>
      </c>
      <c r="D51" s="21">
        <f t="shared" si="0"/>
        <v>0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>
        <v>-10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1">
        <f t="shared" si="1"/>
        <v>0</v>
      </c>
      <c r="BP51" s="9">
        <f t="shared" si="1"/>
        <v>-10</v>
      </c>
    </row>
    <row r="52" spans="1:68" ht="15.6" thickBot="1" x14ac:dyDescent="0.3">
      <c r="A52" s="25" t="s">
        <v>188</v>
      </c>
      <c r="B52" s="18" t="s">
        <v>750</v>
      </c>
      <c r="C52" s="3">
        <f>LUGLIO!D52</f>
        <v>10</v>
      </c>
      <c r="D52" s="21">
        <f t="shared" si="0"/>
        <v>0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>
        <v>-10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1">
        <f t="shared" si="1"/>
        <v>0</v>
      </c>
      <c r="BP52" s="9">
        <f t="shared" si="1"/>
        <v>-10</v>
      </c>
    </row>
    <row r="53" spans="1:68" ht="15.6" thickBot="1" x14ac:dyDescent="0.3">
      <c r="A53" s="25" t="s">
        <v>586</v>
      </c>
      <c r="B53" s="26" t="s">
        <v>490</v>
      </c>
      <c r="C53" s="3">
        <f>LUGLIO!D53</f>
        <v>0</v>
      </c>
      <c r="D53" s="21">
        <f t="shared" si="0"/>
        <v>0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1">
        <f t="shared" si="1"/>
        <v>0</v>
      </c>
      <c r="BP53" s="9">
        <f t="shared" si="1"/>
        <v>0</v>
      </c>
    </row>
    <row r="54" spans="1:68" ht="15.6" thickBot="1" x14ac:dyDescent="0.3">
      <c r="A54" s="25"/>
      <c r="B54" s="18" t="s">
        <v>868</v>
      </c>
      <c r="C54" s="3">
        <f>LUGLIO!D54</f>
        <v>0</v>
      </c>
      <c r="D54" s="21">
        <f t="shared" ref="D54" si="3">C54+SUM(E54:BN54)</f>
        <v>0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1">
        <f t="shared" si="1"/>
        <v>0</v>
      </c>
      <c r="BP54" s="9">
        <f t="shared" si="1"/>
        <v>0</v>
      </c>
    </row>
    <row r="55" spans="1:68" ht="16.2" thickBot="1" x14ac:dyDescent="0.35">
      <c r="A55" s="25"/>
      <c r="B55" s="23" t="s">
        <v>29</v>
      </c>
      <c r="C55" s="3">
        <f>LUGLIO!D55</f>
        <v>0</v>
      </c>
      <c r="D55" s="21">
        <f t="shared" si="0"/>
        <v>0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1">
        <f t="shared" si="1"/>
        <v>0</v>
      </c>
      <c r="BP55" s="9">
        <f t="shared" si="1"/>
        <v>0</v>
      </c>
    </row>
    <row r="56" spans="1:68" ht="15.6" thickBot="1" x14ac:dyDescent="0.3">
      <c r="A56" s="25" t="s">
        <v>212</v>
      </c>
      <c r="B56" s="6" t="s">
        <v>30</v>
      </c>
      <c r="C56" s="3">
        <f>LUGLIO!D56</f>
        <v>0</v>
      </c>
      <c r="D56" s="21">
        <f t="shared" si="0"/>
        <v>0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1">
        <f t="shared" si="1"/>
        <v>0</v>
      </c>
      <c r="BP56" s="9">
        <f t="shared" si="1"/>
        <v>0</v>
      </c>
    </row>
    <row r="57" spans="1:68" ht="15.6" thickBot="1" x14ac:dyDescent="0.3">
      <c r="A57" s="25" t="s">
        <v>213</v>
      </c>
      <c r="B57" s="6" t="s">
        <v>31</v>
      </c>
      <c r="C57" s="3">
        <f>LUGLIO!D57</f>
        <v>0</v>
      </c>
      <c r="D57" s="21">
        <f t="shared" si="0"/>
        <v>0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1">
        <f t="shared" si="1"/>
        <v>0</v>
      </c>
      <c r="BP57" s="9">
        <f t="shared" si="1"/>
        <v>0</v>
      </c>
    </row>
    <row r="58" spans="1:68" ht="16.2" thickBot="1" x14ac:dyDescent="0.35">
      <c r="A58" s="25"/>
      <c r="B58" s="23" t="s">
        <v>32</v>
      </c>
      <c r="C58" s="3">
        <f>LUGLIO!D58</f>
        <v>0</v>
      </c>
      <c r="D58" s="21">
        <f t="shared" si="0"/>
        <v>0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1">
        <f t="shared" si="1"/>
        <v>0</v>
      </c>
      <c r="BP58" s="9">
        <f t="shared" si="1"/>
        <v>0</v>
      </c>
    </row>
    <row r="59" spans="1:68" ht="15.6" thickBot="1" x14ac:dyDescent="0.3">
      <c r="A59" s="25" t="s">
        <v>214</v>
      </c>
      <c r="B59" s="18" t="s">
        <v>181</v>
      </c>
      <c r="C59" s="3">
        <f>LUGLIO!D59</f>
        <v>0</v>
      </c>
      <c r="D59" s="21">
        <f t="shared" si="0"/>
        <v>437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>
        <f>156+156+125</f>
        <v>437</v>
      </c>
      <c r="BL59" s="10"/>
      <c r="BM59" s="10"/>
      <c r="BN59" s="10"/>
      <c r="BO59" s="11">
        <f t="shared" si="1"/>
        <v>0</v>
      </c>
      <c r="BP59" s="9">
        <f t="shared" si="1"/>
        <v>0</v>
      </c>
    </row>
    <row r="60" spans="1:68" ht="15.6" thickBot="1" x14ac:dyDescent="0.3">
      <c r="A60" s="25" t="s">
        <v>215</v>
      </c>
      <c r="B60" s="18" t="s">
        <v>33</v>
      </c>
      <c r="C60" s="3">
        <f>LUGLIO!D60</f>
        <v>0</v>
      </c>
      <c r="D60" s="21">
        <f t="shared" si="0"/>
        <v>338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>
        <v>156</v>
      </c>
      <c r="BF60" s="10"/>
      <c r="BG60" s="10">
        <f>156+156</f>
        <v>312</v>
      </c>
      <c r="BH60" s="10"/>
      <c r="BI60" s="10"/>
      <c r="BJ60" s="10">
        <v>-130</v>
      </c>
      <c r="BK60" s="10"/>
      <c r="BL60" s="10"/>
      <c r="BM60" s="10"/>
      <c r="BN60" s="10"/>
      <c r="BO60" s="11">
        <f t="shared" si="1"/>
        <v>468</v>
      </c>
      <c r="BP60" s="9">
        <f t="shared" si="1"/>
        <v>0</v>
      </c>
    </row>
    <row r="61" spans="1:68" ht="15.6" thickBot="1" x14ac:dyDescent="0.3">
      <c r="A61" s="25" t="s">
        <v>216</v>
      </c>
      <c r="B61" s="26" t="s">
        <v>182</v>
      </c>
      <c r="C61" s="3">
        <f>LUGLIO!D61</f>
        <v>0</v>
      </c>
      <c r="D61" s="21">
        <f t="shared" si="0"/>
        <v>622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>
        <f>156+156</f>
        <v>312</v>
      </c>
      <c r="BF61" s="10"/>
      <c r="BG61" s="10"/>
      <c r="BH61" s="10"/>
      <c r="BI61" s="10">
        <f>156+156</f>
        <v>312</v>
      </c>
      <c r="BJ61" s="10">
        <v>-156</v>
      </c>
      <c r="BK61" s="10">
        <v>154</v>
      </c>
      <c r="BL61" s="10"/>
      <c r="BM61" s="10"/>
      <c r="BN61" s="10"/>
      <c r="BO61" s="11">
        <f t="shared" si="1"/>
        <v>312</v>
      </c>
      <c r="BP61" s="9">
        <f t="shared" si="1"/>
        <v>0</v>
      </c>
    </row>
    <row r="62" spans="1:68" ht="16.2" thickBot="1" x14ac:dyDescent="0.35">
      <c r="A62" s="25"/>
      <c r="B62" s="23" t="s">
        <v>34</v>
      </c>
      <c r="C62" s="3">
        <f>LUGLIO!D62</f>
        <v>0</v>
      </c>
      <c r="D62" s="21">
        <f t="shared" si="0"/>
        <v>0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1">
        <f t="shared" si="1"/>
        <v>0</v>
      </c>
      <c r="BP62" s="9">
        <f t="shared" si="1"/>
        <v>0</v>
      </c>
    </row>
    <row r="63" spans="1:68" ht="15.6" thickBot="1" x14ac:dyDescent="0.3">
      <c r="A63" s="25" t="s">
        <v>217</v>
      </c>
      <c r="B63" s="26" t="s">
        <v>35</v>
      </c>
      <c r="C63" s="3">
        <f>LUGLIO!D63</f>
        <v>0</v>
      </c>
      <c r="D63" s="21">
        <f t="shared" si="0"/>
        <v>192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>
        <f>96+96</f>
        <v>192</v>
      </c>
      <c r="BN63" s="10"/>
      <c r="BO63" s="11">
        <f t="shared" si="1"/>
        <v>192</v>
      </c>
      <c r="BP63" s="9">
        <f t="shared" si="1"/>
        <v>0</v>
      </c>
    </row>
    <row r="64" spans="1:68" ht="15.6" thickBot="1" x14ac:dyDescent="0.3">
      <c r="A64" s="25" t="s">
        <v>218</v>
      </c>
      <c r="B64" s="26" t="s">
        <v>36</v>
      </c>
      <c r="C64" s="3">
        <f>LUGLIO!D64</f>
        <v>0</v>
      </c>
      <c r="D64" s="21">
        <f t="shared" si="0"/>
        <v>0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1">
        <f t="shared" si="1"/>
        <v>0</v>
      </c>
      <c r="BP64" s="9">
        <f t="shared" si="1"/>
        <v>0</v>
      </c>
    </row>
    <row r="65" spans="1:68" ht="16.2" thickBot="1" x14ac:dyDescent="0.35">
      <c r="A65" s="25"/>
      <c r="B65" s="23" t="s">
        <v>373</v>
      </c>
      <c r="C65" s="3">
        <f>LUGLIO!D65</f>
        <v>0</v>
      </c>
      <c r="D65" s="21">
        <f t="shared" si="0"/>
        <v>0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1">
        <f t="shared" si="1"/>
        <v>0</v>
      </c>
      <c r="BP65" s="9">
        <f t="shared" si="1"/>
        <v>0</v>
      </c>
    </row>
    <row r="66" spans="1:68" ht="15.6" thickBot="1" x14ac:dyDescent="0.3">
      <c r="A66" s="25" t="s">
        <v>219</v>
      </c>
      <c r="B66" s="18" t="s">
        <v>37</v>
      </c>
      <c r="C66" s="3">
        <f>LUGLIO!D66</f>
        <v>871</v>
      </c>
      <c r="D66" s="21">
        <f t="shared" si="0"/>
        <v>861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>
        <v>-10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1">
        <f t="shared" si="1"/>
        <v>0</v>
      </c>
      <c r="BP66" s="9">
        <f t="shared" si="1"/>
        <v>-10</v>
      </c>
    </row>
    <row r="67" spans="1:68" ht="15.6" thickBot="1" x14ac:dyDescent="0.3">
      <c r="A67" s="25" t="s">
        <v>522</v>
      </c>
      <c r="B67" s="18" t="s">
        <v>431</v>
      </c>
      <c r="C67" s="3">
        <f>LUGLIO!D67</f>
        <v>566</v>
      </c>
      <c r="D67" s="21">
        <f t="shared" si="0"/>
        <v>566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1">
        <f t="shared" si="1"/>
        <v>0</v>
      </c>
      <c r="BP67" s="9">
        <f t="shared" si="1"/>
        <v>0</v>
      </c>
    </row>
    <row r="68" spans="1:68" ht="15.6" thickBot="1" x14ac:dyDescent="0.3">
      <c r="A68" s="25" t="s">
        <v>220</v>
      </c>
      <c r="B68" s="18" t="s">
        <v>38</v>
      </c>
      <c r="C68" s="3">
        <f>LUGLIO!D68</f>
        <v>1094</v>
      </c>
      <c r="D68" s="21">
        <f t="shared" si="0"/>
        <v>1094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1">
        <f t="shared" si="1"/>
        <v>0</v>
      </c>
      <c r="BP68" s="9">
        <f t="shared" si="1"/>
        <v>0</v>
      </c>
    </row>
    <row r="69" spans="1:68" ht="15.6" thickBot="1" x14ac:dyDescent="0.3">
      <c r="A69" s="25" t="s">
        <v>221</v>
      </c>
      <c r="B69" s="18" t="s">
        <v>39</v>
      </c>
      <c r="C69" s="3">
        <f>LUGLIO!D69</f>
        <v>635</v>
      </c>
      <c r="D69" s="21">
        <f t="shared" si="0"/>
        <v>635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1">
        <f t="shared" si="1"/>
        <v>0</v>
      </c>
      <c r="BP69" s="9">
        <f t="shared" si="1"/>
        <v>0</v>
      </c>
    </row>
    <row r="70" spans="1:68" ht="15.6" thickBot="1" x14ac:dyDescent="0.3">
      <c r="A70" s="25" t="s">
        <v>756</v>
      </c>
      <c r="B70" s="18" t="s">
        <v>432</v>
      </c>
      <c r="C70" s="3">
        <f>LUGLIO!D70</f>
        <v>867</v>
      </c>
      <c r="D70" s="21">
        <f t="shared" si="0"/>
        <v>867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1">
        <f t="shared" si="1"/>
        <v>0</v>
      </c>
      <c r="BP70" s="9">
        <f t="shared" si="1"/>
        <v>0</v>
      </c>
    </row>
    <row r="71" spans="1:68" ht="15.6" thickBot="1" x14ac:dyDescent="0.3">
      <c r="A71" s="25" t="s">
        <v>222</v>
      </c>
      <c r="B71" s="18" t="s">
        <v>40</v>
      </c>
      <c r="C71" s="3">
        <f>LUGLIO!D71</f>
        <v>759</v>
      </c>
      <c r="D71" s="21">
        <f t="shared" si="0"/>
        <v>759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1">
        <f t="shared" si="1"/>
        <v>0</v>
      </c>
      <c r="BP71" s="9">
        <f t="shared" si="1"/>
        <v>0</v>
      </c>
    </row>
    <row r="72" spans="1:68" ht="16.2" thickBot="1" x14ac:dyDescent="0.35">
      <c r="A72" s="25"/>
      <c r="B72" s="23" t="s">
        <v>226</v>
      </c>
      <c r="C72" s="3">
        <f>LUGLIO!D72</f>
        <v>0</v>
      </c>
      <c r="D72" s="21">
        <f t="shared" si="0"/>
        <v>0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1">
        <f t="shared" si="1"/>
        <v>0</v>
      </c>
      <c r="BP72" s="9">
        <f t="shared" si="1"/>
        <v>0</v>
      </c>
    </row>
    <row r="73" spans="1:68" ht="15.6" thickBot="1" x14ac:dyDescent="0.3">
      <c r="A73" s="25" t="s">
        <v>229</v>
      </c>
      <c r="B73" s="18" t="s">
        <v>227</v>
      </c>
      <c r="C73" s="3">
        <f>LUGLIO!D73</f>
        <v>0</v>
      </c>
      <c r="D73" s="21">
        <f t="shared" ref="D73:D141" si="4">C73+SUM(E73:BN73)</f>
        <v>0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1">
        <f t="shared" si="1"/>
        <v>0</v>
      </c>
      <c r="BP73" s="9">
        <f t="shared" si="1"/>
        <v>0</v>
      </c>
    </row>
    <row r="74" spans="1:68" ht="15.6" thickBot="1" x14ac:dyDescent="0.3">
      <c r="A74" s="25" t="s">
        <v>870</v>
      </c>
      <c r="B74" s="18" t="s">
        <v>77</v>
      </c>
      <c r="C74" s="3">
        <f>LUGLIO!D74</f>
        <v>0</v>
      </c>
      <c r="D74" s="21">
        <f t="shared" si="4"/>
        <v>0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1">
        <f t="shared" ref="BO74:BP142" si="5">BM74+BG74+BE74+BC74+BA74+AY74+AW74+AU74+AS74+AQ74+AO74+AM74+AK74+AI74+AG74+AE74+AC74+AA74+Y74+W74+U74+S74+Q74+O74+M74+K74+I74+G74+E74</f>
        <v>0</v>
      </c>
      <c r="BP74" s="9">
        <f t="shared" si="5"/>
        <v>0</v>
      </c>
    </row>
    <row r="75" spans="1:68" ht="15.6" thickBot="1" x14ac:dyDescent="0.3">
      <c r="A75" s="25" t="s">
        <v>498</v>
      </c>
      <c r="B75" s="18" t="s">
        <v>228</v>
      </c>
      <c r="C75" s="3">
        <f>LUGLIO!D75</f>
        <v>0</v>
      </c>
      <c r="D75" s="21">
        <f t="shared" si="4"/>
        <v>0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1">
        <f t="shared" si="5"/>
        <v>0</v>
      </c>
      <c r="BP75" s="9">
        <f t="shared" si="5"/>
        <v>0</v>
      </c>
    </row>
    <row r="76" spans="1:68" ht="16.2" thickBot="1" x14ac:dyDescent="0.35">
      <c r="A76" s="25"/>
      <c r="B76" s="23" t="s">
        <v>506</v>
      </c>
      <c r="C76" s="3">
        <f>LUGLIO!D76</f>
        <v>0</v>
      </c>
      <c r="D76" s="21">
        <f t="shared" si="4"/>
        <v>0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1">
        <f t="shared" si="5"/>
        <v>0</v>
      </c>
      <c r="BP76" s="9">
        <f t="shared" si="5"/>
        <v>0</v>
      </c>
    </row>
    <row r="77" spans="1:68" ht="15.6" thickBot="1" x14ac:dyDescent="0.3">
      <c r="A77" s="25" t="s">
        <v>530</v>
      </c>
      <c r="B77" s="18" t="s">
        <v>532</v>
      </c>
      <c r="C77" s="3">
        <f>LUGLIO!D77</f>
        <v>0</v>
      </c>
      <c r="D77" s="21">
        <f t="shared" si="4"/>
        <v>130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>
        <f>117+13</f>
        <v>130</v>
      </c>
      <c r="BH77" s="10"/>
      <c r="BI77" s="10"/>
      <c r="BJ77" s="10"/>
      <c r="BK77" s="10"/>
      <c r="BL77" s="10"/>
      <c r="BM77" s="10"/>
      <c r="BN77" s="10"/>
      <c r="BO77" s="11">
        <f t="shared" si="5"/>
        <v>130</v>
      </c>
      <c r="BP77" s="9">
        <f t="shared" si="5"/>
        <v>0</v>
      </c>
    </row>
    <row r="78" spans="1:68" ht="15.6" thickBot="1" x14ac:dyDescent="0.3">
      <c r="A78" s="25" t="s">
        <v>552</v>
      </c>
      <c r="B78" s="18" t="s">
        <v>427</v>
      </c>
      <c r="C78" s="3">
        <f>LUGLIO!D78</f>
        <v>0</v>
      </c>
      <c r="D78" s="21">
        <f t="shared" si="4"/>
        <v>130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>
        <f>117+13</f>
        <v>130</v>
      </c>
      <c r="BH78" s="10"/>
      <c r="BI78" s="10"/>
      <c r="BJ78" s="10"/>
      <c r="BK78" s="10"/>
      <c r="BL78" s="10"/>
      <c r="BM78" s="10"/>
      <c r="BN78" s="10"/>
      <c r="BO78" s="11">
        <f t="shared" si="5"/>
        <v>130</v>
      </c>
      <c r="BP78" s="9">
        <f t="shared" si="5"/>
        <v>0</v>
      </c>
    </row>
    <row r="79" spans="1:68" ht="15.6" thickBot="1" x14ac:dyDescent="0.3">
      <c r="A79" s="25" t="s">
        <v>559</v>
      </c>
      <c r="B79" s="18" t="s">
        <v>558</v>
      </c>
      <c r="C79" s="3">
        <f>LUGLIO!D79</f>
        <v>0</v>
      </c>
      <c r="D79" s="21">
        <f t="shared" si="4"/>
        <v>364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>
        <v>130</v>
      </c>
      <c r="BJ79" s="10"/>
      <c r="BK79" s="10"/>
      <c r="BL79" s="10"/>
      <c r="BM79" s="10">
        <f>117*2</f>
        <v>234</v>
      </c>
      <c r="BN79" s="10"/>
      <c r="BO79" s="11">
        <f t="shared" si="5"/>
        <v>234</v>
      </c>
      <c r="BP79" s="9">
        <f t="shared" si="5"/>
        <v>0</v>
      </c>
    </row>
    <row r="80" spans="1:68" ht="15.6" thickBot="1" x14ac:dyDescent="0.3">
      <c r="A80" s="25" t="s">
        <v>736</v>
      </c>
      <c r="B80" s="18" t="s">
        <v>41</v>
      </c>
      <c r="C80" s="3">
        <f>LUGLIO!D80</f>
        <v>0</v>
      </c>
      <c r="D80" s="21">
        <f t="shared" si="4"/>
        <v>130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>
        <v>130</v>
      </c>
      <c r="BJ80" s="10"/>
      <c r="BK80" s="10"/>
      <c r="BL80" s="10"/>
      <c r="BM80" s="10"/>
      <c r="BN80" s="10"/>
      <c r="BO80" s="11">
        <f t="shared" si="5"/>
        <v>0</v>
      </c>
      <c r="BP80" s="9">
        <f t="shared" si="5"/>
        <v>0</v>
      </c>
    </row>
    <row r="81" spans="1:68" ht="15.6" thickBot="1" x14ac:dyDescent="0.3">
      <c r="A81" s="25" t="s">
        <v>531</v>
      </c>
      <c r="B81" s="18" t="s">
        <v>272</v>
      </c>
      <c r="C81" s="3">
        <f>LUGLIO!D81</f>
        <v>0</v>
      </c>
      <c r="D81" s="21">
        <f t="shared" si="4"/>
        <v>260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>
        <v>260</v>
      </c>
      <c r="BJ81" s="10"/>
      <c r="BK81" s="10"/>
      <c r="BL81" s="10"/>
      <c r="BM81" s="10"/>
      <c r="BN81" s="10"/>
      <c r="BO81" s="11">
        <f t="shared" si="5"/>
        <v>0</v>
      </c>
      <c r="BP81" s="9">
        <f t="shared" si="5"/>
        <v>0</v>
      </c>
    </row>
    <row r="82" spans="1:68" ht="15.6" thickBot="1" x14ac:dyDescent="0.3">
      <c r="A82" s="25" t="s">
        <v>901</v>
      </c>
      <c r="B82" s="18" t="s">
        <v>116</v>
      </c>
      <c r="C82" s="3">
        <f>LUGLIO!D82</f>
        <v>0</v>
      </c>
      <c r="D82" s="21">
        <f t="shared" si="4"/>
        <v>0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1">
        <f t="shared" si="5"/>
        <v>0</v>
      </c>
      <c r="BP82" s="9">
        <f t="shared" si="5"/>
        <v>0</v>
      </c>
    </row>
    <row r="83" spans="1:68" ht="15.6" thickBot="1" x14ac:dyDescent="0.3">
      <c r="A83" s="25" t="s">
        <v>535</v>
      </c>
      <c r="B83" s="18" t="s">
        <v>223</v>
      </c>
      <c r="C83" s="3">
        <f>LUGLIO!D83</f>
        <v>0</v>
      </c>
      <c r="D83" s="21">
        <f t="shared" si="4"/>
        <v>507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>
        <f>130*3</f>
        <v>390</v>
      </c>
      <c r="BL83" s="10"/>
      <c r="BM83" s="10">
        <v>117</v>
      </c>
      <c r="BN83" s="10"/>
      <c r="BO83" s="11">
        <f t="shared" si="5"/>
        <v>117</v>
      </c>
      <c r="BP83" s="9">
        <f t="shared" si="5"/>
        <v>0</v>
      </c>
    </row>
    <row r="84" spans="1:68" ht="15.6" thickBot="1" x14ac:dyDescent="0.3">
      <c r="A84" s="25" t="s">
        <v>534</v>
      </c>
      <c r="B84" s="18" t="s">
        <v>224</v>
      </c>
      <c r="C84" s="3">
        <f>LUGLIO!D84</f>
        <v>0</v>
      </c>
      <c r="D84" s="21">
        <f t="shared" si="4"/>
        <v>117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>
        <v>117</v>
      </c>
      <c r="BJ84" s="10"/>
      <c r="BK84" s="10"/>
      <c r="BL84" s="10"/>
      <c r="BM84" s="10"/>
      <c r="BN84" s="10"/>
      <c r="BO84" s="11">
        <f t="shared" si="5"/>
        <v>0</v>
      </c>
      <c r="BP84" s="9">
        <f t="shared" si="5"/>
        <v>0</v>
      </c>
    </row>
    <row r="85" spans="1:68" ht="15.6" thickBot="1" x14ac:dyDescent="0.3">
      <c r="A85" s="25" t="s">
        <v>533</v>
      </c>
      <c r="B85" s="18" t="s">
        <v>225</v>
      </c>
      <c r="C85" s="3">
        <f>LUGLIO!D85</f>
        <v>10</v>
      </c>
      <c r="D85" s="21">
        <f t="shared" si="4"/>
        <v>390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>
        <v>-10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>
        <v>260</v>
      </c>
      <c r="BJ85" s="10"/>
      <c r="BK85" s="10">
        <v>130</v>
      </c>
      <c r="BL85" s="10"/>
      <c r="BM85" s="10"/>
      <c r="BN85" s="10"/>
      <c r="BO85" s="11">
        <f t="shared" si="5"/>
        <v>0</v>
      </c>
      <c r="BP85" s="9">
        <f t="shared" si="5"/>
        <v>-10</v>
      </c>
    </row>
    <row r="86" spans="1:68" ht="15.6" thickBot="1" x14ac:dyDescent="0.3">
      <c r="A86" s="25" t="s">
        <v>899</v>
      </c>
      <c r="B86" s="18" t="s">
        <v>900</v>
      </c>
      <c r="C86" s="3">
        <f>LUGLIO!D86</f>
        <v>0</v>
      </c>
      <c r="D86" s="21">
        <f t="shared" si="4"/>
        <v>0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1">
        <f t="shared" si="5"/>
        <v>0</v>
      </c>
      <c r="BP86" s="9">
        <f t="shared" si="5"/>
        <v>0</v>
      </c>
    </row>
    <row r="87" spans="1:68" ht="15.6" thickBot="1" x14ac:dyDescent="0.3">
      <c r="A87" s="25" t="s">
        <v>556</v>
      </c>
      <c r="B87" s="18" t="s">
        <v>555</v>
      </c>
      <c r="C87" s="3">
        <f>LUGLIO!D87</f>
        <v>0</v>
      </c>
      <c r="D87" s="21">
        <f>C87+SUM(E87:BN87)</f>
        <v>0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1">
        <f>BM87+BG87+BE87+BC87+BA87+AY87+AW87+AU87+AS87+AQ87+AO87+AM87+AK87+AI87+AG87+AE87+AC87+AA87+Y87+W87+U87+S87+Q87+O87+M87+K87+I87+G87+E87</f>
        <v>0</v>
      </c>
      <c r="BP87" s="9">
        <f>BN87+BH87+BF87+BD87+BB87+AZ87+AX87+AV87+AT87+AR87+AP87+AN87+AL87+AJ87+AH87+AF87+AD87+AB87+Z87+X87+V87+T87+R87+P87+N87+L87+J87+H87+F87</f>
        <v>0</v>
      </c>
    </row>
    <row r="88" spans="1:68" ht="15.6" thickBot="1" x14ac:dyDescent="0.3">
      <c r="A88" s="25" t="s">
        <v>557</v>
      </c>
      <c r="B88" s="18" t="s">
        <v>507</v>
      </c>
      <c r="C88" s="3">
        <f>LUGLIO!D88</f>
        <v>0</v>
      </c>
      <c r="D88" s="21">
        <f>C88+SUM(E88:BN88)</f>
        <v>0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1">
        <f>BM88+BG88+BE88+BC88+BA88+AY88+AW88+AU88+AS88+AQ88+AO88+AM88+AK88+AI88+AG88+AE88+AC88+AA88+Y88+W88+U88+S88+Q88+O88+M88+K88+I88+G88+E88</f>
        <v>0</v>
      </c>
      <c r="BP88" s="9">
        <f>BN88+BH88+BF88+BD88+BB88+AZ88+AX88+AV88+AT88+AR88+AP88+AN88+AL88+AJ88+AH88+AF88+AD88+AB88+Z88+X88+V88+T88+R88+P88+N88+L88+J88+H88+F88</f>
        <v>0</v>
      </c>
    </row>
    <row r="89" spans="1:68" ht="16.2" thickBot="1" x14ac:dyDescent="0.35">
      <c r="A89" s="25"/>
      <c r="B89" s="23" t="s">
        <v>861</v>
      </c>
      <c r="C89" s="3">
        <f>LUGLIO!D89</f>
        <v>0</v>
      </c>
      <c r="D89" s="21">
        <f t="shared" ref="D89:D91" si="6">C89+SUM(E89:BN89)</f>
        <v>0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1">
        <f t="shared" ref="BO89:BP91" si="7">BM89+BG89+BE89+BC89+BA89+AY89+AW89+AU89+AS89+AQ89+AO89+AM89+AK89+AI89+AG89+AE89+AC89+AA89+Y89+W89+U89+S89+Q89+O89+M89+K89+I89+G89+E89</f>
        <v>0</v>
      </c>
      <c r="BP89" s="9">
        <f t="shared" si="7"/>
        <v>0</v>
      </c>
    </row>
    <row r="90" spans="1:68" ht="15.6" thickBot="1" x14ac:dyDescent="0.3">
      <c r="A90" s="25" t="s">
        <v>862</v>
      </c>
      <c r="B90" s="18" t="s">
        <v>863</v>
      </c>
      <c r="C90" s="3">
        <f>LUGLIO!D90</f>
        <v>810</v>
      </c>
      <c r="D90" s="21">
        <f t="shared" si="6"/>
        <v>1620</v>
      </c>
      <c r="E90" s="10">
        <f>54*2+54*8</f>
        <v>540</v>
      </c>
      <c r="F90" s="10"/>
      <c r="G90" s="10">
        <f>54*8</f>
        <v>432</v>
      </c>
      <c r="H90" s="10"/>
      <c r="I90" s="10"/>
      <c r="J90" s="10"/>
      <c r="K90" s="10"/>
      <c r="L90" s="10"/>
      <c r="M90" s="10">
        <f>12*54</f>
        <v>648</v>
      </c>
      <c r="N90" s="10"/>
      <c r="O90" s="10">
        <f>54*7</f>
        <v>378</v>
      </c>
      <c r="P90" s="10"/>
      <c r="Q90" s="10">
        <v>594</v>
      </c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>
        <v>-1782</v>
      </c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1">
        <f t="shared" si="7"/>
        <v>2592</v>
      </c>
      <c r="BP90" s="9">
        <f t="shared" si="7"/>
        <v>-1782</v>
      </c>
    </row>
    <row r="91" spans="1:68" ht="15.6" thickBot="1" x14ac:dyDescent="0.3">
      <c r="A91" s="25" t="s">
        <v>864</v>
      </c>
      <c r="B91" s="18" t="s">
        <v>865</v>
      </c>
      <c r="C91" s="3">
        <f>LUGLIO!D91</f>
        <v>0</v>
      </c>
      <c r="D91" s="21">
        <f t="shared" si="6"/>
        <v>0</v>
      </c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1">
        <f t="shared" si="7"/>
        <v>0</v>
      </c>
      <c r="BP91" s="9">
        <f t="shared" si="7"/>
        <v>0</v>
      </c>
    </row>
    <row r="92" spans="1:68" ht="16.2" thickBot="1" x14ac:dyDescent="0.35">
      <c r="A92" s="25"/>
      <c r="B92" s="23" t="s">
        <v>167</v>
      </c>
      <c r="C92" s="3">
        <f>LUGLIO!D92</f>
        <v>0</v>
      </c>
      <c r="D92" s="21">
        <f t="shared" si="4"/>
        <v>0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1">
        <f t="shared" si="5"/>
        <v>0</v>
      </c>
      <c r="BP92" s="9">
        <f t="shared" si="5"/>
        <v>0</v>
      </c>
    </row>
    <row r="93" spans="1:68" ht="15.6" thickBot="1" x14ac:dyDescent="0.3">
      <c r="A93" s="25" t="s">
        <v>168</v>
      </c>
      <c r="B93" s="18" t="s">
        <v>107</v>
      </c>
      <c r="C93" s="3">
        <f>LUGLIO!D93</f>
        <v>200</v>
      </c>
      <c r="D93" s="21">
        <f t="shared" si="4"/>
        <v>0</v>
      </c>
      <c r="E93" s="10"/>
      <c r="F93" s="10">
        <v>-200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1">
        <f t="shared" si="5"/>
        <v>0</v>
      </c>
      <c r="BP93" s="9">
        <f t="shared" si="5"/>
        <v>-200</v>
      </c>
    </row>
    <row r="94" spans="1:68" ht="15.6" thickBot="1" x14ac:dyDescent="0.3">
      <c r="A94" s="25" t="s">
        <v>169</v>
      </c>
      <c r="B94" s="18" t="s">
        <v>11</v>
      </c>
      <c r="C94" s="3">
        <f>LUGLIO!D94</f>
        <v>200</v>
      </c>
      <c r="D94" s="21">
        <f t="shared" si="4"/>
        <v>0</v>
      </c>
      <c r="E94" s="10"/>
      <c r="F94" s="10">
        <v>-200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1">
        <f t="shared" si="5"/>
        <v>0</v>
      </c>
      <c r="BP94" s="9">
        <f t="shared" si="5"/>
        <v>-200</v>
      </c>
    </row>
    <row r="95" spans="1:68" ht="15.6" thickBot="1" x14ac:dyDescent="0.3">
      <c r="A95" s="25" t="s">
        <v>170</v>
      </c>
      <c r="B95" s="18" t="s">
        <v>42</v>
      </c>
      <c r="C95" s="3">
        <f>LUGLIO!D95</f>
        <v>200</v>
      </c>
      <c r="D95" s="21">
        <f t="shared" si="4"/>
        <v>0</v>
      </c>
      <c r="E95" s="10"/>
      <c r="F95" s="10">
        <v>-200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1">
        <f t="shared" si="5"/>
        <v>0</v>
      </c>
      <c r="BP95" s="9">
        <f t="shared" si="5"/>
        <v>-200</v>
      </c>
    </row>
    <row r="96" spans="1:68" ht="15.6" thickBot="1" x14ac:dyDescent="0.3">
      <c r="A96" s="25" t="s">
        <v>171</v>
      </c>
      <c r="B96" s="18" t="s">
        <v>43</v>
      </c>
      <c r="C96" s="3">
        <f>LUGLIO!D96</f>
        <v>0</v>
      </c>
      <c r="D96" s="21">
        <f t="shared" si="4"/>
        <v>475</v>
      </c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>
        <f>72*5</f>
        <v>360</v>
      </c>
      <c r="BF96" s="10"/>
      <c r="BG96" s="10">
        <f>72+43</f>
        <v>115</v>
      </c>
      <c r="BH96" s="10"/>
      <c r="BI96" s="10"/>
      <c r="BJ96" s="10"/>
      <c r="BK96" s="10"/>
      <c r="BL96" s="10"/>
      <c r="BM96" s="10"/>
      <c r="BN96" s="10"/>
      <c r="BO96" s="11">
        <f t="shared" si="5"/>
        <v>475</v>
      </c>
      <c r="BP96" s="9">
        <f t="shared" si="5"/>
        <v>0</v>
      </c>
    </row>
    <row r="97" spans="1:68" ht="15.6" thickBot="1" x14ac:dyDescent="0.3">
      <c r="A97" s="25" t="s">
        <v>172</v>
      </c>
      <c r="B97" s="18" t="s">
        <v>44</v>
      </c>
      <c r="C97" s="3">
        <f>LUGLIO!D97</f>
        <v>0</v>
      </c>
      <c r="D97" s="21">
        <f t="shared" si="4"/>
        <v>0</v>
      </c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1">
        <f t="shared" si="5"/>
        <v>0</v>
      </c>
      <c r="BP97" s="9">
        <f t="shared" si="5"/>
        <v>0</v>
      </c>
    </row>
    <row r="98" spans="1:68" ht="15.6" thickBot="1" x14ac:dyDescent="0.3">
      <c r="A98" s="25" t="s">
        <v>173</v>
      </c>
      <c r="B98" s="18" t="s">
        <v>45</v>
      </c>
      <c r="C98" s="3">
        <f>LUGLIO!D98</f>
        <v>0</v>
      </c>
      <c r="D98" s="21">
        <f t="shared" si="4"/>
        <v>0</v>
      </c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1">
        <f t="shared" si="5"/>
        <v>0</v>
      </c>
      <c r="BP98" s="9">
        <f t="shared" si="5"/>
        <v>0</v>
      </c>
    </row>
    <row r="99" spans="1:68" ht="15.6" thickBot="1" x14ac:dyDescent="0.3">
      <c r="A99" s="25" t="s">
        <v>505</v>
      </c>
      <c r="B99" s="18" t="s">
        <v>504</v>
      </c>
      <c r="C99" s="3">
        <f>LUGLIO!D99</f>
        <v>200</v>
      </c>
      <c r="D99" s="21">
        <f t="shared" si="4"/>
        <v>0</v>
      </c>
      <c r="E99" s="10"/>
      <c r="F99" s="10">
        <v>-200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1">
        <f t="shared" si="5"/>
        <v>0</v>
      </c>
      <c r="BP99" s="9">
        <f t="shared" si="5"/>
        <v>-200</v>
      </c>
    </row>
    <row r="100" spans="1:68" ht="15.6" thickBot="1" x14ac:dyDescent="0.3">
      <c r="A100" s="25" t="s">
        <v>270</v>
      </c>
      <c r="B100" s="18" t="s">
        <v>76</v>
      </c>
      <c r="C100" s="3">
        <f>LUGLIO!D100</f>
        <v>100</v>
      </c>
      <c r="D100" s="21">
        <f t="shared" si="4"/>
        <v>0</v>
      </c>
      <c r="E100" s="10"/>
      <c r="F100" s="10">
        <v>-100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1">
        <f t="shared" si="5"/>
        <v>0</v>
      </c>
      <c r="BP100" s="9">
        <f t="shared" si="5"/>
        <v>-100</v>
      </c>
    </row>
    <row r="101" spans="1:68" ht="15.6" thickBot="1" x14ac:dyDescent="0.3">
      <c r="A101" s="25" t="s">
        <v>271</v>
      </c>
      <c r="B101" s="18" t="s">
        <v>272</v>
      </c>
      <c r="C101" s="3">
        <f>LUGLIO!D101</f>
        <v>250</v>
      </c>
      <c r="D101" s="21">
        <f t="shared" si="4"/>
        <v>0</v>
      </c>
      <c r="E101" s="10"/>
      <c r="F101" s="10">
        <v>-250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1">
        <f t="shared" si="5"/>
        <v>0</v>
      </c>
      <c r="BP101" s="9">
        <f t="shared" si="5"/>
        <v>-250</v>
      </c>
    </row>
    <row r="102" spans="1:68" ht="15.6" thickBot="1" x14ac:dyDescent="0.3">
      <c r="A102" s="25" t="s">
        <v>265</v>
      </c>
      <c r="B102" s="18" t="s">
        <v>268</v>
      </c>
      <c r="C102" s="3">
        <f>LUGLIO!D102</f>
        <v>0</v>
      </c>
      <c r="D102" s="21">
        <f t="shared" si="4"/>
        <v>0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1">
        <f t="shared" si="5"/>
        <v>0</v>
      </c>
      <c r="BP102" s="9">
        <f t="shared" si="5"/>
        <v>0</v>
      </c>
    </row>
    <row r="103" spans="1:68" ht="15.6" thickBot="1" x14ac:dyDescent="0.3">
      <c r="A103" s="25" t="s">
        <v>266</v>
      </c>
      <c r="B103" s="18" t="s">
        <v>269</v>
      </c>
      <c r="C103" s="3">
        <f>LUGLIO!D103</f>
        <v>200</v>
      </c>
      <c r="D103" s="21">
        <f t="shared" si="4"/>
        <v>250</v>
      </c>
      <c r="E103" s="10"/>
      <c r="F103" s="10">
        <v>-200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>
        <f>72+72+72+34</f>
        <v>250</v>
      </c>
      <c r="BH103" s="10"/>
      <c r="BI103" s="10"/>
      <c r="BJ103" s="10"/>
      <c r="BK103" s="10"/>
      <c r="BL103" s="10"/>
      <c r="BM103" s="10"/>
      <c r="BN103" s="10"/>
      <c r="BO103" s="11">
        <f t="shared" si="5"/>
        <v>250</v>
      </c>
      <c r="BP103" s="9">
        <f t="shared" si="5"/>
        <v>-200</v>
      </c>
    </row>
    <row r="104" spans="1:68" ht="15.6" thickBot="1" x14ac:dyDescent="0.3">
      <c r="A104" s="25" t="s">
        <v>267</v>
      </c>
      <c r="B104" s="18" t="s">
        <v>116</v>
      </c>
      <c r="C104" s="3">
        <f>LUGLIO!D104</f>
        <v>150</v>
      </c>
      <c r="D104" s="21">
        <f t="shared" si="4"/>
        <v>0</v>
      </c>
      <c r="E104" s="10"/>
      <c r="F104" s="10">
        <v>-150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1">
        <f t="shared" si="5"/>
        <v>0</v>
      </c>
      <c r="BP104" s="9">
        <f t="shared" si="5"/>
        <v>-150</v>
      </c>
    </row>
    <row r="105" spans="1:68" ht="15.6" thickBot="1" x14ac:dyDescent="0.3">
      <c r="A105" s="25" t="s">
        <v>174</v>
      </c>
      <c r="B105" s="18" t="s">
        <v>77</v>
      </c>
      <c r="C105" s="3">
        <f>LUGLIO!D105</f>
        <v>0</v>
      </c>
      <c r="D105" s="21">
        <f t="shared" si="4"/>
        <v>0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1">
        <f t="shared" si="5"/>
        <v>0</v>
      </c>
      <c r="BP105" s="9">
        <f t="shared" si="5"/>
        <v>0</v>
      </c>
    </row>
    <row r="106" spans="1:68" ht="15.6" thickBot="1" x14ac:dyDescent="0.3">
      <c r="A106" s="25" t="s">
        <v>175</v>
      </c>
      <c r="B106" s="18" t="s">
        <v>176</v>
      </c>
      <c r="C106" s="3">
        <f>LUGLIO!D106</f>
        <v>0</v>
      </c>
      <c r="D106" s="21">
        <f t="shared" si="4"/>
        <v>0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1">
        <f t="shared" si="5"/>
        <v>0</v>
      </c>
      <c r="BP106" s="9">
        <f t="shared" si="5"/>
        <v>0</v>
      </c>
    </row>
    <row r="107" spans="1:68" ht="15.6" thickBot="1" x14ac:dyDescent="0.3">
      <c r="A107" s="25" t="s">
        <v>587</v>
      </c>
      <c r="B107" s="18" t="s">
        <v>488</v>
      </c>
      <c r="C107" s="3">
        <f>LUGLIO!D107</f>
        <v>150</v>
      </c>
      <c r="D107" s="21">
        <f t="shared" si="4"/>
        <v>0</v>
      </c>
      <c r="E107" s="10"/>
      <c r="F107" s="10">
        <v>-150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1">
        <f t="shared" si="5"/>
        <v>0</v>
      </c>
      <c r="BP107" s="9">
        <f t="shared" si="5"/>
        <v>-150</v>
      </c>
    </row>
    <row r="108" spans="1:68" ht="15.6" thickBot="1" x14ac:dyDescent="0.3">
      <c r="A108" s="25" t="s">
        <v>588</v>
      </c>
      <c r="B108" s="18" t="s">
        <v>489</v>
      </c>
      <c r="C108" s="3">
        <f>LUGLIO!D108</f>
        <v>150</v>
      </c>
      <c r="D108" s="21">
        <f t="shared" si="4"/>
        <v>0</v>
      </c>
      <c r="E108" s="10"/>
      <c r="F108" s="10">
        <v>-150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1">
        <f t="shared" si="5"/>
        <v>0</v>
      </c>
      <c r="BP108" s="9">
        <f t="shared" si="5"/>
        <v>-150</v>
      </c>
    </row>
    <row r="109" spans="1:68" ht="15.6" thickBot="1" x14ac:dyDescent="0.3">
      <c r="A109" s="25" t="s">
        <v>743</v>
      </c>
      <c r="B109" s="18" t="s">
        <v>510</v>
      </c>
      <c r="C109" s="3">
        <f>LUGLIO!D109</f>
        <v>0</v>
      </c>
      <c r="D109" s="21">
        <f t="shared" si="4"/>
        <v>0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1">
        <f t="shared" si="5"/>
        <v>0</v>
      </c>
      <c r="BP109" s="9">
        <f t="shared" si="5"/>
        <v>0</v>
      </c>
    </row>
    <row r="110" spans="1:68" ht="16.2" thickBot="1" x14ac:dyDescent="0.35">
      <c r="A110" s="25"/>
      <c r="B110" s="23" t="s">
        <v>455</v>
      </c>
      <c r="C110" s="3">
        <f>LUGLIO!D110</f>
        <v>0</v>
      </c>
      <c r="D110" s="21">
        <f t="shared" si="4"/>
        <v>0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1">
        <f t="shared" si="5"/>
        <v>0</v>
      </c>
      <c r="BP110" s="9">
        <f t="shared" si="5"/>
        <v>0</v>
      </c>
    </row>
    <row r="111" spans="1:68" ht="15.6" thickBot="1" x14ac:dyDescent="0.3">
      <c r="A111" s="25" t="s">
        <v>612</v>
      </c>
      <c r="B111" s="26" t="s">
        <v>433</v>
      </c>
      <c r="C111" s="3">
        <f>LUGLIO!D111</f>
        <v>0</v>
      </c>
      <c r="D111" s="21">
        <f t="shared" si="4"/>
        <v>0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1">
        <f t="shared" si="5"/>
        <v>0</v>
      </c>
      <c r="BP111" s="9">
        <f t="shared" si="5"/>
        <v>0</v>
      </c>
    </row>
    <row r="112" spans="1:68" ht="15.6" thickBot="1" x14ac:dyDescent="0.3">
      <c r="A112" s="25" t="s">
        <v>759</v>
      </c>
      <c r="B112" s="26" t="s">
        <v>434</v>
      </c>
      <c r="C112" s="3">
        <f>LUGLIO!D112</f>
        <v>0</v>
      </c>
      <c r="D112" s="21">
        <f t="shared" si="4"/>
        <v>0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1">
        <f t="shared" si="5"/>
        <v>0</v>
      </c>
      <c r="BP112" s="9">
        <f t="shared" si="5"/>
        <v>0</v>
      </c>
    </row>
    <row r="113" spans="1:68" ht="15.6" thickBot="1" x14ac:dyDescent="0.3">
      <c r="A113" s="25" t="s">
        <v>611</v>
      </c>
      <c r="B113" s="26" t="s">
        <v>435</v>
      </c>
      <c r="C113" s="3">
        <f>LUGLIO!D113</f>
        <v>0</v>
      </c>
      <c r="D113" s="21">
        <f t="shared" si="4"/>
        <v>0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1">
        <f t="shared" si="5"/>
        <v>0</v>
      </c>
      <c r="BP113" s="9">
        <f t="shared" si="5"/>
        <v>0</v>
      </c>
    </row>
    <row r="114" spans="1:68" ht="15.6" thickBot="1" x14ac:dyDescent="0.3">
      <c r="A114" s="25" t="s">
        <v>825</v>
      </c>
      <c r="B114" s="18" t="s">
        <v>436</v>
      </c>
      <c r="C114" s="3">
        <f>LUGLIO!D114</f>
        <v>0</v>
      </c>
      <c r="D114" s="21">
        <f t="shared" si="4"/>
        <v>0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1">
        <f t="shared" si="5"/>
        <v>0</v>
      </c>
      <c r="BP114" s="9">
        <f t="shared" si="5"/>
        <v>0</v>
      </c>
    </row>
    <row r="115" spans="1:68" ht="15.6" thickBot="1" x14ac:dyDescent="0.3">
      <c r="A115" s="25" t="s">
        <v>179</v>
      </c>
      <c r="B115" s="26" t="s">
        <v>46</v>
      </c>
      <c r="C115" s="3">
        <f>LUGLIO!D115</f>
        <v>0</v>
      </c>
      <c r="D115" s="21">
        <f t="shared" si="4"/>
        <v>0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1">
        <f t="shared" si="5"/>
        <v>0</v>
      </c>
      <c r="BP115" s="9">
        <f t="shared" si="5"/>
        <v>0</v>
      </c>
    </row>
    <row r="116" spans="1:68" ht="15.6" thickBot="1" x14ac:dyDescent="0.3">
      <c r="A116" s="25" t="s">
        <v>180</v>
      </c>
      <c r="B116" s="26" t="s">
        <v>47</v>
      </c>
      <c r="C116" s="3">
        <f>LUGLIO!D116</f>
        <v>5</v>
      </c>
      <c r="D116" s="21">
        <f t="shared" si="4"/>
        <v>0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>
        <v>-5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1">
        <f t="shared" si="5"/>
        <v>0</v>
      </c>
      <c r="BP116" s="9">
        <f t="shared" si="5"/>
        <v>-5</v>
      </c>
    </row>
    <row r="117" spans="1:68" ht="15.6" thickBot="1" x14ac:dyDescent="0.3">
      <c r="A117" s="25" t="s">
        <v>740</v>
      </c>
      <c r="B117" s="26" t="s">
        <v>437</v>
      </c>
      <c r="C117" s="3">
        <f>LUGLIO!D117</f>
        <v>0</v>
      </c>
      <c r="D117" s="21">
        <f t="shared" si="4"/>
        <v>0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1">
        <f t="shared" si="5"/>
        <v>0</v>
      </c>
      <c r="BP117" s="9">
        <f t="shared" si="5"/>
        <v>0</v>
      </c>
    </row>
    <row r="118" spans="1:68" ht="15.6" thickBot="1" x14ac:dyDescent="0.3">
      <c r="A118" s="25" t="s">
        <v>178</v>
      </c>
      <c r="B118" s="26" t="s">
        <v>177</v>
      </c>
      <c r="C118" s="3">
        <f>LUGLIO!D118</f>
        <v>0</v>
      </c>
      <c r="D118" s="21">
        <f t="shared" si="4"/>
        <v>0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1">
        <f t="shared" si="5"/>
        <v>0</v>
      </c>
      <c r="BP118" s="9">
        <f t="shared" si="5"/>
        <v>0</v>
      </c>
    </row>
    <row r="119" spans="1:68" ht="15.6" thickBot="1" x14ac:dyDescent="0.3">
      <c r="A119" s="25" t="s">
        <v>869</v>
      </c>
      <c r="B119" s="26" t="s">
        <v>261</v>
      </c>
      <c r="C119" s="3">
        <f>LUGLIO!D119</f>
        <v>0</v>
      </c>
      <c r="D119" s="21">
        <f t="shared" si="4"/>
        <v>0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1">
        <f t="shared" si="5"/>
        <v>0</v>
      </c>
      <c r="BP119" s="9">
        <f t="shared" si="5"/>
        <v>0</v>
      </c>
    </row>
    <row r="120" spans="1:68" ht="16.2" thickBot="1" x14ac:dyDescent="0.35">
      <c r="A120" s="25"/>
      <c r="B120" s="20" t="s">
        <v>744</v>
      </c>
      <c r="C120" s="3">
        <f>LUGLIO!D120</f>
        <v>0</v>
      </c>
      <c r="D120" s="21">
        <f t="shared" si="4"/>
        <v>0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1">
        <f t="shared" si="5"/>
        <v>0</v>
      </c>
      <c r="BP120" s="9">
        <f t="shared" si="5"/>
        <v>0</v>
      </c>
    </row>
    <row r="121" spans="1:68" ht="15.6" thickBot="1" x14ac:dyDescent="0.3">
      <c r="A121" s="25" t="s">
        <v>745</v>
      </c>
      <c r="B121" s="26" t="s">
        <v>836</v>
      </c>
      <c r="C121" s="3">
        <f>LUGLIO!D121</f>
        <v>0</v>
      </c>
      <c r="D121" s="21">
        <f t="shared" si="4"/>
        <v>0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1">
        <f t="shared" si="5"/>
        <v>0</v>
      </c>
      <c r="BP121" s="9">
        <f t="shared" si="5"/>
        <v>0</v>
      </c>
    </row>
    <row r="122" spans="1:68" ht="15.6" thickBot="1" x14ac:dyDescent="0.3">
      <c r="A122" s="25" t="s">
        <v>746</v>
      </c>
      <c r="B122" s="26" t="s">
        <v>751</v>
      </c>
      <c r="C122" s="3">
        <f>LUGLIO!D122</f>
        <v>0</v>
      </c>
      <c r="D122" s="21">
        <f t="shared" si="4"/>
        <v>0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1">
        <f t="shared" si="5"/>
        <v>0</v>
      </c>
      <c r="BP122" s="9">
        <f t="shared" si="5"/>
        <v>0</v>
      </c>
    </row>
    <row r="123" spans="1:68" ht="15.6" thickBot="1" x14ac:dyDescent="0.3">
      <c r="A123" s="25" t="s">
        <v>747</v>
      </c>
      <c r="B123" s="26" t="s">
        <v>748</v>
      </c>
      <c r="C123" s="3">
        <f>LUGLIO!D123</f>
        <v>0</v>
      </c>
      <c r="D123" s="21">
        <f t="shared" si="4"/>
        <v>0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1">
        <f t="shared" si="5"/>
        <v>0</v>
      </c>
      <c r="BP123" s="9">
        <f t="shared" si="5"/>
        <v>0</v>
      </c>
    </row>
    <row r="124" spans="1:68" ht="15.6" thickBot="1" x14ac:dyDescent="0.3">
      <c r="A124" s="25" t="s">
        <v>511</v>
      </c>
      <c r="B124" s="26" t="s">
        <v>754</v>
      </c>
      <c r="C124" s="3">
        <f>LUGLIO!D124</f>
        <v>0</v>
      </c>
      <c r="D124" s="21">
        <f t="shared" si="4"/>
        <v>0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1">
        <f t="shared" si="5"/>
        <v>0</v>
      </c>
      <c r="BP124" s="9">
        <f t="shared" si="5"/>
        <v>0</v>
      </c>
    </row>
    <row r="125" spans="1:68" ht="15.6" thickBot="1" x14ac:dyDescent="0.3">
      <c r="A125" s="25" t="s">
        <v>783</v>
      </c>
      <c r="B125" s="26" t="s">
        <v>5</v>
      </c>
      <c r="C125" s="3">
        <f>LUGLIO!D125</f>
        <v>0</v>
      </c>
      <c r="D125" s="21">
        <f t="shared" si="4"/>
        <v>0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1">
        <f t="shared" si="5"/>
        <v>0</v>
      </c>
      <c r="BP125" s="9">
        <f t="shared" si="5"/>
        <v>0</v>
      </c>
    </row>
    <row r="126" spans="1:68" ht="15.6" thickBot="1" x14ac:dyDescent="0.3">
      <c r="A126" s="25" t="s">
        <v>780</v>
      </c>
      <c r="B126" s="26" t="s">
        <v>781</v>
      </c>
      <c r="C126" s="3">
        <f>LUGLIO!D126</f>
        <v>0</v>
      </c>
      <c r="D126" s="21">
        <f t="shared" si="4"/>
        <v>0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1">
        <f t="shared" si="5"/>
        <v>0</v>
      </c>
      <c r="BP126" s="9">
        <f t="shared" si="5"/>
        <v>0</v>
      </c>
    </row>
    <row r="127" spans="1:68" ht="15.6" thickBot="1" x14ac:dyDescent="0.3">
      <c r="A127" s="25" t="s">
        <v>782</v>
      </c>
      <c r="B127" s="26" t="s">
        <v>6</v>
      </c>
      <c r="C127" s="3">
        <f>LUGLIO!D127</f>
        <v>0</v>
      </c>
      <c r="D127" s="21">
        <f t="shared" si="4"/>
        <v>0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1">
        <f t="shared" si="5"/>
        <v>0</v>
      </c>
      <c r="BP127" s="9">
        <f t="shared" si="5"/>
        <v>0</v>
      </c>
    </row>
    <row r="128" spans="1:68" ht="15.6" thickBot="1" x14ac:dyDescent="0.3">
      <c r="A128" s="25"/>
      <c r="B128" s="26"/>
      <c r="C128" s="3">
        <f>LUGLIO!D128</f>
        <v>0</v>
      </c>
      <c r="D128" s="21">
        <f t="shared" si="4"/>
        <v>0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1">
        <f t="shared" si="5"/>
        <v>0</v>
      </c>
      <c r="BP128" s="9">
        <f t="shared" si="5"/>
        <v>0</v>
      </c>
    </row>
    <row r="129" spans="1:68" ht="16.2" thickBot="1" x14ac:dyDescent="0.35">
      <c r="A129" s="25"/>
      <c r="B129" s="23" t="s">
        <v>458</v>
      </c>
      <c r="C129" s="3">
        <f>LUGLIO!D129</f>
        <v>0</v>
      </c>
      <c r="D129" s="21">
        <f t="shared" si="4"/>
        <v>0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1">
        <f t="shared" si="5"/>
        <v>0</v>
      </c>
      <c r="BP129" s="9">
        <f t="shared" si="5"/>
        <v>0</v>
      </c>
    </row>
    <row r="130" spans="1:68" ht="15.6" thickBot="1" x14ac:dyDescent="0.3">
      <c r="A130" s="25" t="s">
        <v>598</v>
      </c>
      <c r="B130" s="26" t="s">
        <v>459</v>
      </c>
      <c r="C130" s="3">
        <f>LUGLIO!D130</f>
        <v>0</v>
      </c>
      <c r="D130" s="21">
        <f t="shared" si="4"/>
        <v>0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1">
        <f t="shared" si="5"/>
        <v>0</v>
      </c>
      <c r="BP130" s="9">
        <f t="shared" si="5"/>
        <v>0</v>
      </c>
    </row>
    <row r="131" spans="1:68" ht="15.6" thickBot="1" x14ac:dyDescent="0.3">
      <c r="A131" s="25" t="s">
        <v>597</v>
      </c>
      <c r="B131" s="26" t="s">
        <v>176</v>
      </c>
      <c r="C131" s="3">
        <f>LUGLIO!D131</f>
        <v>0</v>
      </c>
      <c r="D131" s="21">
        <f t="shared" si="4"/>
        <v>0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1">
        <f t="shared" si="5"/>
        <v>0</v>
      </c>
      <c r="BP131" s="9">
        <f t="shared" si="5"/>
        <v>0</v>
      </c>
    </row>
    <row r="132" spans="1:68" ht="15.6" thickBot="1" x14ac:dyDescent="0.3">
      <c r="A132" s="25" t="s">
        <v>620</v>
      </c>
      <c r="B132" s="26" t="s">
        <v>460</v>
      </c>
      <c r="C132" s="3">
        <f>LUGLIO!D132</f>
        <v>0</v>
      </c>
      <c r="D132" s="21">
        <f t="shared" si="4"/>
        <v>0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1">
        <f t="shared" si="5"/>
        <v>0</v>
      </c>
      <c r="BP132" s="9">
        <f t="shared" si="5"/>
        <v>0</v>
      </c>
    </row>
    <row r="133" spans="1:68" ht="16.2" thickBot="1" x14ac:dyDescent="0.35">
      <c r="A133" s="25"/>
      <c r="B133" s="23" t="s">
        <v>634</v>
      </c>
      <c r="C133" s="3">
        <f>LUGLIO!D133</f>
        <v>0</v>
      </c>
      <c r="D133" s="21">
        <f t="shared" si="4"/>
        <v>0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1">
        <f t="shared" si="5"/>
        <v>0</v>
      </c>
      <c r="BP133" s="9">
        <f t="shared" si="5"/>
        <v>0</v>
      </c>
    </row>
    <row r="134" spans="1:68" ht="15.6" thickBot="1" x14ac:dyDescent="0.3">
      <c r="A134" s="25" t="s">
        <v>631</v>
      </c>
      <c r="B134" s="26" t="s">
        <v>48</v>
      </c>
      <c r="C134" s="3">
        <f>LUGLIO!D134</f>
        <v>0</v>
      </c>
      <c r="D134" s="21">
        <f t="shared" si="4"/>
        <v>0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1">
        <f t="shared" si="5"/>
        <v>0</v>
      </c>
      <c r="BP134" s="9">
        <f t="shared" si="5"/>
        <v>0</v>
      </c>
    </row>
    <row r="135" spans="1:68" ht="15.6" thickBot="1" x14ac:dyDescent="0.3">
      <c r="A135" s="25" t="s">
        <v>633</v>
      </c>
      <c r="B135" s="26" t="s">
        <v>49</v>
      </c>
      <c r="C135" s="3">
        <f>LUGLIO!D135</f>
        <v>0</v>
      </c>
      <c r="D135" s="21">
        <f t="shared" si="4"/>
        <v>0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1">
        <f t="shared" si="5"/>
        <v>0</v>
      </c>
      <c r="BP135" s="9">
        <f t="shared" si="5"/>
        <v>0</v>
      </c>
    </row>
    <row r="136" spans="1:68" ht="15.6" thickBot="1" x14ac:dyDescent="0.3">
      <c r="A136" s="25" t="s">
        <v>632</v>
      </c>
      <c r="B136" s="26" t="s">
        <v>50</v>
      </c>
      <c r="C136" s="3">
        <f>LUGLIO!D136</f>
        <v>0</v>
      </c>
      <c r="D136" s="21">
        <f t="shared" si="4"/>
        <v>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1">
        <f t="shared" si="5"/>
        <v>0</v>
      </c>
      <c r="BP136" s="9">
        <f t="shared" si="5"/>
        <v>0</v>
      </c>
    </row>
    <row r="137" spans="1:68" ht="16.2" thickBot="1" x14ac:dyDescent="0.35">
      <c r="A137" s="25"/>
      <c r="B137" s="20" t="s">
        <v>453</v>
      </c>
      <c r="C137" s="3">
        <f>LUGLIO!D137</f>
        <v>0</v>
      </c>
      <c r="D137" s="21">
        <f t="shared" si="4"/>
        <v>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1">
        <f t="shared" si="5"/>
        <v>0</v>
      </c>
      <c r="BP137" s="9">
        <f t="shared" si="5"/>
        <v>0</v>
      </c>
    </row>
    <row r="138" spans="1:68" ht="15.6" thickBot="1" x14ac:dyDescent="0.3">
      <c r="A138" s="25" t="s">
        <v>285</v>
      </c>
      <c r="B138" s="26" t="s">
        <v>51</v>
      </c>
      <c r="C138" s="3">
        <f>LUGLIO!D138</f>
        <v>0</v>
      </c>
      <c r="D138" s="21">
        <f t="shared" si="4"/>
        <v>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1">
        <f t="shared" si="5"/>
        <v>0</v>
      </c>
      <c r="BP138" s="9">
        <f t="shared" si="5"/>
        <v>0</v>
      </c>
    </row>
    <row r="139" spans="1:68" ht="15.6" thickBot="1" x14ac:dyDescent="0.3">
      <c r="A139" s="25" t="s">
        <v>286</v>
      </c>
      <c r="B139" s="26" t="s">
        <v>52</v>
      </c>
      <c r="C139" s="3">
        <f>LUGLIO!D139</f>
        <v>0</v>
      </c>
      <c r="D139" s="21">
        <f t="shared" si="4"/>
        <v>0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1">
        <f t="shared" si="5"/>
        <v>0</v>
      </c>
      <c r="BP139" s="9">
        <f t="shared" si="5"/>
        <v>0</v>
      </c>
    </row>
    <row r="140" spans="1:68" ht="15.6" thickBot="1" x14ac:dyDescent="0.3">
      <c r="A140" s="25" t="s">
        <v>287</v>
      </c>
      <c r="B140" s="26" t="s">
        <v>53</v>
      </c>
      <c r="C140" s="3">
        <f>LUGLIO!D140</f>
        <v>0</v>
      </c>
      <c r="D140" s="21">
        <f t="shared" si="4"/>
        <v>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1">
        <f t="shared" si="5"/>
        <v>0</v>
      </c>
      <c r="BP140" s="9">
        <f t="shared" si="5"/>
        <v>0</v>
      </c>
    </row>
    <row r="141" spans="1:68" ht="15.6" thickBot="1" x14ac:dyDescent="0.3">
      <c r="A141" s="25" t="s">
        <v>288</v>
      </c>
      <c r="B141" s="26" t="s">
        <v>54</v>
      </c>
      <c r="C141" s="3">
        <f>LUGLIO!D141</f>
        <v>0</v>
      </c>
      <c r="D141" s="21">
        <f t="shared" si="4"/>
        <v>0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1">
        <f t="shared" si="5"/>
        <v>0</v>
      </c>
      <c r="BP141" s="9">
        <f t="shared" si="5"/>
        <v>0</v>
      </c>
    </row>
    <row r="142" spans="1:68" ht="15.6" thickBot="1" x14ac:dyDescent="0.3">
      <c r="A142" s="25" t="s">
        <v>550</v>
      </c>
      <c r="B142" s="26" t="s">
        <v>551</v>
      </c>
      <c r="C142" s="3">
        <f>LUGLIO!D142</f>
        <v>0</v>
      </c>
      <c r="D142" s="21">
        <f t="shared" ref="D142:D205" si="8">C142+SUM(E142:BN142)</f>
        <v>0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1">
        <f t="shared" si="5"/>
        <v>0</v>
      </c>
      <c r="BP142" s="9">
        <f t="shared" si="5"/>
        <v>0</v>
      </c>
    </row>
    <row r="143" spans="1:68" ht="16.2" thickBot="1" x14ac:dyDescent="0.35">
      <c r="A143" s="25"/>
      <c r="B143" s="20" t="s">
        <v>452</v>
      </c>
      <c r="C143" s="3">
        <f>LUGLIO!D143</f>
        <v>0</v>
      </c>
      <c r="D143" s="21">
        <f t="shared" si="8"/>
        <v>0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1">
        <f t="shared" ref="BO143:BP206" si="9">BM143+BG143+BE143+BC143+BA143+AY143+AW143+AU143+AS143+AQ143+AO143+AM143+AK143+AI143+AG143+AE143+AC143+AA143+Y143+W143+U143+S143+Q143+O143+M143+K143+I143+G143+E143</f>
        <v>0</v>
      </c>
      <c r="BP143" s="9">
        <f t="shared" si="9"/>
        <v>0</v>
      </c>
    </row>
    <row r="144" spans="1:68" ht="15.6" thickBot="1" x14ac:dyDescent="0.3">
      <c r="A144" s="25" t="s">
        <v>289</v>
      </c>
      <c r="B144" s="26" t="s">
        <v>55</v>
      </c>
      <c r="C144" s="3">
        <f>LUGLIO!D144</f>
        <v>0</v>
      </c>
      <c r="D144" s="21">
        <f t="shared" si="8"/>
        <v>0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1">
        <f t="shared" si="9"/>
        <v>0</v>
      </c>
      <c r="BP144" s="9">
        <f t="shared" si="9"/>
        <v>0</v>
      </c>
    </row>
    <row r="145" spans="1:68" ht="15.6" thickBot="1" x14ac:dyDescent="0.3">
      <c r="A145" s="25" t="s">
        <v>290</v>
      </c>
      <c r="B145" s="26" t="s">
        <v>9</v>
      </c>
      <c r="C145" s="3">
        <f>LUGLIO!D145</f>
        <v>0</v>
      </c>
      <c r="D145" s="21">
        <f t="shared" si="8"/>
        <v>0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1">
        <f t="shared" si="9"/>
        <v>0</v>
      </c>
      <c r="BP145" s="9">
        <f t="shared" si="9"/>
        <v>0</v>
      </c>
    </row>
    <row r="146" spans="1:68" ht="15.6" thickBot="1" x14ac:dyDescent="0.3">
      <c r="A146" s="25" t="s">
        <v>291</v>
      </c>
      <c r="B146" s="26" t="s">
        <v>56</v>
      </c>
      <c r="C146" s="3">
        <f>LUGLIO!D146</f>
        <v>0</v>
      </c>
      <c r="D146" s="21">
        <f t="shared" si="8"/>
        <v>0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1">
        <f t="shared" si="9"/>
        <v>0</v>
      </c>
      <c r="BP146" s="9">
        <f t="shared" si="9"/>
        <v>0</v>
      </c>
    </row>
    <row r="147" spans="1:68" ht="16.2" thickBot="1" x14ac:dyDescent="0.35">
      <c r="A147" s="25"/>
      <c r="B147" s="20" t="s">
        <v>467</v>
      </c>
      <c r="C147" s="3">
        <f>LUGLIO!D147</f>
        <v>0</v>
      </c>
      <c r="D147" s="21">
        <f t="shared" si="8"/>
        <v>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1">
        <f t="shared" si="9"/>
        <v>0</v>
      </c>
      <c r="BP147" s="9">
        <f t="shared" si="9"/>
        <v>0</v>
      </c>
    </row>
    <row r="148" spans="1:68" ht="15.6" thickBot="1" x14ac:dyDescent="0.3">
      <c r="A148" s="25" t="s">
        <v>674</v>
      </c>
      <c r="B148" s="26" t="s">
        <v>55</v>
      </c>
      <c r="C148" s="3">
        <f>LUGLIO!D148</f>
        <v>0</v>
      </c>
      <c r="D148" s="21">
        <f t="shared" si="8"/>
        <v>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1">
        <f t="shared" si="9"/>
        <v>0</v>
      </c>
      <c r="BP148" s="9">
        <f t="shared" si="9"/>
        <v>0</v>
      </c>
    </row>
    <row r="149" spans="1:68" ht="15.6" thickBot="1" x14ac:dyDescent="0.3">
      <c r="A149" s="25" t="s">
        <v>675</v>
      </c>
      <c r="B149" s="26" t="s">
        <v>9</v>
      </c>
      <c r="C149" s="3">
        <f>LUGLIO!D149</f>
        <v>0</v>
      </c>
      <c r="D149" s="21">
        <f t="shared" si="8"/>
        <v>0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1">
        <f t="shared" si="9"/>
        <v>0</v>
      </c>
      <c r="BP149" s="9">
        <f t="shared" si="9"/>
        <v>0</v>
      </c>
    </row>
    <row r="150" spans="1:68" ht="16.2" thickBot="1" x14ac:dyDescent="0.35">
      <c r="A150" s="25"/>
      <c r="B150" s="20" t="s">
        <v>463</v>
      </c>
      <c r="C150" s="3">
        <f>LUGLIO!D150</f>
        <v>0</v>
      </c>
      <c r="D150" s="21">
        <f t="shared" si="8"/>
        <v>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1">
        <f t="shared" si="9"/>
        <v>0</v>
      </c>
      <c r="BP150" s="9">
        <f t="shared" si="9"/>
        <v>0</v>
      </c>
    </row>
    <row r="151" spans="1:68" ht="15.6" thickBot="1" x14ac:dyDescent="0.3">
      <c r="A151" s="25" t="s">
        <v>545</v>
      </c>
      <c r="B151" s="26" t="s">
        <v>464</v>
      </c>
      <c r="C151" s="3">
        <f>LUGLIO!D151</f>
        <v>0</v>
      </c>
      <c r="D151" s="21">
        <f t="shared" si="8"/>
        <v>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1">
        <f t="shared" si="9"/>
        <v>0</v>
      </c>
      <c r="BP151" s="9">
        <f t="shared" si="9"/>
        <v>0</v>
      </c>
    </row>
    <row r="152" spans="1:68" ht="15.6" thickBot="1" x14ac:dyDescent="0.3">
      <c r="A152" s="25" t="s">
        <v>562</v>
      </c>
      <c r="B152" s="26" t="s">
        <v>465</v>
      </c>
      <c r="C152" s="3">
        <f>LUGLIO!D152</f>
        <v>0</v>
      </c>
      <c r="D152" s="21">
        <f t="shared" si="8"/>
        <v>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1">
        <f t="shared" si="9"/>
        <v>0</v>
      </c>
      <c r="BP152" s="9">
        <f t="shared" si="9"/>
        <v>0</v>
      </c>
    </row>
    <row r="153" spans="1:68" ht="16.2" thickBot="1" x14ac:dyDescent="0.35">
      <c r="A153" s="25"/>
      <c r="B153" s="23" t="s">
        <v>461</v>
      </c>
      <c r="C153" s="3">
        <f>LUGLIO!D153</f>
        <v>0</v>
      </c>
      <c r="D153" s="21">
        <f t="shared" si="8"/>
        <v>0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1">
        <f t="shared" si="9"/>
        <v>0</v>
      </c>
      <c r="BP153" s="9">
        <f t="shared" si="9"/>
        <v>0</v>
      </c>
    </row>
    <row r="154" spans="1:68" ht="15.6" thickBot="1" x14ac:dyDescent="0.3">
      <c r="A154" s="25" t="s">
        <v>599</v>
      </c>
      <c r="B154" s="26" t="s">
        <v>630</v>
      </c>
      <c r="C154" s="3">
        <f>LUGLIO!D154</f>
        <v>0</v>
      </c>
      <c r="D154" s="21">
        <f t="shared" si="8"/>
        <v>0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1">
        <f t="shared" si="9"/>
        <v>0</v>
      </c>
      <c r="BP154" s="9">
        <f t="shared" si="9"/>
        <v>0</v>
      </c>
    </row>
    <row r="155" spans="1:68" ht="15.6" thickBot="1" x14ac:dyDescent="0.3">
      <c r="A155" s="25" t="s">
        <v>760</v>
      </c>
      <c r="B155" s="26" t="s">
        <v>435</v>
      </c>
      <c r="C155" s="3">
        <f>LUGLIO!D155</f>
        <v>0</v>
      </c>
      <c r="D155" s="21">
        <f t="shared" si="8"/>
        <v>0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1">
        <f t="shared" si="9"/>
        <v>0</v>
      </c>
      <c r="BP155" s="9">
        <f t="shared" si="9"/>
        <v>0</v>
      </c>
    </row>
    <row r="156" spans="1:68" ht="15.6" thickBot="1" x14ac:dyDescent="0.3">
      <c r="A156" s="25" t="s">
        <v>614</v>
      </c>
      <c r="B156" s="26" t="s">
        <v>462</v>
      </c>
      <c r="C156" s="3">
        <f>LUGLIO!D156</f>
        <v>0</v>
      </c>
      <c r="D156" s="21">
        <f t="shared" si="8"/>
        <v>0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1">
        <f t="shared" si="9"/>
        <v>0</v>
      </c>
      <c r="BP156" s="9">
        <f t="shared" si="9"/>
        <v>0</v>
      </c>
    </row>
    <row r="157" spans="1:68" ht="15.6" thickBot="1" x14ac:dyDescent="0.3">
      <c r="A157" s="25" t="s">
        <v>761</v>
      </c>
      <c r="B157" s="26" t="s">
        <v>436</v>
      </c>
      <c r="C157" s="3">
        <f>LUGLIO!D157</f>
        <v>0</v>
      </c>
      <c r="D157" s="21">
        <f t="shared" si="8"/>
        <v>0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1">
        <f t="shared" si="9"/>
        <v>0</v>
      </c>
      <c r="BP157" s="9">
        <f t="shared" si="9"/>
        <v>0</v>
      </c>
    </row>
    <row r="158" spans="1:68" ht="15.6" thickBot="1" x14ac:dyDescent="0.3">
      <c r="A158" s="25" t="s">
        <v>604</v>
      </c>
      <c r="B158" s="18" t="s">
        <v>57</v>
      </c>
      <c r="C158" s="3">
        <f>LUGLIO!D158</f>
        <v>0</v>
      </c>
      <c r="D158" s="21">
        <f t="shared" si="8"/>
        <v>0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1">
        <f t="shared" si="9"/>
        <v>0</v>
      </c>
      <c r="BP158" s="9">
        <f t="shared" si="9"/>
        <v>0</v>
      </c>
    </row>
    <row r="159" spans="1:68" ht="16.2" thickBot="1" x14ac:dyDescent="0.35">
      <c r="A159" s="25"/>
      <c r="B159" s="23" t="s">
        <v>454</v>
      </c>
      <c r="C159" s="3">
        <f>LUGLIO!D159</f>
        <v>0</v>
      </c>
      <c r="D159" s="21">
        <f t="shared" si="8"/>
        <v>0</v>
      </c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1">
        <f t="shared" si="9"/>
        <v>0</v>
      </c>
      <c r="BP159" s="9">
        <f t="shared" si="9"/>
        <v>0</v>
      </c>
    </row>
    <row r="160" spans="1:68" ht="15.6" thickBot="1" x14ac:dyDescent="0.3">
      <c r="A160" s="25" t="s">
        <v>676</v>
      </c>
      <c r="B160" s="26" t="s">
        <v>503</v>
      </c>
      <c r="C160" s="3">
        <f>LUGLIO!D160</f>
        <v>0</v>
      </c>
      <c r="D160" s="21">
        <f t="shared" si="8"/>
        <v>220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>
        <f>72+72</f>
        <v>144</v>
      </c>
      <c r="BH160" s="10"/>
      <c r="BI160" s="10">
        <v>76</v>
      </c>
      <c r="BJ160" s="10"/>
      <c r="BK160" s="10"/>
      <c r="BL160" s="10"/>
      <c r="BM160" s="10"/>
      <c r="BN160" s="10"/>
      <c r="BO160" s="11">
        <f t="shared" si="9"/>
        <v>144</v>
      </c>
      <c r="BP160" s="9">
        <f t="shared" si="9"/>
        <v>0</v>
      </c>
    </row>
    <row r="161" spans="1:68" ht="16.2" thickBot="1" x14ac:dyDescent="0.35">
      <c r="A161" s="25"/>
      <c r="B161" s="20" t="s">
        <v>487</v>
      </c>
      <c r="C161" s="3">
        <f>LUGLIO!D161</f>
        <v>0</v>
      </c>
      <c r="D161" s="21">
        <f t="shared" si="8"/>
        <v>0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1">
        <f t="shared" si="9"/>
        <v>0</v>
      </c>
      <c r="BP161" s="9">
        <f t="shared" si="9"/>
        <v>0</v>
      </c>
    </row>
    <row r="162" spans="1:68" ht="15.6" thickBot="1" x14ac:dyDescent="0.3">
      <c r="A162" s="25" t="s">
        <v>874</v>
      </c>
      <c r="B162" s="18" t="s">
        <v>875</v>
      </c>
      <c r="C162" s="3">
        <f>LUGLIO!D162</f>
        <v>0</v>
      </c>
      <c r="D162" s="21">
        <f t="shared" si="8"/>
        <v>540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>
        <f>54*3</f>
        <v>162</v>
      </c>
      <c r="BH162" s="10"/>
      <c r="BI162" s="10">
        <f>7*54</f>
        <v>378</v>
      </c>
      <c r="BJ162" s="10"/>
      <c r="BK162" s="10"/>
      <c r="BL162" s="10"/>
      <c r="BM162" s="10"/>
      <c r="BN162" s="10"/>
      <c r="BO162" s="11">
        <f t="shared" si="9"/>
        <v>162</v>
      </c>
      <c r="BP162" s="9">
        <f t="shared" si="9"/>
        <v>0</v>
      </c>
    </row>
    <row r="163" spans="1:68" ht="15.6" thickBot="1" x14ac:dyDescent="0.3">
      <c r="A163" s="25" t="s">
        <v>876</v>
      </c>
      <c r="B163" s="18" t="s">
        <v>877</v>
      </c>
      <c r="C163" s="3">
        <f>LUGLIO!D163</f>
        <v>0</v>
      </c>
      <c r="D163" s="21">
        <f t="shared" si="8"/>
        <v>2646</v>
      </c>
      <c r="E163" s="10"/>
      <c r="F163" s="10"/>
      <c r="G163" s="10"/>
      <c r="H163" s="10"/>
      <c r="I163" s="10"/>
      <c r="J163" s="10"/>
      <c r="K163" s="10"/>
      <c r="L163" s="10"/>
      <c r="M163" s="10">
        <f>54*5</f>
        <v>270</v>
      </c>
      <c r="N163" s="10"/>
      <c r="O163" s="10">
        <f>54*7</f>
        <v>378</v>
      </c>
      <c r="P163" s="10"/>
      <c r="Q163" s="10">
        <f>378+54</f>
        <v>432</v>
      </c>
      <c r="R163" s="10"/>
      <c r="S163" s="10">
        <f>54*9</f>
        <v>486</v>
      </c>
      <c r="T163" s="10"/>
      <c r="U163" s="10">
        <f>54*7</f>
        <v>378</v>
      </c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>
        <f>54*8</f>
        <v>432</v>
      </c>
      <c r="BD163" s="10"/>
      <c r="BE163" s="10">
        <f>5*54</f>
        <v>270</v>
      </c>
      <c r="BF163" s="10"/>
      <c r="BG163" s="10"/>
      <c r="BH163" s="10"/>
      <c r="BI163" s="10"/>
      <c r="BJ163" s="10"/>
      <c r="BK163" s="10"/>
      <c r="BL163" s="10"/>
      <c r="BM163" s="10"/>
      <c r="BN163" s="10"/>
      <c r="BO163" s="11">
        <f t="shared" si="9"/>
        <v>2646</v>
      </c>
      <c r="BP163" s="9">
        <f t="shared" si="9"/>
        <v>0</v>
      </c>
    </row>
    <row r="164" spans="1:68" ht="15.6" thickBot="1" x14ac:dyDescent="0.3">
      <c r="A164" s="25" t="s">
        <v>878</v>
      </c>
      <c r="B164" s="18" t="s">
        <v>879</v>
      </c>
      <c r="C164" s="3">
        <f>LUGLIO!D164</f>
        <v>2057</v>
      </c>
      <c r="D164" s="21">
        <f t="shared" si="8"/>
        <v>2057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1">
        <f t="shared" si="9"/>
        <v>0</v>
      </c>
      <c r="BP164" s="9">
        <f t="shared" si="9"/>
        <v>0</v>
      </c>
    </row>
    <row r="165" spans="1:68" ht="15.6" thickBot="1" x14ac:dyDescent="0.3">
      <c r="A165" s="25" t="s">
        <v>243</v>
      </c>
      <c r="B165" s="18" t="s">
        <v>58</v>
      </c>
      <c r="C165" s="3">
        <f>LUGLIO!D165</f>
        <v>191</v>
      </c>
      <c r="D165" s="21">
        <f t="shared" si="8"/>
        <v>191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1">
        <f t="shared" si="9"/>
        <v>0</v>
      </c>
      <c r="BP165" s="9">
        <f t="shared" si="9"/>
        <v>0</v>
      </c>
    </row>
    <row r="166" spans="1:68" ht="15.6" thickBot="1" x14ac:dyDescent="0.3">
      <c r="A166" s="25"/>
      <c r="B166" s="18"/>
      <c r="C166" s="3">
        <f>LUGLIO!D166</f>
        <v>0</v>
      </c>
      <c r="D166" s="21">
        <f t="shared" si="8"/>
        <v>0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1">
        <f t="shared" si="9"/>
        <v>0</v>
      </c>
      <c r="BP166" s="9">
        <f t="shared" si="9"/>
        <v>0</v>
      </c>
    </row>
    <row r="167" spans="1:68" ht="15.6" thickBot="1" x14ac:dyDescent="0.3">
      <c r="A167" s="25" t="s">
        <v>244</v>
      </c>
      <c r="B167" s="18" t="s">
        <v>183</v>
      </c>
      <c r="C167" s="3">
        <f>LUGLIO!D167</f>
        <v>666</v>
      </c>
      <c r="D167" s="21">
        <f t="shared" si="8"/>
        <v>1970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>
        <f>112+112</f>
        <v>224</v>
      </c>
      <c r="BF167" s="10"/>
      <c r="BG167" s="10">
        <f>224+112+112</f>
        <v>448</v>
      </c>
      <c r="BH167" s="10"/>
      <c r="BI167" s="10">
        <f>112+112+112</f>
        <v>336</v>
      </c>
      <c r="BJ167" s="10"/>
      <c r="BK167" s="10">
        <f>112*2+72</f>
        <v>296</v>
      </c>
      <c r="BL167" s="10"/>
      <c r="BM167" s="10"/>
      <c r="BN167" s="10"/>
      <c r="BO167" s="11">
        <f t="shared" si="9"/>
        <v>672</v>
      </c>
      <c r="BP167" s="9">
        <f t="shared" si="9"/>
        <v>0</v>
      </c>
    </row>
    <row r="168" spans="1:68" ht="15.6" thickBot="1" x14ac:dyDescent="0.3">
      <c r="A168" s="25" t="s">
        <v>880</v>
      </c>
      <c r="B168" s="18" t="s">
        <v>935</v>
      </c>
      <c r="C168" s="3">
        <f>LUGLIO!D168</f>
        <v>0</v>
      </c>
      <c r="D168" s="21">
        <f t="shared" si="8"/>
        <v>432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>
        <f>54*4</f>
        <v>216</v>
      </c>
      <c r="BL168" s="10"/>
      <c r="BM168" s="10">
        <f>54*4</f>
        <v>216</v>
      </c>
      <c r="BN168" s="10"/>
      <c r="BO168" s="11">
        <f t="shared" si="9"/>
        <v>216</v>
      </c>
      <c r="BP168" s="9">
        <f t="shared" si="9"/>
        <v>0</v>
      </c>
    </row>
    <row r="169" spans="1:68" ht="16.2" thickBot="1" x14ac:dyDescent="0.35">
      <c r="A169" s="25"/>
      <c r="B169" s="20" t="s">
        <v>59</v>
      </c>
      <c r="C169" s="3">
        <f>LUGLIO!D169</f>
        <v>0</v>
      </c>
      <c r="D169" s="21">
        <f t="shared" si="8"/>
        <v>0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1">
        <f t="shared" si="9"/>
        <v>0</v>
      </c>
      <c r="BP169" s="9">
        <f t="shared" si="9"/>
        <v>0</v>
      </c>
    </row>
    <row r="170" spans="1:68" ht="15.6" thickBot="1" x14ac:dyDescent="0.3">
      <c r="A170" s="25" t="s">
        <v>762</v>
      </c>
      <c r="B170" s="18" t="s">
        <v>451</v>
      </c>
      <c r="C170" s="3">
        <f>LUGLIO!D170</f>
        <v>0</v>
      </c>
      <c r="D170" s="21">
        <f t="shared" si="8"/>
        <v>0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1">
        <f t="shared" si="9"/>
        <v>0</v>
      </c>
      <c r="BP170" s="9">
        <f t="shared" si="9"/>
        <v>0</v>
      </c>
    </row>
    <row r="171" spans="1:68" ht="16.2" thickBot="1" x14ac:dyDescent="0.35">
      <c r="A171" s="25"/>
      <c r="B171" s="20" t="s">
        <v>60</v>
      </c>
      <c r="C171" s="3">
        <f>LUGLIO!D171</f>
        <v>0</v>
      </c>
      <c r="D171" s="21">
        <f t="shared" si="8"/>
        <v>0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1">
        <f t="shared" si="9"/>
        <v>0</v>
      </c>
      <c r="BP171" s="9">
        <f t="shared" si="9"/>
        <v>0</v>
      </c>
    </row>
    <row r="172" spans="1:68" ht="15.6" thickBot="1" x14ac:dyDescent="0.3">
      <c r="A172" s="25" t="s">
        <v>408</v>
      </c>
      <c r="B172" s="18" t="s">
        <v>132</v>
      </c>
      <c r="C172" s="3">
        <f>LUGLIO!D172</f>
        <v>0</v>
      </c>
      <c r="D172" s="21">
        <f t="shared" si="8"/>
        <v>0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1">
        <f t="shared" si="9"/>
        <v>0</v>
      </c>
      <c r="BP172" s="9">
        <f t="shared" si="9"/>
        <v>0</v>
      </c>
    </row>
    <row r="173" spans="1:68" ht="15.6" thickBot="1" x14ac:dyDescent="0.3">
      <c r="A173" s="25" t="s">
        <v>409</v>
      </c>
      <c r="B173" s="18" t="s">
        <v>61</v>
      </c>
      <c r="C173" s="3">
        <f>LUGLIO!D173</f>
        <v>0</v>
      </c>
      <c r="D173" s="21">
        <f t="shared" si="8"/>
        <v>0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1">
        <f t="shared" si="9"/>
        <v>0</v>
      </c>
      <c r="BP173" s="9">
        <f t="shared" si="9"/>
        <v>0</v>
      </c>
    </row>
    <row r="174" spans="1:68" ht="15.6" thickBot="1" x14ac:dyDescent="0.3">
      <c r="A174" s="25" t="s">
        <v>407</v>
      </c>
      <c r="B174" s="18" t="s">
        <v>137</v>
      </c>
      <c r="C174" s="3">
        <f>LUGLIO!D174</f>
        <v>0</v>
      </c>
      <c r="D174" s="21">
        <f t="shared" si="8"/>
        <v>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1">
        <f t="shared" si="9"/>
        <v>0</v>
      </c>
      <c r="BP174" s="9">
        <f t="shared" si="9"/>
        <v>0</v>
      </c>
    </row>
    <row r="175" spans="1:68" ht="15.6" thickBot="1" x14ac:dyDescent="0.3">
      <c r="A175" s="25" t="s">
        <v>398</v>
      </c>
      <c r="B175" s="18" t="s">
        <v>133</v>
      </c>
      <c r="C175" s="3">
        <f>LUGLIO!D175</f>
        <v>0</v>
      </c>
      <c r="D175" s="21">
        <f t="shared" si="8"/>
        <v>0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1">
        <f t="shared" si="9"/>
        <v>0</v>
      </c>
      <c r="BP175" s="9">
        <f t="shared" si="9"/>
        <v>0</v>
      </c>
    </row>
    <row r="176" spans="1:68" ht="15.6" thickBot="1" x14ac:dyDescent="0.3">
      <c r="A176" s="25" t="s">
        <v>410</v>
      </c>
      <c r="B176" s="18" t="s">
        <v>134</v>
      </c>
      <c r="C176" s="3">
        <f>LUGLIO!D176</f>
        <v>0</v>
      </c>
      <c r="D176" s="21">
        <f t="shared" si="8"/>
        <v>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1">
        <f t="shared" si="9"/>
        <v>0</v>
      </c>
      <c r="BP176" s="9">
        <f t="shared" si="9"/>
        <v>0</v>
      </c>
    </row>
    <row r="177" spans="1:68" ht="15.6" thickBot="1" x14ac:dyDescent="0.3">
      <c r="A177" s="25" t="s">
        <v>406</v>
      </c>
      <c r="B177" s="18" t="s">
        <v>135</v>
      </c>
      <c r="C177" s="3">
        <f>LUGLIO!D177</f>
        <v>0</v>
      </c>
      <c r="D177" s="21">
        <f t="shared" si="8"/>
        <v>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1">
        <f t="shared" si="9"/>
        <v>0</v>
      </c>
      <c r="BP177" s="9">
        <f t="shared" si="9"/>
        <v>0</v>
      </c>
    </row>
    <row r="178" spans="1:68" ht="15.6" thickBot="1" x14ac:dyDescent="0.3">
      <c r="A178" s="25" t="s">
        <v>245</v>
      </c>
      <c r="B178" s="18" t="s">
        <v>257</v>
      </c>
      <c r="C178" s="3">
        <f>LUGLIO!D178</f>
        <v>0</v>
      </c>
      <c r="D178" s="21">
        <f t="shared" si="8"/>
        <v>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1">
        <f t="shared" si="9"/>
        <v>0</v>
      </c>
      <c r="BP178" s="9">
        <f t="shared" si="9"/>
        <v>0</v>
      </c>
    </row>
    <row r="179" spans="1:68" ht="15.6" thickBot="1" x14ac:dyDescent="0.3">
      <c r="A179" s="25" t="s">
        <v>246</v>
      </c>
      <c r="B179" s="18" t="s">
        <v>136</v>
      </c>
      <c r="C179" s="3">
        <f>LUGLIO!D179</f>
        <v>0</v>
      </c>
      <c r="D179" s="21">
        <f t="shared" si="8"/>
        <v>0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1">
        <f t="shared" si="9"/>
        <v>0</v>
      </c>
      <c r="BP179" s="9">
        <f t="shared" si="9"/>
        <v>0</v>
      </c>
    </row>
    <row r="180" spans="1:68" ht="15.6" thickBot="1" x14ac:dyDescent="0.3">
      <c r="A180" s="25" t="s">
        <v>404</v>
      </c>
      <c r="B180" s="18" t="s">
        <v>449</v>
      </c>
      <c r="C180" s="3">
        <f>LUGLIO!D180</f>
        <v>264</v>
      </c>
      <c r="D180" s="21">
        <f t="shared" si="8"/>
        <v>0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>
        <v>-264</v>
      </c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1">
        <f t="shared" si="9"/>
        <v>0</v>
      </c>
      <c r="BP180" s="9">
        <f t="shared" si="9"/>
        <v>-264</v>
      </c>
    </row>
    <row r="181" spans="1:68" ht="15.6" thickBot="1" x14ac:dyDescent="0.3">
      <c r="A181" s="25" t="s">
        <v>411</v>
      </c>
      <c r="B181" s="18" t="s">
        <v>138</v>
      </c>
      <c r="C181" s="3">
        <f>LUGLIO!D181</f>
        <v>0</v>
      </c>
      <c r="D181" s="21">
        <f t="shared" si="8"/>
        <v>0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1">
        <f t="shared" si="9"/>
        <v>0</v>
      </c>
      <c r="BP181" s="9">
        <f t="shared" si="9"/>
        <v>0</v>
      </c>
    </row>
    <row r="182" spans="1:68" ht="15.6" thickBot="1" x14ac:dyDescent="0.3">
      <c r="A182" s="25" t="s">
        <v>405</v>
      </c>
      <c r="B182" s="18" t="s">
        <v>139</v>
      </c>
      <c r="C182" s="3">
        <f>LUGLIO!D182</f>
        <v>0</v>
      </c>
      <c r="D182" s="21">
        <f t="shared" si="8"/>
        <v>0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1">
        <f t="shared" si="9"/>
        <v>0</v>
      </c>
      <c r="BP182" s="9">
        <f t="shared" si="9"/>
        <v>0</v>
      </c>
    </row>
    <row r="183" spans="1:68" ht="15.6" thickBot="1" x14ac:dyDescent="0.3">
      <c r="A183" s="25" t="s">
        <v>247</v>
      </c>
      <c r="B183" s="18" t="s">
        <v>248</v>
      </c>
      <c r="C183" s="3">
        <f>LUGLIO!D183</f>
        <v>720</v>
      </c>
      <c r="D183" s="21">
        <f t="shared" si="8"/>
        <v>0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>
        <v>-720</v>
      </c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1">
        <f t="shared" si="9"/>
        <v>0</v>
      </c>
      <c r="BP183" s="9">
        <f t="shared" si="9"/>
        <v>-720</v>
      </c>
    </row>
    <row r="184" spans="1:68" ht="15.6" thickBot="1" x14ac:dyDescent="0.3">
      <c r="A184" s="25" t="s">
        <v>249</v>
      </c>
      <c r="B184" s="18" t="s">
        <v>250</v>
      </c>
      <c r="C184" s="3">
        <f>LUGLIO!D184</f>
        <v>630</v>
      </c>
      <c r="D184" s="21">
        <f t="shared" si="8"/>
        <v>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>
        <v>-630</v>
      </c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1">
        <f t="shared" si="9"/>
        <v>0</v>
      </c>
      <c r="BP184" s="9">
        <f t="shared" si="9"/>
        <v>-630</v>
      </c>
    </row>
    <row r="185" spans="1:68" ht="15.6" thickBot="1" x14ac:dyDescent="0.3">
      <c r="A185" s="25" t="s">
        <v>251</v>
      </c>
      <c r="B185" s="18" t="s">
        <v>252</v>
      </c>
      <c r="C185" s="3">
        <f>LUGLIO!D185</f>
        <v>700</v>
      </c>
      <c r="D185" s="21">
        <f t="shared" si="8"/>
        <v>0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>
        <v>-700</v>
      </c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1">
        <f t="shared" si="9"/>
        <v>0</v>
      </c>
      <c r="BP185" s="9">
        <f t="shared" si="9"/>
        <v>-700</v>
      </c>
    </row>
    <row r="186" spans="1:68" ht="15.6" thickBot="1" x14ac:dyDescent="0.3">
      <c r="A186" s="25" t="s">
        <v>253</v>
      </c>
      <c r="B186" s="18" t="s">
        <v>254</v>
      </c>
      <c r="C186" s="3">
        <f>LUGLIO!D186</f>
        <v>700</v>
      </c>
      <c r="D186" s="21">
        <f t="shared" si="8"/>
        <v>0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>
        <v>-700</v>
      </c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1">
        <f t="shared" si="9"/>
        <v>0</v>
      </c>
      <c r="BP186" s="9">
        <f t="shared" si="9"/>
        <v>-700</v>
      </c>
    </row>
    <row r="187" spans="1:68" ht="15.6" thickBot="1" x14ac:dyDescent="0.3">
      <c r="A187" s="25" t="s">
        <v>412</v>
      </c>
      <c r="B187" s="18" t="s">
        <v>161</v>
      </c>
      <c r="C187" s="3">
        <f>LUGLIO!D187</f>
        <v>0</v>
      </c>
      <c r="D187" s="21">
        <f t="shared" si="8"/>
        <v>0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1">
        <f t="shared" si="9"/>
        <v>0</v>
      </c>
      <c r="BP187" s="9">
        <f t="shared" si="9"/>
        <v>0</v>
      </c>
    </row>
    <row r="188" spans="1:68" ht="15.6" thickBot="1" x14ac:dyDescent="0.3">
      <c r="A188" s="25" t="s">
        <v>413</v>
      </c>
      <c r="B188" s="26" t="s">
        <v>403</v>
      </c>
      <c r="C188" s="3">
        <f>LUGLIO!D188</f>
        <v>0</v>
      </c>
      <c r="D188" s="21">
        <f t="shared" si="8"/>
        <v>0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1">
        <f t="shared" si="9"/>
        <v>0</v>
      </c>
      <c r="BP188" s="9">
        <f t="shared" si="9"/>
        <v>0</v>
      </c>
    </row>
    <row r="189" spans="1:68" ht="15.6" thickBot="1" x14ac:dyDescent="0.3">
      <c r="A189" s="25" t="s">
        <v>415</v>
      </c>
      <c r="B189" s="18" t="s">
        <v>416</v>
      </c>
      <c r="C189" s="3">
        <f>LUGLIO!D189</f>
        <v>0</v>
      </c>
      <c r="D189" s="21">
        <f t="shared" si="8"/>
        <v>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1">
        <f t="shared" si="9"/>
        <v>0</v>
      </c>
      <c r="BP189" s="9">
        <f t="shared" si="9"/>
        <v>0</v>
      </c>
    </row>
    <row r="190" spans="1:68" ht="15.6" thickBot="1" x14ac:dyDescent="0.3">
      <c r="A190" s="25" t="s">
        <v>414</v>
      </c>
      <c r="B190" s="18" t="s">
        <v>497</v>
      </c>
      <c r="C190" s="3">
        <f>LUGLIO!D190</f>
        <v>180</v>
      </c>
      <c r="D190" s="21">
        <f t="shared" si="8"/>
        <v>0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>
        <v>-180</v>
      </c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1">
        <f t="shared" si="9"/>
        <v>0</v>
      </c>
      <c r="BP190" s="9">
        <f t="shared" si="9"/>
        <v>-180</v>
      </c>
    </row>
    <row r="191" spans="1:68" ht="15.6" thickBot="1" x14ac:dyDescent="0.3">
      <c r="A191" s="25" t="s">
        <v>412</v>
      </c>
      <c r="B191" s="26" t="s">
        <v>417</v>
      </c>
      <c r="C191" s="3">
        <f>LUGLIO!D191</f>
        <v>360</v>
      </c>
      <c r="D191" s="21">
        <f t="shared" si="8"/>
        <v>0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>
        <v>28</v>
      </c>
      <c r="P191" s="10"/>
      <c r="Q191" s="10"/>
      <c r="R191" s="10">
        <v>-388</v>
      </c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1">
        <f t="shared" si="9"/>
        <v>28</v>
      </c>
      <c r="BP191" s="9">
        <f t="shared" si="9"/>
        <v>-388</v>
      </c>
    </row>
    <row r="192" spans="1:68" ht="15.6" thickBot="1" x14ac:dyDescent="0.3">
      <c r="A192" s="25" t="s">
        <v>418</v>
      </c>
      <c r="B192" s="26" t="s">
        <v>419</v>
      </c>
      <c r="C192" s="3">
        <f>LUGLIO!D192</f>
        <v>144</v>
      </c>
      <c r="D192" s="21">
        <f t="shared" si="8"/>
        <v>0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>
        <v>-144</v>
      </c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1">
        <f t="shared" si="9"/>
        <v>0</v>
      </c>
      <c r="BP192" s="9">
        <f t="shared" si="9"/>
        <v>-144</v>
      </c>
    </row>
    <row r="193" spans="1:68" ht="15.6" thickBot="1" x14ac:dyDescent="0.3">
      <c r="A193" s="25" t="s">
        <v>420</v>
      </c>
      <c r="B193" s="18" t="s">
        <v>421</v>
      </c>
      <c r="C193" s="3">
        <f>LUGLIO!D193</f>
        <v>144</v>
      </c>
      <c r="D193" s="21">
        <f t="shared" si="8"/>
        <v>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>
        <v>20</v>
      </c>
      <c r="P193" s="10"/>
      <c r="Q193" s="10"/>
      <c r="R193" s="10">
        <v>-164</v>
      </c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1">
        <f t="shared" si="9"/>
        <v>20</v>
      </c>
      <c r="BP193" s="9">
        <f t="shared" si="9"/>
        <v>-164</v>
      </c>
    </row>
    <row r="194" spans="1:68" ht="15.6" thickBot="1" x14ac:dyDescent="0.3">
      <c r="A194" s="25" t="s">
        <v>422</v>
      </c>
      <c r="B194" s="18" t="s">
        <v>423</v>
      </c>
      <c r="C194" s="3">
        <f>LUGLIO!D194</f>
        <v>0</v>
      </c>
      <c r="D194" s="21">
        <f t="shared" si="8"/>
        <v>0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1">
        <f t="shared" si="9"/>
        <v>0</v>
      </c>
      <c r="BP194" s="9">
        <f t="shared" si="9"/>
        <v>0</v>
      </c>
    </row>
    <row r="195" spans="1:68" ht="16.2" thickBot="1" x14ac:dyDescent="0.35">
      <c r="A195" s="25"/>
      <c r="B195" s="20" t="s">
        <v>62</v>
      </c>
      <c r="C195" s="3">
        <f>LUGLIO!D195</f>
        <v>0</v>
      </c>
      <c r="D195" s="21">
        <f t="shared" si="8"/>
        <v>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1">
        <f t="shared" si="9"/>
        <v>0</v>
      </c>
      <c r="BP195" s="9">
        <f t="shared" si="9"/>
        <v>0</v>
      </c>
    </row>
    <row r="196" spans="1:68" ht="15.6" thickBot="1" x14ac:dyDescent="0.3">
      <c r="A196" s="25" t="s">
        <v>653</v>
      </c>
      <c r="B196" s="18" t="s">
        <v>648</v>
      </c>
      <c r="C196" s="3">
        <f>LUGLIO!D196</f>
        <v>0</v>
      </c>
      <c r="D196" s="21">
        <f t="shared" si="8"/>
        <v>0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1">
        <f t="shared" si="9"/>
        <v>0</v>
      </c>
      <c r="BP196" s="9">
        <f t="shared" si="9"/>
        <v>0</v>
      </c>
    </row>
    <row r="197" spans="1:68" ht="15.6" thickBot="1" x14ac:dyDescent="0.3">
      <c r="A197" s="25" t="s">
        <v>654</v>
      </c>
      <c r="B197" s="18" t="s">
        <v>649</v>
      </c>
      <c r="C197" s="3">
        <f>LUGLIO!D197</f>
        <v>0</v>
      </c>
      <c r="D197" s="21">
        <f t="shared" si="8"/>
        <v>0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1">
        <f t="shared" si="9"/>
        <v>0</v>
      </c>
      <c r="BP197" s="9">
        <f t="shared" si="9"/>
        <v>0</v>
      </c>
    </row>
    <row r="198" spans="1:68" ht="15.6" thickBot="1" x14ac:dyDescent="0.3">
      <c r="A198" s="25" t="s">
        <v>655</v>
      </c>
      <c r="B198" s="18" t="s">
        <v>367</v>
      </c>
      <c r="C198" s="3">
        <f>LUGLIO!D198</f>
        <v>0</v>
      </c>
      <c r="D198" s="21">
        <f t="shared" si="8"/>
        <v>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1">
        <f t="shared" si="9"/>
        <v>0</v>
      </c>
      <c r="BP198" s="9">
        <f t="shared" si="9"/>
        <v>0</v>
      </c>
    </row>
    <row r="199" spans="1:68" ht="15.6" thickBot="1" x14ac:dyDescent="0.3">
      <c r="A199" s="25" t="s">
        <v>809</v>
      </c>
      <c r="B199" s="18" t="s">
        <v>63</v>
      </c>
      <c r="C199" s="3">
        <f>LUGLIO!D199</f>
        <v>0</v>
      </c>
      <c r="D199" s="21">
        <f t="shared" si="8"/>
        <v>0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1">
        <f t="shared" si="9"/>
        <v>0</v>
      </c>
      <c r="BP199" s="9">
        <f t="shared" si="9"/>
        <v>0</v>
      </c>
    </row>
    <row r="200" spans="1:68" ht="15.6" thickBot="1" x14ac:dyDescent="0.3">
      <c r="A200" s="25" t="s">
        <v>656</v>
      </c>
      <c r="B200" s="18" t="s">
        <v>184</v>
      </c>
      <c r="C200" s="3">
        <f>LUGLIO!D200</f>
        <v>0</v>
      </c>
      <c r="D200" s="21">
        <f t="shared" si="8"/>
        <v>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1">
        <f t="shared" si="9"/>
        <v>0</v>
      </c>
      <c r="BP200" s="9">
        <f t="shared" si="9"/>
        <v>0</v>
      </c>
    </row>
    <row r="201" spans="1:68" ht="15.6" thickBot="1" x14ac:dyDescent="0.3">
      <c r="A201" s="25" t="s">
        <v>657</v>
      </c>
      <c r="B201" s="18" t="s">
        <v>650</v>
      </c>
      <c r="C201" s="3">
        <f>LUGLIO!D201</f>
        <v>0</v>
      </c>
      <c r="D201" s="21">
        <f t="shared" si="8"/>
        <v>0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1">
        <f t="shared" si="9"/>
        <v>0</v>
      </c>
      <c r="BP201" s="9">
        <f t="shared" si="9"/>
        <v>0</v>
      </c>
    </row>
    <row r="202" spans="1:68" ht="15.6" thickBot="1" x14ac:dyDescent="0.3">
      <c r="A202" s="25" t="s">
        <v>658</v>
      </c>
      <c r="B202" s="18" t="s">
        <v>651</v>
      </c>
      <c r="C202" s="3">
        <f>LUGLIO!D202</f>
        <v>0</v>
      </c>
      <c r="D202" s="21">
        <f t="shared" si="8"/>
        <v>0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1">
        <f t="shared" si="9"/>
        <v>0</v>
      </c>
      <c r="BP202" s="9">
        <f t="shared" si="9"/>
        <v>0</v>
      </c>
    </row>
    <row r="203" spans="1:68" ht="15.6" thickBot="1" x14ac:dyDescent="0.3">
      <c r="A203" s="25" t="s">
        <v>659</v>
      </c>
      <c r="B203" s="18" t="s">
        <v>652</v>
      </c>
      <c r="C203" s="3">
        <f>LUGLIO!D203</f>
        <v>0</v>
      </c>
      <c r="D203" s="21">
        <f t="shared" si="8"/>
        <v>0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1">
        <f t="shared" si="9"/>
        <v>0</v>
      </c>
      <c r="BP203" s="9">
        <f t="shared" si="9"/>
        <v>0</v>
      </c>
    </row>
    <row r="204" spans="1:68" ht="15.6" thickBot="1" x14ac:dyDescent="0.3">
      <c r="A204" s="25" t="s">
        <v>660</v>
      </c>
      <c r="B204" s="18" t="s">
        <v>64</v>
      </c>
      <c r="C204" s="3">
        <f>LUGLIO!D204</f>
        <v>0</v>
      </c>
      <c r="D204" s="21">
        <f t="shared" si="8"/>
        <v>0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1">
        <f t="shared" si="9"/>
        <v>0</v>
      </c>
      <c r="BP204" s="9">
        <f t="shared" si="9"/>
        <v>0</v>
      </c>
    </row>
    <row r="205" spans="1:68" ht="16.2" thickBot="1" x14ac:dyDescent="0.35">
      <c r="A205" s="25"/>
      <c r="B205" s="20" t="s">
        <v>65</v>
      </c>
      <c r="C205" s="3">
        <f>LUGLIO!D205</f>
        <v>0</v>
      </c>
      <c r="D205" s="21">
        <f t="shared" si="8"/>
        <v>0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1">
        <f t="shared" si="9"/>
        <v>0</v>
      </c>
      <c r="BP205" s="9">
        <f t="shared" si="9"/>
        <v>0</v>
      </c>
    </row>
    <row r="206" spans="1:68" ht="15.6" thickBot="1" x14ac:dyDescent="0.3">
      <c r="A206" s="25" t="s">
        <v>262</v>
      </c>
      <c r="B206" s="18" t="s">
        <v>325</v>
      </c>
      <c r="C206" s="3">
        <f>LUGLIO!D206</f>
        <v>0</v>
      </c>
      <c r="D206" s="21">
        <f t="shared" ref="D206:D269" si="10">C206+SUM(E206:BN206)</f>
        <v>717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>
        <f>192+32</f>
        <v>224</v>
      </c>
      <c r="P206" s="10"/>
      <c r="Q206" s="10">
        <v>109</v>
      </c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>
        <f>192*2</f>
        <v>384</v>
      </c>
      <c r="BN206" s="10"/>
      <c r="BO206" s="11">
        <f t="shared" si="9"/>
        <v>717</v>
      </c>
      <c r="BP206" s="9">
        <f t="shared" si="9"/>
        <v>0</v>
      </c>
    </row>
    <row r="207" spans="1:68" ht="15.6" thickBot="1" x14ac:dyDescent="0.3">
      <c r="A207" s="25" t="s">
        <v>321</v>
      </c>
      <c r="B207" s="18" t="s">
        <v>121</v>
      </c>
      <c r="C207" s="3">
        <f>LUGLIO!D207</f>
        <v>0</v>
      </c>
      <c r="D207" s="21">
        <f t="shared" si="10"/>
        <v>476</v>
      </c>
      <c r="E207" s="10"/>
      <c r="F207" s="10"/>
      <c r="G207" s="10">
        <f>150+34</f>
        <v>184</v>
      </c>
      <c r="H207" s="10"/>
      <c r="I207" s="10"/>
      <c r="J207" s="10"/>
      <c r="K207" s="10"/>
      <c r="L207" s="10"/>
      <c r="M207" s="10"/>
      <c r="N207" s="10"/>
      <c r="O207" s="10">
        <v>192</v>
      </c>
      <c r="P207" s="10"/>
      <c r="Q207" s="10">
        <v>100</v>
      </c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1">
        <f t="shared" ref="BO207:BP270" si="11">BM207+BG207+BE207+BC207+BA207+AY207+AW207+AU207+AS207+AQ207+AO207+AM207+AK207+AI207+AG207+AE207+AC207+AA207+Y207+W207+U207+S207+Q207+O207+M207+K207+I207+G207+E207</f>
        <v>476</v>
      </c>
      <c r="BP207" s="9">
        <f t="shared" si="11"/>
        <v>0</v>
      </c>
    </row>
    <row r="208" spans="1:68" ht="15.6" thickBot="1" x14ac:dyDescent="0.3">
      <c r="A208" s="27">
        <v>3801289</v>
      </c>
      <c r="B208" s="18" t="s">
        <v>263</v>
      </c>
      <c r="C208" s="3">
        <f>LUGLIO!D208</f>
        <v>0</v>
      </c>
      <c r="D208" s="21">
        <f t="shared" si="10"/>
        <v>118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>
        <f>84+34</f>
        <v>118</v>
      </c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1">
        <f t="shared" si="11"/>
        <v>118</v>
      </c>
      <c r="BP208" s="9">
        <f t="shared" si="11"/>
        <v>0</v>
      </c>
    </row>
    <row r="209" spans="1:68" ht="15.6" thickBot="1" x14ac:dyDescent="0.3">
      <c r="B209" s="18" t="s">
        <v>354</v>
      </c>
      <c r="C209" s="3">
        <f>LUGLIO!D209</f>
        <v>0</v>
      </c>
      <c r="D209" s="21">
        <f t="shared" si="10"/>
        <v>0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1">
        <f t="shared" si="11"/>
        <v>0</v>
      </c>
      <c r="BP209" s="9">
        <f t="shared" si="11"/>
        <v>0</v>
      </c>
    </row>
    <row r="210" spans="1:68" ht="15.6" thickBot="1" x14ac:dyDescent="0.3">
      <c r="A210" s="25" t="s">
        <v>322</v>
      </c>
      <c r="B210" s="18" t="s">
        <v>122</v>
      </c>
      <c r="C210" s="3">
        <f>LUGLIO!D210</f>
        <v>0</v>
      </c>
      <c r="D210" s="21">
        <f t="shared" si="10"/>
        <v>463</v>
      </c>
      <c r="E210" s="10"/>
      <c r="F210" s="10"/>
      <c r="G210" s="10"/>
      <c r="H210" s="10"/>
      <c r="I210" s="10"/>
      <c r="J210" s="10"/>
      <c r="K210" s="10"/>
      <c r="L210" s="10"/>
      <c r="M210" s="10">
        <f>192+192+79</f>
        <v>463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1">
        <f t="shared" si="11"/>
        <v>463</v>
      </c>
      <c r="BP210" s="9">
        <f t="shared" si="11"/>
        <v>0</v>
      </c>
    </row>
    <row r="211" spans="1:68" ht="15.6" thickBot="1" x14ac:dyDescent="0.3">
      <c r="A211" s="25" t="s">
        <v>561</v>
      </c>
      <c r="B211" s="18" t="s">
        <v>264</v>
      </c>
      <c r="C211" s="3">
        <f>LUGLIO!D211</f>
        <v>0</v>
      </c>
      <c r="D211" s="21">
        <f t="shared" si="10"/>
        <v>319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>
        <f>192+75+52</f>
        <v>319</v>
      </c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1">
        <f t="shared" si="11"/>
        <v>319</v>
      </c>
      <c r="BP211" s="9">
        <f t="shared" si="11"/>
        <v>0</v>
      </c>
    </row>
    <row r="212" spans="1:68" ht="15.6" thickBot="1" x14ac:dyDescent="0.3">
      <c r="A212" s="25" t="s">
        <v>284</v>
      </c>
      <c r="B212" s="18" t="s">
        <v>326</v>
      </c>
      <c r="C212" s="3">
        <f>LUGLIO!D212</f>
        <v>0</v>
      </c>
      <c r="D212" s="21">
        <f t="shared" si="10"/>
        <v>0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1">
        <f t="shared" si="11"/>
        <v>0</v>
      </c>
      <c r="BP212" s="9">
        <f t="shared" si="11"/>
        <v>0</v>
      </c>
    </row>
    <row r="213" spans="1:68" ht="15.6" thickBot="1" x14ac:dyDescent="0.3">
      <c r="A213" s="25" t="s">
        <v>292</v>
      </c>
      <c r="B213" s="18" t="s">
        <v>327</v>
      </c>
      <c r="C213" s="3">
        <f>LUGLIO!D213</f>
        <v>0</v>
      </c>
      <c r="D213" s="21">
        <f t="shared" si="10"/>
        <v>0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1">
        <f t="shared" si="11"/>
        <v>0</v>
      </c>
      <c r="BP213" s="9">
        <f t="shared" si="11"/>
        <v>0</v>
      </c>
    </row>
    <row r="214" spans="1:68" ht="15.6" thickBot="1" x14ac:dyDescent="0.3">
      <c r="A214" s="25" t="s">
        <v>609</v>
      </c>
      <c r="B214" s="18" t="s">
        <v>457</v>
      </c>
      <c r="C214" s="3">
        <f>LUGLIO!D214</f>
        <v>0</v>
      </c>
      <c r="D214" s="21">
        <f t="shared" si="10"/>
        <v>0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1">
        <f t="shared" si="11"/>
        <v>0</v>
      </c>
      <c r="BP214" s="9">
        <f t="shared" si="11"/>
        <v>0</v>
      </c>
    </row>
    <row r="215" spans="1:68" ht="15.6" thickBot="1" x14ac:dyDescent="0.3">
      <c r="A215" s="25" t="s">
        <v>323</v>
      </c>
      <c r="B215" s="18" t="s">
        <v>328</v>
      </c>
      <c r="C215" s="3">
        <f>LUGLIO!D215</f>
        <v>0</v>
      </c>
      <c r="D215" s="21">
        <f t="shared" si="10"/>
        <v>0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1">
        <f t="shared" si="11"/>
        <v>0</v>
      </c>
      <c r="BP215" s="9">
        <f t="shared" si="11"/>
        <v>0</v>
      </c>
    </row>
    <row r="216" spans="1:68" ht="15.6" thickBot="1" x14ac:dyDescent="0.3">
      <c r="A216" s="25" t="s">
        <v>324</v>
      </c>
      <c r="B216" s="18" t="s">
        <v>329</v>
      </c>
      <c r="C216" s="3">
        <f>LUGLIO!D216</f>
        <v>0</v>
      </c>
      <c r="D216" s="21">
        <f t="shared" si="10"/>
        <v>0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1">
        <f t="shared" si="11"/>
        <v>0</v>
      </c>
      <c r="BP216" s="9">
        <f t="shared" si="11"/>
        <v>0</v>
      </c>
    </row>
    <row r="217" spans="1:68" ht="15.6" thickBot="1" x14ac:dyDescent="0.3">
      <c r="A217" s="25"/>
      <c r="B217" s="18" t="s">
        <v>466</v>
      </c>
      <c r="C217" s="3">
        <f>LUGLIO!D217</f>
        <v>0</v>
      </c>
      <c r="D217" s="21">
        <f t="shared" si="10"/>
        <v>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1">
        <f t="shared" si="11"/>
        <v>0</v>
      </c>
      <c r="BP217" s="9">
        <f t="shared" si="11"/>
        <v>0</v>
      </c>
    </row>
    <row r="218" spans="1:68" ht="15.6" thickBot="1" x14ac:dyDescent="0.3">
      <c r="A218" s="25" t="s">
        <v>528</v>
      </c>
      <c r="B218" s="18" t="s">
        <v>529</v>
      </c>
      <c r="C218" s="3">
        <f>LUGLIO!D218</f>
        <v>0</v>
      </c>
      <c r="D218" s="21">
        <f t="shared" si="10"/>
        <v>0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1">
        <f t="shared" si="11"/>
        <v>0</v>
      </c>
      <c r="BP218" s="9">
        <f t="shared" si="11"/>
        <v>0</v>
      </c>
    </row>
    <row r="219" spans="1:68" ht="15.6" thickBot="1" x14ac:dyDescent="0.3">
      <c r="A219" s="25" t="s">
        <v>600</v>
      </c>
      <c r="B219" s="18" t="s">
        <v>601</v>
      </c>
      <c r="C219" s="3">
        <f>LUGLIO!D219</f>
        <v>0</v>
      </c>
      <c r="D219" s="21">
        <f t="shared" si="10"/>
        <v>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1">
        <f t="shared" si="11"/>
        <v>0</v>
      </c>
      <c r="BP219" s="9">
        <f t="shared" si="11"/>
        <v>0</v>
      </c>
    </row>
    <row r="220" spans="1:68" ht="15.6" thickBot="1" x14ac:dyDescent="0.3">
      <c r="A220" s="25" t="s">
        <v>645</v>
      </c>
      <c r="B220" s="10" t="s">
        <v>644</v>
      </c>
      <c r="C220" s="3">
        <f>LUGLIO!D220</f>
        <v>0</v>
      </c>
      <c r="D220" s="21">
        <f t="shared" si="10"/>
        <v>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1">
        <f t="shared" si="11"/>
        <v>0</v>
      </c>
      <c r="BP220" s="9">
        <f t="shared" si="11"/>
        <v>0</v>
      </c>
    </row>
    <row r="221" spans="1:68" ht="15.6" thickBot="1" x14ac:dyDescent="0.3">
      <c r="A221" s="25" t="s">
        <v>646</v>
      </c>
      <c r="B221" s="10" t="s">
        <v>647</v>
      </c>
      <c r="C221" s="3">
        <f>LUGLIO!D221</f>
        <v>0</v>
      </c>
      <c r="D221" s="21">
        <f t="shared" si="10"/>
        <v>0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1">
        <f t="shared" si="11"/>
        <v>0</v>
      </c>
      <c r="BP221" s="9">
        <f t="shared" si="11"/>
        <v>0</v>
      </c>
    </row>
    <row r="222" spans="1:68" ht="15.6" thickBot="1" x14ac:dyDescent="0.3">
      <c r="A222" s="25" t="s">
        <v>784</v>
      </c>
      <c r="B222" s="18" t="s">
        <v>785</v>
      </c>
      <c r="C222" s="3">
        <f>LUGLIO!D222</f>
        <v>0</v>
      </c>
      <c r="D222" s="21">
        <f t="shared" si="10"/>
        <v>0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1">
        <f t="shared" si="11"/>
        <v>0</v>
      </c>
      <c r="BP222" s="9">
        <f t="shared" si="11"/>
        <v>0</v>
      </c>
    </row>
    <row r="223" spans="1:68" ht="15.6" thickBot="1" x14ac:dyDescent="0.3">
      <c r="A223" s="25" t="s">
        <v>610</v>
      </c>
      <c r="B223" s="18" t="s">
        <v>486</v>
      </c>
      <c r="C223" s="3">
        <f>LUGLIO!D223</f>
        <v>0</v>
      </c>
      <c r="D223" s="21">
        <f t="shared" si="10"/>
        <v>0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1">
        <f t="shared" si="11"/>
        <v>0</v>
      </c>
      <c r="BP223" s="9">
        <f t="shared" si="11"/>
        <v>0</v>
      </c>
    </row>
    <row r="224" spans="1:68" ht="15.6" thickBot="1" x14ac:dyDescent="0.3">
      <c r="A224" s="25" t="s">
        <v>544</v>
      </c>
      <c r="B224" s="18" t="s">
        <v>482</v>
      </c>
      <c r="C224" s="3">
        <f>LUGLIO!D224</f>
        <v>0</v>
      </c>
      <c r="D224" s="21">
        <f t="shared" si="10"/>
        <v>768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>
        <f>112*6</f>
        <v>672</v>
      </c>
      <c r="BL224" s="10"/>
      <c r="BM224" s="10">
        <f>96</f>
        <v>96</v>
      </c>
      <c r="BN224" s="10"/>
      <c r="BO224" s="11">
        <f t="shared" si="11"/>
        <v>96</v>
      </c>
      <c r="BP224" s="9">
        <f t="shared" si="11"/>
        <v>0</v>
      </c>
    </row>
    <row r="225" spans="1:68" ht="15.6" thickBot="1" x14ac:dyDescent="0.3">
      <c r="A225" s="25" t="s">
        <v>677</v>
      </c>
      <c r="B225" s="18" t="s">
        <v>358</v>
      </c>
      <c r="C225" s="3">
        <f>LUGLIO!D225</f>
        <v>0</v>
      </c>
      <c r="D225" s="21">
        <f t="shared" si="10"/>
        <v>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1">
        <f t="shared" si="11"/>
        <v>0</v>
      </c>
      <c r="BP225" s="9">
        <f t="shared" si="11"/>
        <v>0</v>
      </c>
    </row>
    <row r="226" spans="1:68" ht="15.6" thickBot="1" x14ac:dyDescent="0.3">
      <c r="A226" s="25" t="s">
        <v>678</v>
      </c>
      <c r="B226" s="18" t="s">
        <v>359</v>
      </c>
      <c r="C226" s="3">
        <f>LUGLIO!D226</f>
        <v>0</v>
      </c>
      <c r="D226" s="21">
        <f t="shared" si="10"/>
        <v>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1">
        <f t="shared" si="11"/>
        <v>0</v>
      </c>
      <c r="BP226" s="9">
        <f t="shared" si="11"/>
        <v>0</v>
      </c>
    </row>
    <row r="227" spans="1:68" ht="15.6" thickBot="1" x14ac:dyDescent="0.3">
      <c r="A227" s="25" t="s">
        <v>679</v>
      </c>
      <c r="B227" s="18" t="s">
        <v>360</v>
      </c>
      <c r="C227" s="3">
        <f>LUGLIO!D227</f>
        <v>0</v>
      </c>
      <c r="D227" s="21">
        <f t="shared" si="10"/>
        <v>0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1">
        <f t="shared" si="11"/>
        <v>0</v>
      </c>
      <c r="BP227" s="9">
        <f t="shared" si="11"/>
        <v>0</v>
      </c>
    </row>
    <row r="228" spans="1:68" ht="15.6" thickBot="1" x14ac:dyDescent="0.3">
      <c r="A228" s="25" t="s">
        <v>680</v>
      </c>
      <c r="B228" s="18" t="s">
        <v>615</v>
      </c>
      <c r="C228" s="3">
        <f>LUGLIO!D228</f>
        <v>0</v>
      </c>
      <c r="D228" s="21">
        <f t="shared" si="10"/>
        <v>0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1">
        <f t="shared" si="11"/>
        <v>0</v>
      </c>
      <c r="BP228" s="9">
        <f t="shared" si="11"/>
        <v>0</v>
      </c>
    </row>
    <row r="229" spans="1:68" ht="15.6" thickBot="1" x14ac:dyDescent="0.3">
      <c r="A229" s="25" t="s">
        <v>681</v>
      </c>
      <c r="B229" s="18" t="s">
        <v>616</v>
      </c>
      <c r="C229" s="3">
        <f>LUGLIO!D229</f>
        <v>0</v>
      </c>
      <c r="D229" s="21">
        <f t="shared" si="10"/>
        <v>0</v>
      </c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1">
        <f t="shared" si="11"/>
        <v>0</v>
      </c>
      <c r="BP229" s="9">
        <f t="shared" si="11"/>
        <v>0</v>
      </c>
    </row>
    <row r="230" spans="1:68" ht="15.6" thickBot="1" x14ac:dyDescent="0.3">
      <c r="A230" s="25" t="s">
        <v>682</v>
      </c>
      <c r="B230" s="18" t="s">
        <v>617</v>
      </c>
      <c r="C230" s="3">
        <f>LUGLIO!D230</f>
        <v>0</v>
      </c>
      <c r="D230" s="21">
        <f t="shared" si="10"/>
        <v>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1">
        <f t="shared" si="11"/>
        <v>0</v>
      </c>
      <c r="BP230" s="9">
        <f t="shared" si="11"/>
        <v>0</v>
      </c>
    </row>
    <row r="231" spans="1:68" ht="16.2" thickBot="1" x14ac:dyDescent="0.35">
      <c r="A231" s="25"/>
      <c r="B231" s="20" t="s">
        <v>66</v>
      </c>
      <c r="C231" s="3">
        <f>LUGLIO!D231</f>
        <v>0</v>
      </c>
      <c r="D231" s="21">
        <f t="shared" si="10"/>
        <v>0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1">
        <f t="shared" si="11"/>
        <v>0</v>
      </c>
      <c r="BP231" s="9">
        <f t="shared" si="11"/>
        <v>0</v>
      </c>
    </row>
    <row r="232" spans="1:68" ht="15.6" thickBot="1" x14ac:dyDescent="0.3">
      <c r="A232" s="25" t="s">
        <v>683</v>
      </c>
      <c r="B232" s="18" t="s">
        <v>67</v>
      </c>
      <c r="C232" s="3">
        <f>LUGLIO!D232</f>
        <v>0</v>
      </c>
      <c r="D232" s="21">
        <f t="shared" si="10"/>
        <v>0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1">
        <f t="shared" si="11"/>
        <v>0</v>
      </c>
      <c r="BP232" s="9">
        <f t="shared" si="11"/>
        <v>0</v>
      </c>
    </row>
    <row r="233" spans="1:68" ht="15.6" thickBot="1" x14ac:dyDescent="0.3">
      <c r="A233" s="25" t="s">
        <v>684</v>
      </c>
      <c r="B233" s="18" t="s">
        <v>68</v>
      </c>
      <c r="C233" s="3">
        <f>LUGLIO!D233</f>
        <v>0</v>
      </c>
      <c r="D233" s="21">
        <f t="shared" si="10"/>
        <v>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1">
        <f t="shared" si="11"/>
        <v>0</v>
      </c>
      <c r="BP233" s="9">
        <f t="shared" si="11"/>
        <v>0</v>
      </c>
    </row>
    <row r="234" spans="1:68" ht="15.6" thickBot="1" x14ac:dyDescent="0.3">
      <c r="A234" s="25" t="s">
        <v>685</v>
      </c>
      <c r="B234" s="18" t="s">
        <v>69</v>
      </c>
      <c r="C234" s="3">
        <f>LUGLIO!D234</f>
        <v>0</v>
      </c>
      <c r="D234" s="21">
        <f t="shared" si="10"/>
        <v>0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1">
        <f t="shared" si="11"/>
        <v>0</v>
      </c>
      <c r="BP234" s="9">
        <f t="shared" si="11"/>
        <v>0</v>
      </c>
    </row>
    <row r="235" spans="1:68" ht="15.6" thickBot="1" x14ac:dyDescent="0.3">
      <c r="A235" s="25" t="s">
        <v>686</v>
      </c>
      <c r="B235" s="18" t="s">
        <v>70</v>
      </c>
      <c r="C235" s="3">
        <f>LUGLIO!D235</f>
        <v>0</v>
      </c>
      <c r="D235" s="21">
        <f t="shared" si="10"/>
        <v>0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1">
        <f t="shared" si="11"/>
        <v>0</v>
      </c>
      <c r="BP235" s="9">
        <f t="shared" si="11"/>
        <v>0</v>
      </c>
    </row>
    <row r="236" spans="1:68" ht="15.6" thickBot="1" x14ac:dyDescent="0.3">
      <c r="A236" s="25" t="s">
        <v>687</v>
      </c>
      <c r="B236" s="18" t="s">
        <v>71</v>
      </c>
      <c r="C236" s="3">
        <f>LUGLIO!D236</f>
        <v>0</v>
      </c>
      <c r="D236" s="21">
        <f t="shared" si="10"/>
        <v>0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1">
        <f t="shared" si="11"/>
        <v>0</v>
      </c>
      <c r="BP236" s="9">
        <f t="shared" si="11"/>
        <v>0</v>
      </c>
    </row>
    <row r="237" spans="1:68" ht="15.6" thickBot="1" x14ac:dyDescent="0.3">
      <c r="A237" s="25" t="s">
        <v>688</v>
      </c>
      <c r="B237" s="18" t="s">
        <v>872</v>
      </c>
      <c r="C237" s="3">
        <f>LUGLIO!D237</f>
        <v>0</v>
      </c>
      <c r="D237" s="21">
        <f t="shared" si="10"/>
        <v>0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1">
        <f t="shared" si="11"/>
        <v>0</v>
      </c>
      <c r="BP237" s="9">
        <f t="shared" si="11"/>
        <v>0</v>
      </c>
    </row>
    <row r="238" spans="1:68" ht="15.6" thickBot="1" x14ac:dyDescent="0.3">
      <c r="A238" s="25" t="s">
        <v>689</v>
      </c>
      <c r="B238" s="18" t="s">
        <v>125</v>
      </c>
      <c r="C238" s="3">
        <f>LUGLIO!D238</f>
        <v>0</v>
      </c>
      <c r="D238" s="21">
        <f t="shared" si="10"/>
        <v>0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1">
        <f t="shared" si="11"/>
        <v>0</v>
      </c>
      <c r="BP238" s="9">
        <f t="shared" si="11"/>
        <v>0</v>
      </c>
    </row>
    <row r="239" spans="1:68" ht="15.6" thickBot="1" x14ac:dyDescent="0.3">
      <c r="A239" s="25" t="s">
        <v>690</v>
      </c>
      <c r="B239" s="18" t="s">
        <v>126</v>
      </c>
      <c r="C239" s="3">
        <f>LUGLIO!D239</f>
        <v>0</v>
      </c>
      <c r="D239" s="21">
        <f t="shared" si="10"/>
        <v>0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1">
        <f t="shared" si="11"/>
        <v>0</v>
      </c>
      <c r="BP239" s="9">
        <f t="shared" si="11"/>
        <v>0</v>
      </c>
    </row>
    <row r="240" spans="1:68" ht="15.6" thickBot="1" x14ac:dyDescent="0.3">
      <c r="A240" s="25" t="s">
        <v>800</v>
      </c>
      <c r="B240" s="18" t="s">
        <v>127</v>
      </c>
      <c r="C240" s="3">
        <f>LUGLIO!D240</f>
        <v>0</v>
      </c>
      <c r="D240" s="21">
        <f t="shared" si="10"/>
        <v>0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1">
        <f t="shared" si="11"/>
        <v>0</v>
      </c>
      <c r="BP240" s="9">
        <f t="shared" si="11"/>
        <v>0</v>
      </c>
    </row>
    <row r="241" spans="1:68" ht="15.6" thickBot="1" x14ac:dyDescent="0.3">
      <c r="A241" s="25" t="s">
        <v>873</v>
      </c>
      <c r="B241" s="18" t="s">
        <v>327</v>
      </c>
      <c r="C241" s="3">
        <f>LUGLIO!D241</f>
        <v>0</v>
      </c>
      <c r="D241" s="21">
        <f t="shared" si="10"/>
        <v>0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1">
        <f t="shared" si="11"/>
        <v>0</v>
      </c>
      <c r="BP241" s="9">
        <f t="shared" si="11"/>
        <v>0</v>
      </c>
    </row>
    <row r="242" spans="1:68" ht="15.6" thickBot="1" x14ac:dyDescent="0.3">
      <c r="A242" s="25" t="s">
        <v>801</v>
      </c>
      <c r="B242" s="18" t="s">
        <v>128</v>
      </c>
      <c r="C242" s="3">
        <f>LUGLIO!D242</f>
        <v>0</v>
      </c>
      <c r="D242" s="21">
        <f t="shared" si="10"/>
        <v>0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1">
        <f t="shared" si="11"/>
        <v>0</v>
      </c>
      <c r="BP242" s="9">
        <f t="shared" si="11"/>
        <v>0</v>
      </c>
    </row>
    <row r="243" spans="1:68" ht="15.6" thickBot="1" x14ac:dyDescent="0.3">
      <c r="A243" s="25" t="s">
        <v>802</v>
      </c>
      <c r="B243" s="18" t="s">
        <v>129</v>
      </c>
      <c r="C243" s="3">
        <f>LUGLIO!D243</f>
        <v>0</v>
      </c>
      <c r="D243" s="21">
        <f t="shared" si="10"/>
        <v>0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1">
        <f t="shared" si="11"/>
        <v>0</v>
      </c>
      <c r="BP243" s="9">
        <f t="shared" si="11"/>
        <v>0</v>
      </c>
    </row>
    <row r="244" spans="1:68" ht="15.6" thickBot="1" x14ac:dyDescent="0.3">
      <c r="A244" s="25" t="s">
        <v>803</v>
      </c>
      <c r="B244" s="18" t="s">
        <v>130</v>
      </c>
      <c r="C244" s="3">
        <f>LUGLIO!D244</f>
        <v>0</v>
      </c>
      <c r="D244" s="21">
        <f t="shared" si="10"/>
        <v>0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1">
        <f t="shared" si="11"/>
        <v>0</v>
      </c>
      <c r="BP244" s="9">
        <f t="shared" si="11"/>
        <v>0</v>
      </c>
    </row>
    <row r="245" spans="1:68" ht="15.6" thickBot="1" x14ac:dyDescent="0.3">
      <c r="A245" s="25"/>
      <c r="B245" s="18"/>
      <c r="C245" s="3">
        <f>LUGLIO!D245</f>
        <v>0</v>
      </c>
      <c r="D245" s="21">
        <f t="shared" si="10"/>
        <v>0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1">
        <f t="shared" si="11"/>
        <v>0</v>
      </c>
      <c r="BP245" s="9">
        <f t="shared" si="11"/>
        <v>0</v>
      </c>
    </row>
    <row r="246" spans="1:68" ht="15.6" thickBot="1" x14ac:dyDescent="0.3">
      <c r="A246" s="25" t="s">
        <v>691</v>
      </c>
      <c r="B246" s="18" t="s">
        <v>151</v>
      </c>
      <c r="C246" s="3">
        <f>LUGLIO!D246</f>
        <v>0</v>
      </c>
      <c r="D246" s="21">
        <f t="shared" si="10"/>
        <v>0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1">
        <f t="shared" si="11"/>
        <v>0</v>
      </c>
      <c r="BP246" s="9">
        <f t="shared" si="11"/>
        <v>0</v>
      </c>
    </row>
    <row r="247" spans="1:68" ht="15.6" thickBot="1" x14ac:dyDescent="0.3">
      <c r="A247" s="25" t="s">
        <v>692</v>
      </c>
      <c r="B247" s="18" t="s">
        <v>131</v>
      </c>
      <c r="C247" s="3">
        <f>LUGLIO!D247</f>
        <v>0</v>
      </c>
      <c r="D247" s="21">
        <f t="shared" si="10"/>
        <v>0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1">
        <f t="shared" si="11"/>
        <v>0</v>
      </c>
      <c r="BP247" s="9">
        <f t="shared" si="11"/>
        <v>0</v>
      </c>
    </row>
    <row r="248" spans="1:68" ht="15.6" thickBot="1" x14ac:dyDescent="0.3">
      <c r="A248" s="25" t="s">
        <v>693</v>
      </c>
      <c r="B248" s="18" t="s">
        <v>152</v>
      </c>
      <c r="C248" s="3">
        <f>LUGLIO!D248</f>
        <v>0</v>
      </c>
      <c r="D248" s="21">
        <f t="shared" si="10"/>
        <v>0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1">
        <f t="shared" si="11"/>
        <v>0</v>
      </c>
      <c r="BP248" s="9">
        <f t="shared" si="11"/>
        <v>0</v>
      </c>
    </row>
    <row r="249" spans="1:68" ht="15.6" thickBot="1" x14ac:dyDescent="0.3">
      <c r="A249" s="25" t="s">
        <v>694</v>
      </c>
      <c r="B249" s="18" t="s">
        <v>153</v>
      </c>
      <c r="C249" s="3">
        <f>LUGLIO!D249</f>
        <v>0</v>
      </c>
      <c r="D249" s="21">
        <f t="shared" si="10"/>
        <v>0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1">
        <f t="shared" si="11"/>
        <v>0</v>
      </c>
      <c r="BP249" s="9">
        <f t="shared" si="11"/>
        <v>0</v>
      </c>
    </row>
    <row r="250" spans="1:68" ht="15.6" thickBot="1" x14ac:dyDescent="0.3">
      <c r="A250" s="25" t="s">
        <v>695</v>
      </c>
      <c r="B250" s="18" t="s">
        <v>142</v>
      </c>
      <c r="C250" s="3">
        <f>LUGLIO!D250</f>
        <v>0</v>
      </c>
      <c r="D250" s="21">
        <f t="shared" si="10"/>
        <v>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1">
        <f t="shared" si="11"/>
        <v>0</v>
      </c>
      <c r="BP250" s="9">
        <f t="shared" si="11"/>
        <v>0</v>
      </c>
    </row>
    <row r="251" spans="1:68" ht="15.6" thickBot="1" x14ac:dyDescent="0.3">
      <c r="A251" s="25" t="s">
        <v>696</v>
      </c>
      <c r="B251" s="18" t="s">
        <v>143</v>
      </c>
      <c r="C251" s="3">
        <f>LUGLIO!D251</f>
        <v>0</v>
      </c>
      <c r="D251" s="21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1"/>
      <c r="BP251" s="9"/>
    </row>
    <row r="252" spans="1:68" ht="16.2" thickBot="1" x14ac:dyDescent="0.35">
      <c r="A252" s="25"/>
      <c r="B252" s="20" t="s">
        <v>496</v>
      </c>
      <c r="C252" s="3">
        <f>LUGLIO!D252</f>
        <v>0</v>
      </c>
      <c r="D252" s="21">
        <f t="shared" si="10"/>
        <v>0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1">
        <f t="shared" si="11"/>
        <v>0</v>
      </c>
      <c r="BP252" s="9">
        <f t="shared" si="11"/>
        <v>0</v>
      </c>
    </row>
    <row r="253" spans="1:68" ht="15.6" thickBot="1" x14ac:dyDescent="0.3">
      <c r="A253" s="25" t="s">
        <v>661</v>
      </c>
      <c r="B253" s="18" t="s">
        <v>255</v>
      </c>
      <c r="C253" s="3">
        <f>LUGLIO!D253</f>
        <v>0</v>
      </c>
      <c r="D253" s="21">
        <f t="shared" si="10"/>
        <v>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1">
        <f t="shared" si="11"/>
        <v>0</v>
      </c>
      <c r="BP253" s="9">
        <f t="shared" si="11"/>
        <v>0</v>
      </c>
    </row>
    <row r="254" spans="1:68" ht="15.6" thickBot="1" x14ac:dyDescent="0.3">
      <c r="A254" s="25" t="s">
        <v>662</v>
      </c>
      <c r="B254" s="18" t="s">
        <v>256</v>
      </c>
      <c r="C254" s="3">
        <f>LUGLIO!D254</f>
        <v>0</v>
      </c>
      <c r="D254" s="21">
        <f t="shared" si="10"/>
        <v>0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1">
        <f t="shared" si="11"/>
        <v>0</v>
      </c>
      <c r="BP254" s="9">
        <f t="shared" si="11"/>
        <v>0</v>
      </c>
    </row>
    <row r="255" spans="1:68" ht="15.6" thickBot="1" x14ac:dyDescent="0.3">
      <c r="A255" s="25" t="s">
        <v>804</v>
      </c>
      <c r="B255" s="18" t="s">
        <v>156</v>
      </c>
      <c r="C255" s="3">
        <f>LUGLIO!D255</f>
        <v>0</v>
      </c>
      <c r="D255" s="21">
        <f t="shared" si="10"/>
        <v>0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1">
        <f t="shared" si="11"/>
        <v>0</v>
      </c>
      <c r="BP255" s="9">
        <f t="shared" si="11"/>
        <v>0</v>
      </c>
    </row>
    <row r="256" spans="1:68" ht="15.6" thickBot="1" x14ac:dyDescent="0.3">
      <c r="A256" s="25" t="s">
        <v>805</v>
      </c>
      <c r="B256" s="18" t="s">
        <v>509</v>
      </c>
      <c r="C256" s="3">
        <f>LUGLIO!D256</f>
        <v>0</v>
      </c>
      <c r="D256" s="21">
        <f t="shared" si="10"/>
        <v>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1">
        <f t="shared" si="11"/>
        <v>0</v>
      </c>
      <c r="BP256" s="9">
        <f t="shared" si="11"/>
        <v>0</v>
      </c>
    </row>
    <row r="257" spans="1:68" ht="15.6" thickBot="1" x14ac:dyDescent="0.3">
      <c r="A257" s="25" t="s">
        <v>806</v>
      </c>
      <c r="B257" s="18" t="s">
        <v>157</v>
      </c>
      <c r="C257" s="3">
        <f>LUGLIO!D257</f>
        <v>0</v>
      </c>
      <c r="D257" s="21">
        <f t="shared" si="10"/>
        <v>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1">
        <f t="shared" si="11"/>
        <v>0</v>
      </c>
      <c r="BP257" s="9">
        <f t="shared" si="11"/>
        <v>0</v>
      </c>
    </row>
    <row r="258" spans="1:68" ht="15.6" thickBot="1" x14ac:dyDescent="0.3">
      <c r="A258" s="25" t="s">
        <v>578</v>
      </c>
      <c r="B258" s="18" t="s">
        <v>158</v>
      </c>
      <c r="C258" s="3">
        <f>LUGLIO!D258</f>
        <v>0</v>
      </c>
      <c r="D258" s="21">
        <f t="shared" si="10"/>
        <v>0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1">
        <f t="shared" si="11"/>
        <v>0</v>
      </c>
      <c r="BP258" s="9">
        <f t="shared" si="11"/>
        <v>0</v>
      </c>
    </row>
    <row r="259" spans="1:68" ht="16.2" thickBot="1" x14ac:dyDescent="0.35">
      <c r="A259" s="25"/>
      <c r="B259" s="23" t="s">
        <v>73</v>
      </c>
      <c r="C259" s="3">
        <f>LUGLIO!D259</f>
        <v>0</v>
      </c>
      <c r="D259" s="21">
        <f t="shared" si="10"/>
        <v>0</v>
      </c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1">
        <f t="shared" si="11"/>
        <v>0</v>
      </c>
      <c r="BP259" s="9">
        <f t="shared" si="11"/>
        <v>0</v>
      </c>
    </row>
    <row r="260" spans="1:68" ht="15.6" thickBot="1" x14ac:dyDescent="0.3">
      <c r="A260" s="25" t="s">
        <v>563</v>
      </c>
      <c r="B260" s="18" t="s">
        <v>564</v>
      </c>
      <c r="C260" s="3">
        <f>LUGLIO!D260</f>
        <v>0</v>
      </c>
      <c r="D260" s="21">
        <f t="shared" si="10"/>
        <v>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1">
        <f t="shared" si="11"/>
        <v>0</v>
      </c>
      <c r="BP260" s="9">
        <f t="shared" si="11"/>
        <v>0</v>
      </c>
    </row>
    <row r="261" spans="1:68" ht="15.6" thickBot="1" x14ac:dyDescent="0.3">
      <c r="A261" s="25" t="s">
        <v>232</v>
      </c>
      <c r="B261" s="18" t="s">
        <v>74</v>
      </c>
      <c r="C261" s="3">
        <f>LUGLIO!D261</f>
        <v>0</v>
      </c>
      <c r="D261" s="21">
        <f t="shared" si="10"/>
        <v>0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1">
        <f t="shared" si="11"/>
        <v>0</v>
      </c>
      <c r="BP261" s="9">
        <f t="shared" si="11"/>
        <v>0</v>
      </c>
    </row>
    <row r="262" spans="1:68" ht="15.6" thickBot="1" x14ac:dyDescent="0.3">
      <c r="A262" s="25" t="s">
        <v>230</v>
      </c>
      <c r="B262" s="18" t="s">
        <v>231</v>
      </c>
      <c r="C262" s="3">
        <f>LUGLIO!D262</f>
        <v>0</v>
      </c>
      <c r="D262" s="21">
        <f t="shared" si="10"/>
        <v>0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1">
        <f t="shared" si="11"/>
        <v>0</v>
      </c>
      <c r="BP262" s="9">
        <f t="shared" si="11"/>
        <v>0</v>
      </c>
    </row>
    <row r="263" spans="1:68" ht="15.6" thickBot="1" x14ac:dyDescent="0.3">
      <c r="A263" s="25" t="s">
        <v>566</v>
      </c>
      <c r="B263" s="18" t="s">
        <v>565</v>
      </c>
      <c r="C263" s="3">
        <f>LUGLIO!D263</f>
        <v>0</v>
      </c>
      <c r="D263" s="21">
        <f t="shared" si="10"/>
        <v>0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1">
        <f t="shared" si="11"/>
        <v>0</v>
      </c>
      <c r="BP263" s="9">
        <f t="shared" si="11"/>
        <v>0</v>
      </c>
    </row>
    <row r="264" spans="1:68" ht="15.6" thickBot="1" x14ac:dyDescent="0.3">
      <c r="A264" s="25" t="s">
        <v>233</v>
      </c>
      <c r="B264" s="18" t="s">
        <v>75</v>
      </c>
      <c r="C264" s="3">
        <f>LUGLIO!D264</f>
        <v>0</v>
      </c>
      <c r="D264" s="21">
        <f t="shared" si="10"/>
        <v>0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1">
        <f t="shared" si="11"/>
        <v>0</v>
      </c>
      <c r="BP264" s="9">
        <f t="shared" si="11"/>
        <v>0</v>
      </c>
    </row>
    <row r="265" spans="1:68" ht="15.6" thickBot="1" x14ac:dyDescent="0.3">
      <c r="A265" s="25" t="s">
        <v>234</v>
      </c>
      <c r="B265" s="18" t="s">
        <v>429</v>
      </c>
      <c r="C265" s="3">
        <f>LUGLIO!D265</f>
        <v>0</v>
      </c>
      <c r="D265" s="21">
        <f t="shared" si="10"/>
        <v>0</v>
      </c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1">
        <f t="shared" si="11"/>
        <v>0</v>
      </c>
      <c r="BP265" s="9">
        <f t="shared" si="11"/>
        <v>0</v>
      </c>
    </row>
    <row r="266" spans="1:68" ht="15.6" thickBot="1" x14ac:dyDescent="0.3">
      <c r="A266" s="25" t="s">
        <v>235</v>
      </c>
      <c r="B266" s="18" t="s">
        <v>430</v>
      </c>
      <c r="C266" s="3">
        <f>LUGLIO!D266</f>
        <v>0</v>
      </c>
      <c r="D266" s="21">
        <f t="shared" si="10"/>
        <v>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1">
        <f t="shared" si="11"/>
        <v>0</v>
      </c>
      <c r="BP266" s="9">
        <f t="shared" si="11"/>
        <v>0</v>
      </c>
    </row>
    <row r="267" spans="1:68" ht="15.6" thickBot="1" x14ac:dyDescent="0.3">
      <c r="A267" s="28" t="s">
        <v>589</v>
      </c>
      <c r="B267" s="18" t="s">
        <v>590</v>
      </c>
      <c r="C267" s="3">
        <f>LUGLIO!D267</f>
        <v>0</v>
      </c>
      <c r="D267" s="21">
        <f t="shared" si="10"/>
        <v>0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1">
        <f t="shared" si="11"/>
        <v>0</v>
      </c>
      <c r="BP267" s="9">
        <f t="shared" si="11"/>
        <v>0</v>
      </c>
    </row>
    <row r="268" spans="1:68" ht="15.6" thickBot="1" x14ac:dyDescent="0.3">
      <c r="A268" s="25" t="s">
        <v>236</v>
      </c>
      <c r="B268" s="18" t="s">
        <v>622</v>
      </c>
      <c r="C268" s="3">
        <f>LUGLIO!D268</f>
        <v>0</v>
      </c>
      <c r="D268" s="21">
        <f t="shared" si="10"/>
        <v>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1">
        <f t="shared" si="11"/>
        <v>0</v>
      </c>
      <c r="BP268" s="9">
        <f t="shared" si="11"/>
        <v>0</v>
      </c>
    </row>
    <row r="269" spans="1:68" ht="16.2" thickBot="1" x14ac:dyDescent="0.35">
      <c r="A269" s="25"/>
      <c r="B269" s="20" t="s">
        <v>78</v>
      </c>
      <c r="C269" s="3">
        <f>LUGLIO!D269</f>
        <v>0</v>
      </c>
      <c r="D269" s="21">
        <f t="shared" si="10"/>
        <v>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1">
        <f t="shared" si="11"/>
        <v>0</v>
      </c>
      <c r="BP269" s="9">
        <f t="shared" si="11"/>
        <v>0</v>
      </c>
    </row>
    <row r="270" spans="1:68" ht="15.6" thickBot="1" x14ac:dyDescent="0.3">
      <c r="A270" s="25" t="s">
        <v>937</v>
      </c>
      <c r="B270" s="18" t="s">
        <v>938</v>
      </c>
      <c r="C270" s="3">
        <f>LUGLIO!D270</f>
        <v>0</v>
      </c>
      <c r="D270" s="21">
        <f t="shared" ref="D270:D336" si="12">C270+SUM(E270:BN270)</f>
        <v>0</v>
      </c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1">
        <f t="shared" si="11"/>
        <v>0</v>
      </c>
      <c r="BP270" s="9">
        <f t="shared" si="11"/>
        <v>0</v>
      </c>
    </row>
    <row r="271" spans="1:68" ht="15.6" thickBot="1" x14ac:dyDescent="0.3">
      <c r="A271" s="25" t="s">
        <v>939</v>
      </c>
      <c r="B271" s="18" t="s">
        <v>940</v>
      </c>
      <c r="C271" s="3">
        <f>LUGLIO!D271</f>
        <v>0</v>
      </c>
      <c r="D271" s="21">
        <f t="shared" si="12"/>
        <v>0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1">
        <f t="shared" ref="BO271:BP337" si="13">BM271+BG271+BE271+BC271+BA271+AY271+AW271+AU271+AS271+AQ271+AO271+AM271+AK271+AI271+AG271+AE271+AC271+AA271+Y271+W271+U271+S271+Q271+O271+M271+K271+I271+G271+E271</f>
        <v>0</v>
      </c>
      <c r="BP271" s="9">
        <f t="shared" si="13"/>
        <v>0</v>
      </c>
    </row>
    <row r="272" spans="1:68" ht="16.2" thickBot="1" x14ac:dyDescent="0.35">
      <c r="B272" s="20"/>
      <c r="C272" s="3">
        <f>LUGLIO!D272</f>
        <v>0</v>
      </c>
      <c r="D272" s="21">
        <f t="shared" si="12"/>
        <v>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1">
        <f t="shared" si="13"/>
        <v>0</v>
      </c>
      <c r="BP272" s="9">
        <f t="shared" si="13"/>
        <v>0</v>
      </c>
    </row>
    <row r="273" spans="1:68" ht="15.6" thickBot="1" x14ac:dyDescent="0.3">
      <c r="A273" s="25" t="s">
        <v>538</v>
      </c>
      <c r="B273" s="18" t="s">
        <v>539</v>
      </c>
      <c r="C273" s="3">
        <f>LUGLIO!D273</f>
        <v>0</v>
      </c>
      <c r="D273" s="21">
        <f t="shared" si="12"/>
        <v>0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1">
        <f t="shared" si="13"/>
        <v>0</v>
      </c>
      <c r="BP273" s="9">
        <f t="shared" si="13"/>
        <v>0</v>
      </c>
    </row>
    <row r="274" spans="1:68" ht="15.6" thickBot="1" x14ac:dyDescent="0.3">
      <c r="A274" s="25" t="s">
        <v>560</v>
      </c>
      <c r="B274" s="15" t="s">
        <v>540</v>
      </c>
      <c r="C274" s="3">
        <f>LUGLIO!D274</f>
        <v>0</v>
      </c>
      <c r="D274" s="21">
        <f t="shared" si="12"/>
        <v>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1">
        <f t="shared" si="13"/>
        <v>0</v>
      </c>
      <c r="BP274" s="9">
        <f t="shared" si="13"/>
        <v>0</v>
      </c>
    </row>
    <row r="275" spans="1:68" ht="15.6" thickBot="1" x14ac:dyDescent="0.3">
      <c r="A275" s="25" t="s">
        <v>387</v>
      </c>
      <c r="B275" s="18" t="s">
        <v>278</v>
      </c>
      <c r="C275" s="3">
        <f>LUGLIO!D275</f>
        <v>0</v>
      </c>
      <c r="D275" s="21">
        <f t="shared" si="12"/>
        <v>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1">
        <f t="shared" si="13"/>
        <v>0</v>
      </c>
      <c r="BP275" s="9">
        <f t="shared" si="13"/>
        <v>0</v>
      </c>
    </row>
    <row r="276" spans="1:68" ht="15.6" thickBot="1" x14ac:dyDescent="0.3">
      <c r="A276" s="25" t="s">
        <v>818</v>
      </c>
      <c r="B276" s="18" t="s">
        <v>819</v>
      </c>
      <c r="C276" s="3">
        <f>LUGLIO!D276</f>
        <v>0</v>
      </c>
      <c r="D276" s="21">
        <f t="shared" si="12"/>
        <v>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1">
        <f t="shared" si="13"/>
        <v>0</v>
      </c>
      <c r="BP276" s="9">
        <f t="shared" si="13"/>
        <v>0</v>
      </c>
    </row>
    <row r="277" spans="1:68" ht="15.6" thickBot="1" x14ac:dyDescent="0.3">
      <c r="A277" s="25" t="s">
        <v>541</v>
      </c>
      <c r="B277" s="18" t="s">
        <v>279</v>
      </c>
      <c r="C277" s="3">
        <f>LUGLIO!D277</f>
        <v>0</v>
      </c>
      <c r="D277" s="21">
        <f t="shared" si="12"/>
        <v>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1">
        <f t="shared" si="13"/>
        <v>0</v>
      </c>
      <c r="BP277" s="9">
        <f t="shared" si="13"/>
        <v>0</v>
      </c>
    </row>
    <row r="278" spans="1:68" ht="15.6" thickBot="1" x14ac:dyDescent="0.3">
      <c r="A278" s="25" t="s">
        <v>371</v>
      </c>
      <c r="B278" s="18" t="s">
        <v>372</v>
      </c>
      <c r="C278" s="3">
        <f>LUGLIO!D278</f>
        <v>0</v>
      </c>
      <c r="D278" s="21">
        <f t="shared" si="12"/>
        <v>0</v>
      </c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1">
        <f t="shared" si="13"/>
        <v>0</v>
      </c>
      <c r="BP278" s="9">
        <f t="shared" si="13"/>
        <v>0</v>
      </c>
    </row>
    <row r="279" spans="1:68" ht="15.6" thickBot="1" x14ac:dyDescent="0.3">
      <c r="A279" s="25" t="s">
        <v>826</v>
      </c>
      <c r="B279" s="18" t="s">
        <v>368</v>
      </c>
      <c r="C279" s="3">
        <f>LUGLIO!D279</f>
        <v>0</v>
      </c>
      <c r="D279" s="21">
        <f t="shared" si="12"/>
        <v>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1">
        <f t="shared" si="13"/>
        <v>0</v>
      </c>
      <c r="BP279" s="9">
        <f t="shared" si="13"/>
        <v>0</v>
      </c>
    </row>
    <row r="280" spans="1:68" ht="15.6" thickBot="1" x14ac:dyDescent="0.3">
      <c r="A280" s="25" t="s">
        <v>542</v>
      </c>
      <c r="B280" s="18" t="s">
        <v>543</v>
      </c>
      <c r="C280" s="3">
        <f>LUGLIO!D280</f>
        <v>0</v>
      </c>
      <c r="D280" s="21">
        <f t="shared" si="12"/>
        <v>0</v>
      </c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1">
        <f t="shared" si="13"/>
        <v>0</v>
      </c>
      <c r="BP280" s="9">
        <f t="shared" si="13"/>
        <v>0</v>
      </c>
    </row>
    <row r="281" spans="1:68" ht="15.6" thickBot="1" x14ac:dyDescent="0.3">
      <c r="A281" s="25" t="s">
        <v>755</v>
      </c>
      <c r="B281" s="18" t="s">
        <v>450</v>
      </c>
      <c r="C281" s="3">
        <f>LUGLIO!D281</f>
        <v>0</v>
      </c>
      <c r="D281" s="21">
        <f t="shared" si="12"/>
        <v>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1">
        <f t="shared" si="13"/>
        <v>0</v>
      </c>
      <c r="BP281" s="9">
        <f t="shared" si="13"/>
        <v>0</v>
      </c>
    </row>
    <row r="282" spans="1:68" ht="15.6" thickBot="1" x14ac:dyDescent="0.3">
      <c r="A282" s="25"/>
      <c r="B282" s="18" t="s">
        <v>834</v>
      </c>
      <c r="C282" s="3">
        <f>LUGLIO!D282</f>
        <v>0</v>
      </c>
      <c r="D282" s="21">
        <f t="shared" si="12"/>
        <v>0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1">
        <f t="shared" si="13"/>
        <v>0</v>
      </c>
      <c r="BP282" s="9">
        <f t="shared" si="13"/>
        <v>0</v>
      </c>
    </row>
    <row r="283" spans="1:68" ht="15.6" thickBot="1" x14ac:dyDescent="0.3">
      <c r="A283" s="25" t="s">
        <v>786</v>
      </c>
      <c r="B283" s="18" t="s">
        <v>788</v>
      </c>
      <c r="C283" s="3">
        <f>LUGLIO!D283</f>
        <v>0</v>
      </c>
      <c r="D283" s="21">
        <f t="shared" si="12"/>
        <v>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1">
        <f t="shared" si="13"/>
        <v>0</v>
      </c>
      <c r="BP283" s="9">
        <f t="shared" si="13"/>
        <v>0</v>
      </c>
    </row>
    <row r="284" spans="1:68" ht="15.6" thickBot="1" x14ac:dyDescent="0.3">
      <c r="A284" s="25" t="s">
        <v>787</v>
      </c>
      <c r="B284" s="18" t="s">
        <v>789</v>
      </c>
      <c r="C284" s="3">
        <f>LUGLIO!D284</f>
        <v>0</v>
      </c>
      <c r="D284" s="21">
        <f t="shared" si="12"/>
        <v>0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1">
        <f t="shared" si="13"/>
        <v>0</v>
      </c>
      <c r="BP284" s="9">
        <f t="shared" si="13"/>
        <v>0</v>
      </c>
    </row>
    <row r="285" spans="1:68" ht="15.6" thickBot="1" x14ac:dyDescent="0.3">
      <c r="A285" s="25" t="s">
        <v>595</v>
      </c>
      <c r="B285" s="18" t="s">
        <v>456</v>
      </c>
      <c r="C285" s="3">
        <f>LUGLIO!D285</f>
        <v>0</v>
      </c>
      <c r="D285" s="21">
        <f t="shared" si="12"/>
        <v>0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1">
        <f t="shared" si="13"/>
        <v>0</v>
      </c>
      <c r="BP285" s="9">
        <f t="shared" si="13"/>
        <v>0</v>
      </c>
    </row>
    <row r="286" spans="1:68" ht="15.6" thickBot="1" x14ac:dyDescent="0.3">
      <c r="A286" s="25" t="s">
        <v>626</v>
      </c>
      <c r="B286" s="18" t="s">
        <v>627</v>
      </c>
      <c r="C286" s="3">
        <f>LUGLIO!D286</f>
        <v>0</v>
      </c>
      <c r="D286" s="21">
        <f t="shared" si="12"/>
        <v>0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1">
        <f t="shared" si="13"/>
        <v>0</v>
      </c>
      <c r="BP286" s="9">
        <f t="shared" si="13"/>
        <v>0</v>
      </c>
    </row>
    <row r="287" spans="1:68" ht="15.6" thickBot="1" x14ac:dyDescent="0.3">
      <c r="A287" s="25" t="s">
        <v>716</v>
      </c>
      <c r="B287" s="18" t="s">
        <v>717</v>
      </c>
      <c r="C287" s="3">
        <f>LUGLIO!D287</f>
        <v>0</v>
      </c>
      <c r="D287" s="21">
        <f t="shared" si="12"/>
        <v>0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1">
        <f t="shared" si="13"/>
        <v>0</v>
      </c>
      <c r="BP287" s="9">
        <f t="shared" si="13"/>
        <v>0</v>
      </c>
    </row>
    <row r="288" spans="1:68" ht="16.2" thickBot="1" x14ac:dyDescent="0.35">
      <c r="A288" s="25"/>
      <c r="B288" s="20" t="s">
        <v>79</v>
      </c>
      <c r="C288" s="3">
        <f>LUGLIO!D288</f>
        <v>0</v>
      </c>
      <c r="D288" s="21">
        <f t="shared" si="12"/>
        <v>0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1">
        <f t="shared" si="13"/>
        <v>0</v>
      </c>
      <c r="BP288" s="9">
        <f t="shared" si="13"/>
        <v>0</v>
      </c>
    </row>
    <row r="289" spans="1:68" ht="15.6" thickBot="1" x14ac:dyDescent="0.3">
      <c r="A289" s="25" t="s">
        <v>807</v>
      </c>
      <c r="B289" s="18" t="s">
        <v>181</v>
      </c>
      <c r="C289" s="3">
        <f>LUGLIO!D289</f>
        <v>0</v>
      </c>
      <c r="D289" s="21">
        <f t="shared" si="12"/>
        <v>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1">
        <f t="shared" si="13"/>
        <v>0</v>
      </c>
      <c r="BP289" s="9">
        <f t="shared" si="13"/>
        <v>0</v>
      </c>
    </row>
    <row r="290" spans="1:68" ht="15.6" thickBot="1" x14ac:dyDescent="0.3">
      <c r="A290" s="25" t="s">
        <v>808</v>
      </c>
      <c r="B290" s="18" t="s">
        <v>33</v>
      </c>
      <c r="C290" s="3">
        <f>LUGLIO!D290</f>
        <v>0</v>
      </c>
      <c r="D290" s="21">
        <f t="shared" si="12"/>
        <v>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1">
        <f t="shared" si="13"/>
        <v>0</v>
      </c>
      <c r="BP290" s="9">
        <f t="shared" si="13"/>
        <v>0</v>
      </c>
    </row>
    <row r="291" spans="1:68" ht="15.6" thickBot="1" x14ac:dyDescent="0.3">
      <c r="A291" s="25" t="s">
        <v>809</v>
      </c>
      <c r="B291" s="18" t="s">
        <v>182</v>
      </c>
      <c r="C291" s="3">
        <f>LUGLIO!D291</f>
        <v>0</v>
      </c>
      <c r="D291" s="21">
        <f t="shared" si="12"/>
        <v>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1">
        <f t="shared" si="13"/>
        <v>0</v>
      </c>
      <c r="BP291" s="9">
        <f t="shared" si="13"/>
        <v>0</v>
      </c>
    </row>
    <row r="292" spans="1:68" ht="16.2" thickBot="1" x14ac:dyDescent="0.35">
      <c r="A292" s="25"/>
      <c r="B292" s="20" t="s">
        <v>553</v>
      </c>
      <c r="C292" s="3">
        <f>LUGLIO!D292</f>
        <v>0</v>
      </c>
      <c r="D292" s="21">
        <f t="shared" si="12"/>
        <v>0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1">
        <f t="shared" si="13"/>
        <v>0</v>
      </c>
      <c r="BP292" s="9">
        <f t="shared" si="13"/>
        <v>0</v>
      </c>
    </row>
    <row r="293" spans="1:68" ht="15.6" thickBot="1" x14ac:dyDescent="0.3">
      <c r="A293" s="25" t="s">
        <v>827</v>
      </c>
      <c r="B293" s="18" t="s">
        <v>554</v>
      </c>
      <c r="C293" s="3">
        <f>LUGLIO!D293</f>
        <v>0</v>
      </c>
      <c r="D293" s="21">
        <f t="shared" si="12"/>
        <v>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1">
        <f t="shared" si="13"/>
        <v>0</v>
      </c>
      <c r="BP293" s="9">
        <f t="shared" si="13"/>
        <v>0</v>
      </c>
    </row>
    <row r="294" spans="1:68" ht="16.2" thickBot="1" x14ac:dyDescent="0.35">
      <c r="A294" s="25"/>
      <c r="B294" s="20" t="s">
        <v>80</v>
      </c>
      <c r="C294" s="3">
        <f>LUGLIO!D294</f>
        <v>0</v>
      </c>
      <c r="D294" s="21">
        <f t="shared" si="12"/>
        <v>0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1">
        <f t="shared" si="13"/>
        <v>0</v>
      </c>
      <c r="BP294" s="9">
        <f t="shared" si="13"/>
        <v>0</v>
      </c>
    </row>
    <row r="295" spans="1:68" ht="15.6" thickBot="1" x14ac:dyDescent="0.3">
      <c r="A295" s="25" t="s">
        <v>666</v>
      </c>
      <c r="B295" s="18" t="s">
        <v>81</v>
      </c>
      <c r="C295" s="3">
        <f>LUGLIO!D295</f>
        <v>36</v>
      </c>
      <c r="D295" s="21">
        <f t="shared" si="12"/>
        <v>0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>
        <v>-36</v>
      </c>
      <c r="BI295" s="10"/>
      <c r="BJ295" s="10"/>
      <c r="BK295" s="10"/>
      <c r="BL295" s="10"/>
      <c r="BM295" s="10"/>
      <c r="BN295" s="10"/>
      <c r="BO295" s="11">
        <f t="shared" si="13"/>
        <v>0</v>
      </c>
      <c r="BP295" s="9">
        <f t="shared" si="13"/>
        <v>-36</v>
      </c>
    </row>
    <row r="296" spans="1:68" ht="15.6" thickBot="1" x14ac:dyDescent="0.3">
      <c r="A296" s="25" t="s">
        <v>667</v>
      </c>
      <c r="B296" s="18" t="s">
        <v>82</v>
      </c>
      <c r="C296" s="3">
        <f>LUGLIO!D296</f>
        <v>160</v>
      </c>
      <c r="D296" s="21">
        <f t="shared" si="12"/>
        <v>0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>
        <v>72</v>
      </c>
      <c r="T296" s="10"/>
      <c r="U296" s="10">
        <f>72*5</f>
        <v>360</v>
      </c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>
        <v>-592</v>
      </c>
      <c r="BI296" s="10"/>
      <c r="BJ296" s="10"/>
      <c r="BK296" s="10"/>
      <c r="BL296" s="10"/>
      <c r="BM296" s="10"/>
      <c r="BN296" s="10"/>
      <c r="BO296" s="11">
        <f t="shared" si="13"/>
        <v>432</v>
      </c>
      <c r="BP296" s="9">
        <f t="shared" si="13"/>
        <v>-592</v>
      </c>
    </row>
    <row r="297" spans="1:68" ht="15.6" thickBot="1" x14ac:dyDescent="0.3">
      <c r="A297" s="25" t="s">
        <v>697</v>
      </c>
      <c r="B297" s="18" t="s">
        <v>83</v>
      </c>
      <c r="C297" s="3">
        <f>LUGLIO!D297</f>
        <v>246</v>
      </c>
      <c r="D297" s="21">
        <f t="shared" si="12"/>
        <v>0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>
        <v>72</v>
      </c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>
        <v>144</v>
      </c>
      <c r="BD297" s="10"/>
      <c r="BE297" s="10"/>
      <c r="BF297" s="10"/>
      <c r="BG297" s="10"/>
      <c r="BH297" s="10">
        <v>-462</v>
      </c>
      <c r="BI297" s="10"/>
      <c r="BJ297" s="10"/>
      <c r="BK297" s="10"/>
      <c r="BL297" s="10"/>
      <c r="BM297" s="10"/>
      <c r="BN297" s="10"/>
      <c r="BO297" s="11">
        <f t="shared" si="13"/>
        <v>216</v>
      </c>
      <c r="BP297" s="9">
        <f t="shared" si="13"/>
        <v>-462</v>
      </c>
    </row>
    <row r="298" spans="1:68" ht="15.6" thickBot="1" x14ac:dyDescent="0.3">
      <c r="A298" s="25" t="s">
        <v>698</v>
      </c>
      <c r="B298" s="18" t="s">
        <v>84</v>
      </c>
      <c r="C298" s="3">
        <f>LUGLIO!D298</f>
        <v>130</v>
      </c>
      <c r="D298" s="21">
        <f t="shared" si="12"/>
        <v>0</v>
      </c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>
        <v>72</v>
      </c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>
        <v>-202</v>
      </c>
      <c r="BI298" s="10"/>
      <c r="BJ298" s="10"/>
      <c r="BK298" s="10"/>
      <c r="BL298" s="10"/>
      <c r="BM298" s="10"/>
      <c r="BN298" s="10"/>
      <c r="BO298" s="11">
        <f t="shared" si="13"/>
        <v>72</v>
      </c>
      <c r="BP298" s="9">
        <f t="shared" si="13"/>
        <v>-202</v>
      </c>
    </row>
    <row r="299" spans="1:68" ht="15.6" thickBot="1" x14ac:dyDescent="0.3">
      <c r="A299" s="25" t="s">
        <v>672</v>
      </c>
      <c r="B299" s="18" t="s">
        <v>85</v>
      </c>
      <c r="C299" s="3">
        <f>LUGLIO!D299</f>
        <v>170</v>
      </c>
      <c r="D299" s="21">
        <f t="shared" si="12"/>
        <v>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>
        <v>144</v>
      </c>
      <c r="BD299" s="10"/>
      <c r="BE299" s="10"/>
      <c r="BF299" s="10"/>
      <c r="BG299" s="10"/>
      <c r="BH299" s="10">
        <v>-314</v>
      </c>
      <c r="BI299" s="10"/>
      <c r="BJ299" s="10"/>
      <c r="BK299" s="10"/>
      <c r="BL299" s="10"/>
      <c r="BM299" s="10"/>
      <c r="BN299" s="10"/>
      <c r="BO299" s="11">
        <f t="shared" si="13"/>
        <v>144</v>
      </c>
      <c r="BP299" s="9">
        <f t="shared" si="13"/>
        <v>-314</v>
      </c>
    </row>
    <row r="300" spans="1:68" ht="15.6" thickBot="1" x14ac:dyDescent="0.3">
      <c r="A300" s="25" t="s">
        <v>673</v>
      </c>
      <c r="B300" s="18" t="s">
        <v>159</v>
      </c>
      <c r="C300" s="3">
        <f>LUGLIO!D300</f>
        <v>120</v>
      </c>
      <c r="D300" s="21">
        <f t="shared" si="12"/>
        <v>0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>
        <v>108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>
        <v>-228</v>
      </c>
      <c r="BI300" s="10"/>
      <c r="BJ300" s="10"/>
      <c r="BK300" s="10"/>
      <c r="BL300" s="10"/>
      <c r="BM300" s="10"/>
      <c r="BN300" s="10"/>
      <c r="BO300" s="11">
        <f t="shared" si="13"/>
        <v>108</v>
      </c>
      <c r="BP300" s="9">
        <f t="shared" si="13"/>
        <v>-228</v>
      </c>
    </row>
    <row r="301" spans="1:68" ht="15.6" thickBot="1" x14ac:dyDescent="0.3">
      <c r="A301" s="25" t="s">
        <v>833</v>
      </c>
      <c r="B301" s="18" t="s">
        <v>258</v>
      </c>
      <c r="C301" s="3">
        <f>LUGLIO!D301</f>
        <v>0</v>
      </c>
      <c r="D301" s="21">
        <f t="shared" si="12"/>
        <v>0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>
        <v>36</v>
      </c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>
        <v>-36</v>
      </c>
      <c r="BI301" s="10"/>
      <c r="BJ301" s="10"/>
      <c r="BK301" s="10"/>
      <c r="BL301" s="10"/>
      <c r="BM301" s="10"/>
      <c r="BN301" s="10"/>
      <c r="BO301" s="11">
        <f t="shared" si="13"/>
        <v>36</v>
      </c>
      <c r="BP301" s="9">
        <f t="shared" si="13"/>
        <v>-36</v>
      </c>
    </row>
    <row r="302" spans="1:68" ht="15.6" thickBot="1" x14ac:dyDescent="0.3">
      <c r="A302" s="25" t="s">
        <v>699</v>
      </c>
      <c r="B302" s="18" t="s">
        <v>259</v>
      </c>
      <c r="C302" s="3">
        <f>LUGLIO!D302</f>
        <v>0</v>
      </c>
      <c r="D302" s="21">
        <f t="shared" si="12"/>
        <v>0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>
        <v>72</v>
      </c>
      <c r="BF302" s="10"/>
      <c r="BG302" s="10"/>
      <c r="BH302" s="10">
        <v>-72</v>
      </c>
      <c r="BI302" s="10"/>
      <c r="BJ302" s="10"/>
      <c r="BK302" s="10"/>
      <c r="BL302" s="10"/>
      <c r="BM302" s="10"/>
      <c r="BN302" s="10"/>
      <c r="BO302" s="11">
        <f t="shared" si="13"/>
        <v>72</v>
      </c>
      <c r="BP302" s="9">
        <f t="shared" si="13"/>
        <v>-72</v>
      </c>
    </row>
    <row r="303" spans="1:68" ht="15.6" thickBot="1" x14ac:dyDescent="0.3">
      <c r="A303" s="25" t="s">
        <v>700</v>
      </c>
      <c r="B303" s="18" t="s">
        <v>260</v>
      </c>
      <c r="C303" s="3">
        <f>LUGLIO!D303</f>
        <v>34</v>
      </c>
      <c r="D303" s="21">
        <f t="shared" si="12"/>
        <v>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>
        <v>72</v>
      </c>
      <c r="BD303" s="10"/>
      <c r="BE303" s="10"/>
      <c r="BF303" s="10"/>
      <c r="BG303" s="10"/>
      <c r="BH303" s="10">
        <v>-106</v>
      </c>
      <c r="BI303" s="10"/>
      <c r="BJ303" s="10"/>
      <c r="BK303" s="10"/>
      <c r="BL303" s="10"/>
      <c r="BM303" s="10"/>
      <c r="BN303" s="10"/>
      <c r="BO303" s="11">
        <f t="shared" si="13"/>
        <v>72</v>
      </c>
      <c r="BP303" s="9">
        <f t="shared" si="13"/>
        <v>-106</v>
      </c>
    </row>
    <row r="304" spans="1:68" ht="15.6" thickBot="1" x14ac:dyDescent="0.3">
      <c r="A304" s="25" t="s">
        <v>701</v>
      </c>
      <c r="B304" s="18" t="s">
        <v>476</v>
      </c>
      <c r="C304" s="3">
        <f>LUGLIO!D304</f>
        <v>0</v>
      </c>
      <c r="D304" s="21">
        <f t="shared" si="12"/>
        <v>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>
        <v>108</v>
      </c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>
        <v>-108</v>
      </c>
      <c r="BI304" s="10"/>
      <c r="BJ304" s="10"/>
      <c r="BK304" s="10"/>
      <c r="BL304" s="10"/>
      <c r="BM304" s="10"/>
      <c r="BN304" s="10"/>
      <c r="BO304" s="11">
        <f t="shared" si="13"/>
        <v>108</v>
      </c>
      <c r="BP304" s="9">
        <f t="shared" si="13"/>
        <v>-108</v>
      </c>
    </row>
    <row r="305" spans="1:68" ht="15.6" thickBot="1" x14ac:dyDescent="0.3">
      <c r="A305" s="25" t="s">
        <v>702</v>
      </c>
      <c r="B305" s="18" t="s">
        <v>479</v>
      </c>
      <c r="C305" s="3">
        <f>LUGLIO!D305</f>
        <v>0</v>
      </c>
      <c r="D305" s="21">
        <f t="shared" si="12"/>
        <v>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1">
        <f t="shared" si="13"/>
        <v>0</v>
      </c>
      <c r="BP305" s="9">
        <f t="shared" si="13"/>
        <v>0</v>
      </c>
    </row>
    <row r="306" spans="1:68" ht="15.6" thickBot="1" x14ac:dyDescent="0.3">
      <c r="A306" s="25" t="s">
        <v>703</v>
      </c>
      <c r="B306" s="18" t="s">
        <v>477</v>
      </c>
      <c r="C306" s="3">
        <f>LUGLIO!D306</f>
        <v>40</v>
      </c>
      <c r="D306" s="21">
        <f t="shared" si="12"/>
        <v>0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>
        <f>72+36</f>
        <v>108</v>
      </c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>
        <v>-148</v>
      </c>
      <c r="BI306" s="10"/>
      <c r="BJ306" s="10"/>
      <c r="BK306" s="10"/>
      <c r="BL306" s="10"/>
      <c r="BM306" s="10"/>
      <c r="BN306" s="10"/>
      <c r="BO306" s="11">
        <f t="shared" si="13"/>
        <v>108</v>
      </c>
      <c r="BP306" s="9">
        <f t="shared" si="13"/>
        <v>-148</v>
      </c>
    </row>
    <row r="307" spans="1:68" ht="16.2" thickBot="1" x14ac:dyDescent="0.35">
      <c r="A307" s="25"/>
      <c r="B307" s="20" t="s">
        <v>86</v>
      </c>
      <c r="C307" s="3">
        <f>LUGLIO!D307</f>
        <v>0</v>
      </c>
      <c r="D307" s="21">
        <f t="shared" si="12"/>
        <v>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1">
        <f t="shared" si="13"/>
        <v>0</v>
      </c>
      <c r="BP307" s="9">
        <f t="shared" si="13"/>
        <v>0</v>
      </c>
    </row>
    <row r="308" spans="1:68" ht="15.6" thickBot="1" x14ac:dyDescent="0.3">
      <c r="A308" s="25" t="s">
        <v>319</v>
      </c>
      <c r="B308" s="18" t="s">
        <v>362</v>
      </c>
      <c r="C308" s="3">
        <f>LUGLIO!D308</f>
        <v>0</v>
      </c>
      <c r="D308" s="21">
        <f t="shared" si="12"/>
        <v>0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1">
        <f t="shared" si="13"/>
        <v>0</v>
      </c>
      <c r="BP308" s="9">
        <f t="shared" si="13"/>
        <v>0</v>
      </c>
    </row>
    <row r="309" spans="1:68" ht="15.6" thickBot="1" x14ac:dyDescent="0.3">
      <c r="A309" s="25" t="s">
        <v>342</v>
      </c>
      <c r="B309" s="18" t="s">
        <v>363</v>
      </c>
      <c r="C309" s="3">
        <f>LUGLIO!D309</f>
        <v>0</v>
      </c>
      <c r="D309" s="21">
        <f t="shared" si="12"/>
        <v>0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1">
        <f t="shared" si="13"/>
        <v>0</v>
      </c>
      <c r="BP309" s="9">
        <f t="shared" si="13"/>
        <v>0</v>
      </c>
    </row>
    <row r="310" spans="1:68" ht="15.6" thickBot="1" x14ac:dyDescent="0.3">
      <c r="A310" s="25" t="s">
        <v>343</v>
      </c>
      <c r="B310" s="18" t="s">
        <v>88</v>
      </c>
      <c r="C310" s="3">
        <f>LUGLIO!D310</f>
        <v>0</v>
      </c>
      <c r="D310" s="21">
        <f t="shared" si="12"/>
        <v>0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1">
        <f t="shared" si="13"/>
        <v>0</v>
      </c>
      <c r="BP310" s="9">
        <f t="shared" si="13"/>
        <v>0</v>
      </c>
    </row>
    <row r="311" spans="1:68" ht="15.6" thickBot="1" x14ac:dyDescent="0.3">
      <c r="A311" s="25" t="s">
        <v>344</v>
      </c>
      <c r="B311" s="18" t="s">
        <v>89</v>
      </c>
      <c r="C311" s="3">
        <f>LUGLIO!D311</f>
        <v>0</v>
      </c>
      <c r="D311" s="21">
        <f t="shared" si="12"/>
        <v>0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1">
        <f t="shared" si="13"/>
        <v>0</v>
      </c>
      <c r="BP311" s="9">
        <f t="shared" si="13"/>
        <v>0</v>
      </c>
    </row>
    <row r="312" spans="1:68" ht="15.6" thickBot="1" x14ac:dyDescent="0.3">
      <c r="A312" s="25" t="s">
        <v>345</v>
      </c>
      <c r="B312" s="18" t="s">
        <v>90</v>
      </c>
      <c r="C312" s="3">
        <f>LUGLIO!D312</f>
        <v>0</v>
      </c>
      <c r="D312" s="21">
        <f t="shared" si="12"/>
        <v>0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1">
        <f t="shared" si="13"/>
        <v>0</v>
      </c>
      <c r="BP312" s="9">
        <f t="shared" si="13"/>
        <v>0</v>
      </c>
    </row>
    <row r="313" spans="1:68" ht="15.6" thickBot="1" x14ac:dyDescent="0.3">
      <c r="A313" s="25" t="s">
        <v>346</v>
      </c>
      <c r="B313" s="18" t="s">
        <v>91</v>
      </c>
      <c r="C313" s="3">
        <f>LUGLIO!D313</f>
        <v>0</v>
      </c>
      <c r="D313" s="21">
        <f t="shared" si="12"/>
        <v>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1">
        <f t="shared" si="13"/>
        <v>0</v>
      </c>
      <c r="BP313" s="9">
        <f t="shared" si="13"/>
        <v>0</v>
      </c>
    </row>
    <row r="314" spans="1:68" ht="15.6" thickBot="1" x14ac:dyDescent="0.3">
      <c r="A314" s="25" t="s">
        <v>347</v>
      </c>
      <c r="B314" s="18" t="s">
        <v>47</v>
      </c>
      <c r="C314" s="3">
        <f>LUGLIO!D314</f>
        <v>0</v>
      </c>
      <c r="D314" s="21">
        <f t="shared" si="12"/>
        <v>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>
        <v>57</v>
      </c>
      <c r="BJ314" s="10"/>
      <c r="BK314" s="10"/>
      <c r="BL314" s="10"/>
      <c r="BM314" s="10"/>
      <c r="BN314" s="10"/>
      <c r="BO314" s="11">
        <f t="shared" si="13"/>
        <v>0</v>
      </c>
      <c r="BP314" s="9">
        <f t="shared" si="13"/>
        <v>0</v>
      </c>
    </row>
    <row r="315" spans="1:68" ht="15.6" thickBot="1" x14ac:dyDescent="0.3">
      <c r="A315" s="25" t="s">
        <v>320</v>
      </c>
      <c r="B315" s="18" t="s">
        <v>261</v>
      </c>
      <c r="C315" s="3">
        <f>LUGLIO!D315</f>
        <v>0</v>
      </c>
      <c r="D315" s="21">
        <f t="shared" si="12"/>
        <v>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1">
        <f t="shared" si="13"/>
        <v>0</v>
      </c>
      <c r="BP315" s="9">
        <f t="shared" si="13"/>
        <v>0</v>
      </c>
    </row>
    <row r="316" spans="1:68" ht="16.2" thickBot="1" x14ac:dyDescent="0.35">
      <c r="A316" s="25"/>
      <c r="B316" s="20" t="s">
        <v>87</v>
      </c>
      <c r="C316" s="3">
        <f>LUGLIO!D316</f>
        <v>0</v>
      </c>
      <c r="D316" s="21">
        <f t="shared" si="12"/>
        <v>0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1">
        <f t="shared" si="13"/>
        <v>0</v>
      </c>
      <c r="BP316" s="9">
        <f t="shared" si="13"/>
        <v>0</v>
      </c>
    </row>
    <row r="317" spans="1:68" ht="15.6" thickBot="1" x14ac:dyDescent="0.3">
      <c r="A317" s="25" t="s">
        <v>776</v>
      </c>
      <c r="B317" s="18" t="s">
        <v>122</v>
      </c>
      <c r="C317" s="3">
        <f>LUGLIO!D317</f>
        <v>0</v>
      </c>
      <c r="D317" s="21">
        <f t="shared" si="12"/>
        <v>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1">
        <f t="shared" si="13"/>
        <v>0</v>
      </c>
      <c r="BP317" s="9">
        <f t="shared" si="13"/>
        <v>0</v>
      </c>
    </row>
    <row r="318" spans="1:68" ht="15.6" thickBot="1" x14ac:dyDescent="0.3">
      <c r="A318" s="25" t="s">
        <v>777</v>
      </c>
      <c r="B318" s="18" t="s">
        <v>149</v>
      </c>
      <c r="C318" s="3">
        <f>LUGLIO!D318</f>
        <v>0</v>
      </c>
      <c r="D318" s="21">
        <f t="shared" si="12"/>
        <v>0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1">
        <f t="shared" si="13"/>
        <v>0</v>
      </c>
      <c r="BP318" s="9">
        <f t="shared" si="13"/>
        <v>0</v>
      </c>
    </row>
    <row r="319" spans="1:68" ht="15.6" thickBot="1" x14ac:dyDescent="0.3">
      <c r="A319" s="25" t="s">
        <v>778</v>
      </c>
      <c r="B319" s="18" t="s">
        <v>150</v>
      </c>
      <c r="C319" s="3">
        <f>LUGLIO!D319</f>
        <v>0</v>
      </c>
      <c r="D319" s="21">
        <f t="shared" si="12"/>
        <v>0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1">
        <f t="shared" si="13"/>
        <v>0</v>
      </c>
      <c r="BP319" s="9">
        <f t="shared" si="13"/>
        <v>0</v>
      </c>
    </row>
    <row r="320" spans="1:68" ht="15.6" thickBot="1" x14ac:dyDescent="0.3">
      <c r="A320" s="25"/>
      <c r="B320" s="18" t="s">
        <v>848</v>
      </c>
      <c r="C320" s="3">
        <f>LUGLIO!D320</f>
        <v>0</v>
      </c>
      <c r="D320" s="21">
        <f t="shared" si="12"/>
        <v>0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1"/>
      <c r="BP320" s="9"/>
    </row>
    <row r="321" spans="1:68" ht="15.6" thickBot="1" x14ac:dyDescent="0.3">
      <c r="A321" s="25"/>
      <c r="B321" s="18" t="s">
        <v>849</v>
      </c>
      <c r="C321" s="3">
        <f>LUGLIO!D321</f>
        <v>0</v>
      </c>
      <c r="D321" s="21">
        <f t="shared" si="12"/>
        <v>0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1"/>
      <c r="BP321" s="9"/>
    </row>
    <row r="322" spans="1:68" ht="16.2" thickBot="1" x14ac:dyDescent="0.35">
      <c r="A322" s="25"/>
      <c r="B322" s="20"/>
      <c r="C322" s="3">
        <f>LUGLIO!D322</f>
        <v>0</v>
      </c>
      <c r="D322" s="21">
        <f t="shared" si="12"/>
        <v>0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1"/>
      <c r="BP322" s="9"/>
    </row>
    <row r="323" spans="1:68" ht="16.2" thickBot="1" x14ac:dyDescent="0.35">
      <c r="A323" s="25"/>
      <c r="B323" s="20" t="s">
        <v>92</v>
      </c>
      <c r="C323" s="3">
        <f>LUGLIO!D323</f>
        <v>0</v>
      </c>
      <c r="D323" s="21">
        <f t="shared" si="12"/>
        <v>0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1">
        <f t="shared" si="13"/>
        <v>0</v>
      </c>
      <c r="BP323" s="9">
        <f t="shared" si="13"/>
        <v>0</v>
      </c>
    </row>
    <row r="324" spans="1:68" ht="15.6" thickBot="1" x14ac:dyDescent="0.3">
      <c r="A324" s="25" t="s">
        <v>704</v>
      </c>
      <c r="B324" s="18" t="s">
        <v>93</v>
      </c>
      <c r="C324" s="3">
        <f>LUGLIO!D324</f>
        <v>0</v>
      </c>
      <c r="D324" s="21">
        <f t="shared" si="12"/>
        <v>0</v>
      </c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1">
        <f t="shared" si="13"/>
        <v>0</v>
      </c>
      <c r="BP324" s="9">
        <f t="shared" si="13"/>
        <v>0</v>
      </c>
    </row>
    <row r="325" spans="1:68" ht="15.6" thickBot="1" x14ac:dyDescent="0.3">
      <c r="A325" s="25" t="s">
        <v>810</v>
      </c>
      <c r="B325" s="18" t="s">
        <v>94</v>
      </c>
      <c r="C325" s="3">
        <f>LUGLIO!D325</f>
        <v>0</v>
      </c>
      <c r="D325" s="21">
        <f t="shared" si="12"/>
        <v>0</v>
      </c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1">
        <f t="shared" si="13"/>
        <v>0</v>
      </c>
      <c r="BP325" s="9">
        <f t="shared" si="13"/>
        <v>0</v>
      </c>
    </row>
    <row r="326" spans="1:68" ht="15.6" thickBot="1" x14ac:dyDescent="0.3">
      <c r="A326" s="25" t="s">
        <v>542</v>
      </c>
      <c r="B326" s="18" t="s">
        <v>472</v>
      </c>
      <c r="C326" s="3">
        <f>LUGLIO!D326</f>
        <v>0</v>
      </c>
      <c r="D326" s="21">
        <f t="shared" si="12"/>
        <v>0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1">
        <f t="shared" si="13"/>
        <v>0</v>
      </c>
      <c r="BP326" s="9">
        <f t="shared" si="13"/>
        <v>0</v>
      </c>
    </row>
    <row r="327" spans="1:68" ht="15.6" thickBot="1" x14ac:dyDescent="0.3">
      <c r="A327" s="25" t="s">
        <v>811</v>
      </c>
      <c r="B327" s="18" t="s">
        <v>95</v>
      </c>
      <c r="C327" s="3">
        <f>LUGLIO!D327</f>
        <v>0</v>
      </c>
      <c r="D327" s="21">
        <f t="shared" si="12"/>
        <v>0</v>
      </c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1">
        <f t="shared" si="13"/>
        <v>0</v>
      </c>
      <c r="BP327" s="9">
        <f t="shared" si="13"/>
        <v>0</v>
      </c>
    </row>
    <row r="328" spans="1:68" ht="16.2" thickBot="1" x14ac:dyDescent="0.35">
      <c r="A328" s="25"/>
      <c r="B328" s="20" t="s">
        <v>97</v>
      </c>
      <c r="C328" s="3">
        <f>LUGLIO!D328</f>
        <v>0</v>
      </c>
      <c r="D328" s="21">
        <f t="shared" si="12"/>
        <v>0</v>
      </c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1">
        <f t="shared" si="13"/>
        <v>0</v>
      </c>
      <c r="BP328" s="9">
        <f t="shared" si="13"/>
        <v>0</v>
      </c>
    </row>
    <row r="329" spans="1:68" ht="15.6" thickBot="1" x14ac:dyDescent="0.3">
      <c r="A329" s="25" t="s">
        <v>752</v>
      </c>
      <c r="B329" s="26" t="s">
        <v>753</v>
      </c>
      <c r="C329" s="3">
        <f>LUGLIO!D329</f>
        <v>0</v>
      </c>
      <c r="D329" s="21">
        <f t="shared" si="12"/>
        <v>0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1">
        <f t="shared" si="13"/>
        <v>0</v>
      </c>
      <c r="BP329" s="9">
        <f t="shared" si="13"/>
        <v>0</v>
      </c>
    </row>
    <row r="330" spans="1:68" ht="15.6" thickBot="1" x14ac:dyDescent="0.3">
      <c r="A330" s="25" t="s">
        <v>713</v>
      </c>
      <c r="B330" s="18" t="s">
        <v>98</v>
      </c>
      <c r="C330" s="3">
        <f>LUGLIO!D330</f>
        <v>0</v>
      </c>
      <c r="D330" s="21">
        <f t="shared" si="12"/>
        <v>0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1">
        <f t="shared" si="13"/>
        <v>0</v>
      </c>
      <c r="BP330" s="9">
        <f t="shared" si="13"/>
        <v>0</v>
      </c>
    </row>
    <row r="331" spans="1:68" ht="15.6" thickBot="1" x14ac:dyDescent="0.3">
      <c r="A331" s="25" t="s">
        <v>714</v>
      </c>
      <c r="B331" s="18" t="s">
        <v>99</v>
      </c>
      <c r="C331" s="3">
        <f>LUGLIO!D331</f>
        <v>0</v>
      </c>
      <c r="D331" s="21">
        <f t="shared" si="12"/>
        <v>0</v>
      </c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1">
        <f t="shared" si="13"/>
        <v>0</v>
      </c>
      <c r="BP331" s="9">
        <f t="shared" si="13"/>
        <v>0</v>
      </c>
    </row>
    <row r="332" spans="1:68" ht="15.6" thickBot="1" x14ac:dyDescent="0.3">
      <c r="A332" s="25" t="s">
        <v>715</v>
      </c>
      <c r="B332" s="18" t="s">
        <v>100</v>
      </c>
      <c r="C332" s="3">
        <f>LUGLIO!D332</f>
        <v>0</v>
      </c>
      <c r="D332" s="21">
        <f t="shared" si="12"/>
        <v>0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1">
        <f t="shared" si="13"/>
        <v>0</v>
      </c>
      <c r="BP332" s="9">
        <f t="shared" si="13"/>
        <v>0</v>
      </c>
    </row>
    <row r="333" spans="1:68" ht="16.2" thickBot="1" x14ac:dyDescent="0.35">
      <c r="A333" s="25"/>
      <c r="B333" s="20"/>
      <c r="C333" s="3">
        <f>LUGLIO!D333</f>
        <v>0</v>
      </c>
      <c r="D333" s="21">
        <f t="shared" si="12"/>
        <v>0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1">
        <f t="shared" si="13"/>
        <v>0</v>
      </c>
      <c r="BP333" s="9">
        <f t="shared" si="13"/>
        <v>0</v>
      </c>
    </row>
    <row r="334" spans="1:68" ht="15.6" thickBot="1" x14ac:dyDescent="0.3">
      <c r="A334" s="25"/>
      <c r="B334" s="18"/>
      <c r="C334" s="3">
        <f>LUGLIO!D334</f>
        <v>0</v>
      </c>
      <c r="D334" s="21">
        <f t="shared" si="12"/>
        <v>0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1">
        <f t="shared" si="13"/>
        <v>0</v>
      </c>
      <c r="BP334" s="9">
        <f t="shared" si="13"/>
        <v>0</v>
      </c>
    </row>
    <row r="335" spans="1:68" ht="15.6" thickBot="1" x14ac:dyDescent="0.3">
      <c r="A335" s="25"/>
      <c r="B335" s="18"/>
      <c r="C335" s="3">
        <f>LUGLIO!D335</f>
        <v>0</v>
      </c>
      <c r="D335" s="21">
        <f t="shared" si="12"/>
        <v>0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1">
        <f t="shared" si="13"/>
        <v>0</v>
      </c>
      <c r="BP335" s="9">
        <f t="shared" si="13"/>
        <v>0</v>
      </c>
    </row>
    <row r="336" spans="1:68" ht="15.6" thickBot="1" x14ac:dyDescent="0.3">
      <c r="A336" s="25"/>
      <c r="B336" s="18"/>
      <c r="C336" s="3">
        <f>LUGLIO!D336</f>
        <v>0</v>
      </c>
      <c r="D336" s="21">
        <f t="shared" si="12"/>
        <v>0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1">
        <f t="shared" si="13"/>
        <v>0</v>
      </c>
      <c r="BP336" s="9">
        <f t="shared" si="13"/>
        <v>0</v>
      </c>
    </row>
    <row r="337" spans="1:68" ht="15.6" thickBot="1" x14ac:dyDescent="0.3">
      <c r="A337" s="25"/>
      <c r="B337" s="18"/>
      <c r="C337" s="3">
        <f>LUGLIO!D337</f>
        <v>0</v>
      </c>
      <c r="D337" s="21">
        <f t="shared" ref="D337:D403" si="14">C337+SUM(E337:BN337)</f>
        <v>0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1">
        <f t="shared" si="13"/>
        <v>0</v>
      </c>
      <c r="BP337" s="9">
        <f t="shared" si="13"/>
        <v>0</v>
      </c>
    </row>
    <row r="338" spans="1:68" ht="15.6" thickBot="1" x14ac:dyDescent="0.3">
      <c r="A338" s="25"/>
      <c r="B338" s="18"/>
      <c r="C338" s="3">
        <f>LUGLIO!D338</f>
        <v>0</v>
      </c>
      <c r="D338" s="21">
        <f t="shared" si="14"/>
        <v>0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1">
        <f t="shared" ref="BO338:BP404" si="15">BM338+BG338+BE338+BC338+BA338+AY338+AW338+AU338+AS338+AQ338+AO338+AM338+AK338+AI338+AG338+AE338+AC338+AA338+Y338+W338+U338+S338+Q338+O338+M338+K338+I338+G338+E338</f>
        <v>0</v>
      </c>
      <c r="BP338" s="9">
        <f t="shared" si="15"/>
        <v>0</v>
      </c>
    </row>
    <row r="339" spans="1:68" ht="16.2" thickBot="1" x14ac:dyDescent="0.35">
      <c r="A339" s="25"/>
      <c r="B339" s="23" t="s">
        <v>932</v>
      </c>
      <c r="C339" s="3">
        <f>LUGLIO!D339</f>
        <v>0</v>
      </c>
      <c r="D339" s="21">
        <f t="shared" si="14"/>
        <v>0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1">
        <f t="shared" si="15"/>
        <v>0</v>
      </c>
      <c r="BP339" s="9">
        <f t="shared" si="15"/>
        <v>0</v>
      </c>
    </row>
    <row r="340" spans="1:68" ht="15.6" thickBot="1" x14ac:dyDescent="0.3">
      <c r="A340" s="25" t="s">
        <v>933</v>
      </c>
      <c r="B340" s="18" t="s">
        <v>934</v>
      </c>
      <c r="C340" s="3">
        <f>LUGLIO!D340</f>
        <v>0</v>
      </c>
      <c r="D340" s="21">
        <f t="shared" si="14"/>
        <v>0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1">
        <f t="shared" si="15"/>
        <v>0</v>
      </c>
      <c r="BP340" s="9">
        <f t="shared" si="15"/>
        <v>0</v>
      </c>
    </row>
    <row r="341" spans="1:68" ht="15.6" thickBot="1" x14ac:dyDescent="0.3">
      <c r="A341" s="25"/>
      <c r="B341" s="18"/>
      <c r="C341" s="3">
        <f>LUGLIO!D341</f>
        <v>0</v>
      </c>
      <c r="D341" s="21">
        <f t="shared" si="14"/>
        <v>0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1">
        <f t="shared" si="15"/>
        <v>0</v>
      </c>
      <c r="BP341" s="9">
        <f t="shared" si="15"/>
        <v>0</v>
      </c>
    </row>
    <row r="342" spans="1:68" ht="16.2" thickBot="1" x14ac:dyDescent="0.35">
      <c r="A342" s="25"/>
      <c r="B342" s="23" t="s">
        <v>605</v>
      </c>
      <c r="C342" s="3">
        <f>LUGLIO!D342</f>
        <v>0</v>
      </c>
      <c r="D342" s="21">
        <f t="shared" si="14"/>
        <v>0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1">
        <f t="shared" si="15"/>
        <v>0</v>
      </c>
      <c r="BP342" s="9">
        <f t="shared" si="15"/>
        <v>0</v>
      </c>
    </row>
    <row r="343" spans="1:68" ht="15.6" thickBot="1" x14ac:dyDescent="0.3">
      <c r="A343" s="25"/>
      <c r="B343" s="18"/>
      <c r="C343" s="3">
        <f>LUGLIO!D343</f>
        <v>0</v>
      </c>
      <c r="D343" s="21">
        <f t="shared" si="14"/>
        <v>0</v>
      </c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1">
        <f t="shared" si="15"/>
        <v>0</v>
      </c>
      <c r="BP343" s="9">
        <f t="shared" si="15"/>
        <v>0</v>
      </c>
    </row>
    <row r="344" spans="1:68" ht="15.6" thickBot="1" x14ac:dyDescent="0.3">
      <c r="A344" s="25"/>
      <c r="B344" s="18"/>
      <c r="C344" s="3">
        <f>LUGLIO!D344</f>
        <v>0</v>
      </c>
      <c r="D344" s="21">
        <f t="shared" si="14"/>
        <v>0</v>
      </c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1">
        <f t="shared" si="15"/>
        <v>0</v>
      </c>
      <c r="BP344" s="9">
        <f t="shared" si="15"/>
        <v>0</v>
      </c>
    </row>
    <row r="345" spans="1:68" ht="15.6" thickBot="1" x14ac:dyDescent="0.3">
      <c r="A345" s="25" t="s">
        <v>792</v>
      </c>
      <c r="B345" s="18" t="s">
        <v>923</v>
      </c>
      <c r="C345" s="3">
        <f>LUGLIO!D345</f>
        <v>0</v>
      </c>
      <c r="D345" s="21">
        <f t="shared" si="14"/>
        <v>0</v>
      </c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1">
        <f t="shared" si="15"/>
        <v>0</v>
      </c>
      <c r="BP345" s="9">
        <f t="shared" si="15"/>
        <v>0</v>
      </c>
    </row>
    <row r="346" spans="1:68" ht="15.6" thickBot="1" x14ac:dyDescent="0.3">
      <c r="A346" s="25" t="s">
        <v>791</v>
      </c>
      <c r="B346" s="26" t="s">
        <v>924</v>
      </c>
      <c r="C346" s="3">
        <f>LUGLIO!D346</f>
        <v>0</v>
      </c>
      <c r="D346" s="21">
        <f t="shared" si="14"/>
        <v>0</v>
      </c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1">
        <f t="shared" si="15"/>
        <v>0</v>
      </c>
      <c r="BP346" s="9">
        <f t="shared" si="15"/>
        <v>0</v>
      </c>
    </row>
    <row r="347" spans="1:68" ht="15.6" thickBot="1" x14ac:dyDescent="0.3">
      <c r="A347" s="25" t="s">
        <v>606</v>
      </c>
      <c r="B347" s="18" t="s">
        <v>607</v>
      </c>
      <c r="C347" s="3">
        <f>LUGLIO!D347</f>
        <v>0</v>
      </c>
      <c r="D347" s="21">
        <f t="shared" si="14"/>
        <v>80</v>
      </c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>
        <v>80</v>
      </c>
      <c r="BJ347" s="10"/>
      <c r="BK347" s="10"/>
      <c r="BL347" s="10"/>
      <c r="BM347" s="10"/>
      <c r="BN347" s="10"/>
      <c r="BO347" s="11">
        <f t="shared" si="15"/>
        <v>0</v>
      </c>
      <c r="BP347" s="9">
        <f t="shared" si="15"/>
        <v>0</v>
      </c>
    </row>
    <row r="348" spans="1:68" ht="15.6" thickBot="1" x14ac:dyDescent="0.3">
      <c r="A348" s="25" t="s">
        <v>925</v>
      </c>
      <c r="B348" s="18" t="s">
        <v>105</v>
      </c>
      <c r="C348" s="3">
        <f>LUGLIO!D348</f>
        <v>0</v>
      </c>
      <c r="D348" s="21">
        <f t="shared" si="14"/>
        <v>80</v>
      </c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>
        <v>80</v>
      </c>
      <c r="BJ348" s="10"/>
      <c r="BK348" s="10"/>
      <c r="BL348" s="10"/>
      <c r="BM348" s="10"/>
      <c r="BN348" s="10"/>
      <c r="BO348" s="11">
        <f t="shared" si="15"/>
        <v>0</v>
      </c>
      <c r="BP348" s="9">
        <f t="shared" si="15"/>
        <v>0</v>
      </c>
    </row>
    <row r="349" spans="1:68" ht="15.6" thickBot="1" x14ac:dyDescent="0.3">
      <c r="A349" s="25" t="s">
        <v>926</v>
      </c>
      <c r="B349" s="18" t="s">
        <v>927</v>
      </c>
      <c r="C349" s="3">
        <f>LUGLIO!D349</f>
        <v>0</v>
      </c>
      <c r="D349" s="21">
        <f t="shared" si="14"/>
        <v>0</v>
      </c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1">
        <f t="shared" si="15"/>
        <v>0</v>
      </c>
      <c r="BP349" s="9">
        <f t="shared" si="15"/>
        <v>0</v>
      </c>
    </row>
    <row r="350" spans="1:68" ht="15.6" thickBot="1" x14ac:dyDescent="0.3">
      <c r="A350" s="25" t="s">
        <v>739</v>
      </c>
      <c r="B350" s="18" t="s">
        <v>107</v>
      </c>
      <c r="C350" s="3">
        <f>LUGLIO!D350</f>
        <v>0</v>
      </c>
      <c r="D350" s="21">
        <f t="shared" si="14"/>
        <v>80</v>
      </c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>
        <v>80</v>
      </c>
      <c r="BJ350" s="10"/>
      <c r="BK350" s="10"/>
      <c r="BL350" s="10"/>
      <c r="BM350" s="10"/>
      <c r="BN350" s="10"/>
      <c r="BO350" s="11">
        <f t="shared" si="15"/>
        <v>0</v>
      </c>
      <c r="BP350" s="9">
        <f t="shared" si="15"/>
        <v>0</v>
      </c>
    </row>
    <row r="351" spans="1:68" ht="15.6" thickBot="1" x14ac:dyDescent="0.3">
      <c r="A351" s="25" t="s">
        <v>928</v>
      </c>
      <c r="B351" s="18" t="s">
        <v>369</v>
      </c>
      <c r="C351" s="3">
        <f>LUGLIO!D351</f>
        <v>0</v>
      </c>
      <c r="D351" s="21">
        <f t="shared" si="14"/>
        <v>0</v>
      </c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1">
        <f t="shared" si="15"/>
        <v>0</v>
      </c>
      <c r="BP351" s="9">
        <f t="shared" si="15"/>
        <v>0</v>
      </c>
    </row>
    <row r="352" spans="1:68" ht="15.6" thickBot="1" x14ac:dyDescent="0.3">
      <c r="A352" s="25" t="s">
        <v>929</v>
      </c>
      <c r="B352" s="18" t="s">
        <v>930</v>
      </c>
      <c r="C352" s="3">
        <f>LUGLIO!D352</f>
        <v>0</v>
      </c>
      <c r="D352" s="21">
        <f t="shared" si="14"/>
        <v>80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>
        <f>80</f>
        <v>80</v>
      </c>
      <c r="BL352" s="10"/>
      <c r="BM352" s="10"/>
      <c r="BN352" s="10"/>
      <c r="BO352" s="11">
        <f t="shared" si="15"/>
        <v>0</v>
      </c>
      <c r="BP352" s="9">
        <f t="shared" si="15"/>
        <v>0</v>
      </c>
    </row>
    <row r="353" spans="1:68" ht="15.6" thickBot="1" x14ac:dyDescent="0.3">
      <c r="A353" s="25" t="s">
        <v>738</v>
      </c>
      <c r="B353" s="18" t="s">
        <v>931</v>
      </c>
      <c r="C353" s="3">
        <f>LUGLIO!D353</f>
        <v>0</v>
      </c>
      <c r="D353" s="21">
        <f t="shared" si="14"/>
        <v>80</v>
      </c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>
        <v>80</v>
      </c>
      <c r="BJ353" s="10"/>
      <c r="BK353" s="10"/>
      <c r="BL353" s="10"/>
      <c r="BM353" s="10"/>
      <c r="BN353" s="10"/>
      <c r="BO353" s="11">
        <f t="shared" si="15"/>
        <v>0</v>
      </c>
      <c r="BP353" s="9">
        <f t="shared" si="15"/>
        <v>0</v>
      </c>
    </row>
    <row r="354" spans="1:68" ht="15.6" thickBot="1" x14ac:dyDescent="0.3">
      <c r="A354" s="25" t="s">
        <v>902</v>
      </c>
      <c r="B354" s="18" t="s">
        <v>903</v>
      </c>
      <c r="C354" s="3">
        <f>LUGLIO!D354</f>
        <v>0</v>
      </c>
      <c r="D354" s="21">
        <f t="shared" ref="D354:D356" si="16">C354+SUM(E354:BN354)</f>
        <v>80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>
        <v>80</v>
      </c>
      <c r="BJ354" s="10"/>
      <c r="BK354" s="10"/>
      <c r="BL354" s="10"/>
      <c r="BM354" s="10"/>
      <c r="BN354" s="10"/>
      <c r="BO354" s="11">
        <f t="shared" si="15"/>
        <v>0</v>
      </c>
      <c r="BP354" s="9">
        <f t="shared" si="15"/>
        <v>0</v>
      </c>
    </row>
    <row r="355" spans="1:68" ht="15.6" thickBot="1" x14ac:dyDescent="0.3">
      <c r="A355" s="25" t="s">
        <v>904</v>
      </c>
      <c r="B355" s="18" t="s">
        <v>841</v>
      </c>
      <c r="C355" s="3">
        <f>LUGLIO!D355</f>
        <v>0</v>
      </c>
      <c r="D355" s="21">
        <f t="shared" si="16"/>
        <v>80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>
        <v>80</v>
      </c>
      <c r="BJ355" s="10"/>
      <c r="BK355" s="10"/>
      <c r="BL355" s="10"/>
      <c r="BM355" s="10"/>
      <c r="BN355" s="10"/>
      <c r="BO355" s="11">
        <f t="shared" si="15"/>
        <v>0</v>
      </c>
      <c r="BP355" s="9">
        <f t="shared" si="15"/>
        <v>0</v>
      </c>
    </row>
    <row r="356" spans="1:68" ht="15.6" thickBot="1" x14ac:dyDescent="0.3">
      <c r="A356" s="25" t="s">
        <v>905</v>
      </c>
      <c r="B356" s="18" t="s">
        <v>843</v>
      </c>
      <c r="C356" s="3">
        <f>LUGLIO!D356</f>
        <v>0</v>
      </c>
      <c r="D356" s="21">
        <f t="shared" si="16"/>
        <v>80</v>
      </c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>
        <v>80</v>
      </c>
      <c r="BJ356" s="10"/>
      <c r="BK356" s="10"/>
      <c r="BL356" s="10"/>
      <c r="BM356" s="10"/>
      <c r="BN356" s="10"/>
      <c r="BO356" s="11">
        <f t="shared" si="15"/>
        <v>0</v>
      </c>
      <c r="BP356" s="9">
        <f t="shared" si="15"/>
        <v>0</v>
      </c>
    </row>
    <row r="357" spans="1:68" ht="16.2" thickBot="1" x14ac:dyDescent="0.35">
      <c r="A357" s="25"/>
      <c r="B357" s="20" t="s">
        <v>108</v>
      </c>
      <c r="C357" s="3">
        <f>LUGLIO!D357</f>
        <v>0</v>
      </c>
      <c r="D357" s="21">
        <f t="shared" si="14"/>
        <v>0</v>
      </c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1">
        <f t="shared" si="15"/>
        <v>0</v>
      </c>
      <c r="BP357" s="9">
        <f t="shared" si="15"/>
        <v>0</v>
      </c>
    </row>
    <row r="358" spans="1:68" ht="15.6" thickBot="1" x14ac:dyDescent="0.3">
      <c r="A358" s="25" t="s">
        <v>775</v>
      </c>
      <c r="B358" s="18" t="s">
        <v>109</v>
      </c>
      <c r="C358" s="3">
        <f>LUGLIO!D358</f>
        <v>0</v>
      </c>
      <c r="D358" s="21">
        <f t="shared" si="14"/>
        <v>0</v>
      </c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1">
        <f t="shared" si="15"/>
        <v>0</v>
      </c>
      <c r="BP358" s="9">
        <f t="shared" si="15"/>
        <v>0</v>
      </c>
    </row>
    <row r="359" spans="1:68" ht="16.2" thickBot="1" x14ac:dyDescent="0.35">
      <c r="A359" s="25"/>
      <c r="B359" s="20" t="s">
        <v>146</v>
      </c>
      <c r="C359" s="3">
        <f>LUGLIO!D359</f>
        <v>0</v>
      </c>
      <c r="D359" s="21">
        <f t="shared" si="14"/>
        <v>0</v>
      </c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1">
        <f t="shared" si="15"/>
        <v>0</v>
      </c>
      <c r="BP359" s="9">
        <f t="shared" si="15"/>
        <v>0</v>
      </c>
    </row>
    <row r="360" spans="1:68" ht="15.6" thickBot="1" x14ac:dyDescent="0.3">
      <c r="A360" s="25" t="s">
        <v>380</v>
      </c>
      <c r="B360" s="18" t="s">
        <v>480</v>
      </c>
      <c r="C360" s="3">
        <f>LUGLIO!D360</f>
        <v>121</v>
      </c>
      <c r="D360" s="21">
        <f t="shared" si="14"/>
        <v>121</v>
      </c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1">
        <f t="shared" si="15"/>
        <v>0</v>
      </c>
      <c r="BP360" s="9">
        <f t="shared" si="15"/>
        <v>0</v>
      </c>
    </row>
    <row r="361" spans="1:68" ht="15.6" thickBot="1" x14ac:dyDescent="0.3">
      <c r="A361" s="25" t="s">
        <v>882</v>
      </c>
      <c r="B361" s="18" t="s">
        <v>886</v>
      </c>
      <c r="C361" s="3">
        <f>LUGLIO!D361</f>
        <v>314</v>
      </c>
      <c r="D361" s="21">
        <f t="shared" si="14"/>
        <v>0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>
        <f>-72-23-144-59-16</f>
        <v>-314</v>
      </c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1">
        <f t="shared" si="15"/>
        <v>0</v>
      </c>
      <c r="BP361" s="9">
        <f t="shared" si="15"/>
        <v>-314</v>
      </c>
    </row>
    <row r="362" spans="1:68" ht="15.6" thickBot="1" x14ac:dyDescent="0.3">
      <c r="A362" s="25" t="s">
        <v>882</v>
      </c>
      <c r="B362" s="18" t="s">
        <v>887</v>
      </c>
      <c r="C362" s="3">
        <f>LUGLIO!D362</f>
        <v>92</v>
      </c>
      <c r="D362" s="21">
        <f t="shared" si="14"/>
        <v>0</v>
      </c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>
        <f>-57-35</f>
        <v>-92</v>
      </c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1">
        <f t="shared" si="15"/>
        <v>0</v>
      </c>
      <c r="BP362" s="9">
        <f t="shared" si="15"/>
        <v>-92</v>
      </c>
    </row>
    <row r="363" spans="1:68" ht="15.6" thickBot="1" x14ac:dyDescent="0.3">
      <c r="A363" s="25" t="s">
        <v>882</v>
      </c>
      <c r="B363" s="18" t="s">
        <v>888</v>
      </c>
      <c r="C363" s="3">
        <f>LUGLIO!D363</f>
        <v>194</v>
      </c>
      <c r="D363" s="21">
        <f t="shared" si="14"/>
        <v>0</v>
      </c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>
        <f>-144-13-37</f>
        <v>-194</v>
      </c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1">
        <f t="shared" si="15"/>
        <v>0</v>
      </c>
      <c r="BP363" s="9">
        <f t="shared" si="15"/>
        <v>-194</v>
      </c>
    </row>
    <row r="364" spans="1:68" ht="15.6" thickBot="1" x14ac:dyDescent="0.3">
      <c r="A364" s="25" t="s">
        <v>379</v>
      </c>
      <c r="B364" s="18" t="s">
        <v>382</v>
      </c>
      <c r="C364" s="3">
        <f>LUGLIO!D364</f>
        <v>209</v>
      </c>
      <c r="D364" s="21">
        <f t="shared" si="14"/>
        <v>209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1">
        <f t="shared" si="15"/>
        <v>0</v>
      </c>
      <c r="BP364" s="9">
        <f t="shared" si="15"/>
        <v>0</v>
      </c>
    </row>
    <row r="365" spans="1:68" ht="15.6" thickBot="1" x14ac:dyDescent="0.3">
      <c r="A365" s="25" t="s">
        <v>379</v>
      </c>
      <c r="B365" s="18" t="s">
        <v>381</v>
      </c>
      <c r="C365" s="3">
        <f>LUGLIO!D365</f>
        <v>202</v>
      </c>
      <c r="D365" s="21">
        <f t="shared" si="14"/>
        <v>202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1">
        <f t="shared" si="15"/>
        <v>0</v>
      </c>
      <c r="BP365" s="9">
        <f t="shared" si="15"/>
        <v>0</v>
      </c>
    </row>
    <row r="366" spans="1:68" ht="15.6" thickBot="1" x14ac:dyDescent="0.3">
      <c r="A366" s="25" t="s">
        <v>379</v>
      </c>
      <c r="B366" s="18" t="s">
        <v>383</v>
      </c>
      <c r="C366" s="3">
        <f>LUGLIO!D366</f>
        <v>70</v>
      </c>
      <c r="D366" s="21">
        <f t="shared" si="14"/>
        <v>70</v>
      </c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1">
        <f t="shared" si="15"/>
        <v>0</v>
      </c>
      <c r="BP366" s="9">
        <f t="shared" si="15"/>
        <v>0</v>
      </c>
    </row>
    <row r="367" spans="1:68" ht="15.6" thickBot="1" x14ac:dyDescent="0.3">
      <c r="A367" s="25" t="s">
        <v>379</v>
      </c>
      <c r="B367" s="18" t="s">
        <v>891</v>
      </c>
      <c r="C367" s="3">
        <f>LUGLIO!D367</f>
        <v>69</v>
      </c>
      <c r="D367" s="21">
        <f t="shared" si="14"/>
        <v>69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1">
        <f t="shared" si="15"/>
        <v>0</v>
      </c>
      <c r="BP367" s="9">
        <f t="shared" si="15"/>
        <v>0</v>
      </c>
    </row>
    <row r="368" spans="1:68" ht="15.6" thickBot="1" x14ac:dyDescent="0.3">
      <c r="A368" s="25" t="s">
        <v>379</v>
      </c>
      <c r="B368" s="18" t="s">
        <v>892</v>
      </c>
      <c r="C368" s="3">
        <f>LUGLIO!D368</f>
        <v>70</v>
      </c>
      <c r="D368" s="21">
        <f t="shared" si="14"/>
        <v>70</v>
      </c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1">
        <f t="shared" si="15"/>
        <v>0</v>
      </c>
      <c r="BP368" s="9">
        <f t="shared" si="15"/>
        <v>0</v>
      </c>
    </row>
    <row r="369" spans="1:68" ht="15.6" thickBot="1" x14ac:dyDescent="0.3">
      <c r="A369" s="25" t="s">
        <v>379</v>
      </c>
      <c r="B369" s="18" t="s">
        <v>384</v>
      </c>
      <c r="C369" s="3">
        <f>LUGLIO!D369</f>
        <v>452</v>
      </c>
      <c r="D369" s="21">
        <f t="shared" si="14"/>
        <v>105</v>
      </c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>
        <v>-347</v>
      </c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1">
        <f t="shared" si="15"/>
        <v>0</v>
      </c>
      <c r="BP369" s="9">
        <f t="shared" si="15"/>
        <v>-347</v>
      </c>
    </row>
    <row r="370" spans="1:68" ht="15" customHeight="1" thickBot="1" x14ac:dyDescent="0.3">
      <c r="A370" s="25" t="s">
        <v>379</v>
      </c>
      <c r="B370" s="18" t="s">
        <v>893</v>
      </c>
      <c r="C370" s="3">
        <f>LUGLIO!D370</f>
        <v>71</v>
      </c>
      <c r="D370" s="21">
        <f t="shared" si="14"/>
        <v>71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1">
        <f t="shared" si="15"/>
        <v>0</v>
      </c>
      <c r="BP370" s="9">
        <f t="shared" si="15"/>
        <v>0</v>
      </c>
    </row>
    <row r="371" spans="1:68" ht="15.6" thickBot="1" x14ac:dyDescent="0.3">
      <c r="A371" s="25" t="s">
        <v>884</v>
      </c>
      <c r="B371" s="18" t="s">
        <v>885</v>
      </c>
      <c r="C371" s="3">
        <f>LUGLIO!D371</f>
        <v>1102</v>
      </c>
      <c r="D371" s="21">
        <f t="shared" si="14"/>
        <v>0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>
        <f>-72*13-58-8-21-79</f>
        <v>-1102</v>
      </c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1">
        <f t="shared" si="15"/>
        <v>0</v>
      </c>
      <c r="BP371" s="9">
        <f t="shared" si="15"/>
        <v>-1102</v>
      </c>
    </row>
    <row r="372" spans="1:68" ht="15.6" thickBot="1" x14ac:dyDescent="0.3">
      <c r="A372" s="25" t="s">
        <v>884</v>
      </c>
      <c r="B372" s="18" t="s">
        <v>889</v>
      </c>
      <c r="C372" s="3">
        <f>LUGLIO!D372</f>
        <v>33</v>
      </c>
      <c r="D372" s="21">
        <f t="shared" si="14"/>
        <v>0</v>
      </c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>
        <v>-33</v>
      </c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1">
        <f t="shared" si="15"/>
        <v>0</v>
      </c>
      <c r="BP372" s="9">
        <f t="shared" si="15"/>
        <v>-33</v>
      </c>
    </row>
    <row r="373" spans="1:68" ht="15.6" thickBot="1" x14ac:dyDescent="0.3">
      <c r="A373" s="25" t="s">
        <v>884</v>
      </c>
      <c r="B373" s="18" t="s">
        <v>890</v>
      </c>
      <c r="C373" s="3">
        <f>LUGLIO!D373</f>
        <v>36</v>
      </c>
      <c r="D373" s="21">
        <f t="shared" si="14"/>
        <v>0</v>
      </c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>
        <v>-36</v>
      </c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1">
        <f t="shared" si="15"/>
        <v>0</v>
      </c>
      <c r="BP373" s="9">
        <f t="shared" si="15"/>
        <v>-36</v>
      </c>
    </row>
    <row r="374" spans="1:68" ht="15.6" thickBot="1" x14ac:dyDescent="0.3">
      <c r="A374" s="25" t="s">
        <v>380</v>
      </c>
      <c r="B374" s="18" t="s">
        <v>481</v>
      </c>
      <c r="C374" s="3">
        <f>LUGLIO!D374</f>
        <v>6</v>
      </c>
      <c r="D374" s="21">
        <f t="shared" si="14"/>
        <v>6</v>
      </c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1">
        <f t="shared" si="15"/>
        <v>0</v>
      </c>
      <c r="BP374" s="9">
        <f t="shared" si="15"/>
        <v>0</v>
      </c>
    </row>
    <row r="375" spans="1:68" ht="15.6" thickBot="1" x14ac:dyDescent="0.3">
      <c r="A375" s="25" t="s">
        <v>380</v>
      </c>
      <c r="B375" s="18" t="s">
        <v>896</v>
      </c>
      <c r="C375" s="3">
        <f>LUGLIO!D375</f>
        <v>6</v>
      </c>
      <c r="D375" s="21">
        <f t="shared" si="14"/>
        <v>6</v>
      </c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1">
        <f t="shared" si="15"/>
        <v>0</v>
      </c>
      <c r="BP375" s="9">
        <f t="shared" si="15"/>
        <v>0</v>
      </c>
    </row>
    <row r="376" spans="1:68" ht="15.6" thickBot="1" x14ac:dyDescent="0.3">
      <c r="A376" s="25" t="s">
        <v>380</v>
      </c>
      <c r="B376" s="18" t="s">
        <v>895</v>
      </c>
      <c r="C376" s="3">
        <f>LUGLIO!D376</f>
        <v>30</v>
      </c>
      <c r="D376" s="21">
        <f t="shared" si="14"/>
        <v>30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1">
        <f t="shared" si="15"/>
        <v>0</v>
      </c>
      <c r="BP376" s="9">
        <f t="shared" si="15"/>
        <v>0</v>
      </c>
    </row>
    <row r="377" spans="1:68" ht="15.6" thickBot="1" x14ac:dyDescent="0.3">
      <c r="A377" s="25" t="s">
        <v>380</v>
      </c>
      <c r="B377" s="18" t="s">
        <v>385</v>
      </c>
      <c r="C377" s="3">
        <f>LUGLIO!D377</f>
        <v>9</v>
      </c>
      <c r="D377" s="21">
        <f t="shared" si="14"/>
        <v>9</v>
      </c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1">
        <f t="shared" si="15"/>
        <v>0</v>
      </c>
      <c r="BP377" s="9">
        <f t="shared" si="15"/>
        <v>0</v>
      </c>
    </row>
    <row r="378" spans="1:68" ht="15.6" thickBot="1" x14ac:dyDescent="0.3">
      <c r="A378" s="25" t="s">
        <v>380</v>
      </c>
      <c r="B378" s="18" t="s">
        <v>386</v>
      </c>
      <c r="C378" s="3">
        <f>LUGLIO!D378</f>
        <v>197</v>
      </c>
      <c r="D378" s="21">
        <f t="shared" si="14"/>
        <v>118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>
        <v>-79</v>
      </c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1">
        <f t="shared" si="15"/>
        <v>0</v>
      </c>
      <c r="BP378" s="9">
        <f t="shared" si="15"/>
        <v>-79</v>
      </c>
    </row>
    <row r="379" spans="1:68" ht="15.6" thickBot="1" x14ac:dyDescent="0.3">
      <c r="A379" s="25" t="s">
        <v>380</v>
      </c>
      <c r="B379" s="18" t="s">
        <v>835</v>
      </c>
      <c r="C379" s="3">
        <f>LUGLIO!D379</f>
        <v>0</v>
      </c>
      <c r="D379" s="21">
        <f t="shared" si="14"/>
        <v>0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1">
        <f t="shared" si="15"/>
        <v>0</v>
      </c>
      <c r="BP379" s="9">
        <f t="shared" si="15"/>
        <v>0</v>
      </c>
    </row>
    <row r="380" spans="1:68" ht="15.6" thickBot="1" x14ac:dyDescent="0.3">
      <c r="A380" s="25" t="s">
        <v>524</v>
      </c>
      <c r="B380" s="18" t="s">
        <v>120</v>
      </c>
      <c r="C380" s="3">
        <f>LUGLIO!D380</f>
        <v>0</v>
      </c>
      <c r="D380" s="21">
        <f t="shared" si="14"/>
        <v>0</v>
      </c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1">
        <f t="shared" si="15"/>
        <v>0</v>
      </c>
      <c r="BP380" s="9">
        <f t="shared" si="15"/>
        <v>0</v>
      </c>
    </row>
    <row r="381" spans="1:68" ht="15.6" thickBot="1" x14ac:dyDescent="0.3">
      <c r="A381" s="25" t="s">
        <v>882</v>
      </c>
      <c r="B381" s="18" t="s">
        <v>883</v>
      </c>
      <c r="C381" s="3">
        <f>LUGLIO!D381</f>
        <v>303</v>
      </c>
      <c r="D381" s="21">
        <f t="shared" si="14"/>
        <v>0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>
        <v>-303</v>
      </c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1">
        <f t="shared" si="15"/>
        <v>0</v>
      </c>
      <c r="BP381" s="9">
        <f t="shared" si="15"/>
        <v>-303</v>
      </c>
    </row>
    <row r="382" spans="1:68" ht="15.6" thickBot="1" x14ac:dyDescent="0.3">
      <c r="A382" s="25" t="s">
        <v>379</v>
      </c>
      <c r="B382" s="18" t="s">
        <v>894</v>
      </c>
      <c r="C382" s="3">
        <f>LUGLIO!D382</f>
        <v>6</v>
      </c>
      <c r="D382" s="21">
        <f t="shared" si="14"/>
        <v>6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1">
        <f t="shared" si="15"/>
        <v>0</v>
      </c>
      <c r="BP382" s="9">
        <f t="shared" si="15"/>
        <v>0</v>
      </c>
    </row>
    <row r="383" spans="1:68" ht="15.6" thickBot="1" x14ac:dyDescent="0.3">
      <c r="A383" s="25" t="s">
        <v>380</v>
      </c>
      <c r="B383" s="18" t="s">
        <v>897</v>
      </c>
      <c r="C383" s="3">
        <f>LUGLIO!D383</f>
        <v>148</v>
      </c>
      <c r="D383" s="21">
        <f t="shared" si="14"/>
        <v>148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1">
        <f t="shared" si="15"/>
        <v>0</v>
      </c>
      <c r="BP383" s="9">
        <f t="shared" si="15"/>
        <v>0</v>
      </c>
    </row>
    <row r="384" spans="1:68" ht="15.6" thickBot="1" x14ac:dyDescent="0.3">
      <c r="A384" s="25" t="s">
        <v>380</v>
      </c>
      <c r="B384" s="18" t="s">
        <v>480</v>
      </c>
      <c r="C384" s="3">
        <f>LUGLIO!D384</f>
        <v>6</v>
      </c>
      <c r="D384" s="21">
        <f t="shared" si="14"/>
        <v>6</v>
      </c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1">
        <f t="shared" si="15"/>
        <v>0</v>
      </c>
      <c r="BP384" s="9">
        <f t="shared" si="15"/>
        <v>0</v>
      </c>
    </row>
    <row r="385" spans="1:68" ht="15.6" thickBot="1" x14ac:dyDescent="0.3">
      <c r="A385" s="25" t="s">
        <v>379</v>
      </c>
      <c r="B385" s="18" t="s">
        <v>898</v>
      </c>
      <c r="C385" s="3">
        <f>LUGLIO!D385</f>
        <v>192</v>
      </c>
      <c r="D385" s="21">
        <f t="shared" si="14"/>
        <v>192</v>
      </c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1">
        <f t="shared" si="15"/>
        <v>0</v>
      </c>
      <c r="BP385" s="9">
        <f t="shared" si="15"/>
        <v>0</v>
      </c>
    </row>
    <row r="386" spans="1:68" ht="16.2" thickBot="1" x14ac:dyDescent="0.35">
      <c r="A386" s="25"/>
      <c r="B386" s="20" t="s">
        <v>110</v>
      </c>
      <c r="C386" s="3">
        <f>LUGLIO!D386</f>
        <v>0</v>
      </c>
      <c r="D386" s="21">
        <f t="shared" si="14"/>
        <v>0</v>
      </c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1">
        <f t="shared" si="15"/>
        <v>0</v>
      </c>
      <c r="BP386" s="9">
        <f t="shared" si="15"/>
        <v>0</v>
      </c>
    </row>
    <row r="387" spans="1:68" ht="15.6" thickBot="1" x14ac:dyDescent="0.3">
      <c r="A387" s="25" t="s">
        <v>523</v>
      </c>
      <c r="B387" s="18" t="s">
        <v>909</v>
      </c>
      <c r="C387" s="3">
        <f>LUGLIO!D387</f>
        <v>0</v>
      </c>
      <c r="D387" s="21">
        <f t="shared" si="14"/>
        <v>0</v>
      </c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1">
        <f t="shared" si="15"/>
        <v>0</v>
      </c>
      <c r="BP387" s="9">
        <f t="shared" si="15"/>
        <v>0</v>
      </c>
    </row>
    <row r="388" spans="1:68" ht="15.6" thickBot="1" x14ac:dyDescent="0.3">
      <c r="A388" s="25" t="s">
        <v>512</v>
      </c>
      <c r="B388" s="18" t="s">
        <v>910</v>
      </c>
      <c r="C388" s="3">
        <f>LUGLIO!D388</f>
        <v>0</v>
      </c>
      <c r="D388" s="21">
        <f t="shared" si="14"/>
        <v>0</v>
      </c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1">
        <f t="shared" si="15"/>
        <v>0</v>
      </c>
      <c r="BP388" s="9">
        <f t="shared" si="15"/>
        <v>0</v>
      </c>
    </row>
    <row r="389" spans="1:68" ht="15.6" thickBot="1" x14ac:dyDescent="0.3">
      <c r="A389" s="25" t="s">
        <v>519</v>
      </c>
      <c r="B389" s="18" t="s">
        <v>911</v>
      </c>
      <c r="C389" s="3">
        <f>LUGLIO!D389</f>
        <v>0</v>
      </c>
      <c r="D389" s="21">
        <f t="shared" si="14"/>
        <v>0</v>
      </c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1">
        <f t="shared" si="15"/>
        <v>0</v>
      </c>
      <c r="BP389" s="9">
        <f t="shared" si="15"/>
        <v>0</v>
      </c>
    </row>
    <row r="390" spans="1:68" ht="15.6" thickBot="1" x14ac:dyDescent="0.3">
      <c r="A390" s="25" t="s">
        <v>521</v>
      </c>
      <c r="B390" s="18" t="s">
        <v>912</v>
      </c>
      <c r="C390" s="3">
        <f>LUGLIO!D390</f>
        <v>0</v>
      </c>
      <c r="D390" s="21">
        <f t="shared" si="14"/>
        <v>0</v>
      </c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1">
        <f t="shared" si="15"/>
        <v>0</v>
      </c>
      <c r="BP390" s="9">
        <f t="shared" si="15"/>
        <v>0</v>
      </c>
    </row>
    <row r="391" spans="1:68" ht="15.6" thickBot="1" x14ac:dyDescent="0.3">
      <c r="A391" s="25" t="s">
        <v>520</v>
      </c>
      <c r="B391" s="18" t="s">
        <v>913</v>
      </c>
      <c r="C391" s="3">
        <f>LUGLIO!D391</f>
        <v>0</v>
      </c>
      <c r="D391" s="21">
        <f t="shared" si="14"/>
        <v>0</v>
      </c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1">
        <f t="shared" si="15"/>
        <v>0</v>
      </c>
      <c r="BP391" s="9">
        <f t="shared" si="15"/>
        <v>0</v>
      </c>
    </row>
    <row r="392" spans="1:68" ht="15.6" thickBot="1" x14ac:dyDescent="0.3">
      <c r="A392" s="25" t="s">
        <v>914</v>
      </c>
      <c r="B392" s="18" t="s">
        <v>915</v>
      </c>
      <c r="C392" s="3">
        <f>LUGLIO!D392</f>
        <v>0</v>
      </c>
      <c r="D392" s="21">
        <f t="shared" si="14"/>
        <v>0</v>
      </c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1">
        <f t="shared" si="15"/>
        <v>0</v>
      </c>
      <c r="BP392" s="9">
        <f t="shared" si="15"/>
        <v>0</v>
      </c>
    </row>
    <row r="393" spans="1:68" ht="15.6" thickBot="1" x14ac:dyDescent="0.3">
      <c r="A393" s="25" t="s">
        <v>838</v>
      </c>
      <c r="B393" s="18" t="s">
        <v>916</v>
      </c>
      <c r="C393" s="3">
        <f>LUGLIO!D393</f>
        <v>0</v>
      </c>
      <c r="D393" s="21">
        <f t="shared" si="14"/>
        <v>0</v>
      </c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1">
        <f t="shared" si="15"/>
        <v>0</v>
      </c>
      <c r="BP393" s="9">
        <f t="shared" si="15"/>
        <v>0</v>
      </c>
    </row>
    <row r="394" spans="1:68" ht="15.6" thickBot="1" x14ac:dyDescent="0.3">
      <c r="A394" s="25" t="s">
        <v>840</v>
      </c>
      <c r="B394" s="18" t="s">
        <v>917</v>
      </c>
      <c r="C394" s="3">
        <f>LUGLIO!D394</f>
        <v>0</v>
      </c>
      <c r="D394" s="21">
        <f t="shared" si="14"/>
        <v>0</v>
      </c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1">
        <f t="shared" si="15"/>
        <v>0</v>
      </c>
      <c r="BP394" s="9">
        <f t="shared" si="15"/>
        <v>0</v>
      </c>
    </row>
    <row r="395" spans="1:68" ht="15.6" thickBot="1" x14ac:dyDescent="0.3">
      <c r="A395" s="25" t="s">
        <v>842</v>
      </c>
      <c r="B395" s="18" t="s">
        <v>918</v>
      </c>
      <c r="C395" s="3">
        <f>LUGLIO!D395</f>
        <v>0</v>
      </c>
      <c r="D395" s="21">
        <f t="shared" si="14"/>
        <v>0</v>
      </c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1">
        <f t="shared" si="15"/>
        <v>0</v>
      </c>
      <c r="BP395" s="9">
        <f t="shared" si="15"/>
        <v>0</v>
      </c>
    </row>
    <row r="396" spans="1:68" ht="15.6" thickBot="1" x14ac:dyDescent="0.3">
      <c r="A396" s="25" t="s">
        <v>513</v>
      </c>
      <c r="B396" s="18" t="s">
        <v>919</v>
      </c>
      <c r="C396" s="3">
        <f>LUGLIO!D396</f>
        <v>0</v>
      </c>
      <c r="D396" s="21">
        <f t="shared" si="14"/>
        <v>0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1">
        <f t="shared" si="15"/>
        <v>0</v>
      </c>
      <c r="BP396" s="9">
        <f t="shared" si="15"/>
        <v>0</v>
      </c>
    </row>
    <row r="397" spans="1:68" ht="15.6" thickBot="1" x14ac:dyDescent="0.3">
      <c r="A397" s="25" t="s">
        <v>514</v>
      </c>
      <c r="B397" s="18" t="s">
        <v>920</v>
      </c>
      <c r="C397" s="3">
        <f>LUGLIO!D397</f>
        <v>0</v>
      </c>
      <c r="D397" s="21">
        <f t="shared" si="14"/>
        <v>0</v>
      </c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1">
        <f t="shared" si="15"/>
        <v>0</v>
      </c>
      <c r="BP397" s="9">
        <f t="shared" si="15"/>
        <v>0</v>
      </c>
    </row>
    <row r="398" spans="1:68" ht="15.6" thickBot="1" x14ac:dyDescent="0.3">
      <c r="A398" s="25" t="s">
        <v>921</v>
      </c>
      <c r="B398" s="18" t="s">
        <v>922</v>
      </c>
      <c r="C398" s="3">
        <f>LUGLIO!D398</f>
        <v>0</v>
      </c>
      <c r="D398" s="21">
        <f t="shared" si="14"/>
        <v>0</v>
      </c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1">
        <f t="shared" si="15"/>
        <v>0</v>
      </c>
      <c r="BP398" s="9">
        <f t="shared" si="15"/>
        <v>0</v>
      </c>
    </row>
    <row r="399" spans="1:68" ht="16.2" thickBot="1" x14ac:dyDescent="0.35">
      <c r="A399" s="25"/>
      <c r="B399" s="23" t="s">
        <v>123</v>
      </c>
      <c r="C399" s="3">
        <f>LUGLIO!D399</f>
        <v>0</v>
      </c>
      <c r="D399" s="21">
        <f t="shared" si="14"/>
        <v>0</v>
      </c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1">
        <f t="shared" si="15"/>
        <v>0</v>
      </c>
      <c r="BP399" s="9">
        <f t="shared" si="15"/>
        <v>0</v>
      </c>
    </row>
    <row r="400" spans="1:68" ht="15.6" thickBot="1" x14ac:dyDescent="0.3">
      <c r="A400" s="25" t="s">
        <v>707</v>
      </c>
      <c r="B400" s="18" t="s">
        <v>124</v>
      </c>
      <c r="C400" s="3">
        <f>LUGLIO!D400</f>
        <v>0</v>
      </c>
      <c r="D400" s="21">
        <f t="shared" si="14"/>
        <v>0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1">
        <f t="shared" si="15"/>
        <v>0</v>
      </c>
      <c r="BP400" s="9">
        <f t="shared" si="15"/>
        <v>0</v>
      </c>
    </row>
    <row r="401" spans="1:68" ht="16.2" thickBot="1" x14ac:dyDescent="0.35">
      <c r="A401" s="25"/>
      <c r="B401" s="23" t="s">
        <v>140</v>
      </c>
      <c r="C401" s="3">
        <f>LUGLIO!D401</f>
        <v>0</v>
      </c>
      <c r="D401" s="21">
        <f t="shared" si="14"/>
        <v>0</v>
      </c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1">
        <f t="shared" si="15"/>
        <v>0</v>
      </c>
      <c r="BP401" s="9">
        <f t="shared" si="15"/>
        <v>0</v>
      </c>
    </row>
    <row r="402" spans="1:68" ht="15.6" thickBot="1" x14ac:dyDescent="0.3">
      <c r="A402" s="25" t="s">
        <v>708</v>
      </c>
      <c r="B402" s="18" t="s">
        <v>141</v>
      </c>
      <c r="C402" s="3">
        <f>LUGLIO!D402</f>
        <v>0</v>
      </c>
      <c r="D402" s="21">
        <f t="shared" si="14"/>
        <v>0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1">
        <f t="shared" si="15"/>
        <v>0</v>
      </c>
      <c r="BP402" s="9">
        <f t="shared" si="15"/>
        <v>0</v>
      </c>
    </row>
    <row r="403" spans="1:68" ht="16.2" thickBot="1" x14ac:dyDescent="0.35">
      <c r="A403" s="25"/>
      <c r="B403" s="23" t="s">
        <v>144</v>
      </c>
      <c r="C403" s="3">
        <f>LUGLIO!D403</f>
        <v>0</v>
      </c>
      <c r="D403" s="21">
        <f t="shared" si="14"/>
        <v>0</v>
      </c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1">
        <f t="shared" si="15"/>
        <v>0</v>
      </c>
      <c r="BP403" s="9">
        <f t="shared" si="15"/>
        <v>0</v>
      </c>
    </row>
    <row r="404" spans="1:68" ht="15.6" thickBot="1" x14ac:dyDescent="0.3">
      <c r="A404" s="25"/>
      <c r="B404" s="18" t="s">
        <v>145</v>
      </c>
      <c r="C404" s="3">
        <f>LUGLIO!D404</f>
        <v>0</v>
      </c>
      <c r="D404" s="21">
        <f t="shared" ref="D404:D467" si="17">C404+SUM(E404:BN404)</f>
        <v>0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1">
        <f t="shared" si="15"/>
        <v>0</v>
      </c>
      <c r="BP404" s="9">
        <f t="shared" si="15"/>
        <v>0</v>
      </c>
    </row>
    <row r="405" spans="1:68" ht="16.2" thickBot="1" x14ac:dyDescent="0.35">
      <c r="A405" s="25"/>
      <c r="B405" s="23" t="s">
        <v>154</v>
      </c>
      <c r="C405" s="3">
        <f>LUGLIO!D405</f>
        <v>0</v>
      </c>
      <c r="D405" s="21">
        <f t="shared" si="17"/>
        <v>0</v>
      </c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1">
        <f t="shared" ref="BO405:BP468" si="18">BM405+BG405+BE405+BC405+BA405+AY405+AW405+AU405+AS405+AQ405+AO405+AM405+AK405+AI405+AG405+AE405+AC405+AA405+Y405+W405+U405+S405+Q405+O405+M405+K405+I405+G405+E405</f>
        <v>0</v>
      </c>
      <c r="BP405" s="9">
        <f t="shared" si="18"/>
        <v>0</v>
      </c>
    </row>
    <row r="406" spans="1:68" ht="15.6" thickBot="1" x14ac:dyDescent="0.3">
      <c r="A406" s="25"/>
      <c r="B406" s="18" t="s">
        <v>155</v>
      </c>
      <c r="C406" s="3">
        <f>LUGLIO!D406</f>
        <v>0</v>
      </c>
      <c r="D406" s="21">
        <f t="shared" si="17"/>
        <v>0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1">
        <f t="shared" si="18"/>
        <v>0</v>
      </c>
      <c r="BP406" s="9">
        <f t="shared" si="18"/>
        <v>0</v>
      </c>
    </row>
    <row r="407" spans="1:68" ht="16.2" thickBot="1" x14ac:dyDescent="0.35">
      <c r="A407" s="25"/>
      <c r="B407" s="23" t="s">
        <v>72</v>
      </c>
      <c r="C407" s="3">
        <f>LUGLIO!D407</f>
        <v>0</v>
      </c>
      <c r="D407" s="21">
        <f t="shared" si="17"/>
        <v>0</v>
      </c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1">
        <f t="shared" si="18"/>
        <v>0</v>
      </c>
      <c r="BP407" s="9">
        <f t="shared" si="18"/>
        <v>0</v>
      </c>
    </row>
    <row r="408" spans="1:68" ht="15.6" thickBot="1" x14ac:dyDescent="0.3">
      <c r="A408" s="25"/>
      <c r="B408" s="18" t="s">
        <v>441</v>
      </c>
      <c r="C408" s="3">
        <f>LUGLIO!D408</f>
        <v>0</v>
      </c>
      <c r="D408" s="21">
        <f t="shared" si="17"/>
        <v>0</v>
      </c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1">
        <f t="shared" si="18"/>
        <v>0</v>
      </c>
      <c r="BP408" s="9">
        <f t="shared" si="18"/>
        <v>0</v>
      </c>
    </row>
    <row r="409" spans="1:68" ht="15.6" thickBot="1" x14ac:dyDescent="0.3">
      <c r="A409" s="25"/>
      <c r="B409" s="18" t="s">
        <v>442</v>
      </c>
      <c r="C409" s="3">
        <f>LUGLIO!D409</f>
        <v>0</v>
      </c>
      <c r="D409" s="21">
        <f t="shared" si="17"/>
        <v>0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1">
        <f t="shared" si="18"/>
        <v>0</v>
      </c>
      <c r="BP409" s="9">
        <f t="shared" si="18"/>
        <v>0</v>
      </c>
    </row>
    <row r="410" spans="1:68" ht="15.6" thickBot="1" x14ac:dyDescent="0.3">
      <c r="A410" s="25"/>
      <c r="B410" s="18" t="s">
        <v>443</v>
      </c>
      <c r="C410" s="3">
        <f>LUGLIO!D410</f>
        <v>0</v>
      </c>
      <c r="D410" s="21">
        <f t="shared" si="17"/>
        <v>0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1">
        <f t="shared" si="18"/>
        <v>0</v>
      </c>
      <c r="BP410" s="9">
        <f t="shared" si="18"/>
        <v>0</v>
      </c>
    </row>
    <row r="411" spans="1:68" ht="15.6" thickBot="1" x14ac:dyDescent="0.3">
      <c r="A411" s="25" t="s">
        <v>439</v>
      </c>
      <c r="B411" s="18" t="s">
        <v>440</v>
      </c>
      <c r="C411" s="3">
        <f>LUGLIO!D411</f>
        <v>324</v>
      </c>
      <c r="D411" s="21">
        <f t="shared" si="17"/>
        <v>36</v>
      </c>
      <c r="E411" s="10">
        <f>36+36</f>
        <v>72</v>
      </c>
      <c r="F411" s="10"/>
      <c r="G411" s="10">
        <f>72-468</f>
        <v>-396</v>
      </c>
      <c r="H411" s="10"/>
      <c r="I411" s="10"/>
      <c r="J411" s="10"/>
      <c r="K411" s="10"/>
      <c r="L411" s="10"/>
      <c r="M411" s="10">
        <f>36+36</f>
        <v>72</v>
      </c>
      <c r="N411" s="10"/>
      <c r="O411" s="10">
        <f>36+36</f>
        <v>72</v>
      </c>
      <c r="P411" s="10">
        <f>-108</f>
        <v>-108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1">
        <f t="shared" si="18"/>
        <v>-180</v>
      </c>
      <c r="BP411" s="9">
        <f t="shared" si="18"/>
        <v>-108</v>
      </c>
    </row>
    <row r="412" spans="1:68" ht="15.6" thickBot="1" x14ac:dyDescent="0.3">
      <c r="A412" s="25" t="s">
        <v>239</v>
      </c>
      <c r="B412" s="18" t="s">
        <v>846</v>
      </c>
      <c r="C412" s="3">
        <f>LUGLIO!D412</f>
        <v>0</v>
      </c>
      <c r="D412" s="21">
        <f t="shared" si="17"/>
        <v>0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1">
        <f t="shared" si="18"/>
        <v>0</v>
      </c>
      <c r="BP412" s="9">
        <f t="shared" si="18"/>
        <v>0</v>
      </c>
    </row>
    <row r="413" spans="1:68" ht="15.6" thickBot="1" x14ac:dyDescent="0.3">
      <c r="A413" s="25" t="s">
        <v>240</v>
      </c>
      <c r="B413" s="18" t="s">
        <v>237</v>
      </c>
      <c r="C413" s="3">
        <f>LUGLIO!D413</f>
        <v>0</v>
      </c>
      <c r="D413" s="21">
        <f t="shared" si="17"/>
        <v>288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>
        <f>36</f>
        <v>36</v>
      </c>
      <c r="T413" s="10"/>
      <c r="U413" s="10">
        <v>72</v>
      </c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>
        <v>36</v>
      </c>
      <c r="BD413" s="10"/>
      <c r="BE413" s="10"/>
      <c r="BF413" s="10"/>
      <c r="BG413" s="10">
        <f>36</f>
        <v>36</v>
      </c>
      <c r="BH413" s="10"/>
      <c r="BI413" s="10"/>
      <c r="BJ413" s="10"/>
      <c r="BK413" s="10"/>
      <c r="BL413" s="10"/>
      <c r="BM413" s="10">
        <f>36+36+36</f>
        <v>108</v>
      </c>
      <c r="BN413" s="10"/>
      <c r="BO413" s="11">
        <f t="shared" si="18"/>
        <v>288</v>
      </c>
      <c r="BP413" s="9">
        <f t="shared" si="18"/>
        <v>0</v>
      </c>
    </row>
    <row r="414" spans="1:68" ht="15.6" thickBot="1" x14ac:dyDescent="0.3">
      <c r="A414" s="25" t="s">
        <v>241</v>
      </c>
      <c r="B414" s="18" t="s">
        <v>238</v>
      </c>
      <c r="C414" s="3">
        <f>LUGLIO!D414</f>
        <v>0</v>
      </c>
      <c r="D414" s="21">
        <f t="shared" si="17"/>
        <v>0</v>
      </c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1">
        <f t="shared" si="18"/>
        <v>0</v>
      </c>
      <c r="BP414" s="9">
        <f t="shared" si="18"/>
        <v>0</v>
      </c>
    </row>
    <row r="415" spans="1:68" ht="16.2" thickBot="1" x14ac:dyDescent="0.35">
      <c r="A415" s="25"/>
      <c r="B415" s="23" t="s">
        <v>242</v>
      </c>
      <c r="C415" s="3">
        <f>LUGLIO!D415</f>
        <v>0</v>
      </c>
      <c r="D415" s="21">
        <f t="shared" si="17"/>
        <v>0</v>
      </c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1">
        <f t="shared" si="18"/>
        <v>0</v>
      </c>
      <c r="BP415" s="9">
        <f t="shared" si="18"/>
        <v>0</v>
      </c>
    </row>
    <row r="416" spans="1:68" ht="15.6" thickBot="1" x14ac:dyDescent="0.3">
      <c r="A416" s="25" t="s">
        <v>174</v>
      </c>
      <c r="B416" s="18" t="s">
        <v>847</v>
      </c>
      <c r="C416" s="3">
        <f>LUGLIO!D416</f>
        <v>0</v>
      </c>
      <c r="D416" s="21">
        <f t="shared" si="17"/>
        <v>0</v>
      </c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1">
        <f t="shared" si="18"/>
        <v>0</v>
      </c>
      <c r="BP416" s="9">
        <f t="shared" si="18"/>
        <v>0</v>
      </c>
    </row>
    <row r="417" spans="1:68" ht="16.2" thickBot="1" x14ac:dyDescent="0.35">
      <c r="A417" s="25"/>
      <c r="B417" s="23" t="s">
        <v>936</v>
      </c>
      <c r="C417" s="3">
        <f>LUGLIO!D417</f>
        <v>0</v>
      </c>
      <c r="D417" s="21">
        <f t="shared" si="17"/>
        <v>0</v>
      </c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1">
        <f t="shared" si="18"/>
        <v>0</v>
      </c>
      <c r="BP417" s="9">
        <f t="shared" si="18"/>
        <v>0</v>
      </c>
    </row>
    <row r="418" spans="1:68" ht="15.6" thickBot="1" x14ac:dyDescent="0.3">
      <c r="A418" s="25" t="s">
        <v>355</v>
      </c>
      <c r="B418" s="18" t="s">
        <v>273</v>
      </c>
      <c r="C418" s="3">
        <f>LUGLIO!D418</f>
        <v>0</v>
      </c>
      <c r="D418" s="21">
        <f t="shared" si="17"/>
        <v>65</v>
      </c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>
        <v>65</v>
      </c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1">
        <f t="shared" si="18"/>
        <v>65</v>
      </c>
      <c r="BP418" s="9">
        <f t="shared" si="18"/>
        <v>0</v>
      </c>
    </row>
    <row r="419" spans="1:68" ht="15.6" thickBot="1" x14ac:dyDescent="0.3">
      <c r="A419" s="25" t="s">
        <v>525</v>
      </c>
      <c r="B419" s="18" t="s">
        <v>274</v>
      </c>
      <c r="C419" s="3">
        <f>LUGLIO!D419</f>
        <v>0</v>
      </c>
      <c r="D419" s="21">
        <f t="shared" si="17"/>
        <v>90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>
        <v>28</v>
      </c>
      <c r="BH419" s="10"/>
      <c r="BI419" s="10">
        <f>14+14+14</f>
        <v>42</v>
      </c>
      <c r="BJ419" s="10"/>
      <c r="BK419" s="10">
        <v>20</v>
      </c>
      <c r="BL419" s="10"/>
      <c r="BM419" s="10"/>
      <c r="BN419" s="10"/>
      <c r="BO419" s="11">
        <f t="shared" si="18"/>
        <v>28</v>
      </c>
      <c r="BP419" s="9">
        <f t="shared" si="18"/>
        <v>0</v>
      </c>
    </row>
    <row r="420" spans="1:68" ht="15.6" thickBot="1" x14ac:dyDescent="0.3">
      <c r="A420" s="25" t="s">
        <v>356</v>
      </c>
      <c r="B420" s="18" t="s">
        <v>275</v>
      </c>
      <c r="C420" s="3">
        <f>LUGLIO!D420</f>
        <v>0</v>
      </c>
      <c r="D420" s="21">
        <f t="shared" si="17"/>
        <v>90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>
        <v>90</v>
      </c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1">
        <f t="shared" si="18"/>
        <v>90</v>
      </c>
      <c r="BP420" s="9">
        <f t="shared" si="18"/>
        <v>0</v>
      </c>
    </row>
    <row r="421" spans="1:68" ht="15.6" thickBot="1" x14ac:dyDescent="0.3">
      <c r="A421" s="25" t="s">
        <v>357</v>
      </c>
      <c r="B421" s="18" t="s">
        <v>276</v>
      </c>
      <c r="C421" s="3">
        <f>LUGLIO!D421</f>
        <v>0</v>
      </c>
      <c r="D421" s="21">
        <f t="shared" si="17"/>
        <v>120</v>
      </c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>
        <v>120</v>
      </c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1">
        <f t="shared" si="18"/>
        <v>120</v>
      </c>
      <c r="BP421" s="9">
        <f t="shared" si="18"/>
        <v>0</v>
      </c>
    </row>
    <row r="422" spans="1:68" ht="15.6" thickBot="1" x14ac:dyDescent="0.3">
      <c r="A422" s="25" t="s">
        <v>536</v>
      </c>
      <c r="B422" s="18" t="s">
        <v>277</v>
      </c>
      <c r="C422" s="3">
        <f>LUGLIO!D422</f>
        <v>0</v>
      </c>
      <c r="D422" s="21">
        <f t="shared" si="17"/>
        <v>100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>
        <v>100</v>
      </c>
      <c r="BJ422" s="10"/>
      <c r="BK422" s="10"/>
      <c r="BL422" s="10"/>
      <c r="BM422" s="10"/>
      <c r="BN422" s="10"/>
      <c r="BO422" s="11">
        <f t="shared" si="18"/>
        <v>0</v>
      </c>
      <c r="BP422" s="9">
        <f t="shared" si="18"/>
        <v>0</v>
      </c>
    </row>
    <row r="423" spans="1:68" ht="16.2" thickBot="1" x14ac:dyDescent="0.35">
      <c r="A423" s="25"/>
      <c r="B423" s="23" t="s">
        <v>280</v>
      </c>
      <c r="C423" s="3">
        <f>LUGLIO!D423</f>
        <v>0</v>
      </c>
      <c r="D423" s="21">
        <f t="shared" si="17"/>
        <v>0</v>
      </c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1">
        <f t="shared" si="18"/>
        <v>0</v>
      </c>
      <c r="BP423" s="9">
        <f t="shared" si="18"/>
        <v>0</v>
      </c>
    </row>
    <row r="424" spans="1:68" ht="15.6" thickBot="1" x14ac:dyDescent="0.3">
      <c r="A424" s="25" t="s">
        <v>168</v>
      </c>
      <c r="B424" s="18" t="s">
        <v>107</v>
      </c>
      <c r="C424" s="3">
        <f>LUGLIO!D424</f>
        <v>0</v>
      </c>
      <c r="D424" s="21">
        <f t="shared" si="17"/>
        <v>0</v>
      </c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1">
        <f t="shared" si="18"/>
        <v>0</v>
      </c>
      <c r="BP424" s="9">
        <f t="shared" si="18"/>
        <v>0</v>
      </c>
    </row>
    <row r="425" spans="1:68" ht="15.6" thickBot="1" x14ac:dyDescent="0.3">
      <c r="A425" s="25" t="s">
        <v>169</v>
      </c>
      <c r="B425" s="18" t="s">
        <v>11</v>
      </c>
      <c r="C425" s="3">
        <f>LUGLIO!D425</f>
        <v>0</v>
      </c>
      <c r="D425" s="21">
        <f t="shared" si="17"/>
        <v>0</v>
      </c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1">
        <f t="shared" si="18"/>
        <v>0</v>
      </c>
      <c r="BP425" s="9">
        <f t="shared" si="18"/>
        <v>0</v>
      </c>
    </row>
    <row r="426" spans="1:68" ht="15.6" thickBot="1" x14ac:dyDescent="0.3">
      <c r="A426" s="25" t="s">
        <v>170</v>
      </c>
      <c r="B426" s="18" t="s">
        <v>42</v>
      </c>
      <c r="C426" s="3">
        <f>LUGLIO!D426</f>
        <v>0</v>
      </c>
      <c r="D426" s="21">
        <f t="shared" si="17"/>
        <v>0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1">
        <f t="shared" si="18"/>
        <v>0</v>
      </c>
      <c r="BP426" s="9">
        <f t="shared" si="18"/>
        <v>0</v>
      </c>
    </row>
    <row r="427" spans="1:68" ht="15.6" thickBot="1" x14ac:dyDescent="0.3">
      <c r="A427" s="25" t="s">
        <v>171</v>
      </c>
      <c r="B427" s="18" t="s">
        <v>43</v>
      </c>
      <c r="C427" s="3">
        <f>LUGLIO!D427</f>
        <v>0</v>
      </c>
      <c r="D427" s="21">
        <f t="shared" si="17"/>
        <v>0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1">
        <f t="shared" si="18"/>
        <v>0</v>
      </c>
      <c r="BP427" s="9">
        <f t="shared" si="18"/>
        <v>0</v>
      </c>
    </row>
    <row r="428" spans="1:68" ht="15.6" thickBot="1" x14ac:dyDescent="0.3">
      <c r="A428" s="25" t="s">
        <v>172</v>
      </c>
      <c r="B428" s="18" t="s">
        <v>44</v>
      </c>
      <c r="C428" s="3">
        <f>LUGLIO!D428</f>
        <v>0</v>
      </c>
      <c r="D428" s="21">
        <f t="shared" si="17"/>
        <v>0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1">
        <f t="shared" si="18"/>
        <v>0</v>
      </c>
      <c r="BP428" s="9">
        <f t="shared" si="18"/>
        <v>0</v>
      </c>
    </row>
    <row r="429" spans="1:68" ht="15.6" thickBot="1" x14ac:dyDescent="0.3">
      <c r="A429" s="25" t="s">
        <v>270</v>
      </c>
      <c r="B429" s="18" t="s">
        <v>76</v>
      </c>
      <c r="C429" s="3">
        <f>LUGLIO!D429</f>
        <v>0</v>
      </c>
      <c r="D429" s="21">
        <f t="shared" si="17"/>
        <v>0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1">
        <f t="shared" si="18"/>
        <v>0</v>
      </c>
      <c r="BP429" s="9">
        <f t="shared" si="18"/>
        <v>0</v>
      </c>
    </row>
    <row r="430" spans="1:68" ht="15.6" thickBot="1" x14ac:dyDescent="0.3">
      <c r="A430" s="25" t="s">
        <v>174</v>
      </c>
      <c r="B430" s="18" t="s">
        <v>77</v>
      </c>
      <c r="C430" s="3">
        <f>LUGLIO!D430</f>
        <v>0</v>
      </c>
      <c r="D430" s="21">
        <f t="shared" si="17"/>
        <v>0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1">
        <f t="shared" si="18"/>
        <v>0</v>
      </c>
      <c r="BP430" s="9">
        <f t="shared" si="18"/>
        <v>0</v>
      </c>
    </row>
    <row r="431" spans="1:68" ht="16.2" thickBot="1" x14ac:dyDescent="0.35">
      <c r="A431" s="25"/>
      <c r="B431" s="23" t="s">
        <v>281</v>
      </c>
      <c r="C431" s="3">
        <f>LUGLIO!D431</f>
        <v>0</v>
      </c>
      <c r="D431" s="21">
        <f t="shared" si="17"/>
        <v>0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1">
        <f t="shared" si="18"/>
        <v>0</v>
      </c>
      <c r="BP431" s="9">
        <f t="shared" si="18"/>
        <v>0</v>
      </c>
    </row>
    <row r="432" spans="1:68" ht="15.6" thickBot="1" x14ac:dyDescent="0.3">
      <c r="A432" s="25" t="s">
        <v>168</v>
      </c>
      <c r="B432" s="18" t="s">
        <v>107</v>
      </c>
      <c r="C432" s="3">
        <f>LUGLIO!D432</f>
        <v>0</v>
      </c>
      <c r="D432" s="21">
        <f t="shared" si="17"/>
        <v>0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1">
        <f t="shared" si="18"/>
        <v>0</v>
      </c>
      <c r="BP432" s="9">
        <f t="shared" si="18"/>
        <v>0</v>
      </c>
    </row>
    <row r="433" spans="1:68" ht="15.6" thickBot="1" x14ac:dyDescent="0.3">
      <c r="A433" s="25" t="s">
        <v>172</v>
      </c>
      <c r="B433" s="18" t="s">
        <v>44</v>
      </c>
      <c r="C433" s="3">
        <f>LUGLIO!D433</f>
        <v>0</v>
      </c>
      <c r="D433" s="21">
        <f t="shared" si="17"/>
        <v>0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1">
        <f t="shared" si="18"/>
        <v>0</v>
      </c>
      <c r="BP433" s="9">
        <f t="shared" si="18"/>
        <v>0</v>
      </c>
    </row>
    <row r="434" spans="1:68" ht="15.6" thickBot="1" x14ac:dyDescent="0.3">
      <c r="A434" s="25" t="s">
        <v>173</v>
      </c>
      <c r="B434" s="18" t="s">
        <v>45</v>
      </c>
      <c r="C434" s="3">
        <f>LUGLIO!D434</f>
        <v>0</v>
      </c>
      <c r="D434" s="21">
        <f t="shared" si="17"/>
        <v>0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1">
        <f t="shared" si="18"/>
        <v>0</v>
      </c>
      <c r="BP434" s="9">
        <f t="shared" si="18"/>
        <v>0</v>
      </c>
    </row>
    <row r="435" spans="1:68" ht="15.6" thickBot="1" x14ac:dyDescent="0.3">
      <c r="A435" s="25" t="s">
        <v>270</v>
      </c>
      <c r="B435" s="18" t="s">
        <v>76</v>
      </c>
      <c r="C435" s="3">
        <f>LUGLIO!D435</f>
        <v>0</v>
      </c>
      <c r="D435" s="21">
        <f t="shared" si="17"/>
        <v>0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1">
        <f t="shared" si="18"/>
        <v>0</v>
      </c>
      <c r="BP435" s="9">
        <f t="shared" si="18"/>
        <v>0</v>
      </c>
    </row>
    <row r="436" spans="1:68" ht="15.6" thickBot="1" x14ac:dyDescent="0.3">
      <c r="A436" s="25" t="s">
        <v>271</v>
      </c>
      <c r="B436" s="18" t="s">
        <v>272</v>
      </c>
      <c r="C436" s="3">
        <f>LUGLIO!D436</f>
        <v>0</v>
      </c>
      <c r="D436" s="21">
        <f t="shared" si="17"/>
        <v>0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1">
        <f t="shared" si="18"/>
        <v>0</v>
      </c>
      <c r="BP436" s="9">
        <f t="shared" si="18"/>
        <v>0</v>
      </c>
    </row>
    <row r="437" spans="1:68" ht="15.6" thickBot="1" x14ac:dyDescent="0.3">
      <c r="A437" s="25" t="s">
        <v>265</v>
      </c>
      <c r="B437" s="18" t="s">
        <v>438</v>
      </c>
      <c r="C437" s="3">
        <f>LUGLIO!D437</f>
        <v>0</v>
      </c>
      <c r="D437" s="21">
        <f t="shared" si="17"/>
        <v>0</v>
      </c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1">
        <f t="shared" si="18"/>
        <v>0</v>
      </c>
      <c r="BP437" s="9">
        <f t="shared" si="18"/>
        <v>0</v>
      </c>
    </row>
    <row r="438" spans="1:68" ht="15.6" thickBot="1" x14ac:dyDescent="0.3">
      <c r="A438" s="25" t="s">
        <v>266</v>
      </c>
      <c r="B438" s="18" t="s">
        <v>269</v>
      </c>
      <c r="C438" s="3">
        <f>LUGLIO!D438</f>
        <v>0</v>
      </c>
      <c r="D438" s="21">
        <f t="shared" si="17"/>
        <v>0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1">
        <f t="shared" si="18"/>
        <v>0</v>
      </c>
      <c r="BP438" s="9">
        <f t="shared" si="18"/>
        <v>0</v>
      </c>
    </row>
    <row r="439" spans="1:68" ht="15.6" thickBot="1" x14ac:dyDescent="0.3">
      <c r="A439" s="25" t="s">
        <v>267</v>
      </c>
      <c r="B439" s="18" t="s">
        <v>116</v>
      </c>
      <c r="C439" s="3">
        <f>LUGLIO!D439</f>
        <v>0</v>
      </c>
      <c r="D439" s="21">
        <f t="shared" si="17"/>
        <v>0</v>
      </c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1">
        <f t="shared" si="18"/>
        <v>0</v>
      </c>
      <c r="BP439" s="9">
        <f t="shared" si="18"/>
        <v>0</v>
      </c>
    </row>
    <row r="440" spans="1:68" ht="16.2" thickBot="1" x14ac:dyDescent="0.35">
      <c r="A440" s="25"/>
      <c r="B440" s="23" t="s">
        <v>282</v>
      </c>
      <c r="C440" s="3">
        <f>LUGLIO!D440</f>
        <v>0</v>
      </c>
      <c r="D440" s="21">
        <f t="shared" si="17"/>
        <v>0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1">
        <f t="shared" si="18"/>
        <v>0</v>
      </c>
      <c r="BP440" s="9">
        <f t="shared" si="18"/>
        <v>0</v>
      </c>
    </row>
    <row r="441" spans="1:68" ht="15.6" thickBot="1" x14ac:dyDescent="0.3">
      <c r="A441" s="25" t="s">
        <v>283</v>
      </c>
      <c r="B441" s="18" t="s">
        <v>484</v>
      </c>
      <c r="C441" s="3">
        <f>LUGLIO!D441</f>
        <v>0</v>
      </c>
      <c r="D441" s="21">
        <f t="shared" si="17"/>
        <v>0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1">
        <f t="shared" si="18"/>
        <v>0</v>
      </c>
      <c r="BP441" s="9">
        <f t="shared" si="18"/>
        <v>0</v>
      </c>
    </row>
    <row r="442" spans="1:68" ht="15.6" thickBot="1" x14ac:dyDescent="0.3">
      <c r="A442" s="25" t="s">
        <v>169</v>
      </c>
      <c r="B442" s="18" t="s">
        <v>485</v>
      </c>
      <c r="C442" s="3">
        <f>LUGLIO!D442</f>
        <v>0</v>
      </c>
      <c r="D442" s="21">
        <f t="shared" si="17"/>
        <v>0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1">
        <f t="shared" si="18"/>
        <v>0</v>
      </c>
      <c r="BP442" s="9">
        <f t="shared" si="18"/>
        <v>0</v>
      </c>
    </row>
    <row r="443" spans="1:68" ht="16.2" thickBot="1" x14ac:dyDescent="0.35">
      <c r="A443" s="25"/>
      <c r="B443" s="23" t="s">
        <v>293</v>
      </c>
      <c r="C443" s="3">
        <f>LUGLIO!D443</f>
        <v>0</v>
      </c>
      <c r="D443" s="21">
        <f t="shared" si="17"/>
        <v>0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1">
        <f t="shared" si="18"/>
        <v>0</v>
      </c>
      <c r="BP443" s="9">
        <f t="shared" si="18"/>
        <v>0</v>
      </c>
    </row>
    <row r="444" spans="1:68" ht="15.6" thickBot="1" x14ac:dyDescent="0.3">
      <c r="A444" s="25" t="s">
        <v>537</v>
      </c>
      <c r="B444" s="18" t="s">
        <v>483</v>
      </c>
      <c r="C444" s="3">
        <f>LUGLIO!D444</f>
        <v>6</v>
      </c>
      <c r="D444" s="21">
        <f t="shared" si="17"/>
        <v>6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1">
        <f t="shared" si="18"/>
        <v>0</v>
      </c>
      <c r="BP444" s="9">
        <f t="shared" si="18"/>
        <v>0</v>
      </c>
    </row>
    <row r="445" spans="1:68" ht="15.6" thickBot="1" x14ac:dyDescent="0.3">
      <c r="A445" s="25" t="s">
        <v>618</v>
      </c>
      <c r="B445" s="18" t="s">
        <v>619</v>
      </c>
      <c r="C445" s="3">
        <f>LUGLIO!D445</f>
        <v>176</v>
      </c>
      <c r="D445" s="21">
        <f t="shared" si="17"/>
        <v>842</v>
      </c>
      <c r="E445" s="10">
        <f>75</f>
        <v>75</v>
      </c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>
        <f>75+26</f>
        <v>101</v>
      </c>
      <c r="T445" s="10"/>
      <c r="U445" s="10">
        <f>75+24</f>
        <v>99</v>
      </c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>
        <f>75+17</f>
        <v>92</v>
      </c>
      <c r="BD445" s="10"/>
      <c r="BE445" s="10">
        <f>50+30</f>
        <v>80</v>
      </c>
      <c r="BF445" s="10"/>
      <c r="BG445" s="10">
        <f>50+30</f>
        <v>80</v>
      </c>
      <c r="BH445" s="10"/>
      <c r="BI445" s="10">
        <f>50+27</f>
        <v>77</v>
      </c>
      <c r="BJ445" s="10"/>
      <c r="BK445" s="10">
        <f>50+12</f>
        <v>62</v>
      </c>
      <c r="BL445" s="10"/>
      <c r="BM445" s="10"/>
      <c r="BN445" s="10"/>
      <c r="BO445" s="11">
        <f t="shared" si="18"/>
        <v>527</v>
      </c>
      <c r="BP445" s="9">
        <f t="shared" si="18"/>
        <v>0</v>
      </c>
    </row>
    <row r="446" spans="1:68" ht="16.2" thickBot="1" x14ac:dyDescent="0.35">
      <c r="A446" s="25"/>
      <c r="B446" s="23" t="s">
        <v>769</v>
      </c>
      <c r="C446" s="3">
        <f>LUGLIO!D446</f>
        <v>0</v>
      </c>
      <c r="D446" s="21">
        <f t="shared" si="17"/>
        <v>0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1">
        <f t="shared" si="18"/>
        <v>0</v>
      </c>
      <c r="BP446" s="9">
        <f t="shared" si="18"/>
        <v>0</v>
      </c>
    </row>
    <row r="447" spans="1:68" ht="15.6" thickBot="1" x14ac:dyDescent="0.3">
      <c r="A447" s="25" t="s">
        <v>294</v>
      </c>
      <c r="B447" s="18" t="s">
        <v>312</v>
      </c>
      <c r="C447" s="3">
        <f>LUGLIO!D447</f>
        <v>0</v>
      </c>
      <c r="D447" s="21">
        <f t="shared" si="17"/>
        <v>0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1">
        <f t="shared" si="18"/>
        <v>0</v>
      </c>
      <c r="BP447" s="9">
        <f t="shared" si="18"/>
        <v>0</v>
      </c>
    </row>
    <row r="448" spans="1:68" ht="15.6" thickBot="1" x14ac:dyDescent="0.3">
      <c r="A448" s="25" t="s">
        <v>295</v>
      </c>
      <c r="B448" s="18" t="s">
        <v>313</v>
      </c>
      <c r="C448" s="3">
        <f>LUGLIO!D448</f>
        <v>0</v>
      </c>
      <c r="D448" s="21">
        <f t="shared" si="17"/>
        <v>0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1">
        <f t="shared" si="18"/>
        <v>0</v>
      </c>
      <c r="BP448" s="9">
        <f t="shared" si="18"/>
        <v>0</v>
      </c>
    </row>
    <row r="449" spans="1:68" ht="15.6" thickBot="1" x14ac:dyDescent="0.3">
      <c r="A449" s="25" t="s">
        <v>296</v>
      </c>
      <c r="B449" s="18" t="s">
        <v>314</v>
      </c>
      <c r="C449" s="3">
        <f>LUGLIO!D449</f>
        <v>0</v>
      </c>
      <c r="D449" s="21">
        <f t="shared" si="17"/>
        <v>0</v>
      </c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1">
        <f t="shared" si="18"/>
        <v>0</v>
      </c>
      <c r="BP449" s="9">
        <f t="shared" si="18"/>
        <v>0</v>
      </c>
    </row>
    <row r="450" spans="1:68" ht="15.6" thickBot="1" x14ac:dyDescent="0.3">
      <c r="A450" s="25" t="s">
        <v>297</v>
      </c>
      <c r="B450" s="18" t="s">
        <v>315</v>
      </c>
      <c r="C450" s="3">
        <f>LUGLIO!D450</f>
        <v>0</v>
      </c>
      <c r="D450" s="21">
        <f t="shared" si="17"/>
        <v>0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1">
        <f t="shared" si="18"/>
        <v>0</v>
      </c>
      <c r="BP450" s="9">
        <f t="shared" si="18"/>
        <v>0</v>
      </c>
    </row>
    <row r="451" spans="1:68" ht="15.6" thickBot="1" x14ac:dyDescent="0.3">
      <c r="A451" s="25" t="s">
        <v>298</v>
      </c>
      <c r="B451" s="18" t="s">
        <v>468</v>
      </c>
      <c r="C451" s="3">
        <f>LUGLIO!D451</f>
        <v>0</v>
      </c>
      <c r="D451" s="21">
        <f t="shared" si="17"/>
        <v>0</v>
      </c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1">
        <f t="shared" si="18"/>
        <v>0</v>
      </c>
      <c r="BP451" s="9">
        <f t="shared" si="18"/>
        <v>0</v>
      </c>
    </row>
    <row r="452" spans="1:68" ht="15.6" thickBot="1" x14ac:dyDescent="0.3">
      <c r="A452" s="25" t="s">
        <v>299</v>
      </c>
      <c r="B452" s="18" t="s">
        <v>469</v>
      </c>
      <c r="C452" s="3">
        <f>LUGLIO!D452</f>
        <v>0</v>
      </c>
      <c r="D452" s="21">
        <f t="shared" si="17"/>
        <v>0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1">
        <f t="shared" si="18"/>
        <v>0</v>
      </c>
      <c r="BP452" s="9">
        <f t="shared" si="18"/>
        <v>0</v>
      </c>
    </row>
    <row r="453" spans="1:68" ht="15.6" thickBot="1" x14ac:dyDescent="0.3">
      <c r="A453" s="25" t="s">
        <v>300</v>
      </c>
      <c r="B453" s="18" t="s">
        <v>470</v>
      </c>
      <c r="C453" s="3">
        <f>LUGLIO!D453</f>
        <v>0</v>
      </c>
      <c r="D453" s="21">
        <f t="shared" si="17"/>
        <v>0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1">
        <f t="shared" si="18"/>
        <v>0</v>
      </c>
      <c r="BP453" s="9">
        <f t="shared" si="18"/>
        <v>0</v>
      </c>
    </row>
    <row r="454" spans="1:68" ht="15.6" thickBot="1" x14ac:dyDescent="0.3">
      <c r="A454" s="25" t="s">
        <v>734</v>
      </c>
      <c r="B454" s="18" t="s">
        <v>735</v>
      </c>
      <c r="C454" s="3">
        <f>LUGLIO!D454</f>
        <v>0</v>
      </c>
      <c r="D454" s="21">
        <f t="shared" si="17"/>
        <v>0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1">
        <f t="shared" si="18"/>
        <v>0</v>
      </c>
      <c r="BP454" s="9">
        <f t="shared" si="18"/>
        <v>0</v>
      </c>
    </row>
    <row r="455" spans="1:68" ht="15.6" thickBot="1" x14ac:dyDescent="0.3">
      <c r="A455" s="25" t="s">
        <v>718</v>
      </c>
      <c r="B455" s="18" t="s">
        <v>193</v>
      </c>
      <c r="C455" s="3">
        <f>LUGLIO!D455</f>
        <v>0</v>
      </c>
      <c r="D455" s="21">
        <f t="shared" si="17"/>
        <v>0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1">
        <f t="shared" si="18"/>
        <v>0</v>
      </c>
      <c r="BP455" s="9">
        <f t="shared" si="18"/>
        <v>0</v>
      </c>
    </row>
    <row r="456" spans="1:68" ht="15.6" thickBot="1" x14ac:dyDescent="0.3">
      <c r="A456" s="25" t="s">
        <v>719</v>
      </c>
      <c r="B456" s="18" t="s">
        <v>194</v>
      </c>
      <c r="C456" s="3">
        <f>LUGLIO!D456</f>
        <v>0</v>
      </c>
      <c r="D456" s="21">
        <f t="shared" si="17"/>
        <v>0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1">
        <f t="shared" si="18"/>
        <v>0</v>
      </c>
      <c r="BP456" s="9">
        <f t="shared" si="18"/>
        <v>0</v>
      </c>
    </row>
    <row r="457" spans="1:68" ht="15.6" thickBot="1" x14ac:dyDescent="0.3">
      <c r="A457" s="25" t="s">
        <v>720</v>
      </c>
      <c r="B457" s="18" t="s">
        <v>16</v>
      </c>
      <c r="C457" s="3">
        <f>LUGLIO!D457</f>
        <v>0</v>
      </c>
      <c r="D457" s="21">
        <f t="shared" si="17"/>
        <v>0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1">
        <f t="shared" si="18"/>
        <v>0</v>
      </c>
      <c r="BP457" s="9">
        <f t="shared" si="18"/>
        <v>0</v>
      </c>
    </row>
    <row r="458" spans="1:68" ht="15.6" thickBot="1" x14ac:dyDescent="0.3">
      <c r="A458" s="25" t="s">
        <v>721</v>
      </c>
      <c r="B458" s="18" t="s">
        <v>17</v>
      </c>
      <c r="C458" s="3">
        <f>LUGLIO!D458</f>
        <v>0</v>
      </c>
      <c r="D458" s="21">
        <f t="shared" si="17"/>
        <v>0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1">
        <f t="shared" si="18"/>
        <v>0</v>
      </c>
      <c r="BP458" s="9">
        <f t="shared" si="18"/>
        <v>0</v>
      </c>
    </row>
    <row r="459" spans="1:68" ht="15.6" thickBot="1" x14ac:dyDescent="0.3">
      <c r="A459" s="25" t="s">
        <v>733</v>
      </c>
      <c r="B459" s="18" t="s">
        <v>21</v>
      </c>
      <c r="C459" s="3">
        <f>LUGLIO!D459</f>
        <v>0</v>
      </c>
      <c r="D459" s="21">
        <f t="shared" si="17"/>
        <v>0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1">
        <f t="shared" si="18"/>
        <v>0</v>
      </c>
      <c r="BP459" s="9">
        <f t="shared" si="18"/>
        <v>0</v>
      </c>
    </row>
    <row r="460" spans="1:68" ht="15.6" thickBot="1" x14ac:dyDescent="0.3">
      <c r="A460" s="25" t="s">
        <v>722</v>
      </c>
      <c r="B460" s="18" t="s">
        <v>20</v>
      </c>
      <c r="C460" s="3">
        <f>LUGLIO!D460</f>
        <v>0</v>
      </c>
      <c r="D460" s="21">
        <f t="shared" si="17"/>
        <v>0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1">
        <f t="shared" si="18"/>
        <v>0</v>
      </c>
      <c r="BP460" s="9">
        <f t="shared" si="18"/>
        <v>0</v>
      </c>
    </row>
    <row r="461" spans="1:68" ht="15.6" thickBot="1" x14ac:dyDescent="0.3">
      <c r="A461" s="25" t="s">
        <v>723</v>
      </c>
      <c r="B461" s="18" t="s">
        <v>209</v>
      </c>
      <c r="C461" s="3">
        <f>LUGLIO!D461</f>
        <v>0</v>
      </c>
      <c r="D461" s="21">
        <f t="shared" si="17"/>
        <v>0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1">
        <f t="shared" si="18"/>
        <v>0</v>
      </c>
      <c r="BP461" s="9">
        <f t="shared" si="18"/>
        <v>0</v>
      </c>
    </row>
    <row r="462" spans="1:68" ht="15.6" thickBot="1" x14ac:dyDescent="0.3">
      <c r="A462" s="25" t="s">
        <v>724</v>
      </c>
      <c r="B462" s="18" t="s">
        <v>13</v>
      </c>
      <c r="C462" s="3">
        <f>LUGLIO!D462</f>
        <v>0</v>
      </c>
      <c r="D462" s="21">
        <f t="shared" si="17"/>
        <v>0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1">
        <f t="shared" si="18"/>
        <v>0</v>
      </c>
      <c r="BP462" s="9">
        <f t="shared" si="18"/>
        <v>0</v>
      </c>
    </row>
    <row r="463" spans="1:68" ht="15.6" thickBot="1" x14ac:dyDescent="0.3">
      <c r="A463" s="25" t="s">
        <v>725</v>
      </c>
      <c r="B463" s="18" t="s">
        <v>14</v>
      </c>
      <c r="C463" s="3">
        <f>LUGLIO!D463</f>
        <v>0</v>
      </c>
      <c r="D463" s="21">
        <f t="shared" si="17"/>
        <v>0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1">
        <f t="shared" si="18"/>
        <v>0</v>
      </c>
      <c r="BP463" s="9">
        <f t="shared" si="18"/>
        <v>0</v>
      </c>
    </row>
    <row r="464" spans="1:68" ht="15.6" thickBot="1" x14ac:dyDescent="0.3">
      <c r="A464" s="25" t="s">
        <v>726</v>
      </c>
      <c r="B464" s="18" t="s">
        <v>12</v>
      </c>
      <c r="C464" s="3">
        <f>LUGLIO!D464</f>
        <v>0</v>
      </c>
      <c r="D464" s="21">
        <f t="shared" si="17"/>
        <v>0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1">
        <f t="shared" si="18"/>
        <v>0</v>
      </c>
      <c r="BP464" s="9">
        <f t="shared" si="18"/>
        <v>0</v>
      </c>
    </row>
    <row r="465" spans="1:68" ht="15.6" thickBot="1" x14ac:dyDescent="0.3">
      <c r="A465" s="25" t="s">
        <v>727</v>
      </c>
      <c r="B465" s="18" t="s">
        <v>6</v>
      </c>
      <c r="C465" s="3">
        <f>LUGLIO!D465</f>
        <v>0</v>
      </c>
      <c r="D465" s="21">
        <f t="shared" si="17"/>
        <v>0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1">
        <f t="shared" si="18"/>
        <v>0</v>
      </c>
      <c r="BP465" s="9">
        <f t="shared" si="18"/>
        <v>0</v>
      </c>
    </row>
    <row r="466" spans="1:68" ht="15.6" thickBot="1" x14ac:dyDescent="0.3">
      <c r="A466" s="25" t="s">
        <v>728</v>
      </c>
      <c r="B466" s="18" t="s">
        <v>7</v>
      </c>
      <c r="C466" s="3">
        <f>LUGLIO!D466</f>
        <v>0</v>
      </c>
      <c r="D466" s="21">
        <f t="shared" si="17"/>
        <v>0</v>
      </c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1">
        <f t="shared" si="18"/>
        <v>0</v>
      </c>
      <c r="BP466" s="9">
        <f t="shared" si="18"/>
        <v>0</v>
      </c>
    </row>
    <row r="467" spans="1:68" ht="15.6" thickBot="1" x14ac:dyDescent="0.3">
      <c r="A467" s="25" t="s">
        <v>729</v>
      </c>
      <c r="B467" s="18" t="s">
        <v>22</v>
      </c>
      <c r="C467" s="3">
        <f>LUGLIO!D467</f>
        <v>0</v>
      </c>
      <c r="D467" s="21">
        <f t="shared" si="17"/>
        <v>0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1">
        <f t="shared" si="18"/>
        <v>0</v>
      </c>
      <c r="BP467" s="9">
        <f t="shared" si="18"/>
        <v>0</v>
      </c>
    </row>
    <row r="468" spans="1:68" ht="15.6" thickBot="1" x14ac:dyDescent="0.3">
      <c r="A468" s="25" t="s">
        <v>730</v>
      </c>
      <c r="B468" s="18" t="s">
        <v>23</v>
      </c>
      <c r="C468" s="3">
        <f>LUGLIO!D468</f>
        <v>0</v>
      </c>
      <c r="D468" s="21">
        <f t="shared" ref="D468:D531" si="19">C468+SUM(E468:BN468)</f>
        <v>0</v>
      </c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1">
        <f t="shared" si="18"/>
        <v>0</v>
      </c>
      <c r="BP468" s="9">
        <f t="shared" si="18"/>
        <v>0</v>
      </c>
    </row>
    <row r="469" spans="1:68" ht="15.6" thickBot="1" x14ac:dyDescent="0.3">
      <c r="A469" s="25" t="s">
        <v>731</v>
      </c>
      <c r="B469" s="18" t="s">
        <v>24</v>
      </c>
      <c r="C469" s="3">
        <f>LUGLIO!D469</f>
        <v>0</v>
      </c>
      <c r="D469" s="21">
        <f t="shared" si="19"/>
        <v>0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1">
        <f t="shared" ref="BO469:BP532" si="20">BM469+BG469+BE469+BC469+BA469+AY469+AW469+AU469+AS469+AQ469+AO469+AM469+AK469+AI469+AG469+AE469+AC469+AA469+Y469+W469+U469+S469+Q469+O469+M469+K469+I469+G469+E469</f>
        <v>0</v>
      </c>
      <c r="BP469" s="9">
        <f t="shared" si="20"/>
        <v>0</v>
      </c>
    </row>
    <row r="470" spans="1:68" ht="15.6" thickBot="1" x14ac:dyDescent="0.3">
      <c r="A470" s="25" t="s">
        <v>732</v>
      </c>
      <c r="B470" s="18" t="s">
        <v>210</v>
      </c>
      <c r="C470" s="3">
        <f>LUGLIO!D470</f>
        <v>0</v>
      </c>
      <c r="D470" s="21">
        <f t="shared" si="19"/>
        <v>0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1">
        <f t="shared" si="20"/>
        <v>0</v>
      </c>
      <c r="BP470" s="9">
        <f t="shared" si="20"/>
        <v>0</v>
      </c>
    </row>
    <row r="471" spans="1:68" ht="16.2" thickBot="1" x14ac:dyDescent="0.35">
      <c r="A471" s="25"/>
      <c r="B471" s="23" t="s">
        <v>301</v>
      </c>
      <c r="C471" s="3">
        <f>LUGLIO!D471</f>
        <v>0</v>
      </c>
      <c r="D471" s="21">
        <f t="shared" si="19"/>
        <v>0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1">
        <f t="shared" si="20"/>
        <v>0</v>
      </c>
      <c r="BP471" s="9">
        <f t="shared" si="20"/>
        <v>0</v>
      </c>
    </row>
    <row r="472" spans="1:68" ht="15.6" thickBot="1" x14ac:dyDescent="0.3">
      <c r="A472" s="25" t="s">
        <v>302</v>
      </c>
      <c r="B472" s="18" t="s">
        <v>307</v>
      </c>
      <c r="C472" s="3">
        <f>LUGLIO!D472</f>
        <v>0</v>
      </c>
      <c r="D472" s="21">
        <f t="shared" si="19"/>
        <v>0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1">
        <f t="shared" si="20"/>
        <v>0</v>
      </c>
      <c r="BP472" s="9">
        <f t="shared" si="20"/>
        <v>0</v>
      </c>
    </row>
    <row r="473" spans="1:68" ht="15.6" thickBot="1" x14ac:dyDescent="0.3">
      <c r="A473" s="25" t="s">
        <v>303</v>
      </c>
      <c r="B473" s="18" t="s">
        <v>308</v>
      </c>
      <c r="C473" s="3">
        <f>LUGLIO!D473</f>
        <v>0</v>
      </c>
      <c r="D473" s="21">
        <f t="shared" si="19"/>
        <v>0</v>
      </c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1">
        <f t="shared" si="20"/>
        <v>0</v>
      </c>
      <c r="BP473" s="9">
        <f t="shared" si="20"/>
        <v>0</v>
      </c>
    </row>
    <row r="474" spans="1:68" ht="15.6" thickBot="1" x14ac:dyDescent="0.3">
      <c r="A474" s="25" t="s">
        <v>304</v>
      </c>
      <c r="B474" s="18" t="s">
        <v>309</v>
      </c>
      <c r="C474" s="3">
        <f>LUGLIO!D474</f>
        <v>0</v>
      </c>
      <c r="D474" s="21">
        <f t="shared" si="19"/>
        <v>0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1">
        <f t="shared" si="20"/>
        <v>0</v>
      </c>
      <c r="BP474" s="9">
        <f t="shared" si="20"/>
        <v>0</v>
      </c>
    </row>
    <row r="475" spans="1:68" ht="15.6" thickBot="1" x14ac:dyDescent="0.3">
      <c r="A475" s="25" t="s">
        <v>305</v>
      </c>
      <c r="B475" s="18" t="s">
        <v>310</v>
      </c>
      <c r="C475" s="3">
        <f>LUGLIO!D475</f>
        <v>0</v>
      </c>
      <c r="D475" s="21">
        <f t="shared" si="19"/>
        <v>0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1">
        <f t="shared" si="20"/>
        <v>0</v>
      </c>
      <c r="BP475" s="9">
        <f t="shared" si="20"/>
        <v>0</v>
      </c>
    </row>
    <row r="476" spans="1:68" ht="15.6" thickBot="1" x14ac:dyDescent="0.3">
      <c r="A476" s="25" t="s">
        <v>306</v>
      </c>
      <c r="B476" s="18" t="s">
        <v>311</v>
      </c>
      <c r="C476" s="3">
        <f>LUGLIO!D476</f>
        <v>0</v>
      </c>
      <c r="D476" s="21">
        <f t="shared" si="19"/>
        <v>0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1">
        <f t="shared" si="20"/>
        <v>0</v>
      </c>
      <c r="BP476" s="9">
        <f t="shared" si="20"/>
        <v>0</v>
      </c>
    </row>
    <row r="477" spans="1:68" ht="16.2" thickBot="1" x14ac:dyDescent="0.35">
      <c r="A477" s="25"/>
      <c r="B477" s="23" t="s">
        <v>318</v>
      </c>
      <c r="C477" s="3">
        <f>LUGLIO!D477</f>
        <v>0</v>
      </c>
      <c r="D477" s="21">
        <f t="shared" si="19"/>
        <v>0</v>
      </c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1">
        <f t="shared" si="20"/>
        <v>0</v>
      </c>
      <c r="BP477" s="9">
        <f t="shared" si="20"/>
        <v>0</v>
      </c>
    </row>
    <row r="478" spans="1:68" ht="15.6" thickBot="1" x14ac:dyDescent="0.3">
      <c r="A478" s="25" t="s">
        <v>797</v>
      </c>
      <c r="B478" s="18" t="s">
        <v>798</v>
      </c>
      <c r="C478" s="3">
        <f>LUGLIO!D478</f>
        <v>0</v>
      </c>
      <c r="D478" s="21">
        <f t="shared" si="19"/>
        <v>0</v>
      </c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1">
        <f t="shared" si="20"/>
        <v>0</v>
      </c>
      <c r="BP478" s="9">
        <f t="shared" si="20"/>
        <v>0</v>
      </c>
    </row>
    <row r="479" spans="1:68" ht="15.6" thickBot="1" x14ac:dyDescent="0.3">
      <c r="A479" s="25" t="s">
        <v>568</v>
      </c>
      <c r="B479" s="18" t="s">
        <v>316</v>
      </c>
      <c r="C479" s="3">
        <f>LUGLIO!D479</f>
        <v>0</v>
      </c>
      <c r="D479" s="21">
        <f t="shared" si="19"/>
        <v>0</v>
      </c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1">
        <f t="shared" si="20"/>
        <v>0</v>
      </c>
      <c r="BP479" s="9">
        <f t="shared" si="20"/>
        <v>0</v>
      </c>
    </row>
    <row r="480" spans="1:68" ht="15.6" thickBot="1" x14ac:dyDescent="0.3">
      <c r="A480" s="25" t="s">
        <v>567</v>
      </c>
      <c r="B480" s="18" t="s">
        <v>317</v>
      </c>
      <c r="C480" s="3">
        <f>LUGLIO!D480</f>
        <v>0</v>
      </c>
      <c r="D480" s="21">
        <f t="shared" si="19"/>
        <v>0</v>
      </c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1">
        <f t="shared" si="20"/>
        <v>0</v>
      </c>
      <c r="BP480" s="9">
        <f t="shared" si="20"/>
        <v>0</v>
      </c>
    </row>
    <row r="481" spans="1:68" ht="15.6" thickBot="1" x14ac:dyDescent="0.3">
      <c r="A481" s="25" t="s">
        <v>709</v>
      </c>
      <c r="B481" s="18" t="s">
        <v>361</v>
      </c>
      <c r="C481" s="3">
        <f>LUGLIO!D481</f>
        <v>0</v>
      </c>
      <c r="D481" s="21">
        <f t="shared" si="19"/>
        <v>0</v>
      </c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1">
        <f t="shared" si="20"/>
        <v>0</v>
      </c>
      <c r="BP481" s="9">
        <f t="shared" si="20"/>
        <v>0</v>
      </c>
    </row>
    <row r="482" spans="1:68" ht="16.2" thickBot="1" x14ac:dyDescent="0.35">
      <c r="A482" s="25"/>
      <c r="B482" s="23" t="s">
        <v>348</v>
      </c>
      <c r="C482" s="3">
        <f>LUGLIO!D482</f>
        <v>0</v>
      </c>
      <c r="D482" s="21">
        <f t="shared" si="19"/>
        <v>0</v>
      </c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1">
        <f t="shared" si="20"/>
        <v>0</v>
      </c>
      <c r="BP482" s="9">
        <f t="shared" si="20"/>
        <v>0</v>
      </c>
    </row>
    <row r="483" spans="1:68" ht="15.6" thickBot="1" x14ac:dyDescent="0.3">
      <c r="A483" s="25" t="s">
        <v>349</v>
      </c>
      <c r="B483" s="18" t="s">
        <v>350</v>
      </c>
      <c r="C483" s="3">
        <f>LUGLIO!D483</f>
        <v>0</v>
      </c>
      <c r="D483" s="21">
        <f t="shared" si="19"/>
        <v>0</v>
      </c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1">
        <f t="shared" si="20"/>
        <v>0</v>
      </c>
      <c r="BP483" s="9">
        <f t="shared" si="20"/>
        <v>0</v>
      </c>
    </row>
    <row r="484" spans="1:68" ht="15.6" thickBot="1" x14ac:dyDescent="0.3">
      <c r="A484" s="25" t="s">
        <v>351</v>
      </c>
      <c r="B484" s="18" t="s">
        <v>352</v>
      </c>
      <c r="C484" s="3">
        <f>LUGLIO!D484</f>
        <v>0</v>
      </c>
      <c r="D484" s="21">
        <f t="shared" si="19"/>
        <v>0</v>
      </c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1">
        <f t="shared" si="20"/>
        <v>0</v>
      </c>
      <c r="BP484" s="9">
        <f t="shared" si="20"/>
        <v>0</v>
      </c>
    </row>
    <row r="485" spans="1:68" ht="16.2" thickBot="1" x14ac:dyDescent="0.35">
      <c r="A485" s="25"/>
      <c r="B485" s="23" t="s">
        <v>364</v>
      </c>
      <c r="C485" s="3">
        <f>LUGLIO!D485</f>
        <v>0</v>
      </c>
      <c r="D485" s="21">
        <f t="shared" si="19"/>
        <v>0</v>
      </c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1">
        <f t="shared" si="20"/>
        <v>0</v>
      </c>
      <c r="BP485" s="9">
        <f t="shared" si="20"/>
        <v>0</v>
      </c>
    </row>
    <row r="486" spans="1:68" ht="15.6" thickBot="1" x14ac:dyDescent="0.3">
      <c r="A486" s="25" t="s">
        <v>779</v>
      </c>
      <c r="B486" s="18" t="s">
        <v>795</v>
      </c>
      <c r="C486" s="3">
        <f>LUGLIO!D486</f>
        <v>0</v>
      </c>
      <c r="D486" s="21">
        <f t="shared" si="19"/>
        <v>0</v>
      </c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1">
        <f t="shared" si="20"/>
        <v>0</v>
      </c>
      <c r="BP486" s="9">
        <f t="shared" si="20"/>
        <v>0</v>
      </c>
    </row>
    <row r="487" spans="1:68" ht="15.6" thickBot="1" x14ac:dyDescent="0.3">
      <c r="A487" s="25" t="s">
        <v>824</v>
      </c>
      <c r="B487" s="18" t="s">
        <v>763</v>
      </c>
      <c r="C487" s="3">
        <f>LUGLIO!D487</f>
        <v>0</v>
      </c>
      <c r="D487" s="21">
        <f t="shared" si="19"/>
        <v>0</v>
      </c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1">
        <f t="shared" si="20"/>
        <v>0</v>
      </c>
      <c r="BP487" s="9">
        <f t="shared" si="20"/>
        <v>0</v>
      </c>
    </row>
    <row r="488" spans="1:68" ht="15.6" thickBot="1" x14ac:dyDescent="0.3">
      <c r="A488" s="25" t="s">
        <v>710</v>
      </c>
      <c r="B488" s="18" t="s">
        <v>374</v>
      </c>
      <c r="C488" s="3">
        <f>LUGLIO!D488</f>
        <v>0</v>
      </c>
      <c r="D488" s="21">
        <f t="shared" si="19"/>
        <v>0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1">
        <f t="shared" si="20"/>
        <v>0</v>
      </c>
      <c r="BP488" s="9">
        <f t="shared" si="20"/>
        <v>0</v>
      </c>
    </row>
    <row r="489" spans="1:68" ht="15.6" thickBot="1" x14ac:dyDescent="0.3">
      <c r="A489" s="25" t="s">
        <v>764</v>
      </c>
      <c r="B489" s="18" t="s">
        <v>375</v>
      </c>
      <c r="C489" s="3">
        <f>LUGLIO!D489</f>
        <v>0</v>
      </c>
      <c r="D489" s="21">
        <f t="shared" si="19"/>
        <v>0</v>
      </c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1">
        <f t="shared" si="20"/>
        <v>0</v>
      </c>
      <c r="BP489" s="9">
        <f t="shared" si="20"/>
        <v>0</v>
      </c>
    </row>
    <row r="490" spans="1:68" ht="15.6" thickBot="1" x14ac:dyDescent="0.3">
      <c r="A490" s="25" t="s">
        <v>765</v>
      </c>
      <c r="B490" s="18" t="s">
        <v>376</v>
      </c>
      <c r="C490" s="3">
        <f>LUGLIO!D490</f>
        <v>0</v>
      </c>
      <c r="D490" s="21">
        <f t="shared" si="19"/>
        <v>0</v>
      </c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1">
        <f t="shared" si="20"/>
        <v>0</v>
      </c>
      <c r="BP490" s="9">
        <f t="shared" si="20"/>
        <v>0</v>
      </c>
    </row>
    <row r="491" spans="1:68" ht="15.6" thickBot="1" x14ac:dyDescent="0.3">
      <c r="A491" s="25" t="s">
        <v>766</v>
      </c>
      <c r="B491" s="18" t="s">
        <v>377</v>
      </c>
      <c r="C491" s="3">
        <f>LUGLIO!D491</f>
        <v>0</v>
      </c>
      <c r="D491" s="21">
        <f t="shared" si="19"/>
        <v>0</v>
      </c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1">
        <f t="shared" si="20"/>
        <v>0</v>
      </c>
      <c r="BP491" s="9">
        <f t="shared" si="20"/>
        <v>0</v>
      </c>
    </row>
    <row r="492" spans="1:68" ht="15.6" thickBot="1" x14ac:dyDescent="0.3">
      <c r="A492" s="25" t="s">
        <v>767</v>
      </c>
      <c r="B492" s="18" t="s">
        <v>393</v>
      </c>
      <c r="C492" s="3">
        <f>LUGLIO!D492</f>
        <v>0</v>
      </c>
      <c r="D492" s="21">
        <f t="shared" si="19"/>
        <v>0</v>
      </c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1">
        <f t="shared" si="20"/>
        <v>0</v>
      </c>
      <c r="BP492" s="9">
        <f t="shared" si="20"/>
        <v>0</v>
      </c>
    </row>
    <row r="493" spans="1:68" ht="15.6" thickBot="1" x14ac:dyDescent="0.3">
      <c r="A493" s="25" t="s">
        <v>768</v>
      </c>
      <c r="B493" s="18" t="s">
        <v>474</v>
      </c>
      <c r="C493" s="3">
        <f>LUGLIO!D493</f>
        <v>0</v>
      </c>
      <c r="D493" s="21">
        <f t="shared" si="19"/>
        <v>0</v>
      </c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1">
        <f t="shared" si="20"/>
        <v>0</v>
      </c>
      <c r="BP493" s="9">
        <f t="shared" si="20"/>
        <v>0</v>
      </c>
    </row>
    <row r="494" spans="1:68" ht="15.6" thickBot="1" x14ac:dyDescent="0.3">
      <c r="A494" s="25" t="s">
        <v>757</v>
      </c>
      <c r="B494" s="18" t="s">
        <v>758</v>
      </c>
      <c r="C494" s="3">
        <f>LUGLIO!D494</f>
        <v>0</v>
      </c>
      <c r="D494" s="21">
        <f t="shared" si="19"/>
        <v>0</v>
      </c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1">
        <f t="shared" si="20"/>
        <v>0</v>
      </c>
      <c r="BP494" s="9">
        <f t="shared" si="20"/>
        <v>0</v>
      </c>
    </row>
    <row r="495" spans="1:68" ht="15.6" thickBot="1" x14ac:dyDescent="0.3">
      <c r="A495" s="25" t="s">
        <v>812</v>
      </c>
      <c r="B495" s="18" t="s">
        <v>365</v>
      </c>
      <c r="C495" s="3">
        <f>LUGLIO!D495</f>
        <v>0</v>
      </c>
      <c r="D495" s="21">
        <f t="shared" si="19"/>
        <v>0</v>
      </c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1">
        <f t="shared" si="20"/>
        <v>0</v>
      </c>
      <c r="BP495" s="9">
        <f t="shared" si="20"/>
        <v>0</v>
      </c>
    </row>
    <row r="496" spans="1:68" ht="15.6" thickBot="1" x14ac:dyDescent="0.3">
      <c r="A496" s="25" t="s">
        <v>576</v>
      </c>
      <c r="B496" s="18" t="s">
        <v>366</v>
      </c>
      <c r="C496" s="3">
        <f>LUGLIO!D496</f>
        <v>0</v>
      </c>
      <c r="D496" s="21">
        <f t="shared" si="19"/>
        <v>0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1">
        <f t="shared" si="20"/>
        <v>0</v>
      </c>
      <c r="BP496" s="9">
        <f t="shared" si="20"/>
        <v>0</v>
      </c>
    </row>
    <row r="497" spans="1:68" ht="16.2" thickBot="1" x14ac:dyDescent="0.35">
      <c r="A497" s="25"/>
      <c r="B497" s="23" t="s">
        <v>378</v>
      </c>
      <c r="C497" s="3">
        <f>LUGLIO!D497</f>
        <v>0</v>
      </c>
      <c r="D497" s="21">
        <f t="shared" si="19"/>
        <v>0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1">
        <f t="shared" si="20"/>
        <v>0</v>
      </c>
      <c r="BP497" s="9">
        <f t="shared" si="20"/>
        <v>0</v>
      </c>
    </row>
    <row r="498" spans="1:68" ht="15.6" thickBot="1" x14ac:dyDescent="0.3">
      <c r="A498" s="25" t="s">
        <v>813</v>
      </c>
      <c r="B498" s="18" t="s">
        <v>799</v>
      </c>
      <c r="C498" s="3">
        <f>LUGLIO!D498</f>
        <v>0</v>
      </c>
      <c r="D498" s="21">
        <f t="shared" si="19"/>
        <v>0</v>
      </c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1">
        <f t="shared" si="20"/>
        <v>0</v>
      </c>
      <c r="BP498" s="9">
        <f t="shared" si="20"/>
        <v>0</v>
      </c>
    </row>
    <row r="499" spans="1:68" ht="15.6" thickBot="1" x14ac:dyDescent="0.3">
      <c r="A499" s="25" t="s">
        <v>828</v>
      </c>
      <c r="B499" s="18" t="s">
        <v>796</v>
      </c>
      <c r="C499" s="3">
        <f>LUGLIO!D499</f>
        <v>0</v>
      </c>
      <c r="D499" s="21">
        <f t="shared" si="19"/>
        <v>0</v>
      </c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1">
        <f t="shared" si="20"/>
        <v>0</v>
      </c>
      <c r="BP499" s="9">
        <f t="shared" si="20"/>
        <v>0</v>
      </c>
    </row>
    <row r="500" spans="1:68" ht="15.6" thickBot="1" x14ac:dyDescent="0.3">
      <c r="A500" s="25" t="s">
        <v>820</v>
      </c>
      <c r="B500" s="18" t="s">
        <v>821</v>
      </c>
      <c r="C500" s="3">
        <f>LUGLIO!D500</f>
        <v>0</v>
      </c>
      <c r="D500" s="21">
        <f t="shared" si="19"/>
        <v>0</v>
      </c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1">
        <f t="shared" si="20"/>
        <v>0</v>
      </c>
      <c r="BP500" s="9">
        <f t="shared" si="20"/>
        <v>0</v>
      </c>
    </row>
    <row r="501" spans="1:68" ht="15.6" thickBot="1" x14ac:dyDescent="0.3">
      <c r="A501" s="18"/>
      <c r="B501" s="18" t="s">
        <v>475</v>
      </c>
      <c r="C501" s="3">
        <f>LUGLIO!D501</f>
        <v>0</v>
      </c>
      <c r="D501" s="21">
        <f t="shared" si="19"/>
        <v>0</v>
      </c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1">
        <f t="shared" si="20"/>
        <v>0</v>
      </c>
      <c r="BP501" s="9">
        <f t="shared" si="20"/>
        <v>0</v>
      </c>
    </row>
    <row r="502" spans="1:68" ht="15.6" thickBot="1" x14ac:dyDescent="0.3">
      <c r="A502" s="18"/>
      <c r="B502" s="18" t="s">
        <v>478</v>
      </c>
      <c r="C502" s="3">
        <f>LUGLIO!D502</f>
        <v>0</v>
      </c>
      <c r="D502" s="21">
        <f t="shared" si="19"/>
        <v>0</v>
      </c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1">
        <f t="shared" si="20"/>
        <v>0</v>
      </c>
      <c r="BP502" s="9">
        <f t="shared" si="20"/>
        <v>0</v>
      </c>
    </row>
    <row r="503" spans="1:68" ht="15.6" thickBot="1" x14ac:dyDescent="0.3">
      <c r="A503" s="25" t="s">
        <v>640</v>
      </c>
      <c r="B503" s="18" t="s">
        <v>641</v>
      </c>
      <c r="C503" s="3">
        <f>LUGLIO!D503</f>
        <v>0</v>
      </c>
      <c r="D503" s="21">
        <f t="shared" si="19"/>
        <v>0</v>
      </c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1">
        <f t="shared" si="20"/>
        <v>0</v>
      </c>
      <c r="BP503" s="9">
        <f t="shared" si="20"/>
        <v>0</v>
      </c>
    </row>
    <row r="504" spans="1:68" ht="16.2" thickBot="1" x14ac:dyDescent="0.35">
      <c r="A504" s="25"/>
      <c r="B504" s="23" t="s">
        <v>388</v>
      </c>
      <c r="C504" s="3">
        <f>LUGLIO!D504</f>
        <v>0</v>
      </c>
      <c r="D504" s="21">
        <f t="shared" si="19"/>
        <v>0</v>
      </c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1">
        <f t="shared" si="20"/>
        <v>0</v>
      </c>
      <c r="BP504" s="9">
        <f t="shared" si="20"/>
        <v>0</v>
      </c>
    </row>
    <row r="505" spans="1:68" ht="15.6" thickBot="1" x14ac:dyDescent="0.3">
      <c r="A505" s="25"/>
      <c r="B505" s="18" t="s">
        <v>394</v>
      </c>
      <c r="C505" s="3">
        <f>LUGLIO!D505</f>
        <v>0</v>
      </c>
      <c r="D505" s="21">
        <f t="shared" si="19"/>
        <v>0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1">
        <f t="shared" si="20"/>
        <v>0</v>
      </c>
      <c r="BP505" s="9">
        <f t="shared" si="20"/>
        <v>0</v>
      </c>
    </row>
    <row r="506" spans="1:68" ht="15.6" thickBot="1" x14ac:dyDescent="0.3">
      <c r="A506" s="25"/>
      <c r="B506" s="18" t="s">
        <v>395</v>
      </c>
      <c r="C506" s="3">
        <f>LUGLIO!D506</f>
        <v>0</v>
      </c>
      <c r="D506" s="21">
        <f t="shared" si="19"/>
        <v>0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1">
        <f t="shared" si="20"/>
        <v>0</v>
      </c>
      <c r="BP506" s="9">
        <f t="shared" si="20"/>
        <v>0</v>
      </c>
    </row>
    <row r="507" spans="1:68" ht="15.6" thickBot="1" x14ac:dyDescent="0.3">
      <c r="A507" s="25"/>
      <c r="B507" s="18" t="s">
        <v>396</v>
      </c>
      <c r="C507" s="3">
        <f>LUGLIO!D507</f>
        <v>0</v>
      </c>
      <c r="D507" s="21">
        <f t="shared" si="19"/>
        <v>0</v>
      </c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1">
        <f t="shared" si="20"/>
        <v>0</v>
      </c>
      <c r="BP507" s="9">
        <f t="shared" si="20"/>
        <v>0</v>
      </c>
    </row>
    <row r="508" spans="1:68" ht="15.6" thickBot="1" x14ac:dyDescent="0.3">
      <c r="A508" s="25"/>
      <c r="B508" s="18" t="s">
        <v>397</v>
      </c>
      <c r="C508" s="3">
        <f>LUGLIO!D508</f>
        <v>0</v>
      </c>
      <c r="D508" s="21">
        <f t="shared" si="19"/>
        <v>0</v>
      </c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1">
        <f t="shared" si="20"/>
        <v>0</v>
      </c>
      <c r="BP508" s="9">
        <f t="shared" si="20"/>
        <v>0</v>
      </c>
    </row>
    <row r="509" spans="1:68" ht="16.2" thickBot="1" x14ac:dyDescent="0.35">
      <c r="A509" s="25"/>
      <c r="B509" s="23" t="s">
        <v>389</v>
      </c>
      <c r="C509" s="3">
        <f>LUGLIO!D509</f>
        <v>0</v>
      </c>
      <c r="D509" s="21">
        <f t="shared" si="19"/>
        <v>0</v>
      </c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1">
        <f t="shared" si="20"/>
        <v>0</v>
      </c>
      <c r="BP509" s="9">
        <f t="shared" si="20"/>
        <v>0</v>
      </c>
    </row>
    <row r="510" spans="1:68" ht="15.6" thickBot="1" x14ac:dyDescent="0.3">
      <c r="A510" s="25" t="s">
        <v>711</v>
      </c>
      <c r="B510" s="18" t="s">
        <v>473</v>
      </c>
      <c r="C510" s="3">
        <f>LUGLIO!D510</f>
        <v>0</v>
      </c>
      <c r="D510" s="21">
        <f t="shared" si="19"/>
        <v>0</v>
      </c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1">
        <f t="shared" si="20"/>
        <v>0</v>
      </c>
      <c r="BP510" s="9">
        <f t="shared" si="20"/>
        <v>0</v>
      </c>
    </row>
    <row r="511" spans="1:68" ht="14.25" customHeight="1" thickBot="1" x14ac:dyDescent="0.35">
      <c r="A511" s="25"/>
      <c r="B511" s="23" t="s">
        <v>390</v>
      </c>
      <c r="C511" s="3">
        <f>LUGLIO!D511</f>
        <v>0</v>
      </c>
      <c r="D511" s="21">
        <f t="shared" si="19"/>
        <v>0</v>
      </c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1">
        <f t="shared" si="20"/>
        <v>0</v>
      </c>
      <c r="BP511" s="9">
        <f t="shared" si="20"/>
        <v>0</v>
      </c>
    </row>
    <row r="512" spans="1:68" ht="15.6" thickBot="1" x14ac:dyDescent="0.3">
      <c r="A512" s="25" t="s">
        <v>745</v>
      </c>
      <c r="B512" s="18" t="s">
        <v>391</v>
      </c>
      <c r="C512" s="3">
        <f>LUGLIO!D512</f>
        <v>0</v>
      </c>
      <c r="D512" s="21">
        <f t="shared" si="19"/>
        <v>0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1">
        <f t="shared" si="20"/>
        <v>0</v>
      </c>
      <c r="BP512" s="9">
        <f t="shared" si="20"/>
        <v>0</v>
      </c>
    </row>
    <row r="513" spans="1:68" ht="15.6" thickBot="1" x14ac:dyDescent="0.3">
      <c r="A513" s="25" t="s">
        <v>746</v>
      </c>
      <c r="B513" s="18" t="s">
        <v>392</v>
      </c>
      <c r="C513" s="3">
        <f>LUGLIO!D513</f>
        <v>0</v>
      </c>
      <c r="D513" s="21">
        <f t="shared" si="19"/>
        <v>0</v>
      </c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1">
        <f t="shared" si="20"/>
        <v>0</v>
      </c>
      <c r="BP513" s="9">
        <f t="shared" si="20"/>
        <v>0</v>
      </c>
    </row>
    <row r="514" spans="1:68" ht="15.6" thickBot="1" x14ac:dyDescent="0.3">
      <c r="A514" s="25" t="s">
        <v>814</v>
      </c>
      <c r="B514" s="18" t="s">
        <v>402</v>
      </c>
      <c r="C514" s="3">
        <f>LUGLIO!D514</f>
        <v>0</v>
      </c>
      <c r="D514" s="21">
        <f t="shared" si="19"/>
        <v>0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1">
        <f t="shared" si="20"/>
        <v>0</v>
      </c>
      <c r="BP514" s="9">
        <f t="shared" si="20"/>
        <v>0</v>
      </c>
    </row>
    <row r="515" spans="1:68" ht="15.6" thickBot="1" x14ac:dyDescent="0.3">
      <c r="A515" s="25" t="s">
        <v>815</v>
      </c>
      <c r="B515" s="18" t="s">
        <v>401</v>
      </c>
      <c r="C515" s="3">
        <f>LUGLIO!D515</f>
        <v>0</v>
      </c>
      <c r="D515" s="21">
        <f t="shared" si="19"/>
        <v>0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1">
        <f t="shared" si="20"/>
        <v>0</v>
      </c>
      <c r="BP515" s="9">
        <f t="shared" si="20"/>
        <v>0</v>
      </c>
    </row>
    <row r="516" spans="1:68" ht="15.6" thickBot="1" x14ac:dyDescent="0.3">
      <c r="A516" s="25" t="s">
        <v>817</v>
      </c>
      <c r="B516" s="18" t="s">
        <v>400</v>
      </c>
      <c r="C516" s="3">
        <f>LUGLIO!D516</f>
        <v>0</v>
      </c>
      <c r="D516" s="21">
        <f t="shared" si="19"/>
        <v>0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1">
        <f t="shared" si="20"/>
        <v>0</v>
      </c>
      <c r="BP516" s="9">
        <f t="shared" si="20"/>
        <v>0</v>
      </c>
    </row>
    <row r="517" spans="1:68" ht="15.6" thickBot="1" x14ac:dyDescent="0.3">
      <c r="A517" s="25" t="s">
        <v>816</v>
      </c>
      <c r="B517" s="18" t="s">
        <v>399</v>
      </c>
      <c r="C517" s="3">
        <f>LUGLIO!D517</f>
        <v>0</v>
      </c>
      <c r="D517" s="21">
        <f t="shared" si="19"/>
        <v>0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1">
        <f t="shared" si="20"/>
        <v>0</v>
      </c>
      <c r="BP517" s="9">
        <f t="shared" si="20"/>
        <v>0</v>
      </c>
    </row>
    <row r="518" spans="1:68" ht="16.2" thickBot="1" x14ac:dyDescent="0.35">
      <c r="A518" s="29"/>
      <c r="B518" s="30" t="s">
        <v>424</v>
      </c>
      <c r="C518" s="3">
        <f>LUGLIO!D518</f>
        <v>0</v>
      </c>
      <c r="D518" s="21">
        <f t="shared" si="19"/>
        <v>0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1">
        <f t="shared" si="20"/>
        <v>0</v>
      </c>
      <c r="BP518" s="9">
        <f t="shared" si="20"/>
        <v>0</v>
      </c>
    </row>
    <row r="519" spans="1:68" ht="15.6" thickBot="1" x14ac:dyDescent="0.3">
      <c r="A519" s="31">
        <v>12259</v>
      </c>
      <c r="B519" s="18" t="s">
        <v>425</v>
      </c>
      <c r="C519" s="3">
        <f>LUGLIO!D519</f>
        <v>0</v>
      </c>
      <c r="D519" s="21">
        <f t="shared" si="19"/>
        <v>0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1">
        <f t="shared" si="20"/>
        <v>0</v>
      </c>
      <c r="BP519" s="9">
        <f t="shared" si="20"/>
        <v>0</v>
      </c>
    </row>
    <row r="520" spans="1:68" ht="15.6" thickBot="1" x14ac:dyDescent="0.3">
      <c r="A520" s="31">
        <v>14175</v>
      </c>
      <c r="B520" s="18" t="s">
        <v>426</v>
      </c>
      <c r="C520" s="3">
        <f>LUGLIO!D520</f>
        <v>0</v>
      </c>
      <c r="D520" s="21">
        <f t="shared" si="19"/>
        <v>0</v>
      </c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1">
        <f t="shared" si="20"/>
        <v>0</v>
      </c>
      <c r="BP520" s="9">
        <f t="shared" si="20"/>
        <v>0</v>
      </c>
    </row>
    <row r="521" spans="1:68" ht="16.2" thickBot="1" x14ac:dyDescent="0.35">
      <c r="A521" s="29"/>
      <c r="B521" s="30" t="s">
        <v>444</v>
      </c>
      <c r="C521" s="3">
        <f>LUGLIO!D521</f>
        <v>0</v>
      </c>
      <c r="D521" s="21">
        <f t="shared" si="19"/>
        <v>0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1">
        <f t="shared" si="20"/>
        <v>0</v>
      </c>
      <c r="BP521" s="9">
        <f t="shared" si="20"/>
        <v>0</v>
      </c>
    </row>
    <row r="522" spans="1:68" ht="15.6" thickBot="1" x14ac:dyDescent="0.3">
      <c r="A522" s="25"/>
      <c r="B522" s="18" t="s">
        <v>445</v>
      </c>
      <c r="C522" s="3">
        <f>LUGLIO!D522</f>
        <v>0</v>
      </c>
      <c r="D522" s="21">
        <f t="shared" si="19"/>
        <v>0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1">
        <f t="shared" si="20"/>
        <v>0</v>
      </c>
      <c r="BP522" s="9">
        <f t="shared" si="20"/>
        <v>0</v>
      </c>
    </row>
    <row r="523" spans="1:68" ht="15.6" thickBot="1" x14ac:dyDescent="0.3">
      <c r="A523" s="25"/>
      <c r="B523" s="18" t="s">
        <v>446</v>
      </c>
      <c r="C523" s="3">
        <f>LUGLIO!D523</f>
        <v>0</v>
      </c>
      <c r="D523" s="21">
        <f t="shared" si="19"/>
        <v>0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1">
        <f t="shared" si="20"/>
        <v>0</v>
      </c>
      <c r="BP523" s="9">
        <f t="shared" si="20"/>
        <v>0</v>
      </c>
    </row>
    <row r="524" spans="1:68" ht="15.6" thickBot="1" x14ac:dyDescent="0.3">
      <c r="A524" s="25"/>
      <c r="B524" s="18" t="s">
        <v>447</v>
      </c>
      <c r="C524" s="3">
        <f>LUGLIO!D524</f>
        <v>0</v>
      </c>
      <c r="D524" s="21">
        <f t="shared" si="19"/>
        <v>0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1">
        <f t="shared" si="20"/>
        <v>0</v>
      </c>
      <c r="BP524" s="9">
        <f t="shared" si="20"/>
        <v>0</v>
      </c>
    </row>
    <row r="525" spans="1:68" ht="15.6" thickBot="1" x14ac:dyDescent="0.3">
      <c r="A525" s="25"/>
      <c r="B525" s="18" t="s">
        <v>448</v>
      </c>
      <c r="C525" s="3">
        <f>LUGLIO!D525</f>
        <v>0</v>
      </c>
      <c r="D525" s="21">
        <f t="shared" si="19"/>
        <v>0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1">
        <f t="shared" si="20"/>
        <v>0</v>
      </c>
      <c r="BP525" s="9">
        <f t="shared" si="20"/>
        <v>0</v>
      </c>
    </row>
    <row r="526" spans="1:68" ht="16.2" thickBot="1" x14ac:dyDescent="0.35">
      <c r="A526" s="28"/>
      <c r="B526" s="23" t="s">
        <v>471</v>
      </c>
      <c r="C526" s="3">
        <f>LUGLIO!D526</f>
        <v>0</v>
      </c>
      <c r="D526" s="21">
        <f t="shared" si="19"/>
        <v>0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1">
        <f t="shared" si="20"/>
        <v>0</v>
      </c>
      <c r="BP526" s="9">
        <f t="shared" si="20"/>
        <v>0</v>
      </c>
    </row>
    <row r="527" spans="1:68" ht="15.6" thickBot="1" x14ac:dyDescent="0.3">
      <c r="A527" s="28" t="s">
        <v>596</v>
      </c>
      <c r="B527" s="18" t="s">
        <v>591</v>
      </c>
      <c r="C527" s="3">
        <f>LUGLIO!D527</f>
        <v>0</v>
      </c>
      <c r="D527" s="21">
        <f t="shared" si="19"/>
        <v>0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1">
        <f t="shared" si="20"/>
        <v>0</v>
      </c>
      <c r="BP527" s="9">
        <f t="shared" si="20"/>
        <v>0</v>
      </c>
    </row>
    <row r="528" spans="1:68" ht="15.6" thickBot="1" x14ac:dyDescent="0.3">
      <c r="A528" s="28" t="s">
        <v>621</v>
      </c>
      <c r="B528" s="18" t="s">
        <v>592</v>
      </c>
      <c r="C528" s="3">
        <f>LUGLIO!D528</f>
        <v>0</v>
      </c>
      <c r="D528" s="21">
        <f t="shared" si="19"/>
        <v>0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1">
        <f t="shared" si="20"/>
        <v>0</v>
      </c>
      <c r="BP528" s="9">
        <f t="shared" si="20"/>
        <v>0</v>
      </c>
    </row>
    <row r="529" spans="1:68" ht="15.6" thickBot="1" x14ac:dyDescent="0.3">
      <c r="A529" s="28" t="s">
        <v>613</v>
      </c>
      <c r="B529" s="18" t="s">
        <v>593</v>
      </c>
      <c r="C529" s="3">
        <f>LUGLIO!D529</f>
        <v>0</v>
      </c>
      <c r="D529" s="21">
        <f t="shared" si="19"/>
        <v>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1">
        <f t="shared" si="20"/>
        <v>0</v>
      </c>
      <c r="BP529" s="9">
        <f t="shared" si="20"/>
        <v>0</v>
      </c>
    </row>
    <row r="530" spans="1:68" ht="15.6" thickBot="1" x14ac:dyDescent="0.3">
      <c r="A530" s="28" t="s">
        <v>629</v>
      </c>
      <c r="B530" s="18" t="s">
        <v>594</v>
      </c>
      <c r="C530" s="3">
        <f>LUGLIO!D530</f>
        <v>0</v>
      </c>
      <c r="D530" s="21">
        <f t="shared" si="19"/>
        <v>0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1">
        <f t="shared" si="20"/>
        <v>0</v>
      </c>
      <c r="BP530" s="9">
        <f t="shared" si="20"/>
        <v>0</v>
      </c>
    </row>
    <row r="531" spans="1:68" ht="15.6" thickBot="1" x14ac:dyDescent="0.3">
      <c r="A531" s="28" t="s">
        <v>623</v>
      </c>
      <c r="B531" s="18" t="s">
        <v>546</v>
      </c>
      <c r="C531" s="3">
        <f>LUGLIO!D531</f>
        <v>0</v>
      </c>
      <c r="D531" s="21">
        <f t="shared" si="19"/>
        <v>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1">
        <f t="shared" si="20"/>
        <v>0</v>
      </c>
      <c r="BP531" s="9">
        <f t="shared" si="20"/>
        <v>0</v>
      </c>
    </row>
    <row r="532" spans="1:68" ht="15.6" thickBot="1" x14ac:dyDescent="0.3">
      <c r="A532" s="28" t="s">
        <v>602</v>
      </c>
      <c r="B532" s="18" t="s">
        <v>547</v>
      </c>
      <c r="C532" s="3">
        <f>LUGLIO!D532</f>
        <v>0</v>
      </c>
      <c r="D532" s="21">
        <f t="shared" ref="D532:D569" si="21">C532+SUM(E532:BN532)</f>
        <v>0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1">
        <f t="shared" si="20"/>
        <v>0</v>
      </c>
      <c r="BP532" s="9">
        <f t="shared" si="20"/>
        <v>0</v>
      </c>
    </row>
    <row r="533" spans="1:68" ht="15.6" thickBot="1" x14ac:dyDescent="0.3">
      <c r="A533" s="28" t="s">
        <v>603</v>
      </c>
      <c r="B533" s="18" t="s">
        <v>548</v>
      </c>
      <c r="C533" s="3">
        <f>LUGLIO!D533</f>
        <v>0</v>
      </c>
      <c r="D533" s="21">
        <f t="shared" si="21"/>
        <v>0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1">
        <f t="shared" ref="BO533:BP569" si="22">BM533+BG533+BE533+BC533+BA533+AY533+AW533+AU533+AS533+AQ533+AO533+AM533+AK533+AI533+AG533+AE533+AC533+AA533+Y533+W533+U533+S533+Q533+O533+M533+K533+I533+G533+E533</f>
        <v>0</v>
      </c>
      <c r="BP533" s="9">
        <f t="shared" si="22"/>
        <v>0</v>
      </c>
    </row>
    <row r="534" spans="1:68" ht="15.6" thickBot="1" x14ac:dyDescent="0.3">
      <c r="A534" s="28" t="s">
        <v>628</v>
      </c>
      <c r="B534" s="18" t="s">
        <v>549</v>
      </c>
      <c r="C534" s="3">
        <f>LUGLIO!D534</f>
        <v>0</v>
      </c>
      <c r="D534" s="21">
        <f t="shared" si="21"/>
        <v>0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1">
        <f t="shared" si="22"/>
        <v>0</v>
      </c>
      <c r="BP534" s="9">
        <f t="shared" si="22"/>
        <v>0</v>
      </c>
    </row>
    <row r="535" spans="1:68" ht="16.2" thickBot="1" x14ac:dyDescent="0.35">
      <c r="A535" s="25"/>
      <c r="B535" s="20" t="s">
        <v>499</v>
      </c>
      <c r="C535" s="3">
        <f>LUGLIO!D535</f>
        <v>0</v>
      </c>
      <c r="D535" s="21">
        <f t="shared" si="21"/>
        <v>0</v>
      </c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1">
        <f t="shared" si="22"/>
        <v>0</v>
      </c>
      <c r="BP535" s="9">
        <f t="shared" si="22"/>
        <v>0</v>
      </c>
    </row>
    <row r="536" spans="1:68" ht="15.6" thickBot="1" x14ac:dyDescent="0.3">
      <c r="A536" s="25" t="s">
        <v>741</v>
      </c>
      <c r="B536" s="18" t="s">
        <v>500</v>
      </c>
      <c r="C536" s="3">
        <f>LUGLIO!D536</f>
        <v>0</v>
      </c>
      <c r="D536" s="21">
        <f t="shared" si="21"/>
        <v>0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1">
        <f t="shared" si="22"/>
        <v>0</v>
      </c>
      <c r="BP536" s="9">
        <f t="shared" si="22"/>
        <v>0</v>
      </c>
    </row>
    <row r="537" spans="1:68" ht="15.6" thickBot="1" x14ac:dyDescent="0.3">
      <c r="A537" s="25" t="s">
        <v>749</v>
      </c>
      <c r="B537" s="18" t="s">
        <v>501</v>
      </c>
      <c r="C537" s="3">
        <f>LUGLIO!D537</f>
        <v>0</v>
      </c>
      <c r="D537" s="21">
        <f t="shared" si="21"/>
        <v>0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1">
        <f t="shared" si="22"/>
        <v>0</v>
      </c>
      <c r="BP537" s="9">
        <f t="shared" si="22"/>
        <v>0</v>
      </c>
    </row>
    <row r="538" spans="1:68" ht="15.6" thickBot="1" x14ac:dyDescent="0.3">
      <c r="A538" s="25" t="s">
        <v>742</v>
      </c>
      <c r="B538" s="18" t="s">
        <v>502</v>
      </c>
      <c r="C538" s="3">
        <f>LUGLIO!D538</f>
        <v>0</v>
      </c>
      <c r="D538" s="21">
        <f t="shared" si="21"/>
        <v>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1">
        <f t="shared" si="22"/>
        <v>0</v>
      </c>
      <c r="BP538" s="9">
        <f t="shared" si="22"/>
        <v>0</v>
      </c>
    </row>
    <row r="539" spans="1:68" ht="16.2" thickBot="1" x14ac:dyDescent="0.35">
      <c r="A539" s="18"/>
      <c r="B539" s="20" t="s">
        <v>515</v>
      </c>
      <c r="C539" s="3">
        <f>LUGLIO!D539</f>
        <v>0</v>
      </c>
      <c r="D539" s="21">
        <f t="shared" si="21"/>
        <v>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1">
        <f t="shared" si="22"/>
        <v>0</v>
      </c>
      <c r="BP539" s="9">
        <f t="shared" si="22"/>
        <v>0</v>
      </c>
    </row>
    <row r="540" spans="1:68" ht="15.6" thickBot="1" x14ac:dyDescent="0.3">
      <c r="A540" s="28" t="s">
        <v>739</v>
      </c>
      <c r="B540" s="18" t="s">
        <v>516</v>
      </c>
      <c r="C540" s="3">
        <f>LUGLIO!D540</f>
        <v>0</v>
      </c>
      <c r="D540" s="21">
        <f t="shared" si="21"/>
        <v>0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1">
        <f t="shared" si="22"/>
        <v>0</v>
      </c>
      <c r="BP540" s="9">
        <f t="shared" si="22"/>
        <v>0</v>
      </c>
    </row>
    <row r="541" spans="1:68" ht="15.6" thickBot="1" x14ac:dyDescent="0.3">
      <c r="A541" s="25" t="s">
        <v>542</v>
      </c>
      <c r="B541" s="18" t="s">
        <v>517</v>
      </c>
      <c r="C541" s="3">
        <f>LUGLIO!D541</f>
        <v>0</v>
      </c>
      <c r="D541" s="21">
        <f t="shared" si="21"/>
        <v>0</v>
      </c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1">
        <f t="shared" si="22"/>
        <v>0</v>
      </c>
      <c r="BP541" s="9">
        <f t="shared" si="22"/>
        <v>0</v>
      </c>
    </row>
    <row r="542" spans="1:68" ht="15.6" thickBot="1" x14ac:dyDescent="0.3">
      <c r="A542" s="28" t="s">
        <v>738</v>
      </c>
      <c r="B542" s="18" t="s">
        <v>518</v>
      </c>
      <c r="C542" s="3">
        <f>LUGLIO!D542</f>
        <v>0</v>
      </c>
      <c r="D542" s="21">
        <f t="shared" si="21"/>
        <v>0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1">
        <f t="shared" si="22"/>
        <v>0</v>
      </c>
      <c r="BP542" s="9">
        <f t="shared" si="22"/>
        <v>0</v>
      </c>
    </row>
    <row r="543" spans="1:68" ht="16.2" thickBot="1" x14ac:dyDescent="0.35">
      <c r="A543" s="25"/>
      <c r="B543" s="23" t="s">
        <v>526</v>
      </c>
      <c r="C543" s="3">
        <f>LUGLIO!D543</f>
        <v>0</v>
      </c>
      <c r="D543" s="21">
        <f t="shared" si="21"/>
        <v>0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1">
        <f t="shared" si="22"/>
        <v>0</v>
      </c>
      <c r="BP543" s="9">
        <f t="shared" si="22"/>
        <v>0</v>
      </c>
    </row>
    <row r="544" spans="1:68" ht="15.6" thickBot="1" x14ac:dyDescent="0.3">
      <c r="A544" s="25" t="s">
        <v>527</v>
      </c>
      <c r="B544" s="18" t="s">
        <v>737</v>
      </c>
      <c r="C544" s="3">
        <f>LUGLIO!D544</f>
        <v>0</v>
      </c>
      <c r="D544" s="21">
        <f t="shared" si="21"/>
        <v>0</v>
      </c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1">
        <f t="shared" si="22"/>
        <v>0</v>
      </c>
      <c r="BP544" s="9">
        <f t="shared" si="22"/>
        <v>0</v>
      </c>
    </row>
    <row r="545" spans="1:68" ht="16.2" thickBot="1" x14ac:dyDescent="0.35">
      <c r="A545" s="25"/>
      <c r="B545" s="32" t="s">
        <v>625</v>
      </c>
      <c r="C545" s="3">
        <f>LUGLIO!D545</f>
        <v>0</v>
      </c>
      <c r="D545" s="21">
        <f t="shared" si="21"/>
        <v>0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1">
        <f t="shared" si="22"/>
        <v>0</v>
      </c>
      <c r="BP545" s="9">
        <f t="shared" si="22"/>
        <v>0</v>
      </c>
    </row>
    <row r="546" spans="1:68" ht="15.6" thickBot="1" x14ac:dyDescent="0.3">
      <c r="A546" s="25"/>
      <c r="B546" s="18" t="s">
        <v>637</v>
      </c>
      <c r="C546" s="3">
        <f>LUGLIO!D546</f>
        <v>0</v>
      </c>
      <c r="D546" s="21">
        <f t="shared" si="21"/>
        <v>0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1">
        <f t="shared" si="22"/>
        <v>0</v>
      </c>
      <c r="BP546" s="9">
        <f t="shared" si="22"/>
        <v>0</v>
      </c>
    </row>
    <row r="547" spans="1:68" ht="15.6" thickBot="1" x14ac:dyDescent="0.3">
      <c r="A547" s="25"/>
      <c r="B547" s="18" t="s">
        <v>636</v>
      </c>
      <c r="C547" s="3">
        <f>LUGLIO!D547</f>
        <v>0</v>
      </c>
      <c r="D547" s="21">
        <f t="shared" si="21"/>
        <v>0</v>
      </c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1">
        <f t="shared" si="22"/>
        <v>0</v>
      </c>
      <c r="BP547" s="9">
        <f t="shared" si="22"/>
        <v>0</v>
      </c>
    </row>
    <row r="548" spans="1:68" ht="15.6" thickBot="1" x14ac:dyDescent="0.3">
      <c r="A548" s="25"/>
      <c r="B548" s="18" t="s">
        <v>642</v>
      </c>
      <c r="C548" s="3">
        <f>LUGLIO!D548</f>
        <v>0</v>
      </c>
      <c r="D548" s="21">
        <f t="shared" si="21"/>
        <v>0</v>
      </c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1">
        <f t="shared" si="22"/>
        <v>0</v>
      </c>
      <c r="BP548" s="9">
        <f t="shared" si="22"/>
        <v>0</v>
      </c>
    </row>
    <row r="549" spans="1:68" ht="15.6" thickBot="1" x14ac:dyDescent="0.3">
      <c r="A549" s="25"/>
      <c r="B549" s="18" t="s">
        <v>635</v>
      </c>
      <c r="C549" s="3">
        <f>LUGLIO!D549</f>
        <v>0</v>
      </c>
      <c r="D549" s="21">
        <f t="shared" si="21"/>
        <v>0</v>
      </c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1">
        <f t="shared" si="22"/>
        <v>0</v>
      </c>
      <c r="BP549" s="9">
        <f t="shared" si="22"/>
        <v>0</v>
      </c>
    </row>
    <row r="550" spans="1:68" ht="15.6" thickBot="1" x14ac:dyDescent="0.3">
      <c r="A550" s="25"/>
      <c r="B550" s="18" t="s">
        <v>624</v>
      </c>
      <c r="C550" s="3">
        <f>LUGLIO!D550</f>
        <v>0</v>
      </c>
      <c r="D550" s="21">
        <f t="shared" si="21"/>
        <v>0</v>
      </c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1">
        <f t="shared" si="22"/>
        <v>0</v>
      </c>
      <c r="BP550" s="9">
        <f t="shared" si="22"/>
        <v>0</v>
      </c>
    </row>
    <row r="551" spans="1:68" ht="15.6" thickBot="1" x14ac:dyDescent="0.3">
      <c r="A551" s="25"/>
      <c r="B551" s="18" t="s">
        <v>669</v>
      </c>
      <c r="C551" s="3">
        <f>LUGLIO!D551</f>
        <v>0</v>
      </c>
      <c r="D551" s="21">
        <f t="shared" si="21"/>
        <v>0</v>
      </c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1">
        <f t="shared" si="22"/>
        <v>0</v>
      </c>
      <c r="BP551" s="9">
        <f t="shared" si="22"/>
        <v>0</v>
      </c>
    </row>
    <row r="552" spans="1:68" ht="15.6" thickBot="1" x14ac:dyDescent="0.3">
      <c r="A552" s="25"/>
      <c r="B552" s="18" t="s">
        <v>670</v>
      </c>
      <c r="C552" s="3">
        <f>LUGLIO!D552</f>
        <v>0</v>
      </c>
      <c r="D552" s="21">
        <f t="shared" si="21"/>
        <v>0</v>
      </c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1">
        <f t="shared" si="22"/>
        <v>0</v>
      </c>
      <c r="BP552" s="9">
        <f t="shared" si="22"/>
        <v>0</v>
      </c>
    </row>
    <row r="553" spans="1:68" ht="15.6" thickBot="1" x14ac:dyDescent="0.3">
      <c r="A553" s="25"/>
      <c r="B553" s="18" t="s">
        <v>671</v>
      </c>
      <c r="C553" s="3">
        <f>LUGLIO!D553</f>
        <v>0</v>
      </c>
      <c r="D553" s="21">
        <f t="shared" si="21"/>
        <v>0</v>
      </c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1">
        <f t="shared" si="22"/>
        <v>0</v>
      </c>
      <c r="BP553" s="9">
        <f t="shared" si="22"/>
        <v>0</v>
      </c>
    </row>
    <row r="554" spans="1:68" ht="15.6" thickBot="1" x14ac:dyDescent="0.3">
      <c r="A554" s="25"/>
      <c r="B554" s="18" t="s">
        <v>663</v>
      </c>
      <c r="C554" s="3">
        <f>LUGLIO!D554</f>
        <v>0</v>
      </c>
      <c r="D554" s="21">
        <f t="shared" si="21"/>
        <v>0</v>
      </c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1">
        <f t="shared" si="22"/>
        <v>0</v>
      </c>
      <c r="BP554" s="9">
        <f t="shared" si="22"/>
        <v>0</v>
      </c>
    </row>
    <row r="555" spans="1:68" ht="15.6" thickBot="1" x14ac:dyDescent="0.3">
      <c r="A555" s="25"/>
      <c r="B555" s="18" t="s">
        <v>664</v>
      </c>
      <c r="C555" s="3">
        <f>LUGLIO!D555</f>
        <v>0</v>
      </c>
      <c r="D555" s="21">
        <f t="shared" si="21"/>
        <v>0</v>
      </c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1">
        <f t="shared" si="22"/>
        <v>0</v>
      </c>
      <c r="BP555" s="9">
        <f t="shared" si="22"/>
        <v>0</v>
      </c>
    </row>
    <row r="556" spans="1:68" ht="15.6" thickBot="1" x14ac:dyDescent="0.3">
      <c r="A556" s="25"/>
      <c r="B556" s="18" t="s">
        <v>665</v>
      </c>
      <c r="C556" s="3">
        <f>LUGLIO!D556</f>
        <v>0</v>
      </c>
      <c r="D556" s="21">
        <f t="shared" si="21"/>
        <v>0</v>
      </c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1">
        <f t="shared" si="22"/>
        <v>0</v>
      </c>
      <c r="BP556" s="9">
        <f t="shared" si="22"/>
        <v>0</v>
      </c>
    </row>
    <row r="557" spans="1:68" ht="15.6" thickBot="1" x14ac:dyDescent="0.3">
      <c r="A557" s="25"/>
      <c r="B557" s="18" t="s">
        <v>668</v>
      </c>
      <c r="C557" s="3">
        <f>LUGLIO!D557</f>
        <v>0</v>
      </c>
      <c r="D557" s="21">
        <f t="shared" si="21"/>
        <v>0</v>
      </c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1">
        <f t="shared" si="22"/>
        <v>0</v>
      </c>
      <c r="BP557" s="9">
        <f t="shared" si="22"/>
        <v>0</v>
      </c>
    </row>
    <row r="558" spans="1:68" ht="16.2" thickBot="1" x14ac:dyDescent="0.35">
      <c r="A558" s="25"/>
      <c r="B558" s="23" t="s">
        <v>712</v>
      </c>
      <c r="C558" s="3">
        <f>LUGLIO!D558</f>
        <v>0</v>
      </c>
      <c r="D558" s="21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1">
        <f t="shared" si="22"/>
        <v>0</v>
      </c>
      <c r="BP558" s="9">
        <f t="shared" si="22"/>
        <v>0</v>
      </c>
    </row>
    <row r="559" spans="1:68" ht="15.6" thickBot="1" x14ac:dyDescent="0.3">
      <c r="A559" s="25" t="s">
        <v>638</v>
      </c>
      <c r="B559" s="18" t="s">
        <v>639</v>
      </c>
      <c r="C559" s="3">
        <f>LUGLIO!D559</f>
        <v>0</v>
      </c>
      <c r="D559" s="21">
        <f t="shared" si="21"/>
        <v>0</v>
      </c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1">
        <f t="shared" si="22"/>
        <v>0</v>
      </c>
      <c r="BP559" s="9">
        <f t="shared" si="22"/>
        <v>0</v>
      </c>
    </row>
    <row r="560" spans="1:68" ht="16.2" thickBot="1" x14ac:dyDescent="0.35">
      <c r="A560" s="25"/>
      <c r="B560" s="23" t="s">
        <v>770</v>
      </c>
      <c r="C560" s="3">
        <f>LUGLIO!D560</f>
        <v>0</v>
      </c>
      <c r="D560" s="21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1">
        <f t="shared" si="22"/>
        <v>0</v>
      </c>
      <c r="BP560" s="9">
        <f t="shared" si="22"/>
        <v>0</v>
      </c>
    </row>
    <row r="561" spans="1:68" ht="15.6" thickBot="1" x14ac:dyDescent="0.3">
      <c r="A561" s="25" t="s">
        <v>771</v>
      </c>
      <c r="B561" s="18" t="s">
        <v>772</v>
      </c>
      <c r="C561" s="3">
        <f>LUGLIO!D561</f>
        <v>0</v>
      </c>
      <c r="D561" s="21">
        <f t="shared" si="21"/>
        <v>0</v>
      </c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1">
        <f t="shared" si="22"/>
        <v>0</v>
      </c>
      <c r="BP561" s="9">
        <f t="shared" si="22"/>
        <v>0</v>
      </c>
    </row>
    <row r="562" spans="1:68" ht="15.6" thickBot="1" x14ac:dyDescent="0.3">
      <c r="A562" s="25" t="s">
        <v>773</v>
      </c>
      <c r="B562" s="18" t="s">
        <v>774</v>
      </c>
      <c r="C562" s="3">
        <f>LUGLIO!D562</f>
        <v>0</v>
      </c>
      <c r="D562" s="21">
        <f t="shared" si="21"/>
        <v>0</v>
      </c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1">
        <f t="shared" si="22"/>
        <v>0</v>
      </c>
      <c r="BP562" s="9">
        <f t="shared" si="22"/>
        <v>0</v>
      </c>
    </row>
    <row r="563" spans="1:68" ht="16.2" thickBot="1" x14ac:dyDescent="0.35">
      <c r="A563" s="25"/>
      <c r="B563" s="23" t="s">
        <v>823</v>
      </c>
      <c r="C563" s="3">
        <f>LUGLIO!D563</f>
        <v>0</v>
      </c>
      <c r="D563" s="21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1">
        <f t="shared" si="22"/>
        <v>0</v>
      </c>
      <c r="BP563" s="9">
        <f t="shared" si="22"/>
        <v>0</v>
      </c>
    </row>
    <row r="564" spans="1:68" ht="15.6" thickBot="1" x14ac:dyDescent="0.3">
      <c r="A564" s="25" t="s">
        <v>831</v>
      </c>
      <c r="B564" s="18" t="s">
        <v>832</v>
      </c>
      <c r="C564" s="3">
        <f>LUGLIO!D564</f>
        <v>0</v>
      </c>
      <c r="D564" s="21">
        <f t="shared" si="21"/>
        <v>0</v>
      </c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1">
        <f t="shared" si="22"/>
        <v>0</v>
      </c>
      <c r="BP564" s="9">
        <f t="shared" si="22"/>
        <v>0</v>
      </c>
    </row>
    <row r="565" spans="1:68" ht="16.2" thickBot="1" x14ac:dyDescent="0.35">
      <c r="A565" s="25"/>
      <c r="B565" s="23" t="s">
        <v>829</v>
      </c>
      <c r="C565" s="3">
        <f>LUGLIO!D565</f>
        <v>0</v>
      </c>
      <c r="D565" s="21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1">
        <f t="shared" si="22"/>
        <v>0</v>
      </c>
      <c r="BP565" s="9">
        <f t="shared" si="22"/>
        <v>0</v>
      </c>
    </row>
    <row r="566" spans="1:68" ht="15.6" thickBot="1" x14ac:dyDescent="0.3">
      <c r="A566" s="25" t="s">
        <v>844</v>
      </c>
      <c r="B566" s="18" t="s">
        <v>845</v>
      </c>
      <c r="C566" s="3">
        <f>LUGLIO!D566</f>
        <v>0</v>
      </c>
      <c r="D566" s="21">
        <f t="shared" si="21"/>
        <v>0</v>
      </c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1">
        <f t="shared" si="22"/>
        <v>0</v>
      </c>
      <c r="BP566" s="9">
        <f t="shared" si="22"/>
        <v>0</v>
      </c>
    </row>
    <row r="567" spans="1:68" ht="15.6" thickBot="1" x14ac:dyDescent="0.3">
      <c r="A567" s="31">
        <v>1148</v>
      </c>
      <c r="B567" s="18" t="s">
        <v>830</v>
      </c>
      <c r="C567" s="3">
        <f>LUGLIO!D567</f>
        <v>0</v>
      </c>
      <c r="D567" s="21">
        <f t="shared" si="21"/>
        <v>0</v>
      </c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1">
        <f t="shared" si="22"/>
        <v>0</v>
      </c>
      <c r="BP567" s="9">
        <f t="shared" si="22"/>
        <v>0</v>
      </c>
    </row>
    <row r="568" spans="1:68" ht="15.6" thickBot="1" x14ac:dyDescent="0.3">
      <c r="A568" s="31">
        <v>1147</v>
      </c>
      <c r="B568" s="18" t="s">
        <v>907</v>
      </c>
      <c r="C568" s="3">
        <f>LUGLIO!D568</f>
        <v>0</v>
      </c>
      <c r="D568" s="21">
        <f t="shared" si="21"/>
        <v>0</v>
      </c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1">
        <f t="shared" si="22"/>
        <v>0</v>
      </c>
      <c r="BP568" s="9">
        <f t="shared" si="22"/>
        <v>0</v>
      </c>
    </row>
    <row r="569" spans="1:68" ht="15.6" thickBot="1" x14ac:dyDescent="0.3">
      <c r="A569" s="31">
        <v>1455</v>
      </c>
      <c r="B569" s="18" t="s">
        <v>906</v>
      </c>
      <c r="C569" s="3">
        <f>LUGLIO!D569</f>
        <v>0</v>
      </c>
      <c r="D569" s="21">
        <f t="shared" si="21"/>
        <v>0</v>
      </c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1">
        <f t="shared" si="22"/>
        <v>0</v>
      </c>
      <c r="BP569" s="9">
        <f t="shared" si="22"/>
        <v>0</v>
      </c>
    </row>
    <row r="570" spans="1:68" ht="16.2" thickBot="1" x14ac:dyDescent="0.35">
      <c r="A570" s="25"/>
      <c r="B570" s="23" t="s">
        <v>852</v>
      </c>
      <c r="C570" s="3">
        <f>LUGLIO!D570</f>
        <v>0</v>
      </c>
      <c r="D570" s="21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1">
        <f t="shared" ref="BO570:BP578" si="23">BM570+BG570+BE570+BC570+BA570+AY570+AW570+AU570+AS570+AQ570+AO570+AM570+AK570+AI570+AG570+AE570+AC570+AA570+Y570+W570+U570+S570+Q570+O570+M570+K570+I570+G570+E570</f>
        <v>0</v>
      </c>
      <c r="BP570" s="9">
        <f t="shared" si="23"/>
        <v>0</v>
      </c>
    </row>
    <row r="571" spans="1:68" ht="15.6" thickBot="1" x14ac:dyDescent="0.3">
      <c r="A571" s="31"/>
      <c r="B571" s="18" t="s">
        <v>853</v>
      </c>
      <c r="C571" s="3">
        <f>LUGLIO!D571</f>
        <v>0</v>
      </c>
      <c r="D571" s="21">
        <f t="shared" ref="D571:D572" si="24">C571+SUM(E571:BN571)</f>
        <v>0</v>
      </c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1">
        <f t="shared" si="23"/>
        <v>0</v>
      </c>
      <c r="BP571" s="9">
        <f t="shared" si="23"/>
        <v>0</v>
      </c>
    </row>
    <row r="572" spans="1:68" ht="15.6" thickBot="1" x14ac:dyDescent="0.3">
      <c r="A572" s="31"/>
      <c r="B572" s="18" t="s">
        <v>854</v>
      </c>
      <c r="C572" s="3">
        <f>LUGLIO!D572</f>
        <v>0</v>
      </c>
      <c r="D572" s="21">
        <f t="shared" si="24"/>
        <v>0</v>
      </c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1">
        <f t="shared" si="23"/>
        <v>0</v>
      </c>
      <c r="BP572" s="9">
        <f t="shared" si="23"/>
        <v>0</v>
      </c>
    </row>
    <row r="573" spans="1:68" ht="16.2" thickBot="1" x14ac:dyDescent="0.35">
      <c r="A573" s="25"/>
      <c r="B573" s="23" t="s">
        <v>855</v>
      </c>
      <c r="C573" s="3">
        <f>LUGLIO!D573</f>
        <v>0</v>
      </c>
      <c r="D573" s="21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1">
        <f t="shared" si="23"/>
        <v>0</v>
      </c>
      <c r="BP573" s="9">
        <f t="shared" si="23"/>
        <v>0</v>
      </c>
    </row>
    <row r="574" spans="1:68" ht="15.6" thickBot="1" x14ac:dyDescent="0.3">
      <c r="A574" s="25"/>
      <c r="B574" s="18" t="s">
        <v>856</v>
      </c>
      <c r="C574" s="3">
        <f>LUGLIO!D574</f>
        <v>580</v>
      </c>
      <c r="D574" s="21">
        <f t="shared" ref="D574:D577" si="25">C574+SUM(E574:BN574)</f>
        <v>580</v>
      </c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1">
        <f t="shared" si="23"/>
        <v>0</v>
      </c>
      <c r="BP574" s="9">
        <f t="shared" si="23"/>
        <v>0</v>
      </c>
    </row>
    <row r="575" spans="1:68" ht="15.6" thickBot="1" x14ac:dyDescent="0.3">
      <c r="A575" s="25"/>
      <c r="B575" s="18" t="s">
        <v>857</v>
      </c>
      <c r="C575" s="3">
        <f>LUGLIO!D575</f>
        <v>1425</v>
      </c>
      <c r="D575" s="21">
        <f t="shared" si="25"/>
        <v>1425</v>
      </c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1">
        <f t="shared" si="23"/>
        <v>0</v>
      </c>
      <c r="BP575" s="9">
        <f t="shared" si="23"/>
        <v>0</v>
      </c>
    </row>
    <row r="576" spans="1:68" ht="15.6" thickBot="1" x14ac:dyDescent="0.3">
      <c r="A576" s="25"/>
      <c r="B576" s="18" t="s">
        <v>858</v>
      </c>
      <c r="C576" s="3">
        <f>LUGLIO!D576</f>
        <v>1439</v>
      </c>
      <c r="D576" s="21">
        <f t="shared" si="25"/>
        <v>1439</v>
      </c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1">
        <f t="shared" si="23"/>
        <v>0</v>
      </c>
      <c r="BP576" s="9">
        <f t="shared" si="23"/>
        <v>0</v>
      </c>
    </row>
    <row r="577" spans="1:68" ht="15.6" thickBot="1" x14ac:dyDescent="0.3">
      <c r="A577" s="25"/>
      <c r="B577" s="18" t="s">
        <v>859</v>
      </c>
      <c r="C577" s="3">
        <f>LUGLIO!D577</f>
        <v>496</v>
      </c>
      <c r="D577" s="21">
        <f t="shared" si="25"/>
        <v>496</v>
      </c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1">
        <f t="shared" si="23"/>
        <v>0</v>
      </c>
      <c r="BP577" s="9">
        <f t="shared" si="23"/>
        <v>0</v>
      </c>
    </row>
    <row r="578" spans="1:68" ht="15.6" thickBot="1" x14ac:dyDescent="0.3">
      <c r="A578" s="25"/>
      <c r="B578" s="18" t="s">
        <v>860</v>
      </c>
      <c r="C578" s="3">
        <f>LUGLIO!D578</f>
        <v>0</v>
      </c>
      <c r="D578" s="21">
        <f t="shared" ref="D578" si="26">C578+SUM(E578:BN578)</f>
        <v>0</v>
      </c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1">
        <f t="shared" si="23"/>
        <v>0</v>
      </c>
      <c r="BP578" s="9">
        <f t="shared" si="23"/>
        <v>0</v>
      </c>
    </row>
  </sheetData>
  <mergeCells count="31">
    <mergeCell ref="BM2:BN2"/>
    <mergeCell ref="BA2:BB2"/>
    <mergeCell ref="BC2:BD2"/>
    <mergeCell ref="BE2:BF2"/>
    <mergeCell ref="BG2:BH2"/>
    <mergeCell ref="BI2:BJ2"/>
    <mergeCell ref="BK2:BL2"/>
    <mergeCell ref="AY2:AZ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A2:AB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</mergeCells>
  <conditionalFormatting sqref="A3:B3">
    <cfRule type="duplicateValues" dxfId="18" priority="5"/>
    <cfRule type="duplicateValues" dxfId="17" priority="6"/>
    <cfRule type="duplicateValues" dxfId="16" priority="7"/>
    <cfRule type="duplicateValues" dxfId="15" priority="8"/>
  </conditionalFormatting>
  <conditionalFormatting sqref="B220">
    <cfRule type="duplicateValues" dxfId="14" priority="3"/>
    <cfRule type="duplicateValues" dxfId="13" priority="4"/>
  </conditionalFormatting>
  <conditionalFormatting sqref="B221">
    <cfRule type="duplicateValues" dxfId="12" priority="1"/>
    <cfRule type="duplicateValues" dxfId="11" priority="2"/>
  </conditionalFormatting>
  <conditionalFormatting sqref="C1:C1048576">
    <cfRule type="cellIs" dxfId="10" priority="9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5C7E-3D27-4215-A078-F435FA1D0735}">
  <dimension ref="A1:TH609"/>
  <sheetViews>
    <sheetView tabSelected="1" topLeftCell="A430" zoomScale="120" zoomScaleNormal="120" workbookViewId="0">
      <pane xSplit="14724" topLeftCell="SR1" activePane="topRight"/>
      <selection activeCell="A440" sqref="A440"/>
      <selection pane="topRight" activeCell="SS440" sqref="SS440"/>
    </sheetView>
  </sheetViews>
  <sheetFormatPr defaultColWidth="9.109375" defaultRowHeight="15" x14ac:dyDescent="0.25"/>
  <cols>
    <col min="1" max="1" width="23" style="15" bestFit="1" customWidth="1"/>
    <col min="2" max="2" width="77" style="15" customWidth="1"/>
    <col min="3" max="3" width="8.5546875" style="1" hidden="1" customWidth="1"/>
    <col min="4" max="4" width="9.88671875" style="17" customWidth="1"/>
    <col min="5" max="526" width="9.109375" style="5"/>
    <col min="527" max="527" width="11.5546875" style="1" bestFit="1" customWidth="1"/>
    <col min="528" max="528" width="7.6640625" style="1" bestFit="1" customWidth="1"/>
    <col min="529" max="16384" width="9.109375" style="5"/>
  </cols>
  <sheetData>
    <row r="1" spans="1:528" ht="36" thickBot="1" x14ac:dyDescent="0.65">
      <c r="B1" s="16" t="s">
        <v>428</v>
      </c>
    </row>
    <row r="2" spans="1:528" ht="36" thickBot="1" x14ac:dyDescent="0.65">
      <c r="B2" s="16"/>
      <c r="E2" s="56">
        <v>45536</v>
      </c>
      <c r="F2" s="57"/>
      <c r="G2" s="56">
        <v>45537</v>
      </c>
      <c r="H2" s="57"/>
      <c r="I2" s="56">
        <v>45538</v>
      </c>
      <c r="J2" s="57"/>
      <c r="K2" s="56">
        <v>45539</v>
      </c>
      <c r="L2" s="57"/>
      <c r="M2" s="56">
        <v>45540</v>
      </c>
      <c r="N2" s="57"/>
      <c r="O2" s="56">
        <v>45541</v>
      </c>
      <c r="P2" s="57"/>
      <c r="Q2" s="56">
        <v>45542</v>
      </c>
      <c r="R2" s="57"/>
      <c r="S2" s="56">
        <v>45543</v>
      </c>
      <c r="T2" s="57"/>
      <c r="U2" s="56">
        <v>45544</v>
      </c>
      <c r="V2" s="57"/>
      <c r="W2" s="56">
        <v>45545</v>
      </c>
      <c r="X2" s="57"/>
      <c r="Y2" s="56">
        <v>45546</v>
      </c>
      <c r="Z2" s="57"/>
      <c r="AA2" s="56">
        <v>45547</v>
      </c>
      <c r="AB2" s="57"/>
      <c r="AC2" s="56">
        <v>45548</v>
      </c>
      <c r="AD2" s="57"/>
      <c r="AE2" s="56">
        <v>45549</v>
      </c>
      <c r="AF2" s="57"/>
      <c r="AG2" s="56">
        <v>45550</v>
      </c>
      <c r="AH2" s="57"/>
      <c r="AI2" s="56">
        <v>45551</v>
      </c>
      <c r="AJ2" s="57"/>
      <c r="AK2" s="56">
        <v>45552</v>
      </c>
      <c r="AL2" s="57"/>
      <c r="AM2" s="56">
        <v>45553</v>
      </c>
      <c r="AN2" s="57"/>
      <c r="AO2" s="56">
        <v>45554</v>
      </c>
      <c r="AP2" s="57"/>
      <c r="AQ2" s="56">
        <v>45555</v>
      </c>
      <c r="AR2" s="57"/>
      <c r="AS2" s="56">
        <v>45556</v>
      </c>
      <c r="AT2" s="57"/>
      <c r="AU2" s="56">
        <v>45557</v>
      </c>
      <c r="AV2" s="57"/>
      <c r="AW2" s="56">
        <v>45558</v>
      </c>
      <c r="AX2" s="57"/>
      <c r="AY2" s="56">
        <v>45559</v>
      </c>
      <c r="AZ2" s="57"/>
      <c r="BA2" s="56">
        <v>45560</v>
      </c>
      <c r="BB2" s="57"/>
      <c r="BC2" s="56">
        <v>45561</v>
      </c>
      <c r="BD2" s="57"/>
      <c r="BE2" s="56">
        <v>45562</v>
      </c>
      <c r="BF2" s="57"/>
      <c r="BG2" s="56">
        <v>45563</v>
      </c>
      <c r="BH2" s="57"/>
      <c r="BI2" s="56">
        <v>45564</v>
      </c>
      <c r="BJ2" s="57"/>
      <c r="BK2" s="56">
        <v>45565</v>
      </c>
      <c r="BL2" s="57"/>
      <c r="BM2" s="56">
        <v>45566</v>
      </c>
      <c r="BN2" s="57"/>
      <c r="BO2" s="56">
        <v>45567</v>
      </c>
      <c r="BP2" s="57"/>
      <c r="BQ2" s="56">
        <v>45568</v>
      </c>
      <c r="BR2" s="57"/>
      <c r="BS2" s="56">
        <v>45569</v>
      </c>
      <c r="BT2" s="57"/>
      <c r="BU2" s="56">
        <v>45570</v>
      </c>
      <c r="BV2" s="57"/>
      <c r="BW2" s="56">
        <v>45571</v>
      </c>
      <c r="BX2" s="57"/>
      <c r="BY2" s="56">
        <v>45572</v>
      </c>
      <c r="BZ2" s="57"/>
      <c r="CA2" s="56">
        <v>45573</v>
      </c>
      <c r="CB2" s="57"/>
      <c r="CC2" s="56">
        <v>45574</v>
      </c>
      <c r="CD2" s="57"/>
      <c r="CE2" s="56">
        <v>45575</v>
      </c>
      <c r="CF2" s="57"/>
      <c r="CG2" s="56">
        <v>45576</v>
      </c>
      <c r="CH2" s="57"/>
      <c r="CI2" s="56">
        <v>45577</v>
      </c>
      <c r="CJ2" s="57"/>
      <c r="CK2" s="56">
        <v>45578</v>
      </c>
      <c r="CL2" s="57"/>
      <c r="CM2" s="56">
        <v>45579</v>
      </c>
      <c r="CN2" s="57"/>
      <c r="CO2" s="56">
        <v>45580</v>
      </c>
      <c r="CP2" s="57"/>
      <c r="CQ2" s="56">
        <v>45581</v>
      </c>
      <c r="CR2" s="57"/>
      <c r="CS2" s="56">
        <v>45582</v>
      </c>
      <c r="CT2" s="57"/>
      <c r="CU2" s="56">
        <v>45583</v>
      </c>
      <c r="CV2" s="57"/>
      <c r="CW2" s="56">
        <v>45584</v>
      </c>
      <c r="CX2" s="57"/>
      <c r="CY2" s="56">
        <v>45585</v>
      </c>
      <c r="CZ2" s="57"/>
      <c r="DA2" s="56">
        <v>45586</v>
      </c>
      <c r="DB2" s="57"/>
      <c r="DC2" s="56">
        <v>45587</v>
      </c>
      <c r="DD2" s="57"/>
      <c r="DE2" s="56">
        <v>45588</v>
      </c>
      <c r="DF2" s="57"/>
      <c r="DG2" s="56">
        <v>45589</v>
      </c>
      <c r="DH2" s="57"/>
      <c r="DI2" s="56">
        <v>45590</v>
      </c>
      <c r="DJ2" s="57"/>
      <c r="DK2" s="56">
        <v>45591</v>
      </c>
      <c r="DL2" s="57"/>
      <c r="DM2" s="56">
        <v>45592</v>
      </c>
      <c r="DN2" s="57"/>
      <c r="DO2" s="56">
        <v>45593</v>
      </c>
      <c r="DP2" s="57"/>
      <c r="DQ2" s="56">
        <v>45594</v>
      </c>
      <c r="DR2" s="57"/>
      <c r="DS2" s="56">
        <v>45595</v>
      </c>
      <c r="DT2" s="57"/>
      <c r="DU2" s="56">
        <v>45596</v>
      </c>
      <c r="DV2" s="57"/>
      <c r="DW2" s="56">
        <v>45597</v>
      </c>
      <c r="DX2" s="57"/>
      <c r="DY2" s="56">
        <v>45598</v>
      </c>
      <c r="DZ2" s="57"/>
      <c r="EA2" s="56">
        <v>45599</v>
      </c>
      <c r="EB2" s="57"/>
      <c r="EC2" s="56">
        <v>45600</v>
      </c>
      <c r="ED2" s="57"/>
      <c r="EE2" s="56">
        <v>45601</v>
      </c>
      <c r="EF2" s="57"/>
      <c r="EG2" s="56">
        <v>45602</v>
      </c>
      <c r="EH2" s="57"/>
      <c r="EI2" s="56">
        <v>45603</v>
      </c>
      <c r="EJ2" s="57"/>
      <c r="EK2" s="56">
        <v>45604</v>
      </c>
      <c r="EL2" s="57"/>
      <c r="EM2" s="56">
        <v>45605</v>
      </c>
      <c r="EN2" s="57"/>
      <c r="EO2" s="56">
        <v>45606</v>
      </c>
      <c r="EP2" s="57"/>
      <c r="EQ2" s="56">
        <v>45607</v>
      </c>
      <c r="ER2" s="57"/>
      <c r="ES2" s="56">
        <v>45608</v>
      </c>
      <c r="ET2" s="57"/>
      <c r="EU2" s="56">
        <v>45609</v>
      </c>
      <c r="EV2" s="57"/>
      <c r="EW2" s="56">
        <v>45610</v>
      </c>
      <c r="EX2" s="57"/>
      <c r="EY2" s="56">
        <v>45611</v>
      </c>
      <c r="EZ2" s="57"/>
      <c r="FA2" s="56">
        <v>45612</v>
      </c>
      <c r="FB2" s="57"/>
      <c r="FC2" s="56">
        <v>45613</v>
      </c>
      <c r="FD2" s="57"/>
      <c r="FE2" s="56">
        <v>45614</v>
      </c>
      <c r="FF2" s="57"/>
      <c r="FG2" s="56">
        <v>45615</v>
      </c>
      <c r="FH2" s="57"/>
      <c r="FI2" s="56">
        <v>45616</v>
      </c>
      <c r="FJ2" s="57"/>
      <c r="FK2" s="56">
        <v>45617</v>
      </c>
      <c r="FL2" s="57"/>
      <c r="FM2" s="56">
        <v>45618</v>
      </c>
      <c r="FN2" s="57"/>
      <c r="FO2" s="56">
        <v>45619</v>
      </c>
      <c r="FP2" s="57"/>
      <c r="FQ2" s="56">
        <v>45620</v>
      </c>
      <c r="FR2" s="57"/>
      <c r="FS2" s="56">
        <v>45621</v>
      </c>
      <c r="FT2" s="57"/>
      <c r="FU2" s="56">
        <v>45622</v>
      </c>
      <c r="FV2" s="57"/>
      <c r="FW2" s="56">
        <v>45623</v>
      </c>
      <c r="FX2" s="57"/>
      <c r="FY2" s="56">
        <v>45624</v>
      </c>
      <c r="FZ2" s="57"/>
      <c r="GA2" s="56">
        <v>45625</v>
      </c>
      <c r="GB2" s="57"/>
      <c r="GC2" s="56">
        <v>45626</v>
      </c>
      <c r="GD2" s="57"/>
      <c r="GE2" s="56">
        <v>45627</v>
      </c>
      <c r="GF2" s="57"/>
      <c r="GG2" s="56">
        <v>45628</v>
      </c>
      <c r="GH2" s="57"/>
      <c r="GI2" s="56">
        <v>45629</v>
      </c>
      <c r="GJ2" s="57"/>
      <c r="GK2" s="56">
        <v>45630</v>
      </c>
      <c r="GL2" s="57"/>
      <c r="GM2" s="56">
        <v>45631</v>
      </c>
      <c r="GN2" s="57"/>
      <c r="GO2" s="56">
        <v>45632</v>
      </c>
      <c r="GP2" s="57"/>
      <c r="GQ2" s="56">
        <v>45633</v>
      </c>
      <c r="GR2" s="57"/>
      <c r="GS2" s="56">
        <v>45634</v>
      </c>
      <c r="GT2" s="57"/>
      <c r="GU2" s="56">
        <v>45635</v>
      </c>
      <c r="GV2" s="57"/>
      <c r="GW2" s="56">
        <v>45636</v>
      </c>
      <c r="GX2" s="57"/>
      <c r="GY2" s="56">
        <v>45637</v>
      </c>
      <c r="GZ2" s="57"/>
      <c r="HA2" s="56">
        <v>45638</v>
      </c>
      <c r="HB2" s="57"/>
      <c r="HC2" s="56">
        <v>45639</v>
      </c>
      <c r="HD2" s="57"/>
      <c r="HE2" s="56">
        <v>45640</v>
      </c>
      <c r="HF2" s="57"/>
      <c r="HG2" s="56">
        <v>45641</v>
      </c>
      <c r="HH2" s="57"/>
      <c r="HI2" s="56">
        <v>45642</v>
      </c>
      <c r="HJ2" s="57"/>
      <c r="HK2" s="56">
        <v>45643</v>
      </c>
      <c r="HL2" s="57"/>
      <c r="HM2" s="56">
        <v>45644</v>
      </c>
      <c r="HN2" s="57"/>
      <c r="HO2" s="56">
        <v>45645</v>
      </c>
      <c r="HP2" s="57"/>
      <c r="HQ2" s="56">
        <v>45646</v>
      </c>
      <c r="HR2" s="57"/>
      <c r="HS2" s="56">
        <v>45647</v>
      </c>
      <c r="HT2" s="57"/>
      <c r="HU2" s="56">
        <v>45648</v>
      </c>
      <c r="HV2" s="57"/>
      <c r="HW2" s="56">
        <v>45649</v>
      </c>
      <c r="HX2" s="57"/>
      <c r="HY2" s="56">
        <v>45650</v>
      </c>
      <c r="HZ2" s="57"/>
      <c r="IA2" s="56">
        <v>45651</v>
      </c>
      <c r="IB2" s="57"/>
      <c r="IC2" s="56">
        <v>45652</v>
      </c>
      <c r="ID2" s="57"/>
      <c r="IE2" s="56">
        <v>45653</v>
      </c>
      <c r="IF2" s="57"/>
      <c r="IG2" s="56">
        <v>45654</v>
      </c>
      <c r="IH2" s="57"/>
      <c r="II2" s="56">
        <v>45655</v>
      </c>
      <c r="IJ2" s="57"/>
      <c r="IK2" s="56">
        <v>45656</v>
      </c>
      <c r="IL2" s="57"/>
      <c r="IM2" s="56">
        <v>45657</v>
      </c>
      <c r="IN2" s="57"/>
      <c r="IO2" s="56">
        <v>45658</v>
      </c>
      <c r="IP2" s="57"/>
      <c r="IQ2" s="56">
        <v>45659</v>
      </c>
      <c r="IR2" s="57"/>
      <c r="IS2" s="56">
        <v>45660</v>
      </c>
      <c r="IT2" s="57"/>
      <c r="IU2" s="56">
        <v>45661</v>
      </c>
      <c r="IV2" s="57"/>
      <c r="IW2" s="56">
        <v>45662</v>
      </c>
      <c r="IX2" s="57"/>
      <c r="IY2" s="56">
        <v>45663</v>
      </c>
      <c r="IZ2" s="57"/>
      <c r="JA2" s="56">
        <v>45664</v>
      </c>
      <c r="JB2" s="57"/>
      <c r="JC2" s="56">
        <v>45665</v>
      </c>
      <c r="JD2" s="57"/>
      <c r="JE2" s="56">
        <v>45666</v>
      </c>
      <c r="JF2" s="57"/>
      <c r="JG2" s="56">
        <v>45667</v>
      </c>
      <c r="JH2" s="57"/>
      <c r="JI2" s="56">
        <v>45668</v>
      </c>
      <c r="JJ2" s="57"/>
      <c r="JK2" s="56">
        <v>45669</v>
      </c>
      <c r="JL2" s="57"/>
      <c r="JM2" s="56">
        <v>45670</v>
      </c>
      <c r="JN2" s="57"/>
      <c r="JO2" s="56">
        <v>45671</v>
      </c>
      <c r="JP2" s="57"/>
      <c r="JQ2" s="56">
        <v>45672</v>
      </c>
      <c r="JR2" s="57"/>
      <c r="JS2" s="56">
        <v>45673</v>
      </c>
      <c r="JT2" s="57"/>
      <c r="JU2" s="56">
        <v>45674</v>
      </c>
      <c r="JV2" s="57"/>
      <c r="JW2" s="56">
        <v>45675</v>
      </c>
      <c r="JX2" s="57"/>
      <c r="JY2" s="56">
        <v>45676</v>
      </c>
      <c r="JZ2" s="57"/>
      <c r="KA2" s="56">
        <v>45677</v>
      </c>
      <c r="KB2" s="57"/>
      <c r="KC2" s="56">
        <v>45678</v>
      </c>
      <c r="KD2" s="57"/>
      <c r="KE2" s="56">
        <v>45679</v>
      </c>
      <c r="KF2" s="57"/>
      <c r="KG2" s="56">
        <v>45680</v>
      </c>
      <c r="KH2" s="57"/>
      <c r="KI2" s="56">
        <v>45681</v>
      </c>
      <c r="KJ2" s="57"/>
      <c r="KK2" s="56">
        <v>45682</v>
      </c>
      <c r="KL2" s="57"/>
      <c r="KM2" s="56">
        <v>45683</v>
      </c>
      <c r="KN2" s="57"/>
      <c r="KO2" s="56">
        <v>45684</v>
      </c>
      <c r="KP2" s="57"/>
      <c r="KQ2" s="56">
        <v>45685</v>
      </c>
      <c r="KR2" s="57"/>
      <c r="KS2" s="56">
        <v>45686</v>
      </c>
      <c r="KT2" s="57"/>
      <c r="KU2" s="56">
        <v>45687</v>
      </c>
      <c r="KV2" s="57"/>
      <c r="KW2" s="56">
        <v>45688</v>
      </c>
      <c r="KX2" s="57"/>
      <c r="KY2" s="56">
        <v>45689</v>
      </c>
      <c r="KZ2" s="57"/>
      <c r="LA2" s="56">
        <v>45690</v>
      </c>
      <c r="LB2" s="57"/>
      <c r="LC2" s="56">
        <v>45691</v>
      </c>
      <c r="LD2" s="57"/>
      <c r="LE2" s="56">
        <v>45692</v>
      </c>
      <c r="LF2" s="57"/>
      <c r="LG2" s="56">
        <v>45693</v>
      </c>
      <c r="LH2" s="57"/>
      <c r="LI2" s="56">
        <v>45694</v>
      </c>
      <c r="LJ2" s="57"/>
      <c r="LK2" s="56">
        <v>45695</v>
      </c>
      <c r="LL2" s="57"/>
      <c r="LM2" s="56">
        <v>45696</v>
      </c>
      <c r="LN2" s="57"/>
      <c r="LO2" s="56">
        <v>45697</v>
      </c>
      <c r="LP2" s="57"/>
      <c r="LQ2" s="56">
        <v>45698</v>
      </c>
      <c r="LR2" s="57"/>
      <c r="LS2" s="56">
        <v>45699</v>
      </c>
      <c r="LT2" s="57"/>
      <c r="LU2" s="56">
        <v>45700</v>
      </c>
      <c r="LV2" s="57"/>
      <c r="LW2" s="56">
        <v>45701</v>
      </c>
      <c r="LX2" s="57"/>
      <c r="LY2" s="56">
        <v>45702</v>
      </c>
      <c r="LZ2" s="57"/>
      <c r="MA2" s="56">
        <v>45703</v>
      </c>
      <c r="MB2" s="57"/>
      <c r="MC2" s="56">
        <v>45704</v>
      </c>
      <c r="MD2" s="57"/>
      <c r="ME2" s="56">
        <v>45705</v>
      </c>
      <c r="MF2" s="57"/>
      <c r="MG2" s="56">
        <v>45706</v>
      </c>
      <c r="MH2" s="57"/>
      <c r="MI2" s="56">
        <v>45707</v>
      </c>
      <c r="MJ2" s="57"/>
      <c r="MK2" s="56">
        <v>45708</v>
      </c>
      <c r="ML2" s="57"/>
      <c r="MM2" s="56">
        <v>45709</v>
      </c>
      <c r="MN2" s="57"/>
      <c r="MO2" s="56">
        <v>45710</v>
      </c>
      <c r="MP2" s="57"/>
      <c r="MQ2" s="56">
        <v>45711</v>
      </c>
      <c r="MR2" s="57"/>
      <c r="MS2" s="56">
        <v>45712</v>
      </c>
      <c r="MT2" s="57"/>
      <c r="MU2" s="56">
        <v>45713</v>
      </c>
      <c r="MV2" s="57"/>
      <c r="MW2" s="56">
        <v>45714</v>
      </c>
      <c r="MX2" s="57"/>
      <c r="MY2" s="56">
        <v>45715</v>
      </c>
      <c r="MZ2" s="57"/>
      <c r="NA2" s="56">
        <v>45716</v>
      </c>
      <c r="NB2" s="57"/>
      <c r="NC2" s="56">
        <v>45717</v>
      </c>
      <c r="ND2" s="57"/>
      <c r="NE2" s="56">
        <v>45718</v>
      </c>
      <c r="NF2" s="57"/>
      <c r="NG2" s="56">
        <v>45719</v>
      </c>
      <c r="NH2" s="57"/>
      <c r="NI2" s="56">
        <v>45720</v>
      </c>
      <c r="NJ2" s="57"/>
      <c r="NK2" s="56">
        <v>45721</v>
      </c>
      <c r="NL2" s="57"/>
      <c r="NM2" s="56">
        <v>45722</v>
      </c>
      <c r="NN2" s="57"/>
      <c r="NO2" s="56">
        <v>45723</v>
      </c>
      <c r="NP2" s="57"/>
      <c r="NQ2" s="56">
        <v>45724</v>
      </c>
      <c r="NR2" s="57"/>
      <c r="NS2" s="56">
        <v>45725</v>
      </c>
      <c r="NT2" s="57"/>
      <c r="NU2" s="56">
        <v>45726</v>
      </c>
      <c r="NV2" s="57"/>
      <c r="NW2" s="56">
        <v>45727</v>
      </c>
      <c r="NX2" s="57"/>
      <c r="NY2" s="56">
        <v>45728</v>
      </c>
      <c r="NZ2" s="57"/>
      <c r="OA2" s="56">
        <v>45729</v>
      </c>
      <c r="OB2" s="57"/>
      <c r="OC2" s="56">
        <v>45730</v>
      </c>
      <c r="OD2" s="57"/>
      <c r="OE2" s="56">
        <v>45731</v>
      </c>
      <c r="OF2" s="57"/>
      <c r="OG2" s="56">
        <v>45732</v>
      </c>
      <c r="OH2" s="57"/>
      <c r="OI2" s="56">
        <v>45733</v>
      </c>
      <c r="OJ2" s="57"/>
      <c r="OK2" s="56">
        <v>45734</v>
      </c>
      <c r="OL2" s="57"/>
      <c r="OM2" s="56">
        <v>45735</v>
      </c>
      <c r="ON2" s="57"/>
      <c r="OO2" s="56">
        <v>45736</v>
      </c>
      <c r="OP2" s="57"/>
      <c r="OQ2" s="56">
        <v>45737</v>
      </c>
      <c r="OR2" s="57"/>
      <c r="OS2" s="56">
        <v>45738</v>
      </c>
      <c r="OT2" s="57"/>
      <c r="OU2" s="56">
        <v>45739</v>
      </c>
      <c r="OV2" s="57"/>
      <c r="OW2" s="56">
        <v>45740</v>
      </c>
      <c r="OX2" s="57"/>
      <c r="OY2" s="56">
        <v>45741</v>
      </c>
      <c r="OZ2" s="57"/>
      <c r="PA2" s="56">
        <v>45742</v>
      </c>
      <c r="PB2" s="57"/>
      <c r="PC2" s="56">
        <v>45743</v>
      </c>
      <c r="PD2" s="57"/>
      <c r="PE2" s="56">
        <v>45744</v>
      </c>
      <c r="PF2" s="57"/>
      <c r="PG2" s="56">
        <v>45745</v>
      </c>
      <c r="PH2" s="57"/>
      <c r="PI2" s="56">
        <v>45746</v>
      </c>
      <c r="PJ2" s="57"/>
      <c r="PK2" s="56">
        <v>45747</v>
      </c>
      <c r="PL2" s="57"/>
      <c r="PM2" s="56">
        <v>45748</v>
      </c>
      <c r="PN2" s="57"/>
      <c r="PO2" s="56">
        <v>45749</v>
      </c>
      <c r="PP2" s="57"/>
      <c r="PQ2" s="56">
        <v>45750</v>
      </c>
      <c r="PR2" s="57"/>
      <c r="PS2" s="56">
        <v>45751</v>
      </c>
      <c r="PT2" s="57"/>
      <c r="PU2" s="56">
        <v>45752</v>
      </c>
      <c r="PV2" s="57"/>
      <c r="PW2" s="56">
        <v>45753</v>
      </c>
      <c r="PX2" s="57"/>
      <c r="PY2" s="56">
        <v>45754</v>
      </c>
      <c r="PZ2" s="57"/>
      <c r="QA2" s="56">
        <v>45755</v>
      </c>
      <c r="QB2" s="57"/>
      <c r="QC2" s="56">
        <v>45756</v>
      </c>
      <c r="QD2" s="57"/>
      <c r="QE2" s="56">
        <v>45757</v>
      </c>
      <c r="QF2" s="57"/>
      <c r="QG2" s="56">
        <v>45758</v>
      </c>
      <c r="QH2" s="57"/>
      <c r="QI2" s="56">
        <v>45759</v>
      </c>
      <c r="QJ2" s="57"/>
      <c r="QK2" s="56">
        <v>45760</v>
      </c>
      <c r="QL2" s="57"/>
      <c r="QM2" s="56">
        <v>45761</v>
      </c>
      <c r="QN2" s="57"/>
      <c r="QO2" s="56">
        <v>45762</v>
      </c>
      <c r="QP2" s="57"/>
      <c r="QQ2" s="56">
        <v>45763</v>
      </c>
      <c r="QR2" s="57"/>
      <c r="QS2" s="56">
        <v>45764</v>
      </c>
      <c r="QT2" s="57"/>
      <c r="QU2" s="56">
        <v>45765</v>
      </c>
      <c r="QV2" s="57"/>
      <c r="QW2" s="56">
        <v>45766</v>
      </c>
      <c r="QX2" s="57"/>
      <c r="QY2" s="56">
        <v>45770</v>
      </c>
      <c r="QZ2" s="57"/>
      <c r="RA2" s="56">
        <v>45775</v>
      </c>
      <c r="RB2" s="57"/>
      <c r="RC2" s="56">
        <v>45776</v>
      </c>
      <c r="RD2" s="57"/>
      <c r="RE2" s="56">
        <v>45777</v>
      </c>
      <c r="RF2" s="57"/>
      <c r="RG2" s="56">
        <v>45778</v>
      </c>
      <c r="RH2" s="57"/>
      <c r="RI2" s="56">
        <v>45779</v>
      </c>
      <c r="RJ2" s="57"/>
      <c r="RK2" s="56">
        <v>45780</v>
      </c>
      <c r="RL2" s="57"/>
      <c r="RM2" s="56">
        <v>45781</v>
      </c>
      <c r="RN2" s="57"/>
      <c r="RO2" s="56">
        <v>45782</v>
      </c>
      <c r="RP2" s="57"/>
      <c r="RQ2" s="56">
        <v>45783</v>
      </c>
      <c r="RR2" s="57"/>
      <c r="RS2" s="56">
        <v>45784</v>
      </c>
      <c r="RT2" s="57"/>
      <c r="RU2" s="56">
        <v>45785</v>
      </c>
      <c r="RV2" s="57"/>
      <c r="RW2" s="56">
        <v>45786</v>
      </c>
      <c r="RX2" s="57"/>
      <c r="RY2" s="56">
        <v>45787</v>
      </c>
      <c r="RZ2" s="57"/>
      <c r="SA2" s="56">
        <v>45788</v>
      </c>
      <c r="SB2" s="57"/>
      <c r="SC2" s="56">
        <v>45789</v>
      </c>
      <c r="SD2" s="57"/>
      <c r="SE2" s="56">
        <v>45790</v>
      </c>
      <c r="SF2" s="57"/>
      <c r="SG2" s="56">
        <v>45791</v>
      </c>
      <c r="SH2" s="57"/>
      <c r="SI2" s="56">
        <v>45792</v>
      </c>
      <c r="SJ2" s="57"/>
      <c r="SK2" s="56">
        <v>45793</v>
      </c>
      <c r="SL2" s="57"/>
      <c r="SM2" s="56">
        <v>45796</v>
      </c>
      <c r="SN2" s="57"/>
      <c r="SO2" s="56">
        <v>45797</v>
      </c>
      <c r="SP2" s="57"/>
      <c r="SQ2" s="56">
        <v>45798</v>
      </c>
      <c r="SR2" s="57"/>
      <c r="SS2" s="56">
        <v>45799</v>
      </c>
      <c r="ST2" s="57"/>
      <c r="SU2" s="56">
        <v>45800</v>
      </c>
      <c r="SV2" s="57"/>
      <c r="SW2" s="56">
        <v>45801</v>
      </c>
      <c r="SX2" s="57"/>
      <c r="SY2" s="56">
        <v>45802</v>
      </c>
      <c r="SZ2" s="57"/>
      <c r="TA2" s="56">
        <v>45803</v>
      </c>
      <c r="TB2" s="57"/>
      <c r="TC2" s="56">
        <v>45804</v>
      </c>
      <c r="TD2" s="57"/>
      <c r="TE2" s="56">
        <v>45805</v>
      </c>
      <c r="TF2" s="57"/>
      <c r="TG2" s="7"/>
      <c r="TH2" s="7"/>
    </row>
    <row r="3" spans="1:528" ht="127.8" thickBot="1" x14ac:dyDescent="0.3">
      <c r="A3" s="18"/>
      <c r="B3" s="19"/>
      <c r="C3" s="2" t="s">
        <v>941</v>
      </c>
      <c r="D3" s="2" t="s">
        <v>0</v>
      </c>
      <c r="E3" s="13"/>
      <c r="F3" s="14"/>
      <c r="G3" s="13"/>
      <c r="H3" s="14"/>
      <c r="I3" s="13"/>
      <c r="J3" s="14"/>
      <c r="K3" s="13"/>
      <c r="L3" s="14"/>
      <c r="M3" s="13"/>
      <c r="N3" s="14"/>
      <c r="O3" s="13"/>
      <c r="P3" s="14"/>
      <c r="Q3" s="13"/>
      <c r="R3" s="14"/>
      <c r="S3" s="13"/>
      <c r="T3" s="14"/>
      <c r="U3" s="13"/>
      <c r="V3" s="14"/>
      <c r="W3" s="13"/>
      <c r="X3" s="14"/>
      <c r="Y3" s="13"/>
      <c r="Z3" s="14"/>
      <c r="AA3" s="13"/>
      <c r="AB3" s="14"/>
      <c r="AC3" s="13"/>
      <c r="AD3" s="14"/>
      <c r="AE3" s="13"/>
      <c r="AF3" s="14"/>
      <c r="AG3" s="13"/>
      <c r="AH3" s="14"/>
      <c r="AI3" s="13"/>
      <c r="AJ3" s="14"/>
      <c r="AK3" s="13"/>
      <c r="AL3" s="14"/>
      <c r="AM3" s="13"/>
      <c r="AN3" s="14"/>
      <c r="AO3" s="13"/>
      <c r="AP3" s="14"/>
      <c r="AQ3" s="13"/>
      <c r="AR3" s="14"/>
      <c r="AS3" s="13"/>
      <c r="AT3" s="14"/>
      <c r="AU3" s="13"/>
      <c r="AV3" s="14"/>
      <c r="AW3" s="13"/>
      <c r="AX3" s="14"/>
      <c r="AY3" s="13"/>
      <c r="AZ3" s="14"/>
      <c r="BA3" s="13"/>
      <c r="BB3" s="14"/>
      <c r="BC3" s="13"/>
      <c r="BD3" s="14"/>
      <c r="BE3" s="13"/>
      <c r="BF3" s="14"/>
      <c r="BG3" s="13"/>
      <c r="BH3" s="14"/>
      <c r="BI3" s="13"/>
      <c r="BJ3" s="14"/>
      <c r="BK3" s="13"/>
      <c r="BL3" s="14"/>
      <c r="BM3" s="13"/>
      <c r="BN3" s="14"/>
      <c r="BO3" s="13"/>
      <c r="BP3" s="14"/>
      <c r="BQ3" s="13"/>
      <c r="BR3" s="14"/>
      <c r="BS3" s="13"/>
      <c r="BT3" s="14"/>
      <c r="BU3" s="13"/>
      <c r="BV3" s="14"/>
      <c r="BW3" s="13"/>
      <c r="BX3" s="14"/>
      <c r="BY3" s="13"/>
      <c r="BZ3" s="14"/>
      <c r="CA3" s="13"/>
      <c r="CB3" s="14"/>
      <c r="CC3" s="13"/>
      <c r="CD3" s="14"/>
      <c r="CE3" s="13"/>
      <c r="CF3" s="14"/>
      <c r="CG3" s="13"/>
      <c r="CH3" s="14"/>
      <c r="CI3" s="13"/>
      <c r="CJ3" s="14"/>
      <c r="CK3" s="13"/>
      <c r="CL3" s="14"/>
      <c r="CM3" s="13"/>
      <c r="CN3" s="14"/>
      <c r="CO3" s="13"/>
      <c r="CP3" s="14"/>
      <c r="CQ3" s="13"/>
      <c r="CR3" s="14"/>
      <c r="CS3" s="13"/>
      <c r="CT3" s="14"/>
      <c r="CU3" s="13"/>
      <c r="CV3" s="14"/>
      <c r="CW3" s="13"/>
      <c r="CX3" s="14"/>
      <c r="CY3" s="13"/>
      <c r="CZ3" s="14"/>
      <c r="DA3" s="13"/>
      <c r="DB3" s="14"/>
      <c r="DC3" s="13"/>
      <c r="DD3" s="14"/>
      <c r="DE3" s="13"/>
      <c r="DF3" s="14"/>
      <c r="DG3" s="13"/>
      <c r="DH3" s="14"/>
      <c r="DI3" s="13"/>
      <c r="DJ3" s="14"/>
      <c r="DK3" s="13"/>
      <c r="DL3" s="14"/>
      <c r="DM3" s="13"/>
      <c r="DN3" s="14"/>
      <c r="DO3" s="13"/>
      <c r="DP3" s="14"/>
      <c r="DQ3" s="13"/>
      <c r="DR3" s="14"/>
      <c r="DS3" s="13"/>
      <c r="DT3" s="14"/>
      <c r="DU3" s="13"/>
      <c r="DV3" s="14"/>
      <c r="DW3" s="13"/>
      <c r="DX3" s="14"/>
      <c r="DY3" s="13"/>
      <c r="DZ3" s="14"/>
      <c r="EA3" s="13"/>
      <c r="EB3" s="14"/>
      <c r="EC3" s="13"/>
      <c r="ED3" s="14"/>
      <c r="EE3" s="13"/>
      <c r="EF3" s="14"/>
      <c r="EG3" s="13"/>
      <c r="EH3" s="14"/>
      <c r="EI3" s="13"/>
      <c r="EJ3" s="14"/>
      <c r="EK3" s="13"/>
      <c r="EL3" s="14"/>
      <c r="EM3" s="13"/>
      <c r="EN3" s="14"/>
      <c r="EO3" s="13"/>
      <c r="EP3" s="14"/>
      <c r="EQ3" s="13"/>
      <c r="ER3" s="14"/>
      <c r="ES3" s="13"/>
      <c r="ET3" s="14"/>
      <c r="EU3" s="13"/>
      <c r="EV3" s="14"/>
      <c r="EW3" s="13"/>
      <c r="EX3" s="14"/>
      <c r="EY3" s="13"/>
      <c r="EZ3" s="14"/>
      <c r="FA3" s="13"/>
      <c r="FB3" s="14"/>
      <c r="FC3" s="13"/>
      <c r="FD3" s="14"/>
      <c r="FE3" s="13"/>
      <c r="FF3" s="14"/>
      <c r="FG3" s="13"/>
      <c r="FH3" s="14"/>
      <c r="FI3" s="13"/>
      <c r="FJ3" s="14"/>
      <c r="FK3" s="13"/>
      <c r="FL3" s="14"/>
      <c r="FM3" s="13"/>
      <c r="FN3" s="14"/>
      <c r="FO3" s="13"/>
      <c r="FP3" s="14"/>
      <c r="FQ3" s="13"/>
      <c r="FR3" s="14"/>
      <c r="FS3" s="13"/>
      <c r="FT3" s="14"/>
      <c r="FU3" s="13"/>
      <c r="FV3" s="14"/>
      <c r="FW3" s="13"/>
      <c r="FX3" s="14"/>
      <c r="FY3" s="13"/>
      <c r="FZ3" s="14"/>
      <c r="GA3" s="13"/>
      <c r="GB3" s="14"/>
      <c r="GC3" s="13"/>
      <c r="GD3" s="14"/>
      <c r="GE3" s="13"/>
      <c r="GF3" s="14"/>
      <c r="GG3" s="13"/>
      <c r="GH3" s="14"/>
      <c r="GI3" s="13"/>
      <c r="GJ3" s="14"/>
      <c r="GK3" s="13"/>
      <c r="GL3" s="14"/>
      <c r="GM3" s="13"/>
      <c r="GN3" s="14"/>
      <c r="GO3" s="13"/>
      <c r="GP3" s="14"/>
      <c r="GQ3" s="13"/>
      <c r="GR3" s="14"/>
      <c r="GS3" s="13"/>
      <c r="GT3" s="14"/>
      <c r="GU3" s="13"/>
      <c r="GV3" s="14"/>
      <c r="GW3" s="13"/>
      <c r="GX3" s="14"/>
      <c r="GY3" s="13"/>
      <c r="GZ3" s="14"/>
      <c r="HA3" s="13"/>
      <c r="HB3" s="14"/>
      <c r="HC3" s="13"/>
      <c r="HD3" s="14"/>
      <c r="HE3" s="13"/>
      <c r="HF3" s="14"/>
      <c r="HG3" s="13"/>
      <c r="HH3" s="14"/>
      <c r="HI3" s="13"/>
      <c r="HJ3" s="14"/>
      <c r="HK3" s="13"/>
      <c r="HL3" s="14"/>
      <c r="HM3" s="13"/>
      <c r="HN3" s="14"/>
      <c r="HO3" s="13"/>
      <c r="HP3" s="14"/>
      <c r="HQ3" s="13"/>
      <c r="HR3" s="14"/>
      <c r="HS3" s="13"/>
      <c r="HT3" s="14"/>
      <c r="HU3" s="13"/>
      <c r="HV3" s="14"/>
      <c r="HW3" s="13"/>
      <c r="HX3" s="14"/>
      <c r="HY3" s="13"/>
      <c r="HZ3" s="14"/>
      <c r="IA3" s="13"/>
      <c r="IB3" s="14"/>
      <c r="IC3" s="13"/>
      <c r="ID3" s="14"/>
      <c r="IE3" s="13"/>
      <c r="IF3" s="14"/>
      <c r="IG3" s="13"/>
      <c r="IH3" s="14"/>
      <c r="II3" s="13"/>
      <c r="IJ3" s="14"/>
      <c r="IK3" s="13"/>
      <c r="IL3" s="14"/>
      <c r="IM3" s="13"/>
      <c r="IN3" s="14"/>
      <c r="IO3" s="13"/>
      <c r="IP3" s="14"/>
      <c r="IQ3" s="13"/>
      <c r="IR3" s="14"/>
      <c r="IS3" s="13"/>
      <c r="IT3" s="14"/>
      <c r="IU3" s="13"/>
      <c r="IV3" s="14"/>
      <c r="IW3" s="13"/>
      <c r="IX3" s="14"/>
      <c r="IY3" s="13"/>
      <c r="IZ3" s="14"/>
      <c r="JA3" s="13"/>
      <c r="JB3" s="14"/>
      <c r="JC3" s="13"/>
      <c r="JD3" s="14"/>
      <c r="JE3" s="13"/>
      <c r="JF3" s="14"/>
      <c r="JG3" s="13"/>
      <c r="JH3" s="14"/>
      <c r="JI3" s="13"/>
      <c r="JJ3" s="14"/>
      <c r="JK3" s="13"/>
      <c r="JL3" s="14"/>
      <c r="JM3" s="13"/>
      <c r="JN3" s="14"/>
      <c r="JO3" s="13"/>
      <c r="JP3" s="14"/>
      <c r="JQ3" s="13"/>
      <c r="JR3" s="14"/>
      <c r="JS3" s="13"/>
      <c r="JT3" s="14"/>
      <c r="JU3" s="13"/>
      <c r="JV3" s="14"/>
      <c r="JW3" s="13"/>
      <c r="JX3" s="14"/>
      <c r="JY3" s="13"/>
      <c r="JZ3" s="14"/>
      <c r="KA3" s="13"/>
      <c r="KB3" s="14"/>
      <c r="KC3" s="13"/>
      <c r="KD3" s="14"/>
      <c r="KE3" s="13"/>
      <c r="KF3" s="14"/>
      <c r="KG3" s="13"/>
      <c r="KH3" s="14"/>
      <c r="KI3" s="13"/>
      <c r="KJ3" s="14"/>
      <c r="KK3" s="13"/>
      <c r="KL3" s="14"/>
      <c r="KM3" s="13"/>
      <c r="KN3" s="14"/>
      <c r="KO3" s="13"/>
      <c r="KP3" s="14"/>
      <c r="KQ3" s="13"/>
      <c r="KR3" s="14"/>
      <c r="KS3" s="13"/>
      <c r="KT3" s="14"/>
      <c r="KU3" s="13"/>
      <c r="KV3" s="14"/>
      <c r="KW3" s="13"/>
      <c r="KX3" s="14"/>
      <c r="KY3" s="13"/>
      <c r="KZ3" s="14"/>
      <c r="LA3" s="13"/>
      <c r="LB3" s="14"/>
      <c r="LC3" s="13"/>
      <c r="LD3" s="14"/>
      <c r="LE3" s="13"/>
      <c r="LF3" s="14"/>
      <c r="LG3" s="13"/>
      <c r="LH3" s="14"/>
      <c r="LI3" s="13"/>
      <c r="LJ3" s="14"/>
      <c r="LK3" s="13"/>
      <c r="LL3" s="14"/>
      <c r="LM3" s="13"/>
      <c r="LN3" s="14"/>
      <c r="LO3" s="13"/>
      <c r="LP3" s="14"/>
      <c r="LQ3" s="13"/>
      <c r="LR3" s="14"/>
      <c r="LS3" s="13"/>
      <c r="LT3" s="14"/>
      <c r="LU3" s="13"/>
      <c r="LV3" s="14"/>
      <c r="LW3" s="13"/>
      <c r="LX3" s="14"/>
      <c r="LY3" s="13"/>
      <c r="LZ3" s="14"/>
      <c r="MA3" s="13"/>
      <c r="MB3" s="14"/>
      <c r="MC3" s="13"/>
      <c r="MD3" s="14"/>
      <c r="ME3" s="13"/>
      <c r="MF3" s="14"/>
      <c r="MG3" s="13"/>
      <c r="MH3" s="14"/>
      <c r="MI3" s="13"/>
      <c r="MJ3" s="14"/>
      <c r="MK3" s="13"/>
      <c r="ML3" s="14"/>
      <c r="MM3" s="13"/>
      <c r="MN3" s="14"/>
      <c r="MO3" s="13"/>
      <c r="MP3" s="14"/>
      <c r="MQ3" s="13"/>
      <c r="MR3" s="14"/>
      <c r="MS3" s="13"/>
      <c r="MT3" s="14"/>
      <c r="MU3" s="13"/>
      <c r="MV3" s="14"/>
      <c r="MW3" s="13"/>
      <c r="MX3" s="14"/>
      <c r="MY3" s="13"/>
      <c r="MZ3" s="14"/>
      <c r="NA3" s="13"/>
      <c r="NB3" s="14"/>
      <c r="NC3" s="13"/>
      <c r="ND3" s="14"/>
      <c r="NE3" s="13"/>
      <c r="NF3" s="14"/>
      <c r="NG3" s="13"/>
      <c r="NH3" s="14"/>
      <c r="NI3" s="13"/>
      <c r="NJ3" s="14"/>
      <c r="NK3" s="13"/>
      <c r="NL3" s="14"/>
      <c r="NM3" s="13"/>
      <c r="NN3" s="14"/>
      <c r="NO3" s="13"/>
      <c r="NP3" s="14"/>
      <c r="NQ3" s="13"/>
      <c r="NR3" s="14"/>
      <c r="NS3" s="13"/>
      <c r="NT3" s="14"/>
      <c r="NU3" s="13"/>
      <c r="NV3" s="14"/>
      <c r="NW3" s="13"/>
      <c r="NX3" s="14"/>
      <c r="NY3" s="13"/>
      <c r="NZ3" s="14"/>
      <c r="OA3" s="13"/>
      <c r="OB3" s="14"/>
      <c r="OC3" s="13"/>
      <c r="OD3" s="14"/>
      <c r="OE3" s="13"/>
      <c r="OF3" s="14"/>
      <c r="OG3" s="13"/>
      <c r="OH3" s="14"/>
      <c r="OI3" s="13"/>
      <c r="OJ3" s="14"/>
      <c r="OK3" s="13"/>
      <c r="OL3" s="14"/>
      <c r="OM3" s="13"/>
      <c r="ON3" s="14"/>
      <c r="OO3" s="13"/>
      <c r="OP3" s="14"/>
      <c r="OQ3" s="13"/>
      <c r="OR3" s="14"/>
      <c r="OS3" s="13"/>
      <c r="OT3" s="14"/>
      <c r="OU3" s="13"/>
      <c r="OV3" s="14"/>
      <c r="OW3" s="13"/>
      <c r="OX3" s="14"/>
      <c r="OY3" s="13"/>
      <c r="OZ3" s="14"/>
      <c r="PA3" s="13"/>
      <c r="PB3" s="14"/>
      <c r="PC3" s="13"/>
      <c r="PD3" s="14"/>
      <c r="PE3" s="13"/>
      <c r="PF3" s="14"/>
      <c r="PG3" s="13"/>
      <c r="PH3" s="14"/>
      <c r="PI3" s="13"/>
      <c r="PJ3" s="14"/>
      <c r="PK3" s="13"/>
      <c r="PL3" s="14"/>
      <c r="PM3" s="13"/>
      <c r="PN3" s="14"/>
      <c r="PO3" s="13"/>
      <c r="PP3" s="14"/>
      <c r="PQ3" s="13"/>
      <c r="PR3" s="14"/>
      <c r="PS3" s="13"/>
      <c r="PT3" s="14"/>
      <c r="PU3" s="13"/>
      <c r="PV3" s="14"/>
      <c r="PW3" s="13"/>
      <c r="PX3" s="14"/>
      <c r="PY3" s="13"/>
      <c r="PZ3" s="14"/>
      <c r="QA3" s="13"/>
      <c r="QB3" s="14"/>
      <c r="QC3" s="13"/>
      <c r="QD3" s="14"/>
      <c r="QE3" s="13"/>
      <c r="QF3" s="14"/>
      <c r="QG3" s="13"/>
      <c r="QH3" s="14"/>
      <c r="QI3" s="13"/>
      <c r="QJ3" s="14"/>
      <c r="QK3" s="13"/>
      <c r="QL3" s="14"/>
      <c r="QM3" s="13"/>
      <c r="QN3" s="14"/>
      <c r="QO3" s="13"/>
      <c r="QP3" s="14"/>
      <c r="QQ3" s="13"/>
      <c r="QR3" s="14"/>
      <c r="QS3" s="13"/>
      <c r="QT3" s="14"/>
      <c r="QU3" s="13"/>
      <c r="QV3" s="14"/>
      <c r="QW3" s="13"/>
      <c r="QX3" s="14"/>
      <c r="QY3" s="13"/>
      <c r="QZ3" s="14"/>
      <c r="RA3" s="13"/>
      <c r="RB3" s="14"/>
      <c r="RC3" s="13"/>
      <c r="RD3" s="14"/>
      <c r="RE3" s="13"/>
      <c r="RF3" s="14"/>
      <c r="RG3" s="13"/>
      <c r="RH3" s="14"/>
      <c r="RI3" s="13"/>
      <c r="RJ3" s="14"/>
      <c r="RK3" s="13"/>
      <c r="RL3" s="14"/>
      <c r="RM3" s="13"/>
      <c r="RN3" s="14"/>
      <c r="RO3" s="13"/>
      <c r="RP3" s="14"/>
      <c r="RQ3" s="13"/>
      <c r="RR3" s="14"/>
      <c r="RS3" s="13"/>
      <c r="RT3" s="14"/>
      <c r="RU3" s="13"/>
      <c r="RV3" s="14"/>
      <c r="RW3" s="13"/>
      <c r="RX3" s="14"/>
      <c r="RY3" s="13"/>
      <c r="RZ3" s="14"/>
      <c r="SA3" s="13"/>
      <c r="SB3" s="14"/>
      <c r="SC3" s="13"/>
      <c r="SD3" s="14"/>
      <c r="SE3" s="13"/>
      <c r="SF3" s="14"/>
      <c r="SG3" s="13"/>
      <c r="SH3" s="14"/>
      <c r="SI3" s="13"/>
      <c r="SJ3" s="14"/>
      <c r="SK3" s="13"/>
      <c r="SL3" s="14"/>
      <c r="SM3" s="13"/>
      <c r="SN3" s="14"/>
      <c r="SO3" s="13"/>
      <c r="SP3" s="14"/>
      <c r="SQ3" s="13"/>
      <c r="SR3" s="14"/>
      <c r="SS3" s="13"/>
      <c r="ST3" s="14"/>
      <c r="SU3" s="13"/>
      <c r="SV3" s="14"/>
      <c r="SW3" s="13"/>
      <c r="SX3" s="14"/>
      <c r="SY3" s="13"/>
      <c r="SZ3" s="14"/>
      <c r="TA3" s="13"/>
      <c r="TB3" s="14"/>
      <c r="TC3" s="13"/>
      <c r="TD3" s="14"/>
      <c r="TE3" s="13"/>
      <c r="TF3" s="14"/>
      <c r="TG3" s="12" t="s">
        <v>147</v>
      </c>
      <c r="TH3" s="8" t="s">
        <v>148</v>
      </c>
    </row>
    <row r="4" spans="1:528" ht="16.2" customHeight="1" thickBot="1" x14ac:dyDescent="0.35">
      <c r="A4" s="20" t="s">
        <v>162</v>
      </c>
      <c r="B4" s="20" t="s">
        <v>1</v>
      </c>
      <c r="C4" s="3"/>
      <c r="D4" s="2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1"/>
      <c r="TH4" s="9"/>
    </row>
    <row r="5" spans="1:528" ht="16.2" customHeight="1" thickBot="1" x14ac:dyDescent="0.35">
      <c r="A5" s="22"/>
      <c r="B5" s="23" t="s">
        <v>2</v>
      </c>
      <c r="C5" s="4"/>
      <c r="D5" s="24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1"/>
      <c r="TH5" s="9"/>
    </row>
    <row r="6" spans="1:528" ht="15.6" customHeight="1" thickBot="1" x14ac:dyDescent="0.3">
      <c r="A6" s="25" t="s">
        <v>163</v>
      </c>
      <c r="B6" s="26" t="s">
        <v>3</v>
      </c>
      <c r="C6" s="3">
        <f>AGOSTO!D6</f>
        <v>283</v>
      </c>
      <c r="D6" s="55">
        <f t="shared" ref="D6:D69" si="0">C6+SUM(E6:TF6)</f>
        <v>99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>
        <v>-5</v>
      </c>
      <c r="AS6" s="10"/>
      <c r="AT6" s="10"/>
      <c r="AU6" s="10"/>
      <c r="AV6" s="10"/>
      <c r="AW6" s="10"/>
      <c r="AX6" s="10"/>
      <c r="AY6" s="10"/>
      <c r="AZ6" s="10"/>
      <c r="BA6" s="10"/>
      <c r="BB6" s="10">
        <v>-42</v>
      </c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>
        <v>-10</v>
      </c>
      <c r="BQ6" s="10"/>
      <c r="BR6" s="10"/>
      <c r="BS6" s="10"/>
      <c r="BT6" s="10"/>
      <c r="BU6" s="10"/>
      <c r="BV6" s="10"/>
      <c r="BW6" s="10"/>
      <c r="BX6" s="10"/>
      <c r="BY6" s="10"/>
      <c r="BZ6" s="10">
        <f>-94-18</f>
        <v>-112</v>
      </c>
      <c r="CA6" s="10"/>
      <c r="CB6" s="10"/>
      <c r="CC6" s="10">
        <v>72</v>
      </c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>
        <v>-4</v>
      </c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>
        <v>-15</v>
      </c>
      <c r="DQ6" s="10"/>
      <c r="DR6" s="10">
        <v>-42</v>
      </c>
      <c r="DS6" s="10"/>
      <c r="DT6" s="10"/>
      <c r="DU6" s="10"/>
      <c r="DV6" s="10">
        <v>-10</v>
      </c>
      <c r="DW6" s="10"/>
      <c r="DX6" s="10"/>
      <c r="DY6" s="10"/>
      <c r="DZ6" s="10"/>
      <c r="EA6" s="10"/>
      <c r="EB6" s="10"/>
      <c r="EC6" s="10"/>
      <c r="ED6" s="10">
        <v>-70</v>
      </c>
      <c r="EE6" s="10"/>
      <c r="EF6" s="10"/>
      <c r="EG6" s="10">
        <v>100</v>
      </c>
      <c r="EH6" s="10">
        <v>-3</v>
      </c>
      <c r="EI6" s="10"/>
      <c r="EJ6" s="10"/>
      <c r="EK6" s="10"/>
      <c r="EL6" s="10"/>
      <c r="EM6" s="10"/>
      <c r="EN6" s="10"/>
      <c r="EO6" s="10"/>
      <c r="EP6" s="10"/>
      <c r="EQ6" s="10"/>
      <c r="ER6" s="10">
        <v>-19</v>
      </c>
      <c r="ES6" s="10">
        <v>36</v>
      </c>
      <c r="ET6" s="10">
        <v>-24</v>
      </c>
      <c r="EU6" s="10"/>
      <c r="EV6" s="10">
        <v>-74</v>
      </c>
      <c r="EW6" s="10">
        <v>79</v>
      </c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>
        <v>-10</v>
      </c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>
        <v>-5</v>
      </c>
      <c r="GI6" s="10"/>
      <c r="GJ6" s="10"/>
      <c r="GK6" s="10"/>
      <c r="GL6" s="10"/>
      <c r="GM6" s="10"/>
      <c r="GN6" s="10"/>
      <c r="GO6" s="10"/>
      <c r="GP6" s="10"/>
      <c r="GQ6" s="10"/>
      <c r="GR6" s="10">
        <v>-56</v>
      </c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>
        <v>-3</v>
      </c>
      <c r="HE6" s="10"/>
      <c r="HF6" s="10"/>
      <c r="HG6" s="10"/>
      <c r="HH6" s="10"/>
      <c r="HI6" s="10"/>
      <c r="HJ6" s="10"/>
      <c r="HK6" s="10"/>
      <c r="HL6" s="10"/>
      <c r="HM6" s="10"/>
      <c r="HN6" s="10">
        <v>-28</v>
      </c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4">
        <v>61</v>
      </c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1">
        <f t="shared" ref="TG6:TG69" si="1">TE6+BG6+BE6+BC6+BA6+AY6+AW6+AU6+AS6+AQ6+AO6+AM6+AK6+AI6+AG6+AE6+AC6+AA6+Y6+W6+U6+S6+Q6+O6+M6+K6+I6+G6+E6</f>
        <v>0</v>
      </c>
      <c r="TH6" s="9">
        <f t="shared" ref="TH6:TH69" si="2">TF6+BH6+BF6+BD6+BB6+AZ6+AX6+AV6+AT6+AR6+AP6+AN6+AL6+AJ6+AH6+AF6+AD6+AB6+Z6+X6+V6+T6+R6+P6+N6+L6+J6+H6+F6</f>
        <v>-47</v>
      </c>
    </row>
    <row r="7" spans="1:528" ht="15.6" customHeight="1" thickBot="1" x14ac:dyDescent="0.3">
      <c r="A7" s="25" t="s">
        <v>331</v>
      </c>
      <c r="B7" s="26" t="s">
        <v>4</v>
      </c>
      <c r="C7" s="3">
        <f>AGOSTO!D7</f>
        <v>105</v>
      </c>
      <c r="D7" s="55">
        <f t="shared" si="0"/>
        <v>69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>
        <v>-1</v>
      </c>
      <c r="BC7" s="10"/>
      <c r="BD7" s="10"/>
      <c r="BE7" s="10"/>
      <c r="BF7" s="10"/>
      <c r="BG7" s="10"/>
      <c r="BH7" s="10"/>
      <c r="BI7" s="10"/>
      <c r="BJ7" s="10"/>
      <c r="BK7" s="10"/>
      <c r="BL7" s="10">
        <v>-16</v>
      </c>
      <c r="BM7" s="10"/>
      <c r="BN7" s="10"/>
      <c r="BO7" s="10"/>
      <c r="BP7" s="10">
        <v>-10</v>
      </c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>
        <v>-3</v>
      </c>
      <c r="EI7" s="10"/>
      <c r="EJ7" s="10"/>
      <c r="EK7" s="10"/>
      <c r="EL7" s="10"/>
      <c r="EM7" s="10"/>
      <c r="EN7" s="10"/>
      <c r="EO7" s="10"/>
      <c r="EP7" s="10"/>
      <c r="EQ7" s="10"/>
      <c r="ER7" s="10">
        <v>-5</v>
      </c>
      <c r="ES7" s="10"/>
      <c r="ET7" s="10"/>
      <c r="EU7" s="10"/>
      <c r="EV7" s="10">
        <v>-5</v>
      </c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>
        <v>-5</v>
      </c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>
        <v>60</v>
      </c>
      <c r="SH7" s="10">
        <v>-51</v>
      </c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1">
        <f t="shared" si="1"/>
        <v>0</v>
      </c>
      <c r="TH7" s="9">
        <f t="shared" si="2"/>
        <v>-1</v>
      </c>
    </row>
    <row r="8" spans="1:528" ht="15.6" customHeight="1" thickBot="1" x14ac:dyDescent="0.3">
      <c r="A8" s="25" t="s">
        <v>353</v>
      </c>
      <c r="B8" s="26" t="s">
        <v>27</v>
      </c>
      <c r="C8" s="3">
        <f>AGOSTO!D8</f>
        <v>0</v>
      </c>
      <c r="D8" s="55">
        <f t="shared" si="0"/>
        <v>33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>
        <v>102</v>
      </c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>
        <v>-5</v>
      </c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>
        <v>87</v>
      </c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>
        <v>-4</v>
      </c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>
        <v>-30</v>
      </c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>
        <v>-60</v>
      </c>
      <c r="EE8" s="10"/>
      <c r="EF8" s="10"/>
      <c r="EG8" s="10"/>
      <c r="EH8" s="10">
        <v>-8</v>
      </c>
      <c r="EI8" s="10"/>
      <c r="EJ8" s="10"/>
      <c r="EK8" s="10"/>
      <c r="EL8" s="10"/>
      <c r="EM8" s="10"/>
      <c r="EN8" s="10"/>
      <c r="EO8" s="10"/>
      <c r="EP8" s="10"/>
      <c r="EQ8" s="10"/>
      <c r="ER8" s="10">
        <v>-12</v>
      </c>
      <c r="ES8" s="10"/>
      <c r="ET8" s="10">
        <v>-12</v>
      </c>
      <c r="EU8" s="10"/>
      <c r="EV8" s="10">
        <v>-5</v>
      </c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>
        <v>-5</v>
      </c>
      <c r="FU8" s="10"/>
      <c r="FV8" s="10"/>
      <c r="FW8" s="10"/>
      <c r="FX8" s="10">
        <v>-7</v>
      </c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>
        <v>-3</v>
      </c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>
        <v>-5</v>
      </c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1">
        <f t="shared" si="1"/>
        <v>102</v>
      </c>
      <c r="TH8" s="9">
        <f t="shared" si="2"/>
        <v>-5</v>
      </c>
    </row>
    <row r="9" spans="1:528" ht="15.6" customHeight="1" thickBot="1" x14ac:dyDescent="0.3">
      <c r="A9" s="25" t="s">
        <v>164</v>
      </c>
      <c r="B9" s="26" t="s">
        <v>5</v>
      </c>
      <c r="C9" s="3">
        <f>AGOSTO!D9</f>
        <v>0</v>
      </c>
      <c r="D9" s="55">
        <f t="shared" si="0"/>
        <v>71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>
        <v>93</v>
      </c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>
        <f>112+45</f>
        <v>157</v>
      </c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>
        <f>-112-45-11</f>
        <v>-168</v>
      </c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>
        <v>-10</v>
      </c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>
        <v>-2</v>
      </c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>
        <v>-61</v>
      </c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>
        <v>19</v>
      </c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>
        <v>-14</v>
      </c>
      <c r="GS9" s="10"/>
      <c r="GT9" s="10"/>
      <c r="GU9" s="10"/>
      <c r="GV9" s="10"/>
      <c r="GW9" s="10"/>
      <c r="GX9" s="10"/>
      <c r="GY9" s="10"/>
      <c r="GZ9" s="10">
        <v>-14</v>
      </c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>
        <v>71</v>
      </c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1">
        <f t="shared" si="1"/>
        <v>93</v>
      </c>
      <c r="TH9" s="9">
        <f t="shared" si="2"/>
        <v>0</v>
      </c>
    </row>
    <row r="10" spans="1:528" ht="15.6" customHeight="1" thickBot="1" x14ac:dyDescent="0.3">
      <c r="A10" s="25" t="s">
        <v>165</v>
      </c>
      <c r="B10" s="26" t="s">
        <v>6</v>
      </c>
      <c r="C10" s="3">
        <f>AGOSTO!D10</f>
        <v>0</v>
      </c>
      <c r="D10" s="55">
        <f t="shared" si="0"/>
        <v>112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>
        <v>113</v>
      </c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>
        <v>-2</v>
      </c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>
        <v>-5</v>
      </c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>
        <v>3</v>
      </c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>
        <v>3</v>
      </c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1">
        <f t="shared" si="1"/>
        <v>113</v>
      </c>
      <c r="TH10" s="9">
        <f t="shared" si="2"/>
        <v>0</v>
      </c>
    </row>
    <row r="11" spans="1:528" ht="15.6" customHeight="1" thickBot="1" x14ac:dyDescent="0.3">
      <c r="A11" s="25" t="s">
        <v>330</v>
      </c>
      <c r="B11" s="26" t="s">
        <v>7</v>
      </c>
      <c r="C11" s="3">
        <f>AGOSTO!D11</f>
        <v>0</v>
      </c>
      <c r="D11" s="21">
        <f t="shared" si="0"/>
        <v>0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 t="s">
        <v>1132</v>
      </c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1">
        <f t="shared" si="1"/>
        <v>0</v>
      </c>
      <c r="TH11" s="9">
        <f t="shared" si="2"/>
        <v>0</v>
      </c>
    </row>
    <row r="12" spans="1:528" ht="15.6" customHeight="1" thickBot="1" x14ac:dyDescent="0.3">
      <c r="A12" s="25" t="s">
        <v>166</v>
      </c>
      <c r="B12" s="26" t="s">
        <v>8</v>
      </c>
      <c r="C12" s="3">
        <f>AGOSTO!D12</f>
        <v>0</v>
      </c>
      <c r="D12" s="55">
        <f t="shared" si="0"/>
        <v>28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>
        <v>85</v>
      </c>
      <c r="CF12" s="10"/>
      <c r="CG12" s="10"/>
      <c r="CH12" s="10"/>
      <c r="CI12" s="10"/>
      <c r="CJ12" s="10"/>
      <c r="CK12" s="10"/>
      <c r="CL12" s="10"/>
      <c r="CM12" s="10">
        <v>12</v>
      </c>
      <c r="CN12" s="10">
        <v>-44</v>
      </c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>
        <v>-2</v>
      </c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>
        <v>-5</v>
      </c>
      <c r="EW12" s="10"/>
      <c r="EX12" s="10">
        <v>-10</v>
      </c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>
        <v>-2</v>
      </c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>
        <v>-3</v>
      </c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>
        <f>-2-1</f>
        <v>-3</v>
      </c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1">
        <f t="shared" si="1"/>
        <v>0</v>
      </c>
      <c r="TH12" s="9">
        <f t="shared" si="2"/>
        <v>0</v>
      </c>
    </row>
    <row r="13" spans="1:528" ht="16.2" customHeight="1" thickBot="1" x14ac:dyDescent="0.35">
      <c r="A13" s="25"/>
      <c r="B13" s="23" t="s">
        <v>15</v>
      </c>
      <c r="C13" s="3">
        <f>AGOSTO!D13</f>
        <v>0</v>
      </c>
      <c r="D13" s="21">
        <f t="shared" si="0"/>
        <v>0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1">
        <f t="shared" si="1"/>
        <v>0</v>
      </c>
      <c r="TH13" s="9">
        <f t="shared" si="2"/>
        <v>0</v>
      </c>
    </row>
    <row r="14" spans="1:528" ht="15.6" customHeight="1" thickBot="1" x14ac:dyDescent="0.3">
      <c r="A14" s="25" t="s">
        <v>195</v>
      </c>
      <c r="B14" s="18" t="s">
        <v>193</v>
      </c>
      <c r="C14" s="3">
        <f>AGOSTO!D14</f>
        <v>241</v>
      </c>
      <c r="D14" s="55">
        <f t="shared" si="0"/>
        <v>229</v>
      </c>
      <c r="E14" s="10"/>
      <c r="F14" s="10"/>
      <c r="G14" s="10"/>
      <c r="H14" s="10"/>
      <c r="I14" s="10"/>
      <c r="J14" s="10"/>
      <c r="K14" s="10"/>
      <c r="L14" s="10">
        <v>-13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>
        <v>-3</v>
      </c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>
        <v>-1</v>
      </c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>
        <v>-1</v>
      </c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3">
        <v>43</v>
      </c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>
        <v>-5</v>
      </c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>
        <v>-32</v>
      </c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1">
        <f t="shared" si="1"/>
        <v>0</v>
      </c>
      <c r="TH14" s="9">
        <f t="shared" si="2"/>
        <v>-13</v>
      </c>
    </row>
    <row r="15" spans="1:528" ht="15.6" customHeight="1" thickBot="1" x14ac:dyDescent="0.3">
      <c r="A15" s="25" t="s">
        <v>196</v>
      </c>
      <c r="B15" s="18" t="s">
        <v>194</v>
      </c>
      <c r="C15" s="3">
        <f>AGOSTO!D15</f>
        <v>124</v>
      </c>
      <c r="D15" s="55">
        <f t="shared" si="0"/>
        <v>58</v>
      </c>
      <c r="E15" s="10"/>
      <c r="F15" s="10"/>
      <c r="G15" s="10"/>
      <c r="H15" s="10"/>
      <c r="I15" s="10"/>
      <c r="J15" s="10"/>
      <c r="K15" s="10"/>
      <c r="L15" s="10">
        <v>-10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>
        <v>-3</v>
      </c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>
        <v>-5</v>
      </c>
      <c r="FU15" s="10"/>
      <c r="FV15" s="10"/>
      <c r="FW15" s="10"/>
      <c r="FX15" s="10"/>
      <c r="FY15" s="10"/>
      <c r="FZ15" s="10">
        <v>-5</v>
      </c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>
        <v>-5</v>
      </c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>
        <v>-38</v>
      </c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1">
        <f t="shared" si="1"/>
        <v>0</v>
      </c>
      <c r="TH15" s="9">
        <f t="shared" si="2"/>
        <v>-10</v>
      </c>
    </row>
    <row r="16" spans="1:528" ht="15.6" customHeight="1" thickBot="1" x14ac:dyDescent="0.3">
      <c r="A16" s="25" t="s">
        <v>197</v>
      </c>
      <c r="B16" s="18" t="s">
        <v>16</v>
      </c>
      <c r="C16" s="3">
        <f>AGOSTO!D16</f>
        <v>268</v>
      </c>
      <c r="D16" s="55">
        <f t="shared" si="0"/>
        <v>34</v>
      </c>
      <c r="E16" s="10"/>
      <c r="F16" s="10"/>
      <c r="G16" s="10"/>
      <c r="H16" s="10"/>
      <c r="I16" s="10"/>
      <c r="J16" s="10"/>
      <c r="K16" s="10"/>
      <c r="L16" s="10">
        <v>-10</v>
      </c>
      <c r="M16" s="10"/>
      <c r="N16" s="10"/>
      <c r="O16" s="10"/>
      <c r="P16" s="10">
        <v>-6</v>
      </c>
      <c r="Q16" s="10">
        <v>56</v>
      </c>
      <c r="R16" s="10"/>
      <c r="S16" s="10"/>
      <c r="T16" s="10"/>
      <c r="U16" s="10"/>
      <c r="V16" s="10"/>
      <c r="W16" s="10"/>
      <c r="X16" s="10"/>
      <c r="Y16" s="10">
        <f>76</f>
        <v>76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>
        <v>-139</v>
      </c>
      <c r="AQ16" s="10"/>
      <c r="AR16" s="10">
        <f>-4-4</f>
        <v>-8</v>
      </c>
      <c r="AS16" s="10">
        <v>54</v>
      </c>
      <c r="AT16" s="10"/>
      <c r="AU16" s="10"/>
      <c r="AV16" s="10"/>
      <c r="AW16" s="10"/>
      <c r="AX16" s="10"/>
      <c r="AY16" s="10">
        <v>66</v>
      </c>
      <c r="AZ16" s="10">
        <v>-138</v>
      </c>
      <c r="BA16" s="10"/>
      <c r="BB16" s="10">
        <v>-20</v>
      </c>
      <c r="BC16" s="10"/>
      <c r="BD16" s="10"/>
      <c r="BE16" s="10"/>
      <c r="BF16" s="10"/>
      <c r="BG16" s="10"/>
      <c r="BH16" s="10">
        <v>-6</v>
      </c>
      <c r="BI16" s="10"/>
      <c r="BJ16" s="10"/>
      <c r="BK16" s="10"/>
      <c r="BL16" s="10"/>
      <c r="BM16" s="10"/>
      <c r="BN16" s="10">
        <v>-13</v>
      </c>
      <c r="BO16" s="10"/>
      <c r="BP16" s="10">
        <f>-5-2</f>
        <v>-7</v>
      </c>
      <c r="BQ16" s="10"/>
      <c r="BR16" s="10"/>
      <c r="BS16" s="10"/>
      <c r="BT16" s="10"/>
      <c r="BU16" s="10"/>
      <c r="BV16" s="10">
        <v>-8</v>
      </c>
      <c r="BW16" s="10"/>
      <c r="BX16" s="10"/>
      <c r="BY16" s="10"/>
      <c r="BZ16" s="10"/>
      <c r="CA16" s="10"/>
      <c r="CB16" s="10"/>
      <c r="CC16" s="10"/>
      <c r="CD16" s="10">
        <f>-3-1-2-10-7</f>
        <v>-23</v>
      </c>
      <c r="CE16" s="10"/>
      <c r="CF16" s="10">
        <v>-29</v>
      </c>
      <c r="CG16" s="10">
        <v>62</v>
      </c>
      <c r="CH16" s="10">
        <v>-38</v>
      </c>
      <c r="CI16" s="10"/>
      <c r="CJ16" s="10">
        <v>-8</v>
      </c>
      <c r="CK16" s="10"/>
      <c r="CL16" s="10"/>
      <c r="CM16" s="10"/>
      <c r="CN16" s="10">
        <v>-1</v>
      </c>
      <c r="CO16" s="10"/>
      <c r="CP16" s="10"/>
      <c r="CQ16" s="10">
        <f>66+13+63</f>
        <v>142</v>
      </c>
      <c r="CR16" s="10"/>
      <c r="CS16" s="10"/>
      <c r="CT16" s="10">
        <v>-16</v>
      </c>
      <c r="CU16" s="10">
        <v>76</v>
      </c>
      <c r="CV16" s="10"/>
      <c r="CW16" s="10"/>
      <c r="CX16" s="10"/>
      <c r="CY16" s="10"/>
      <c r="CZ16" s="10"/>
      <c r="DA16" s="10"/>
      <c r="DB16" s="10">
        <v>-18</v>
      </c>
      <c r="DC16" s="10"/>
      <c r="DD16" s="10">
        <v>-8</v>
      </c>
      <c r="DE16" s="10"/>
      <c r="DF16" s="10"/>
      <c r="DG16" s="10"/>
      <c r="DH16" s="10">
        <v>-22</v>
      </c>
      <c r="DI16" s="10"/>
      <c r="DJ16" s="10">
        <v>-7</v>
      </c>
      <c r="DK16" s="10"/>
      <c r="DL16" s="10">
        <v>-55</v>
      </c>
      <c r="DM16" s="10"/>
      <c r="DN16" s="10"/>
      <c r="DO16" s="10"/>
      <c r="DP16" s="10">
        <v>-39</v>
      </c>
      <c r="DQ16" s="10">
        <v>19</v>
      </c>
      <c r="DR16" s="10"/>
      <c r="DS16" s="10">
        <v>2</v>
      </c>
      <c r="DT16" s="10">
        <v>-77</v>
      </c>
      <c r="DU16" s="10"/>
      <c r="DV16" s="10">
        <f>-7-5</f>
        <v>-12</v>
      </c>
      <c r="DW16" s="10"/>
      <c r="DX16" s="10"/>
      <c r="DY16" s="10"/>
      <c r="DZ16" s="10"/>
      <c r="EA16" s="10"/>
      <c r="EB16" s="10"/>
      <c r="EC16" s="10">
        <v>83</v>
      </c>
      <c r="ED16" s="10">
        <v>-38</v>
      </c>
      <c r="EE16" s="10"/>
      <c r="EF16" s="10">
        <v>-3</v>
      </c>
      <c r="EG16" s="10"/>
      <c r="EH16" s="10">
        <v>-82</v>
      </c>
      <c r="EI16" s="10"/>
      <c r="EJ16" s="10">
        <v>-9</v>
      </c>
      <c r="EK16" s="10"/>
      <c r="EL16" s="10">
        <v>-4</v>
      </c>
      <c r="EM16" s="10"/>
      <c r="EN16" s="10">
        <v>-5</v>
      </c>
      <c r="EO16" s="10"/>
      <c r="EP16" s="10"/>
      <c r="EQ16" s="10"/>
      <c r="ER16" s="10">
        <v>-6</v>
      </c>
      <c r="ES16" s="10"/>
      <c r="ET16" s="10">
        <v>-22</v>
      </c>
      <c r="EU16" s="10"/>
      <c r="EV16" s="10">
        <v>-6</v>
      </c>
      <c r="EW16" s="10"/>
      <c r="EX16" s="10">
        <v>-17</v>
      </c>
      <c r="EY16" s="10"/>
      <c r="EZ16" s="10">
        <v>-3</v>
      </c>
      <c r="FA16" s="10"/>
      <c r="FB16" s="10"/>
      <c r="FC16" s="10"/>
      <c r="FD16" s="10"/>
      <c r="FE16" s="10"/>
      <c r="FF16" s="10"/>
      <c r="FG16" s="10"/>
      <c r="FH16" s="10"/>
      <c r="FI16" s="10"/>
      <c r="FJ16" s="10">
        <v>-1</v>
      </c>
      <c r="FK16" s="14">
        <v>5</v>
      </c>
      <c r="FL16" s="10">
        <v>-5</v>
      </c>
      <c r="FM16" s="14">
        <v>4</v>
      </c>
      <c r="FN16" s="10">
        <v>-4</v>
      </c>
      <c r="FO16" s="14">
        <v>7</v>
      </c>
      <c r="FP16" s="10"/>
      <c r="FQ16" s="10"/>
      <c r="FR16" s="10"/>
      <c r="FS16" s="10">
        <v>43</v>
      </c>
      <c r="FT16" s="10">
        <v>-27</v>
      </c>
      <c r="FU16" s="10">
        <v>12</v>
      </c>
      <c r="FV16" s="10"/>
      <c r="FW16" s="10"/>
      <c r="FX16" s="10">
        <v>-6</v>
      </c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>
        <v>-5</v>
      </c>
      <c r="GM16" s="10"/>
      <c r="GN16" s="10">
        <v>-5</v>
      </c>
      <c r="GO16" s="10"/>
      <c r="GP16" s="10"/>
      <c r="GQ16" s="10"/>
      <c r="GR16" s="10">
        <v>-4</v>
      </c>
      <c r="GS16" s="10"/>
      <c r="GT16" s="10"/>
      <c r="GU16" s="10">
        <v>39</v>
      </c>
      <c r="GV16" s="10"/>
      <c r="GW16" s="10"/>
      <c r="GX16" s="10">
        <v>-7</v>
      </c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>
        <v>-5</v>
      </c>
      <c r="HM16" s="10"/>
      <c r="HN16" s="10"/>
      <c r="HO16" s="10"/>
      <c r="HP16" s="10">
        <v>-5</v>
      </c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>
        <v>-5</v>
      </c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>
        <v>-5</v>
      </c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>
        <v>12</v>
      </c>
      <c r="SH16" s="10"/>
      <c r="SI16" s="10"/>
      <c r="SJ16" s="10"/>
      <c r="SK16" s="10"/>
      <c r="SL16" s="10"/>
      <c r="SM16" s="10"/>
      <c r="SN16" s="10">
        <v>-5</v>
      </c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34">
        <f t="shared" si="1"/>
        <v>252</v>
      </c>
      <c r="TH16" s="7">
        <f t="shared" si="2"/>
        <v>-327</v>
      </c>
    </row>
    <row r="17" spans="1:528" ht="15.6" customHeight="1" thickBot="1" x14ac:dyDescent="0.3">
      <c r="A17" s="25" t="s">
        <v>198</v>
      </c>
      <c r="B17" s="18" t="s">
        <v>17</v>
      </c>
      <c r="C17" s="3">
        <f>AGOSTO!D17</f>
        <v>11</v>
      </c>
      <c r="D17" s="55">
        <f t="shared" si="0"/>
        <v>252</v>
      </c>
      <c r="E17" s="10"/>
      <c r="F17" s="10"/>
      <c r="G17" s="10"/>
      <c r="H17" s="10"/>
      <c r="I17" s="10"/>
      <c r="J17" s="10"/>
      <c r="K17" s="10"/>
      <c r="L17" s="10">
        <v>-20</v>
      </c>
      <c r="M17" s="10">
        <f>63+45+19+79</f>
        <v>206</v>
      </c>
      <c r="N17" s="10"/>
      <c r="O17" s="10"/>
      <c r="P17" s="10">
        <v>-6</v>
      </c>
      <c r="Q17" s="10"/>
      <c r="R17" s="10"/>
      <c r="S17" s="10"/>
      <c r="T17" s="10"/>
      <c r="U17" s="10"/>
      <c r="V17" s="10"/>
      <c r="W17" s="10"/>
      <c r="X17" s="10"/>
      <c r="Y17" s="10">
        <f>99</f>
        <v>99</v>
      </c>
      <c r="Z17" s="10"/>
      <c r="AA17" s="10">
        <v>91</v>
      </c>
      <c r="AB17" s="10"/>
      <c r="AC17" s="10">
        <f>30+66</f>
        <v>96</v>
      </c>
      <c r="AD17" s="10"/>
      <c r="AE17" s="10"/>
      <c r="AF17" s="10"/>
      <c r="AG17" s="10"/>
      <c r="AH17" s="10"/>
      <c r="AI17" s="10"/>
      <c r="AJ17" s="10"/>
      <c r="AK17" s="10">
        <v>92</v>
      </c>
      <c r="AL17" s="10"/>
      <c r="AM17" s="10">
        <v>104</v>
      </c>
      <c r="AN17" s="10"/>
      <c r="AO17" s="10">
        <v>88</v>
      </c>
      <c r="AP17" s="10"/>
      <c r="AQ17" s="10">
        <v>95</v>
      </c>
      <c r="AR17" s="10">
        <f>-4-1-4</f>
        <v>-9</v>
      </c>
      <c r="AS17" s="10">
        <v>88</v>
      </c>
      <c r="AT17" s="14">
        <v>-15</v>
      </c>
      <c r="AU17" s="10"/>
      <c r="AV17" s="10"/>
      <c r="AW17" s="10"/>
      <c r="AX17" s="10"/>
      <c r="AY17" s="10">
        <v>92</v>
      </c>
      <c r="AZ17" s="10"/>
      <c r="BA17" s="10"/>
      <c r="BB17" s="10">
        <f>-78-1</f>
        <v>-79</v>
      </c>
      <c r="BC17" s="10"/>
      <c r="BD17" s="10">
        <f>-7-2-15</f>
        <v>-24</v>
      </c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>
        <v>-70</v>
      </c>
      <c r="BS17" s="10"/>
      <c r="BT17" s="10">
        <f>-4-87-6-79-2-89-34-104-19</f>
        <v>-424</v>
      </c>
      <c r="BU17" s="10"/>
      <c r="BV17" s="10">
        <f>-10-10</f>
        <v>-20</v>
      </c>
      <c r="BW17" s="10"/>
      <c r="BX17" s="10"/>
      <c r="BY17" s="14">
        <v>39</v>
      </c>
      <c r="BZ17" s="10">
        <f>-175-49-58-91-19</f>
        <v>-392</v>
      </c>
      <c r="CA17" s="10"/>
      <c r="CB17" s="10">
        <f>-28-14</f>
        <v>-42</v>
      </c>
      <c r="CC17" s="10">
        <f>42+15+21</f>
        <v>78</v>
      </c>
      <c r="CD17" s="10">
        <f>-3-28-1-10-1-6-4</f>
        <v>-53</v>
      </c>
      <c r="CE17" s="10">
        <f>112</f>
        <v>112</v>
      </c>
      <c r="CF17" s="10">
        <v>-26</v>
      </c>
      <c r="CG17" s="10">
        <f>7+64+41</f>
        <v>112</v>
      </c>
      <c r="CH17" s="10">
        <v>-49</v>
      </c>
      <c r="CI17" s="10">
        <v>47</v>
      </c>
      <c r="CJ17" s="10">
        <v>-10</v>
      </c>
      <c r="CK17" s="10"/>
      <c r="CL17" s="10"/>
      <c r="CM17" s="10"/>
      <c r="CN17" s="10">
        <v>-4</v>
      </c>
      <c r="CO17" s="10">
        <f>108+86</f>
        <v>194</v>
      </c>
      <c r="CP17" s="10">
        <v>-126</v>
      </c>
      <c r="CQ17" s="10"/>
      <c r="CR17" s="10">
        <v>-112</v>
      </c>
      <c r="CS17" s="10">
        <v>85</v>
      </c>
      <c r="CT17" s="10">
        <v>-101</v>
      </c>
      <c r="CU17" s="10"/>
      <c r="CV17" s="10">
        <v>-5</v>
      </c>
      <c r="CW17" s="10">
        <v>96</v>
      </c>
      <c r="CX17" s="10"/>
      <c r="CY17" s="10"/>
      <c r="CZ17" s="10"/>
      <c r="DA17" s="10"/>
      <c r="DB17" s="10">
        <v>-19</v>
      </c>
      <c r="DC17" s="10"/>
      <c r="DD17" s="10"/>
      <c r="DE17" s="10"/>
      <c r="DF17" s="10"/>
      <c r="DG17" s="10"/>
      <c r="DH17" s="10">
        <v>-34</v>
      </c>
      <c r="DI17" s="10">
        <v>119</v>
      </c>
      <c r="DJ17" s="10">
        <v>-17</v>
      </c>
      <c r="DK17" s="10"/>
      <c r="DL17" s="10"/>
      <c r="DM17" s="10"/>
      <c r="DN17" s="10"/>
      <c r="DO17" s="10"/>
      <c r="DP17" s="10">
        <v>-3</v>
      </c>
      <c r="DQ17" s="10">
        <v>35</v>
      </c>
      <c r="DR17" s="10"/>
      <c r="DS17" s="10"/>
      <c r="DT17" s="10">
        <v>-3</v>
      </c>
      <c r="DU17" s="10"/>
      <c r="DV17" s="10">
        <f>-4-10</f>
        <v>-14</v>
      </c>
      <c r="DW17" s="10"/>
      <c r="DX17" s="10"/>
      <c r="DY17" s="10"/>
      <c r="DZ17" s="10"/>
      <c r="EA17" s="10"/>
      <c r="EB17" s="10"/>
      <c r="EC17" s="10">
        <v>92</v>
      </c>
      <c r="ED17" s="10">
        <v>-44</v>
      </c>
      <c r="EE17" s="10"/>
      <c r="EF17" s="10">
        <v>-6</v>
      </c>
      <c r="EG17" s="10">
        <v>106</v>
      </c>
      <c r="EH17" s="10">
        <v>-95</v>
      </c>
      <c r="EI17" s="10"/>
      <c r="EJ17" s="10">
        <f>-24-2</f>
        <v>-26</v>
      </c>
      <c r="EK17" s="10">
        <v>86</v>
      </c>
      <c r="EL17" s="10"/>
      <c r="EM17" s="10"/>
      <c r="EN17" s="10">
        <v>-23</v>
      </c>
      <c r="EO17" s="10"/>
      <c r="EP17" s="10"/>
      <c r="EQ17" s="10"/>
      <c r="ER17" s="10">
        <v>-57</v>
      </c>
      <c r="ES17" s="10"/>
      <c r="ET17" s="10">
        <f>-41-1-3</f>
        <v>-45</v>
      </c>
      <c r="EU17" s="10"/>
      <c r="EV17" s="10">
        <v>-5</v>
      </c>
      <c r="EW17" s="10"/>
      <c r="EX17" s="10">
        <v>-10</v>
      </c>
      <c r="EY17" s="10"/>
      <c r="EZ17" s="10">
        <v>-11</v>
      </c>
      <c r="FA17" s="10"/>
      <c r="FB17" s="10"/>
      <c r="FC17" s="10"/>
      <c r="FD17" s="10"/>
      <c r="FE17" s="10"/>
      <c r="FF17" s="10"/>
      <c r="FG17" s="10"/>
      <c r="FH17" s="10"/>
      <c r="FI17" s="10"/>
      <c r="FJ17" s="10">
        <v>-17</v>
      </c>
      <c r="FK17" s="10"/>
      <c r="FL17" s="10">
        <v>-4</v>
      </c>
      <c r="FM17" s="10">
        <v>20</v>
      </c>
      <c r="FN17" s="10">
        <v>-11</v>
      </c>
      <c r="FO17" s="10"/>
      <c r="FP17" s="10"/>
      <c r="FQ17" s="10"/>
      <c r="FR17" s="10"/>
      <c r="FS17" s="10"/>
      <c r="FT17" s="10">
        <f>-14-1</f>
        <v>-15</v>
      </c>
      <c r="FU17" s="10"/>
      <c r="FV17" s="10"/>
      <c r="FW17" s="10"/>
      <c r="FX17" s="10">
        <v>-2</v>
      </c>
      <c r="FY17" s="10"/>
      <c r="FZ17" s="10">
        <v>-7</v>
      </c>
      <c r="GA17" s="10"/>
      <c r="GB17" s="10">
        <v>-1</v>
      </c>
      <c r="GC17" s="10"/>
      <c r="GD17" s="10">
        <v>-10</v>
      </c>
      <c r="GE17" s="10"/>
      <c r="GF17" s="10"/>
      <c r="GG17" s="10"/>
      <c r="GH17" s="10"/>
      <c r="GI17" s="10"/>
      <c r="GJ17" s="10"/>
      <c r="GK17" s="10"/>
      <c r="GL17" s="10">
        <f>-15-1</f>
        <v>-16</v>
      </c>
      <c r="GM17" s="10"/>
      <c r="GN17" s="10">
        <v>-7</v>
      </c>
      <c r="GO17" s="10"/>
      <c r="GP17" s="10"/>
      <c r="GQ17" s="10"/>
      <c r="GR17" s="10">
        <v>-15</v>
      </c>
      <c r="GS17" s="10"/>
      <c r="GT17" s="10"/>
      <c r="GU17" s="10"/>
      <c r="GV17" s="10">
        <v>-8</v>
      </c>
      <c r="GW17" s="10"/>
      <c r="GX17" s="10">
        <v>-7</v>
      </c>
      <c r="GY17" s="10"/>
      <c r="GZ17" s="10">
        <f>-30-2</f>
        <v>-32</v>
      </c>
      <c r="HA17" s="10"/>
      <c r="HB17" s="10">
        <f>-3-2</f>
        <v>-5</v>
      </c>
      <c r="HC17" s="10"/>
      <c r="HD17" s="10">
        <v>-4</v>
      </c>
      <c r="HE17" s="10"/>
      <c r="HF17" s="10">
        <v>-15</v>
      </c>
      <c r="HG17" s="10"/>
      <c r="HH17" s="10"/>
      <c r="HI17" s="10"/>
      <c r="HJ17" s="10"/>
      <c r="HK17" s="10"/>
      <c r="HL17" s="10">
        <f>-20-1</f>
        <v>-21</v>
      </c>
      <c r="HM17" s="10"/>
      <c r="HN17" s="10"/>
      <c r="HO17" s="14">
        <v>18</v>
      </c>
      <c r="HP17" s="10">
        <v>-6</v>
      </c>
      <c r="HQ17" s="10"/>
      <c r="HR17" s="10"/>
      <c r="HS17" s="10"/>
      <c r="HT17" s="10">
        <v>-23</v>
      </c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>
        <v>-5</v>
      </c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>
        <v>-24</v>
      </c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>
        <v>-5</v>
      </c>
      <c r="LI17" s="10"/>
      <c r="LJ17" s="10"/>
      <c r="LK17" s="10"/>
      <c r="LL17" s="10">
        <v>-10</v>
      </c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>
        <v>-10</v>
      </c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>
        <v>240</v>
      </c>
      <c r="SH17" s="10"/>
      <c r="SI17" s="10"/>
      <c r="SJ17" s="10"/>
      <c r="SK17" s="10"/>
      <c r="SL17" s="10"/>
      <c r="SM17" s="10"/>
      <c r="SN17" s="10">
        <v>-10</v>
      </c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1">
        <f t="shared" si="1"/>
        <v>1051</v>
      </c>
      <c r="TH17" s="9">
        <f t="shared" si="2"/>
        <v>-153</v>
      </c>
    </row>
    <row r="18" spans="1:528" ht="15.6" customHeight="1" thickBot="1" x14ac:dyDescent="0.3">
      <c r="A18" s="25" t="s">
        <v>332</v>
      </c>
      <c r="B18" s="18" t="s">
        <v>18</v>
      </c>
      <c r="C18" s="3">
        <f>AGOSTO!D18</f>
        <v>20</v>
      </c>
      <c r="D18" s="21">
        <f t="shared" si="0"/>
        <v>10</v>
      </c>
      <c r="E18" s="10"/>
      <c r="F18" s="10"/>
      <c r="G18" s="10"/>
      <c r="H18" s="10"/>
      <c r="I18" s="10"/>
      <c r="J18" s="10"/>
      <c r="K18" s="10"/>
      <c r="L18" s="10">
        <v>-14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>
        <v>-6</v>
      </c>
      <c r="BI18" s="10"/>
      <c r="BJ18" s="10"/>
      <c r="BK18" s="10">
        <v>64</v>
      </c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>
        <v>-10</v>
      </c>
      <c r="CI18" s="10"/>
      <c r="CJ18" s="10">
        <v>-8</v>
      </c>
      <c r="CK18" s="10"/>
      <c r="CL18" s="10"/>
      <c r="CM18" s="10"/>
      <c r="CN18" s="10">
        <v>-1</v>
      </c>
      <c r="CO18" s="10"/>
      <c r="CP18" s="10"/>
      <c r="CQ18" s="10"/>
      <c r="CR18" s="10"/>
      <c r="CS18" s="10"/>
      <c r="CT18" s="10">
        <v>-10</v>
      </c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>
        <v>-10</v>
      </c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>
        <f>18+69</f>
        <v>87</v>
      </c>
      <c r="EF18" s="10"/>
      <c r="EG18" s="10"/>
      <c r="EH18" s="10"/>
      <c r="EI18" s="10"/>
      <c r="EJ18" s="10"/>
      <c r="EK18" s="10"/>
      <c r="EL18" s="10"/>
      <c r="EM18" s="10"/>
      <c r="EN18" s="10">
        <v>-10</v>
      </c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>
        <v>-5</v>
      </c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>
        <v>-2</v>
      </c>
      <c r="FM18" s="10"/>
      <c r="FN18" s="10">
        <v>-8</v>
      </c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>
        <v>-10</v>
      </c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>
        <v>-5</v>
      </c>
      <c r="GS18" s="10"/>
      <c r="GT18" s="10"/>
      <c r="GU18" s="10"/>
      <c r="GV18" s="10">
        <v>-2</v>
      </c>
      <c r="GW18" s="10"/>
      <c r="GX18" s="10"/>
      <c r="GY18" s="10"/>
      <c r="GZ18" s="10"/>
      <c r="HA18" s="10"/>
      <c r="HB18" s="10">
        <v>-4</v>
      </c>
      <c r="HC18" s="10"/>
      <c r="HD18" s="10"/>
      <c r="HE18" s="10"/>
      <c r="HF18" s="10">
        <v>-10</v>
      </c>
      <c r="HG18" s="10"/>
      <c r="HH18" s="10"/>
      <c r="HI18" s="10"/>
      <c r="HJ18" s="10"/>
      <c r="HK18" s="10"/>
      <c r="HL18" s="10">
        <f>-4-1</f>
        <v>-5</v>
      </c>
      <c r="HM18" s="10"/>
      <c r="HN18" s="10"/>
      <c r="HO18" s="10">
        <v>-15</v>
      </c>
      <c r="HP18" s="10">
        <v>-20</v>
      </c>
      <c r="HQ18" s="10"/>
      <c r="HR18" s="10"/>
      <c r="HS18" s="10"/>
      <c r="HT18" s="10">
        <v>-3</v>
      </c>
      <c r="HU18" s="10"/>
      <c r="HV18" s="10"/>
      <c r="HW18" s="10">
        <v>27</v>
      </c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>
        <v>-10</v>
      </c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>
        <v>-10</v>
      </c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>
        <v>-10</v>
      </c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1">
        <f t="shared" si="1"/>
        <v>0</v>
      </c>
      <c r="TH18" s="9">
        <f t="shared" si="2"/>
        <v>-20</v>
      </c>
    </row>
    <row r="19" spans="1:528" ht="15.6" customHeight="1" thickBot="1" x14ac:dyDescent="0.3">
      <c r="A19" s="25" t="s">
        <v>333</v>
      </c>
      <c r="B19" s="18" t="s">
        <v>19</v>
      </c>
      <c r="C19" s="3">
        <f>AGOSTO!D19</f>
        <v>21</v>
      </c>
      <c r="D19" s="21">
        <f t="shared" si="0"/>
        <v>7</v>
      </c>
      <c r="E19" s="10"/>
      <c r="F19" s="10"/>
      <c r="G19" s="10"/>
      <c r="H19" s="10"/>
      <c r="I19" s="10"/>
      <c r="J19" s="10"/>
      <c r="K19" s="10"/>
      <c r="L19" s="10">
        <v>-18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>
        <v>-1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>
        <v>-1</v>
      </c>
      <c r="CG19" s="10"/>
      <c r="CH19" s="10"/>
      <c r="CI19" s="10"/>
      <c r="CJ19" s="10"/>
      <c r="CK19" s="10"/>
      <c r="CL19" s="10"/>
      <c r="CM19" s="10"/>
      <c r="CN19" s="10">
        <v>-1</v>
      </c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>
        <v>40</v>
      </c>
      <c r="DH19" s="10"/>
      <c r="DI19" s="10"/>
      <c r="DJ19" s="10">
        <v>-10</v>
      </c>
      <c r="DK19" s="10"/>
      <c r="DL19" s="10"/>
      <c r="DM19" s="10"/>
      <c r="DN19" s="10"/>
      <c r="DO19" s="10"/>
      <c r="DP19" s="10"/>
      <c r="DQ19" s="10"/>
      <c r="DR19" s="10"/>
      <c r="DS19" s="10"/>
      <c r="DT19" s="10">
        <v>-1</v>
      </c>
      <c r="DU19" s="10"/>
      <c r="DV19" s="10"/>
      <c r="DW19" s="10"/>
      <c r="DX19" s="10"/>
      <c r="DY19" s="10"/>
      <c r="DZ19" s="10"/>
      <c r="EA19" s="10"/>
      <c r="EB19" s="10"/>
      <c r="EC19" s="10"/>
      <c r="ED19" s="10">
        <v>-1</v>
      </c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>
        <v>-1</v>
      </c>
      <c r="EU19" s="10"/>
      <c r="EV19" s="10">
        <v>-3</v>
      </c>
      <c r="EW19" s="10"/>
      <c r="EX19" s="10">
        <v>-2</v>
      </c>
      <c r="EY19" s="10"/>
      <c r="EZ19" s="10">
        <v>-11</v>
      </c>
      <c r="FA19" s="10"/>
      <c r="FB19" s="10"/>
      <c r="FC19" s="10"/>
      <c r="FD19" s="10"/>
      <c r="FE19" s="10"/>
      <c r="FF19" s="10"/>
      <c r="FG19" s="10">
        <f>49+25</f>
        <v>74</v>
      </c>
      <c r="FH19" s="10"/>
      <c r="FI19" s="10"/>
      <c r="FJ19" s="10">
        <v>-1</v>
      </c>
      <c r="FK19" s="10"/>
      <c r="FL19" s="10">
        <v>-10</v>
      </c>
      <c r="FM19" s="10"/>
      <c r="FN19" s="10">
        <v>-8</v>
      </c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>
        <v>-5</v>
      </c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>
        <v>-15</v>
      </c>
      <c r="GS19" s="10"/>
      <c r="GT19" s="10"/>
      <c r="GU19" s="10"/>
      <c r="GV19" s="10"/>
      <c r="GW19" s="10"/>
      <c r="GX19" s="10">
        <v>-2</v>
      </c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>
        <f>-4-1</f>
        <v>-5</v>
      </c>
      <c r="HM19" s="10"/>
      <c r="HN19" s="10"/>
      <c r="HO19" s="10">
        <v>-15</v>
      </c>
      <c r="HP19" s="10">
        <v>-20</v>
      </c>
      <c r="HQ19" s="10"/>
      <c r="HR19" s="10"/>
      <c r="HS19" s="10"/>
      <c r="HT19" s="10"/>
      <c r="HU19" s="10"/>
      <c r="HV19" s="10"/>
      <c r="HW19" s="10">
        <v>27</v>
      </c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>
        <v>-24</v>
      </c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1">
        <f t="shared" si="1"/>
        <v>0</v>
      </c>
      <c r="TH19" s="9">
        <f t="shared" si="2"/>
        <v>-19</v>
      </c>
    </row>
    <row r="20" spans="1:528" ht="15.6" customHeight="1" thickBot="1" x14ac:dyDescent="0.3">
      <c r="A20" s="25" t="s">
        <v>199</v>
      </c>
      <c r="B20" s="18" t="s">
        <v>20</v>
      </c>
      <c r="C20" s="3">
        <f>AGOSTO!D20</f>
        <v>288</v>
      </c>
      <c r="D20" s="55">
        <f t="shared" si="0"/>
        <v>378</v>
      </c>
      <c r="E20" s="10"/>
      <c r="F20" s="10"/>
      <c r="G20" s="10"/>
      <c r="H20" s="10"/>
      <c r="I20" s="10"/>
      <c r="J20" s="10"/>
      <c r="K20" s="10"/>
      <c r="L20" s="10">
        <v>-10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>
        <v>112</v>
      </c>
      <c r="Z20" s="10"/>
      <c r="AA20" s="10">
        <f>112+112</f>
        <v>224</v>
      </c>
      <c r="AB20" s="10"/>
      <c r="AC20" s="10"/>
      <c r="AD20" s="10"/>
      <c r="AE20" s="10"/>
      <c r="AF20" s="10"/>
      <c r="AG20" s="10"/>
      <c r="AH20" s="10"/>
      <c r="AI20" s="10"/>
      <c r="AJ20" s="10"/>
      <c r="AK20" s="10">
        <f>112*3+33</f>
        <v>369</v>
      </c>
      <c r="AL20" s="10"/>
      <c r="AM20" s="10"/>
      <c r="AN20" s="10"/>
      <c r="AO20" s="10"/>
      <c r="AP20" s="10">
        <v>-156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>
        <f>-42-1</f>
        <v>-43</v>
      </c>
      <c r="BC20" s="10"/>
      <c r="BD20" s="10">
        <v>-2</v>
      </c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>
        <v>-2</v>
      </c>
      <c r="BQ20" s="10"/>
      <c r="BR20" s="10">
        <v>-42</v>
      </c>
      <c r="BS20" s="10"/>
      <c r="BT20" s="10">
        <f>-118-9-181-112</f>
        <v>-420</v>
      </c>
      <c r="BU20" s="10"/>
      <c r="BV20" s="10">
        <f>-18-10</f>
        <v>-28</v>
      </c>
      <c r="BW20" s="10"/>
      <c r="BX20" s="10"/>
      <c r="BY20" s="10"/>
      <c r="BZ20" s="10">
        <v>-70</v>
      </c>
      <c r="CA20" s="10">
        <v>25</v>
      </c>
      <c r="CB20" s="10">
        <v>-42</v>
      </c>
      <c r="CC20" s="10">
        <f>107+5+22</f>
        <v>134</v>
      </c>
      <c r="CD20" s="10">
        <f>-2-6-8-7-3</f>
        <v>-26</v>
      </c>
      <c r="CE20" s="10"/>
      <c r="CF20" s="10">
        <v>-39</v>
      </c>
      <c r="CG20" s="10"/>
      <c r="CH20" s="10">
        <v>-39</v>
      </c>
      <c r="CI20" s="10">
        <f>112+112+66</f>
        <v>290</v>
      </c>
      <c r="CJ20" s="10">
        <f>-9-1</f>
        <v>-10</v>
      </c>
      <c r="CK20" s="10"/>
      <c r="CL20" s="10"/>
      <c r="CM20" s="10"/>
      <c r="CN20" s="10">
        <v>-20</v>
      </c>
      <c r="CO20" s="10"/>
      <c r="CP20" s="10">
        <v>-140</v>
      </c>
      <c r="CQ20" s="10"/>
      <c r="CR20" s="10"/>
      <c r="CS20" s="10"/>
      <c r="CT20" s="10">
        <v>-40</v>
      </c>
      <c r="CU20" s="10"/>
      <c r="CV20" s="10">
        <v>-2</v>
      </c>
      <c r="CW20" s="10"/>
      <c r="CX20" s="10">
        <v>-42</v>
      </c>
      <c r="CY20" s="10"/>
      <c r="CZ20" s="10"/>
      <c r="DA20" s="10"/>
      <c r="DB20" s="10">
        <v>-89</v>
      </c>
      <c r="DC20" s="10"/>
      <c r="DD20" s="10">
        <v>-34</v>
      </c>
      <c r="DE20" s="10"/>
      <c r="DF20" s="10">
        <v>-13</v>
      </c>
      <c r="DG20" s="10"/>
      <c r="DH20" s="10">
        <v>-23</v>
      </c>
      <c r="DI20" s="10"/>
      <c r="DJ20" s="10">
        <v>-12</v>
      </c>
      <c r="DK20" s="10"/>
      <c r="DL20" s="10"/>
      <c r="DM20" s="10"/>
      <c r="DN20" s="10"/>
      <c r="DO20" s="10"/>
      <c r="DP20" s="10">
        <v>-3</v>
      </c>
      <c r="DQ20" s="10">
        <f>224</f>
        <v>224</v>
      </c>
      <c r="DR20" s="10">
        <v>-32</v>
      </c>
      <c r="DS20" s="10">
        <f>112+112+112+52</f>
        <v>388</v>
      </c>
      <c r="DT20" s="10">
        <v>-224</v>
      </c>
      <c r="DU20" s="10"/>
      <c r="DV20" s="10">
        <f>-47-5</f>
        <v>-52</v>
      </c>
      <c r="DW20" s="10"/>
      <c r="DX20" s="10"/>
      <c r="DY20" s="10"/>
      <c r="DZ20" s="10"/>
      <c r="EA20" s="10"/>
      <c r="EB20" s="10"/>
      <c r="EC20" s="10"/>
      <c r="ED20" s="10">
        <v>-6</v>
      </c>
      <c r="EE20" s="10"/>
      <c r="EF20" s="10">
        <v>-224</v>
      </c>
      <c r="EG20" s="10"/>
      <c r="EH20" s="10">
        <v>-29</v>
      </c>
      <c r="EI20" s="10"/>
      <c r="EJ20" s="10">
        <f>-108-2</f>
        <v>-110</v>
      </c>
      <c r="EK20" s="10">
        <f>224+112</f>
        <v>336</v>
      </c>
      <c r="EL20" s="10">
        <v>-5</v>
      </c>
      <c r="EM20" s="10">
        <f>98</f>
        <v>98</v>
      </c>
      <c r="EN20" s="10">
        <v>-23</v>
      </c>
      <c r="EO20" s="10"/>
      <c r="EP20" s="10"/>
      <c r="EQ20" s="10"/>
      <c r="ER20" s="10">
        <v>-63</v>
      </c>
      <c r="ES20" s="10"/>
      <c r="ET20" s="10">
        <f>-11-1-3</f>
        <v>-15</v>
      </c>
      <c r="EU20" s="10"/>
      <c r="EV20" s="10">
        <v>-25</v>
      </c>
      <c r="EW20" s="10"/>
      <c r="EX20" s="10">
        <v>-100</v>
      </c>
      <c r="EY20" s="10"/>
      <c r="EZ20" s="10">
        <v>-15</v>
      </c>
      <c r="FA20" s="10"/>
      <c r="FB20" s="10">
        <v>-72</v>
      </c>
      <c r="FC20" s="10"/>
      <c r="FD20" s="10"/>
      <c r="FE20" s="10"/>
      <c r="FF20" s="10"/>
      <c r="FG20" s="10"/>
      <c r="FH20" s="10"/>
      <c r="FI20" s="10"/>
      <c r="FJ20" s="10">
        <v>-31</v>
      </c>
      <c r="FK20" s="10"/>
      <c r="FL20" s="10">
        <v>-2</v>
      </c>
      <c r="FM20" s="10"/>
      <c r="FN20" s="10">
        <v>-42</v>
      </c>
      <c r="FO20" s="14">
        <v>6</v>
      </c>
      <c r="FP20" s="10"/>
      <c r="FQ20" s="10"/>
      <c r="FR20" s="10"/>
      <c r="FS20" s="10">
        <v>24</v>
      </c>
      <c r="FT20" s="10">
        <f>-77-1</f>
        <v>-78</v>
      </c>
      <c r="FU20" s="10"/>
      <c r="FV20" s="10">
        <v>-3</v>
      </c>
      <c r="FW20" s="10">
        <f>112+112+112</f>
        <v>336</v>
      </c>
      <c r="FX20" s="10">
        <v>-7</v>
      </c>
      <c r="FY20" s="10">
        <v>112</v>
      </c>
      <c r="FZ20" s="10">
        <f>-14-7</f>
        <v>-21</v>
      </c>
      <c r="GA20" s="10"/>
      <c r="GB20" s="10">
        <f>-1-2</f>
        <v>-3</v>
      </c>
      <c r="GC20" s="10">
        <v>2</v>
      </c>
      <c r="GD20" s="10">
        <v>-2</v>
      </c>
      <c r="GE20" s="10"/>
      <c r="GF20" s="10"/>
      <c r="GG20" s="10"/>
      <c r="GH20" s="10">
        <v>-34</v>
      </c>
      <c r="GI20" s="10"/>
      <c r="GJ20" s="10">
        <v>-1</v>
      </c>
      <c r="GK20" s="10"/>
      <c r="GL20" s="10">
        <f>-6-1</f>
        <v>-7</v>
      </c>
      <c r="GM20" s="10"/>
      <c r="GN20" s="10">
        <v>-5</v>
      </c>
      <c r="GO20" s="10"/>
      <c r="GP20" s="10"/>
      <c r="GQ20" s="10"/>
      <c r="GR20" s="10">
        <v>-10</v>
      </c>
      <c r="GS20" s="10"/>
      <c r="GT20" s="10"/>
      <c r="GU20" s="10"/>
      <c r="GV20" s="10"/>
      <c r="GW20" s="10"/>
      <c r="GX20" s="10">
        <v>-2</v>
      </c>
      <c r="GY20" s="10"/>
      <c r="GZ20" s="10">
        <f>-1-2</f>
        <v>-3</v>
      </c>
      <c r="HA20" s="10"/>
      <c r="HB20" s="10">
        <f>-3-2</f>
        <v>-5</v>
      </c>
      <c r="HC20" s="10"/>
      <c r="HD20" s="10">
        <v>-2</v>
      </c>
      <c r="HE20" s="10"/>
      <c r="HF20" s="10">
        <v>-10</v>
      </c>
      <c r="HG20" s="10"/>
      <c r="HH20" s="10"/>
      <c r="HI20" s="10"/>
      <c r="HJ20" s="10">
        <v>-20</v>
      </c>
      <c r="HK20" s="10"/>
      <c r="HL20" s="10">
        <f>-20-2</f>
        <v>-22</v>
      </c>
      <c r="HM20" s="10"/>
      <c r="HN20" s="10"/>
      <c r="HO20" s="10"/>
      <c r="HP20" s="10"/>
      <c r="HQ20" s="10"/>
      <c r="HR20" s="10"/>
      <c r="HS20" s="10"/>
      <c r="HT20" s="10">
        <v>-10</v>
      </c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>
        <v>-10</v>
      </c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>
        <v>-5</v>
      </c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>
        <v>-5</v>
      </c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>
        <v>97</v>
      </c>
      <c r="SH20" s="10"/>
      <c r="SI20" s="10"/>
      <c r="SJ20" s="10"/>
      <c r="SK20" s="10"/>
      <c r="SL20" s="10"/>
      <c r="SM20" s="10"/>
      <c r="SN20" s="10">
        <v>-5</v>
      </c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1">
        <f t="shared" si="1"/>
        <v>705</v>
      </c>
      <c r="TH20" s="9">
        <f t="shared" si="2"/>
        <v>-211</v>
      </c>
    </row>
    <row r="21" spans="1:528" ht="15.6" customHeight="1" thickBot="1" x14ac:dyDescent="0.3">
      <c r="A21" s="25" t="s">
        <v>1103</v>
      </c>
      <c r="B21" s="18" t="s">
        <v>850</v>
      </c>
      <c r="C21" s="3">
        <f>AGOSTO!D21</f>
        <v>2410</v>
      </c>
      <c r="D21" s="55">
        <f t="shared" si="0"/>
        <v>245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>
        <v>-6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>
        <v>-183</v>
      </c>
      <c r="AQ21" s="10"/>
      <c r="AR21" s="10">
        <f>-2-4</f>
        <v>-6</v>
      </c>
      <c r="AS21" s="10"/>
      <c r="AT21" s="10"/>
      <c r="AU21" s="10"/>
      <c r="AV21" s="10"/>
      <c r="AW21" s="10"/>
      <c r="AX21" s="10"/>
      <c r="AY21" s="10"/>
      <c r="AZ21" s="10"/>
      <c r="BA21" s="10"/>
      <c r="BB21" s="10">
        <f>-28-1</f>
        <v>-29</v>
      </c>
      <c r="BC21" s="10"/>
      <c r="BD21" s="10">
        <f>-5-2-5</f>
        <v>-12</v>
      </c>
      <c r="BE21" s="10"/>
      <c r="BF21" s="10"/>
      <c r="BG21" s="10"/>
      <c r="BH21" s="10"/>
      <c r="BI21" s="10"/>
      <c r="BJ21" s="10"/>
      <c r="BK21" s="10"/>
      <c r="BL21" s="10"/>
      <c r="BM21" s="10"/>
      <c r="BN21" s="10">
        <v>-19</v>
      </c>
      <c r="BO21" s="10"/>
      <c r="BP21" s="10">
        <v>-5</v>
      </c>
      <c r="BQ21" s="10"/>
      <c r="BR21" s="10">
        <v>-77</v>
      </c>
      <c r="BS21" s="10"/>
      <c r="BT21" s="10"/>
      <c r="BU21" s="10"/>
      <c r="BV21" s="10">
        <f>-12-15</f>
        <v>-27</v>
      </c>
      <c r="BW21" s="10"/>
      <c r="BX21" s="10"/>
      <c r="BY21" s="10"/>
      <c r="BZ21" s="10"/>
      <c r="CA21" s="10"/>
      <c r="CB21" s="10">
        <v>-28</v>
      </c>
      <c r="CC21" s="10"/>
      <c r="CD21" s="10">
        <f>-4-1-8-6</f>
        <v>-19</v>
      </c>
      <c r="CE21" s="10"/>
      <c r="CF21" s="10">
        <v>-40</v>
      </c>
      <c r="CG21" s="10"/>
      <c r="CH21" s="10">
        <v>-100</v>
      </c>
      <c r="CI21" s="10"/>
      <c r="CJ21" s="10">
        <v>-8</v>
      </c>
      <c r="CK21" s="10"/>
      <c r="CL21" s="10"/>
      <c r="CM21" s="10"/>
      <c r="CN21" s="10">
        <f>-72-11</f>
        <v>-83</v>
      </c>
      <c r="CO21" s="10"/>
      <c r="CP21" s="10">
        <v>-70</v>
      </c>
      <c r="CQ21" s="10"/>
      <c r="CR21" s="10">
        <v>-8</v>
      </c>
      <c r="CS21" s="10"/>
      <c r="CT21" s="10">
        <v>-26</v>
      </c>
      <c r="CU21" s="10"/>
      <c r="CV21" s="10">
        <v>-11</v>
      </c>
      <c r="CW21" s="10"/>
      <c r="CX21" s="10"/>
      <c r="CY21" s="10"/>
      <c r="CZ21" s="10"/>
      <c r="DA21" s="10"/>
      <c r="DB21" s="10">
        <v>-146</v>
      </c>
      <c r="DC21" s="10"/>
      <c r="DD21" s="10">
        <v>-36</v>
      </c>
      <c r="DE21" s="10"/>
      <c r="DF21" s="10">
        <v>-33</v>
      </c>
      <c r="DG21" s="10"/>
      <c r="DH21" s="10">
        <v>-29</v>
      </c>
      <c r="DI21" s="10"/>
      <c r="DJ21" s="10">
        <v>-21</v>
      </c>
      <c r="DK21" s="10"/>
      <c r="DL21" s="10">
        <f>-28-90</f>
        <v>-118</v>
      </c>
      <c r="DM21" s="10"/>
      <c r="DN21" s="10"/>
      <c r="DO21" s="10"/>
      <c r="DP21" s="10">
        <v>-15</v>
      </c>
      <c r="DQ21" s="10"/>
      <c r="DR21" s="10"/>
      <c r="DS21" s="10"/>
      <c r="DT21" s="10">
        <v>-109</v>
      </c>
      <c r="DU21" s="10"/>
      <c r="DV21" s="10">
        <f>-60-5</f>
        <v>-65</v>
      </c>
      <c r="DW21" s="10"/>
      <c r="DX21" s="10"/>
      <c r="DY21" s="10"/>
      <c r="DZ21" s="10"/>
      <c r="EA21" s="10"/>
      <c r="EB21" s="10"/>
      <c r="EC21" s="10"/>
      <c r="ED21" s="10">
        <v>-39</v>
      </c>
      <c r="EE21" s="10"/>
      <c r="EF21" s="10"/>
      <c r="EG21" s="10"/>
      <c r="EH21" s="10">
        <v>-145</v>
      </c>
      <c r="EI21" s="10"/>
      <c r="EJ21" s="10">
        <f>-29-4</f>
        <v>-33</v>
      </c>
      <c r="EK21" s="10">
        <f>36+3</f>
        <v>39</v>
      </c>
      <c r="EL21" s="10">
        <v>-5</v>
      </c>
      <c r="EM21" s="10"/>
      <c r="EN21" s="10">
        <v>-71</v>
      </c>
      <c r="EO21" s="10">
        <f>1+28</f>
        <v>29</v>
      </c>
      <c r="EP21" s="10"/>
      <c r="EQ21" s="10"/>
      <c r="ER21" s="10"/>
      <c r="ES21" s="10"/>
      <c r="ET21" s="10">
        <f>-16-1</f>
        <v>-17</v>
      </c>
      <c r="EU21" s="10">
        <v>34</v>
      </c>
      <c r="EV21" s="10">
        <v>-49</v>
      </c>
      <c r="EW21" s="10"/>
      <c r="EX21" s="10">
        <v>-10</v>
      </c>
      <c r="EY21" s="10"/>
      <c r="EZ21" s="10">
        <v>-27</v>
      </c>
      <c r="FA21" s="10"/>
      <c r="FB21" s="10"/>
      <c r="FC21" s="10"/>
      <c r="FD21" s="10"/>
      <c r="FE21" s="10"/>
      <c r="FF21" s="10"/>
      <c r="FG21" s="10"/>
      <c r="FH21" s="10"/>
      <c r="FI21" s="10"/>
      <c r="FJ21" s="10">
        <v>-224</v>
      </c>
      <c r="FK21" s="10"/>
      <c r="FL21" s="10">
        <v>-4</v>
      </c>
      <c r="FM21" s="10"/>
      <c r="FN21" s="10">
        <v>-47</v>
      </c>
      <c r="FO21" s="10"/>
      <c r="FP21" s="10"/>
      <c r="FQ21" s="10"/>
      <c r="FR21" s="10"/>
      <c r="FS21" s="10"/>
      <c r="FT21" s="10">
        <v>-23</v>
      </c>
      <c r="FU21" s="10"/>
      <c r="FV21" s="10"/>
      <c r="FW21" s="10"/>
      <c r="FX21" s="10">
        <v>-1</v>
      </c>
      <c r="FY21" s="10"/>
      <c r="FZ21" s="10"/>
      <c r="GA21" s="10"/>
      <c r="GB21" s="10">
        <f>-5-4</f>
        <v>-9</v>
      </c>
      <c r="GC21" s="10"/>
      <c r="GD21" s="10">
        <v>-5</v>
      </c>
      <c r="GE21" s="10"/>
      <c r="GF21" s="10"/>
      <c r="GG21" s="10"/>
      <c r="GH21" s="10">
        <v>-24</v>
      </c>
      <c r="GI21" s="10"/>
      <c r="GJ21" s="10">
        <v>-11</v>
      </c>
      <c r="GK21" s="10"/>
      <c r="GL21" s="10">
        <v>-10</v>
      </c>
      <c r="GM21" s="10"/>
      <c r="GN21" s="10">
        <f>-2-7</f>
        <v>-9</v>
      </c>
      <c r="GO21" s="10"/>
      <c r="GP21" s="10"/>
      <c r="GQ21" s="10"/>
      <c r="GR21" s="10">
        <v>-10</v>
      </c>
      <c r="GS21" s="10"/>
      <c r="GT21" s="10"/>
      <c r="GU21" s="10"/>
      <c r="GV21" s="10">
        <v>-8</v>
      </c>
      <c r="GW21" s="10"/>
      <c r="GX21" s="10">
        <v>-8</v>
      </c>
      <c r="GY21" s="10"/>
      <c r="GZ21" s="10">
        <f>-6-2-1</f>
        <v>-9</v>
      </c>
      <c r="HA21" s="10"/>
      <c r="HB21" s="10">
        <f>-2-2-1</f>
        <v>-5</v>
      </c>
      <c r="HC21" s="10"/>
      <c r="HD21" s="10">
        <v>-1</v>
      </c>
      <c r="HE21" s="10"/>
      <c r="HF21" s="10">
        <v>-10</v>
      </c>
      <c r="HG21" s="10"/>
      <c r="HH21" s="10"/>
      <c r="HI21" s="10"/>
      <c r="HJ21" s="10"/>
      <c r="HK21" s="10"/>
      <c r="HL21" s="14">
        <f>-137-12-1</f>
        <v>-150</v>
      </c>
      <c r="HM21" s="10"/>
      <c r="HN21" s="10"/>
      <c r="HO21" s="10"/>
      <c r="HP21" s="10">
        <v>-10</v>
      </c>
      <c r="HQ21" s="10"/>
      <c r="HR21" s="10"/>
      <c r="HS21" s="10"/>
      <c r="HT21" s="10">
        <v>-20</v>
      </c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>
        <v>-11</v>
      </c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>
        <v>-5</v>
      </c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4">
        <v>77</v>
      </c>
      <c r="SH21" s="10"/>
      <c r="SI21" s="10"/>
      <c r="SJ21" s="10"/>
      <c r="SK21" s="10"/>
      <c r="SL21" s="10"/>
      <c r="SM21" s="10"/>
      <c r="SN21" s="10">
        <v>-5</v>
      </c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1">
        <f t="shared" si="1"/>
        <v>0</v>
      </c>
      <c r="TH21" s="9">
        <f t="shared" si="2"/>
        <v>-236</v>
      </c>
    </row>
    <row r="22" spans="1:528" ht="15.6" customHeight="1" thickBot="1" x14ac:dyDescent="0.3">
      <c r="A22" s="25" t="s">
        <v>200</v>
      </c>
      <c r="B22" s="18" t="s">
        <v>21</v>
      </c>
      <c r="C22" s="3">
        <f>AGOSTO!D22</f>
        <v>0</v>
      </c>
      <c r="D22" s="55">
        <f t="shared" si="0"/>
        <v>119</v>
      </c>
      <c r="E22" s="10"/>
      <c r="F22" s="10"/>
      <c r="G22" s="10"/>
      <c r="H22" s="10"/>
      <c r="I22" s="10"/>
      <c r="J22" s="10"/>
      <c r="K22" s="10">
        <f>112*3+58</f>
        <v>394</v>
      </c>
      <c r="L22" s="10">
        <v>-10</v>
      </c>
      <c r="M22" s="10"/>
      <c r="N22" s="10"/>
      <c r="O22" s="10"/>
      <c r="P22" s="10">
        <v>-6</v>
      </c>
      <c r="Q22" s="10"/>
      <c r="R22" s="10"/>
      <c r="S22" s="10"/>
      <c r="T22" s="10"/>
      <c r="U22" s="10"/>
      <c r="V22" s="10"/>
      <c r="W22" s="10"/>
      <c r="X22" s="10"/>
      <c r="Y22" s="10">
        <f>112+91</f>
        <v>203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>
        <v>-133</v>
      </c>
      <c r="AQ22" s="10"/>
      <c r="AR22" s="10">
        <v>-5</v>
      </c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>
        <f>-2-10</f>
        <v>-12</v>
      </c>
      <c r="BE22" s="10"/>
      <c r="BF22" s="10"/>
      <c r="BG22" s="10"/>
      <c r="BH22" s="10">
        <v>-6</v>
      </c>
      <c r="BI22" s="10"/>
      <c r="BJ22" s="10"/>
      <c r="BK22" s="10"/>
      <c r="BL22" s="10"/>
      <c r="BM22" s="10"/>
      <c r="BN22" s="10">
        <v>-9</v>
      </c>
      <c r="BO22" s="10"/>
      <c r="BP22" s="10">
        <v>-2</v>
      </c>
      <c r="BQ22" s="10"/>
      <c r="BR22" s="10">
        <v>-42</v>
      </c>
      <c r="BS22" s="10"/>
      <c r="BT22" s="10">
        <f>-158-192</f>
        <v>-350</v>
      </c>
      <c r="BU22" s="10">
        <f>67+45+98</f>
        <v>210</v>
      </c>
      <c r="BV22" s="10">
        <f>-15-8</f>
        <v>-23</v>
      </c>
      <c r="BW22" s="10"/>
      <c r="BX22" s="10"/>
      <c r="BY22" s="10"/>
      <c r="BZ22" s="10">
        <v>-56</v>
      </c>
      <c r="CA22" s="10"/>
      <c r="CB22" s="10"/>
      <c r="CC22" s="10"/>
      <c r="CD22" s="10">
        <f>-2-10-5-3</f>
        <v>-20</v>
      </c>
      <c r="CE22" s="10"/>
      <c r="CF22" s="10">
        <v>-34</v>
      </c>
      <c r="CG22" s="10"/>
      <c r="CH22" s="10">
        <v>-34</v>
      </c>
      <c r="CI22" s="10"/>
      <c r="CJ22" s="10"/>
      <c r="CK22" s="10"/>
      <c r="CL22" s="10"/>
      <c r="CM22" s="10">
        <f>114</f>
        <v>114</v>
      </c>
      <c r="CN22" s="10">
        <v>-6</v>
      </c>
      <c r="CO22" s="10"/>
      <c r="CP22" s="10"/>
      <c r="CQ22" s="10"/>
      <c r="CR22" s="10"/>
      <c r="CS22" s="10"/>
      <c r="CT22" s="10">
        <v>-169</v>
      </c>
      <c r="CU22" s="10"/>
      <c r="CV22" s="10">
        <v>-2</v>
      </c>
      <c r="CW22" s="10">
        <v>112</v>
      </c>
      <c r="CX22" s="10">
        <v>-68</v>
      </c>
      <c r="CY22" s="10"/>
      <c r="CZ22" s="10"/>
      <c r="DA22" s="10">
        <v>111</v>
      </c>
      <c r="DB22" s="10">
        <v>-99</v>
      </c>
      <c r="DC22" s="10"/>
      <c r="DD22" s="10">
        <v>-28</v>
      </c>
      <c r="DE22" s="10"/>
      <c r="DF22" s="10">
        <v>-11</v>
      </c>
      <c r="DG22" s="10"/>
      <c r="DH22" s="10">
        <v>-19</v>
      </c>
      <c r="DI22" s="10"/>
      <c r="DJ22" s="10"/>
      <c r="DK22" s="10">
        <f>112</f>
        <v>112</v>
      </c>
      <c r="DL22" s="10"/>
      <c r="DM22" s="10"/>
      <c r="DN22" s="10"/>
      <c r="DO22" s="10">
        <f>112+112+14</f>
        <v>238</v>
      </c>
      <c r="DP22" s="10"/>
      <c r="DQ22" s="10"/>
      <c r="DR22" s="10">
        <v>-28</v>
      </c>
      <c r="DS22" s="10"/>
      <c r="DT22" s="10">
        <v>-186</v>
      </c>
      <c r="DU22" s="10"/>
      <c r="DV22" s="10">
        <f>-40-10</f>
        <v>-50</v>
      </c>
      <c r="DW22" s="10">
        <v>40</v>
      </c>
      <c r="DX22" s="10"/>
      <c r="DY22" s="10"/>
      <c r="DZ22" s="10"/>
      <c r="EA22" s="10"/>
      <c r="EB22" s="10"/>
      <c r="EC22" s="10"/>
      <c r="ED22" s="10">
        <v>-10</v>
      </c>
      <c r="EE22" s="10"/>
      <c r="EF22" s="10">
        <v>-14</v>
      </c>
      <c r="EG22" s="10"/>
      <c r="EH22" s="10">
        <v>-18</v>
      </c>
      <c r="EI22" s="10">
        <f>58+112+112+112</f>
        <v>394</v>
      </c>
      <c r="EJ22" s="10">
        <f>-69-2</f>
        <v>-71</v>
      </c>
      <c r="EK22" s="10"/>
      <c r="EL22" s="10">
        <v>-4</v>
      </c>
      <c r="EM22" s="10"/>
      <c r="EN22" s="10">
        <v>-35</v>
      </c>
      <c r="EO22" s="10"/>
      <c r="EP22" s="10"/>
      <c r="EQ22" s="10"/>
      <c r="ER22" s="10">
        <v>-14</v>
      </c>
      <c r="ES22" s="10"/>
      <c r="ET22" s="10">
        <v>-6</v>
      </c>
      <c r="EU22" s="10"/>
      <c r="EV22" s="10">
        <v>-12</v>
      </c>
      <c r="EW22" s="10"/>
      <c r="EX22" s="10">
        <v>-77</v>
      </c>
      <c r="EY22" s="10"/>
      <c r="EZ22" s="10">
        <v>-45</v>
      </c>
      <c r="FA22" s="10"/>
      <c r="FB22" s="10">
        <v>-71</v>
      </c>
      <c r="FC22" s="10"/>
      <c r="FD22" s="10"/>
      <c r="FE22" s="10"/>
      <c r="FF22" s="10"/>
      <c r="FG22" s="10"/>
      <c r="FH22" s="10"/>
      <c r="FI22" s="10"/>
      <c r="FJ22" s="10">
        <v>-15</v>
      </c>
      <c r="FK22" s="10"/>
      <c r="FL22" s="10"/>
      <c r="FM22" s="10"/>
      <c r="FN22" s="10">
        <v>-4</v>
      </c>
      <c r="FO22" s="10"/>
      <c r="FP22" s="10"/>
      <c r="FQ22" s="10"/>
      <c r="FR22" s="10"/>
      <c r="FS22" s="10"/>
      <c r="FT22" s="10">
        <v>-5</v>
      </c>
      <c r="FU22" s="10"/>
      <c r="FV22" s="10"/>
      <c r="FW22" s="10"/>
      <c r="FX22" s="10">
        <v>-1</v>
      </c>
      <c r="FY22" s="10"/>
      <c r="FZ22" s="10">
        <v>-7</v>
      </c>
      <c r="GA22" s="10"/>
      <c r="GB22" s="10">
        <v>-9</v>
      </c>
      <c r="GC22" s="10">
        <v>1</v>
      </c>
      <c r="GD22" s="10">
        <v>-5</v>
      </c>
      <c r="GE22" s="10"/>
      <c r="GF22" s="10"/>
      <c r="GG22" s="10"/>
      <c r="GH22" s="10">
        <v>-29</v>
      </c>
      <c r="GI22" s="10"/>
      <c r="GJ22" s="10"/>
      <c r="GK22" s="10"/>
      <c r="GL22" s="10">
        <v>-1</v>
      </c>
      <c r="GM22" s="10"/>
      <c r="GN22" s="10"/>
      <c r="GO22" s="10"/>
      <c r="GP22" s="10"/>
      <c r="GQ22" s="10"/>
      <c r="GR22" s="10">
        <v>-15</v>
      </c>
      <c r="GS22" s="10"/>
      <c r="GT22" s="10"/>
      <c r="GU22" s="10"/>
      <c r="GV22" s="10"/>
      <c r="GW22" s="10"/>
      <c r="GX22" s="10">
        <v>-3</v>
      </c>
      <c r="GY22" s="10"/>
      <c r="GZ22" s="10"/>
      <c r="HA22" s="10"/>
      <c r="HB22" s="10">
        <v>-2</v>
      </c>
      <c r="HC22" s="10"/>
      <c r="HD22" s="10"/>
      <c r="HE22" s="10"/>
      <c r="HF22" s="10">
        <v>-10</v>
      </c>
      <c r="HG22" s="10"/>
      <c r="HH22" s="10"/>
      <c r="HI22" s="10"/>
      <c r="HJ22" s="10"/>
      <c r="HK22" s="10"/>
      <c r="HL22" s="10">
        <v>-10</v>
      </c>
      <c r="HM22" s="10"/>
      <c r="HN22" s="10"/>
      <c r="HO22" s="10"/>
      <c r="HP22" s="10"/>
      <c r="HQ22" s="10"/>
      <c r="HR22" s="10"/>
      <c r="HS22" s="10">
        <v>64</v>
      </c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>
        <v>-10</v>
      </c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>
        <v>42</v>
      </c>
      <c r="SH22" s="10"/>
      <c r="SI22" s="10"/>
      <c r="SJ22" s="10"/>
      <c r="SK22" s="10"/>
      <c r="SL22" s="10"/>
      <c r="SM22" s="10"/>
      <c r="SN22" s="10">
        <v>-5</v>
      </c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1">
        <f t="shared" si="1"/>
        <v>597</v>
      </c>
      <c r="TH22" s="9">
        <f t="shared" si="2"/>
        <v>-172</v>
      </c>
    </row>
    <row r="23" spans="1:528" ht="15.75" customHeight="1" thickBot="1" x14ac:dyDescent="0.3">
      <c r="A23" s="25" t="s">
        <v>1104</v>
      </c>
      <c r="B23" s="18" t="s">
        <v>851</v>
      </c>
      <c r="C23" s="3">
        <f>AGOSTO!D23</f>
        <v>1286</v>
      </c>
      <c r="D23" s="55">
        <f t="shared" si="0"/>
        <v>30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>
        <v>-6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>
        <v>-182</v>
      </c>
      <c r="AQ23" s="10"/>
      <c r="AR23" s="10">
        <f>-5-5-3</f>
        <v>-13</v>
      </c>
      <c r="AS23" s="10"/>
      <c r="AT23" s="10"/>
      <c r="AU23" s="10"/>
      <c r="AV23" s="10"/>
      <c r="AW23" s="10"/>
      <c r="AX23" s="10">
        <v>-10</v>
      </c>
      <c r="AY23" s="10"/>
      <c r="AZ23" s="10"/>
      <c r="BA23" s="10"/>
      <c r="BB23" s="10">
        <v>-28</v>
      </c>
      <c r="BC23" s="10"/>
      <c r="BD23" s="10">
        <f>-5-10</f>
        <v>-15</v>
      </c>
      <c r="BE23" s="10"/>
      <c r="BF23" s="10"/>
      <c r="BG23" s="10"/>
      <c r="BH23" s="10">
        <v>-6</v>
      </c>
      <c r="BI23" s="10"/>
      <c r="BJ23" s="10"/>
      <c r="BK23" s="10"/>
      <c r="BL23" s="10"/>
      <c r="BM23" s="10"/>
      <c r="BN23" s="10"/>
      <c r="BO23" s="10"/>
      <c r="BP23" s="10">
        <v>-5</v>
      </c>
      <c r="BQ23" s="10"/>
      <c r="BR23" s="10">
        <v>-77</v>
      </c>
      <c r="BS23" s="10"/>
      <c r="BT23" s="10"/>
      <c r="BU23" s="10"/>
      <c r="BV23" s="10">
        <f>-50-11</f>
        <v>-61</v>
      </c>
      <c r="BW23" s="10"/>
      <c r="BX23" s="10"/>
      <c r="BY23" s="10"/>
      <c r="BZ23" s="10"/>
      <c r="CA23" s="10"/>
      <c r="CB23" s="10">
        <v>-42</v>
      </c>
      <c r="CC23" s="10"/>
      <c r="CD23" s="10">
        <f>-4-5-8</f>
        <v>-17</v>
      </c>
      <c r="CE23" s="10"/>
      <c r="CF23" s="10">
        <v>-32</v>
      </c>
      <c r="CG23" s="10"/>
      <c r="CH23" s="10">
        <v>-64</v>
      </c>
      <c r="CI23" s="10"/>
      <c r="CJ23" s="10"/>
      <c r="CK23" s="10"/>
      <c r="CL23" s="10"/>
      <c r="CM23" s="10"/>
      <c r="CN23" s="10">
        <f>-12-11</f>
        <v>-23</v>
      </c>
      <c r="CO23" s="10"/>
      <c r="CP23" s="10">
        <v>-98</v>
      </c>
      <c r="CQ23" s="10"/>
      <c r="CR23" s="10">
        <v>-8</v>
      </c>
      <c r="CS23" s="10"/>
      <c r="CT23" s="10">
        <v>-19</v>
      </c>
      <c r="CU23" s="10">
        <f>132+74</f>
        <v>206</v>
      </c>
      <c r="CV23" s="10">
        <v>-11</v>
      </c>
      <c r="CW23" s="10"/>
      <c r="CX23" s="10"/>
      <c r="CY23" s="10"/>
      <c r="CZ23" s="10"/>
      <c r="DA23" s="10"/>
      <c r="DB23" s="10">
        <v>-19</v>
      </c>
      <c r="DC23" s="10"/>
      <c r="DD23" s="10">
        <v>-19</v>
      </c>
      <c r="DE23" s="10"/>
      <c r="DF23" s="10"/>
      <c r="DG23" s="10"/>
      <c r="DH23" s="10">
        <v>-29</v>
      </c>
      <c r="DI23" s="10"/>
      <c r="DJ23" s="10">
        <v>-31</v>
      </c>
      <c r="DK23" s="10"/>
      <c r="DL23" s="10">
        <v>-28</v>
      </c>
      <c r="DM23" s="10"/>
      <c r="DN23" s="10"/>
      <c r="DO23" s="10"/>
      <c r="DP23" s="10">
        <v>-7</v>
      </c>
      <c r="DQ23" s="10"/>
      <c r="DR23" s="10"/>
      <c r="DS23" s="10"/>
      <c r="DT23" s="10">
        <v>-11</v>
      </c>
      <c r="DU23" s="10"/>
      <c r="DV23" s="10">
        <f>-14-5</f>
        <v>-19</v>
      </c>
      <c r="DW23" s="10"/>
      <c r="DX23" s="10"/>
      <c r="DY23" s="10"/>
      <c r="DZ23" s="10"/>
      <c r="EA23" s="10"/>
      <c r="EB23" s="10"/>
      <c r="EC23" s="10"/>
      <c r="ED23" s="10">
        <v>-43</v>
      </c>
      <c r="EE23" s="10"/>
      <c r="EF23" s="10"/>
      <c r="EG23" s="10"/>
      <c r="EH23" s="10">
        <f>-69-10</f>
        <v>-79</v>
      </c>
      <c r="EI23" s="10"/>
      <c r="EJ23" s="10">
        <f>-14-4</f>
        <v>-18</v>
      </c>
      <c r="EK23" s="10"/>
      <c r="EL23" s="10">
        <v>-5</v>
      </c>
      <c r="EM23" s="10"/>
      <c r="EN23" s="10">
        <v>-10</v>
      </c>
      <c r="EO23" s="10">
        <v>14</v>
      </c>
      <c r="EP23" s="10"/>
      <c r="EQ23" s="10"/>
      <c r="ER23" s="10"/>
      <c r="ES23" s="10"/>
      <c r="ET23" s="10">
        <f>-22-6</f>
        <v>-28</v>
      </c>
      <c r="EU23" s="10"/>
      <c r="EV23" s="10">
        <v>-4</v>
      </c>
      <c r="EW23" s="10"/>
      <c r="EX23" s="10"/>
      <c r="EY23" s="10"/>
      <c r="EZ23" s="10">
        <v>-13</v>
      </c>
      <c r="FA23" s="10"/>
      <c r="FB23" s="10"/>
      <c r="FC23" s="10"/>
      <c r="FD23" s="10"/>
      <c r="FE23" s="10"/>
      <c r="FF23" s="10">
        <v>-4</v>
      </c>
      <c r="FG23" s="10"/>
      <c r="FH23" s="10"/>
      <c r="FI23" s="10"/>
      <c r="FJ23" s="10">
        <v>-5</v>
      </c>
      <c r="FK23" s="10"/>
      <c r="FL23" s="10">
        <v>-4</v>
      </c>
      <c r="FM23" s="10"/>
      <c r="FN23" s="10"/>
      <c r="FO23" s="10"/>
      <c r="FP23" s="10"/>
      <c r="FQ23" s="10"/>
      <c r="FR23" s="10"/>
      <c r="FS23" s="10"/>
      <c r="FT23" s="10">
        <v>-18</v>
      </c>
      <c r="FU23" s="10">
        <v>45</v>
      </c>
      <c r="FV23" s="10"/>
      <c r="FW23" s="10"/>
      <c r="FX23" s="10">
        <v>-5</v>
      </c>
      <c r="FY23" s="10"/>
      <c r="FZ23" s="10"/>
      <c r="GA23" s="10"/>
      <c r="GB23" s="10"/>
      <c r="GC23" s="10"/>
      <c r="GD23" s="10">
        <v>-5</v>
      </c>
      <c r="GE23" s="10"/>
      <c r="GF23" s="10"/>
      <c r="GG23" s="10"/>
      <c r="GH23" s="10"/>
      <c r="GI23" s="10"/>
      <c r="GJ23" s="10">
        <v>-1</v>
      </c>
      <c r="GK23" s="10"/>
      <c r="GL23" s="10">
        <v>-29</v>
      </c>
      <c r="GM23" s="10"/>
      <c r="GN23" s="10">
        <v>-7</v>
      </c>
      <c r="GO23" s="10"/>
      <c r="GP23" s="10"/>
      <c r="GQ23" s="10"/>
      <c r="GR23" s="10">
        <v>-10</v>
      </c>
      <c r="GS23" s="10"/>
      <c r="GT23" s="10"/>
      <c r="GU23" s="10"/>
      <c r="GV23" s="10"/>
      <c r="GW23" s="10"/>
      <c r="GX23" s="10">
        <v>-5</v>
      </c>
      <c r="GY23" s="10"/>
      <c r="GZ23" s="10">
        <v>-6</v>
      </c>
      <c r="HA23" s="10"/>
      <c r="HB23" s="10">
        <v>-4</v>
      </c>
      <c r="HC23" s="10"/>
      <c r="HD23" s="10"/>
      <c r="HE23" s="10"/>
      <c r="HF23" s="10">
        <v>-14</v>
      </c>
      <c r="HG23" s="10"/>
      <c r="HH23" s="10"/>
      <c r="HI23" s="10"/>
      <c r="HJ23" s="10"/>
      <c r="HK23" s="10"/>
      <c r="HL23" s="14">
        <f>-309-28-1</f>
        <v>-338</v>
      </c>
      <c r="HM23" s="10"/>
      <c r="HN23" s="10"/>
      <c r="HO23" s="10"/>
      <c r="HP23" s="10"/>
      <c r="HQ23" s="10"/>
      <c r="HR23" s="10"/>
      <c r="HS23" s="10"/>
      <c r="HT23" s="10">
        <v>-16</v>
      </c>
      <c r="HU23" s="10"/>
      <c r="HV23" s="10"/>
      <c r="HW23" s="14">
        <v>276</v>
      </c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>
        <v>-21</v>
      </c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>
        <v>-5</v>
      </c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>
        <v>-210</v>
      </c>
      <c r="SI23" s="10"/>
      <c r="SJ23" s="10"/>
      <c r="SK23" s="10"/>
      <c r="SL23" s="10"/>
      <c r="SM23" s="10"/>
      <c r="SN23" s="10">
        <v>-10</v>
      </c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1">
        <f t="shared" si="1"/>
        <v>0</v>
      </c>
      <c r="TH23" s="9">
        <f t="shared" si="2"/>
        <v>-260</v>
      </c>
    </row>
    <row r="24" spans="1:528" ht="15.6" thickBot="1" x14ac:dyDescent="0.3">
      <c r="A24" s="25" t="s">
        <v>201</v>
      </c>
      <c r="B24" s="18" t="s">
        <v>13</v>
      </c>
      <c r="C24" s="3">
        <f>AGOSTO!D24</f>
        <v>2133</v>
      </c>
      <c r="D24" s="55">
        <f t="shared" si="0"/>
        <v>156</v>
      </c>
      <c r="E24" s="10"/>
      <c r="F24" s="10"/>
      <c r="G24" s="10">
        <f>8</f>
        <v>8</v>
      </c>
      <c r="H24" s="10"/>
      <c r="I24" s="10"/>
      <c r="J24" s="10"/>
      <c r="K24" s="10"/>
      <c r="L24" s="10">
        <v>-10</v>
      </c>
      <c r="M24" s="10"/>
      <c r="N24" s="10"/>
      <c r="O24" s="10"/>
      <c r="P24" s="10">
        <v>-6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>
        <v>-191</v>
      </c>
      <c r="AQ24" s="10"/>
      <c r="AR24" s="10">
        <f>-6-3</f>
        <v>-9</v>
      </c>
      <c r="AS24" s="10"/>
      <c r="AT24" s="10"/>
      <c r="AU24" s="10"/>
      <c r="AV24" s="10"/>
      <c r="AW24" s="10"/>
      <c r="AX24" s="10"/>
      <c r="AY24" s="10"/>
      <c r="AZ24" s="10"/>
      <c r="BA24" s="10"/>
      <c r="BB24" s="10">
        <f>-28-112</f>
        <v>-140</v>
      </c>
      <c r="BC24" s="10"/>
      <c r="BD24" s="10">
        <f>-5-5</f>
        <v>-10</v>
      </c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>
        <v>-56</v>
      </c>
      <c r="BS24" s="10"/>
      <c r="BT24" s="10">
        <f>-112-14-68-58-98</f>
        <v>-350</v>
      </c>
      <c r="BU24" s="10"/>
      <c r="BV24" s="10">
        <v>-10</v>
      </c>
      <c r="BW24" s="10"/>
      <c r="BX24" s="10"/>
      <c r="BY24" s="10"/>
      <c r="BZ24" s="10">
        <f>-108-68</f>
        <v>-176</v>
      </c>
      <c r="CA24" s="10"/>
      <c r="CB24" s="10">
        <v>-14</v>
      </c>
      <c r="CC24" s="10"/>
      <c r="CD24" s="10">
        <f>-2-1-14-14-5</f>
        <v>-36</v>
      </c>
      <c r="CE24" s="10"/>
      <c r="CF24" s="10">
        <v>-40</v>
      </c>
      <c r="CG24" s="10"/>
      <c r="CH24" s="10">
        <v>-66</v>
      </c>
      <c r="CI24" s="10"/>
      <c r="CJ24" s="10"/>
      <c r="CK24" s="10"/>
      <c r="CL24" s="10"/>
      <c r="CM24" s="10"/>
      <c r="CN24" s="10">
        <f>-8-11</f>
        <v>-19</v>
      </c>
      <c r="CO24" s="10"/>
      <c r="CP24" s="10">
        <v>-10</v>
      </c>
      <c r="CQ24" s="10"/>
      <c r="CR24" s="10">
        <v>-6</v>
      </c>
      <c r="CS24" s="10"/>
      <c r="CT24" s="10">
        <v>-28</v>
      </c>
      <c r="CU24" s="10"/>
      <c r="CV24" s="10">
        <v>-5</v>
      </c>
      <c r="CW24" s="10"/>
      <c r="CX24" s="10"/>
      <c r="CY24" s="10"/>
      <c r="CZ24" s="10"/>
      <c r="DA24" s="10"/>
      <c r="DB24" s="10">
        <v>-90</v>
      </c>
      <c r="DC24" s="10"/>
      <c r="DD24" s="10">
        <v>-16</v>
      </c>
      <c r="DE24" s="10"/>
      <c r="DF24" s="10"/>
      <c r="DG24" s="10"/>
      <c r="DH24" s="10">
        <v>-8</v>
      </c>
      <c r="DI24" s="10"/>
      <c r="DJ24" s="10"/>
      <c r="DK24" s="10"/>
      <c r="DL24" s="10">
        <v>-44</v>
      </c>
      <c r="DM24" s="10"/>
      <c r="DN24" s="10"/>
      <c r="DO24" s="10"/>
      <c r="DP24" s="10">
        <v>-36</v>
      </c>
      <c r="DQ24" s="10">
        <v>84</v>
      </c>
      <c r="DR24" s="10">
        <v>-28</v>
      </c>
      <c r="DS24" s="10"/>
      <c r="DT24" s="10">
        <v>-26</v>
      </c>
      <c r="DU24" s="10"/>
      <c r="DV24" s="10">
        <f>-73-10-3</f>
        <v>-86</v>
      </c>
      <c r="DW24" s="10"/>
      <c r="DX24" s="10"/>
      <c r="DY24" s="10"/>
      <c r="DZ24" s="10"/>
      <c r="EA24" s="10"/>
      <c r="EB24" s="10"/>
      <c r="EC24" s="10"/>
      <c r="ED24" s="10">
        <v>-56</v>
      </c>
      <c r="EE24" s="10"/>
      <c r="EF24" s="10">
        <v>-14</v>
      </c>
      <c r="EG24" s="10"/>
      <c r="EH24" s="10">
        <v>-151</v>
      </c>
      <c r="EI24" s="10">
        <f>112+36</f>
        <v>148</v>
      </c>
      <c r="EJ24" s="10">
        <f>-32-2</f>
        <v>-34</v>
      </c>
      <c r="EK24" s="10"/>
      <c r="EL24" s="10">
        <v>-8</v>
      </c>
      <c r="EM24" s="10"/>
      <c r="EN24" s="10">
        <v>-5</v>
      </c>
      <c r="EO24" s="10"/>
      <c r="EP24" s="10"/>
      <c r="EQ24" s="10">
        <v>11</v>
      </c>
      <c r="ER24" s="10">
        <v>-1</v>
      </c>
      <c r="ES24" s="10"/>
      <c r="ET24" s="10">
        <f>-20-1</f>
        <v>-21</v>
      </c>
      <c r="EU24" s="10"/>
      <c r="EV24" s="10">
        <v>-1</v>
      </c>
      <c r="EW24" s="10"/>
      <c r="EX24" s="10">
        <v>-75</v>
      </c>
      <c r="EY24" s="10">
        <v>72</v>
      </c>
      <c r="EZ24" s="10">
        <v>-45</v>
      </c>
      <c r="FA24" s="10"/>
      <c r="FB24" s="10">
        <v>-71</v>
      </c>
      <c r="FC24" s="10"/>
      <c r="FD24" s="10"/>
      <c r="FE24" s="10">
        <v>6</v>
      </c>
      <c r="FF24" s="10"/>
      <c r="FG24" s="10">
        <v>85</v>
      </c>
      <c r="FH24" s="10"/>
      <c r="FI24" s="10"/>
      <c r="FJ24" s="10">
        <v>-18</v>
      </c>
      <c r="FK24" s="10"/>
      <c r="FL24" s="10">
        <v>-2</v>
      </c>
      <c r="FM24" s="10"/>
      <c r="FN24" s="10">
        <v>-10</v>
      </c>
      <c r="FO24" s="10"/>
      <c r="FP24" s="10"/>
      <c r="FQ24" s="10"/>
      <c r="FR24" s="10"/>
      <c r="FS24" s="10"/>
      <c r="FT24" s="10">
        <v>-71</v>
      </c>
      <c r="FU24" s="10"/>
      <c r="FV24" s="10">
        <v>-56</v>
      </c>
      <c r="FW24" s="10"/>
      <c r="FX24" s="10">
        <v>-2</v>
      </c>
      <c r="FY24" s="10"/>
      <c r="FZ24" s="10"/>
      <c r="GA24" s="10"/>
      <c r="GB24" s="10"/>
      <c r="GC24" s="10">
        <f>23+1</f>
        <v>24</v>
      </c>
      <c r="GD24" s="10">
        <f>-5-23</f>
        <v>-28</v>
      </c>
      <c r="GE24" s="10"/>
      <c r="GF24" s="10"/>
      <c r="GG24" s="10"/>
      <c r="GH24" s="10">
        <v>-14</v>
      </c>
      <c r="GI24" s="10"/>
      <c r="GJ24" s="10"/>
      <c r="GK24" s="10"/>
      <c r="GL24" s="10">
        <f>-5-1</f>
        <v>-6</v>
      </c>
      <c r="GM24" s="10"/>
      <c r="GN24" s="10">
        <v>-12</v>
      </c>
      <c r="GO24" s="10"/>
      <c r="GP24" s="10"/>
      <c r="GQ24" s="10"/>
      <c r="GR24" s="10"/>
      <c r="GS24" s="10"/>
      <c r="GT24" s="10"/>
      <c r="GU24" s="10"/>
      <c r="GV24" s="10">
        <v>-4</v>
      </c>
      <c r="GW24" s="10"/>
      <c r="GX24" s="10">
        <v>-6</v>
      </c>
      <c r="GY24" s="10"/>
      <c r="GZ24" s="10">
        <v>-4</v>
      </c>
      <c r="HA24" s="10"/>
      <c r="HB24" s="10">
        <v>-28</v>
      </c>
      <c r="HC24" s="10"/>
      <c r="HD24" s="10"/>
      <c r="HE24" s="10"/>
      <c r="HF24" s="10">
        <v>-10</v>
      </c>
      <c r="HG24" s="10"/>
      <c r="HH24" s="10"/>
      <c r="HI24" s="10"/>
      <c r="HJ24" s="10">
        <v>-20</v>
      </c>
      <c r="HK24" s="10"/>
      <c r="HL24" s="14">
        <f>-275-7</f>
        <v>-282</v>
      </c>
      <c r="HM24" s="10"/>
      <c r="HN24" s="10"/>
      <c r="HO24" s="10">
        <v>60</v>
      </c>
      <c r="HP24" s="10">
        <v>-1</v>
      </c>
      <c r="HQ24" s="10"/>
      <c r="HR24" s="10"/>
      <c r="HS24" s="10"/>
      <c r="HT24" s="10">
        <v>-10</v>
      </c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>
        <v>-10</v>
      </c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>
        <v>-5</v>
      </c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>
        <v>127</v>
      </c>
      <c r="SH24" s="10"/>
      <c r="SI24" s="10"/>
      <c r="SJ24" s="10"/>
      <c r="SK24" s="10"/>
      <c r="SL24" s="10"/>
      <c r="SM24" s="10"/>
      <c r="SN24" s="10">
        <v>-5</v>
      </c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34">
        <f t="shared" si="1"/>
        <v>8</v>
      </c>
      <c r="TH24" s="7">
        <f t="shared" si="2"/>
        <v>-366</v>
      </c>
    </row>
    <row r="25" spans="1:528" ht="15.6" thickBot="1" x14ac:dyDescent="0.3">
      <c r="A25" s="25" t="s">
        <v>203</v>
      </c>
      <c r="B25" s="18" t="s">
        <v>14</v>
      </c>
      <c r="C25" s="3">
        <f>AGOSTO!D25</f>
        <v>1765</v>
      </c>
      <c r="D25" s="55">
        <f t="shared" si="0"/>
        <v>259</v>
      </c>
      <c r="E25" s="10"/>
      <c r="F25" s="10"/>
      <c r="G25" s="10"/>
      <c r="H25" s="10"/>
      <c r="I25" s="10"/>
      <c r="J25" s="10"/>
      <c r="K25" s="10"/>
      <c r="L25" s="10">
        <v>-9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>
        <v>-157</v>
      </c>
      <c r="AQ25" s="10"/>
      <c r="AR25" s="10">
        <v>-5</v>
      </c>
      <c r="AS25" s="10"/>
      <c r="AT25" s="10"/>
      <c r="AU25" s="10"/>
      <c r="AV25" s="10"/>
      <c r="AW25" s="10"/>
      <c r="AX25" s="10"/>
      <c r="AY25" s="10"/>
      <c r="AZ25" s="10"/>
      <c r="BA25" s="10"/>
      <c r="BB25" s="10">
        <f>-112-1</f>
        <v>-113</v>
      </c>
      <c r="BC25" s="10"/>
      <c r="BD25" s="10">
        <v>-2</v>
      </c>
      <c r="BE25" s="10"/>
      <c r="BF25" s="10"/>
      <c r="BG25" s="10"/>
      <c r="BH25" s="10">
        <v>-6</v>
      </c>
      <c r="BI25" s="10"/>
      <c r="BJ25" s="10"/>
      <c r="BK25" s="10"/>
      <c r="BL25" s="10">
        <v>-11</v>
      </c>
      <c r="BM25" s="10"/>
      <c r="BN25" s="10"/>
      <c r="BO25" s="10"/>
      <c r="BP25" s="10">
        <f>-2-2</f>
        <v>-4</v>
      </c>
      <c r="BQ25" s="10"/>
      <c r="BR25" s="10">
        <v>-70</v>
      </c>
      <c r="BS25" s="10"/>
      <c r="BT25" s="10">
        <f>-4-2-4-84-160-170</f>
        <v>-424</v>
      </c>
      <c r="BU25" s="10"/>
      <c r="BV25" s="10">
        <v>-8</v>
      </c>
      <c r="BW25" s="10"/>
      <c r="BX25" s="10"/>
      <c r="BY25" s="10"/>
      <c r="BZ25" s="10">
        <f>-112-28</f>
        <v>-140</v>
      </c>
      <c r="CA25" s="10">
        <v>9</v>
      </c>
      <c r="CB25" s="10">
        <f>-56-14</f>
        <v>-70</v>
      </c>
      <c r="CC25" s="10"/>
      <c r="CD25" s="10">
        <f>-2-2-14-28-1</f>
        <v>-47</v>
      </c>
      <c r="CE25" s="10"/>
      <c r="CF25" s="10">
        <v>-30</v>
      </c>
      <c r="CG25" s="10"/>
      <c r="CH25" s="10">
        <v>-27</v>
      </c>
      <c r="CI25" s="10"/>
      <c r="CJ25" s="10">
        <v>-6</v>
      </c>
      <c r="CK25" s="10"/>
      <c r="CL25" s="10"/>
      <c r="CM25" s="10"/>
      <c r="CN25" s="10">
        <v>-4</v>
      </c>
      <c r="CO25" s="10">
        <v>87</v>
      </c>
      <c r="CP25" s="10">
        <v>-136</v>
      </c>
      <c r="CQ25" s="10"/>
      <c r="CR25" s="10"/>
      <c r="CS25" s="10"/>
      <c r="CT25" s="10">
        <v>-98</v>
      </c>
      <c r="CU25" s="10"/>
      <c r="CV25" s="10">
        <v>-10</v>
      </c>
      <c r="CW25" s="10"/>
      <c r="CX25" s="10"/>
      <c r="CY25" s="10"/>
      <c r="CZ25" s="10"/>
      <c r="DA25" s="10">
        <v>119</v>
      </c>
      <c r="DB25" s="10">
        <v>-9</v>
      </c>
      <c r="DC25" s="10">
        <f>112+49</f>
        <v>161</v>
      </c>
      <c r="DD25" s="10">
        <v>-9</v>
      </c>
      <c r="DE25" s="10"/>
      <c r="DF25" s="10"/>
      <c r="DG25" s="10"/>
      <c r="DH25" s="10">
        <v>-26</v>
      </c>
      <c r="DI25" s="10"/>
      <c r="DJ25" s="10">
        <v>-7</v>
      </c>
      <c r="DK25" s="10"/>
      <c r="DL25" s="10">
        <f>-98-19</f>
        <v>-117</v>
      </c>
      <c r="DM25" s="10"/>
      <c r="DN25" s="10"/>
      <c r="DO25" s="10"/>
      <c r="DP25" s="10">
        <v>-37</v>
      </c>
      <c r="DQ25" s="10"/>
      <c r="DR25" s="10"/>
      <c r="DS25" s="10">
        <v>80</v>
      </c>
      <c r="DT25" s="10">
        <v>-165</v>
      </c>
      <c r="DU25" s="10"/>
      <c r="DV25" s="10">
        <f>-66-5</f>
        <v>-71</v>
      </c>
      <c r="DW25" s="10"/>
      <c r="DX25" s="10"/>
      <c r="DY25" s="10"/>
      <c r="DZ25" s="10"/>
      <c r="EA25" s="10"/>
      <c r="EB25" s="10"/>
      <c r="EC25" s="10">
        <v>104</v>
      </c>
      <c r="ED25" s="10">
        <v>-21</v>
      </c>
      <c r="EE25" s="10">
        <v>97</v>
      </c>
      <c r="EF25" s="10">
        <v>-2</v>
      </c>
      <c r="EG25" s="10"/>
      <c r="EH25" s="10">
        <f>-5-8</f>
        <v>-13</v>
      </c>
      <c r="EI25" s="10"/>
      <c r="EJ25" s="10">
        <f>-11-4</f>
        <v>-15</v>
      </c>
      <c r="EK25" s="10"/>
      <c r="EL25" s="10">
        <v>-5</v>
      </c>
      <c r="EM25" s="10"/>
      <c r="EN25" s="10">
        <v>-24</v>
      </c>
      <c r="EO25" s="10">
        <v>6</v>
      </c>
      <c r="EP25" s="10"/>
      <c r="EQ25" s="10"/>
      <c r="ER25" s="10"/>
      <c r="ES25" s="10"/>
      <c r="ET25" s="10">
        <v>-19</v>
      </c>
      <c r="EU25" s="10"/>
      <c r="EV25" s="10">
        <v>-2</v>
      </c>
      <c r="EW25" s="10"/>
      <c r="EX25" s="10">
        <v>-6</v>
      </c>
      <c r="EY25" s="10"/>
      <c r="EZ25" s="10">
        <v>-12</v>
      </c>
      <c r="FA25" s="10"/>
      <c r="FB25" s="10">
        <v>-70</v>
      </c>
      <c r="FC25" s="10"/>
      <c r="FD25" s="10"/>
      <c r="FE25" s="10"/>
      <c r="FF25" s="10"/>
      <c r="FG25" s="10"/>
      <c r="FH25" s="10"/>
      <c r="FI25" s="10"/>
      <c r="FJ25" s="10">
        <v>-4</v>
      </c>
      <c r="FK25" s="10"/>
      <c r="FL25" s="10">
        <v>-15</v>
      </c>
      <c r="FM25" s="10"/>
      <c r="FN25" s="10">
        <v>-7</v>
      </c>
      <c r="FO25" s="10"/>
      <c r="FP25" s="10"/>
      <c r="FQ25" s="10"/>
      <c r="FR25" s="10"/>
      <c r="FS25" s="10"/>
      <c r="FT25" s="10">
        <v>-10</v>
      </c>
      <c r="FU25" s="10"/>
      <c r="FV25" s="10">
        <v>-3</v>
      </c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>
        <v>-70</v>
      </c>
      <c r="GK25" s="10"/>
      <c r="GL25" s="10">
        <v>-1</v>
      </c>
      <c r="GM25" s="10"/>
      <c r="GN25" s="10">
        <v>-5</v>
      </c>
      <c r="GO25" s="10"/>
      <c r="GP25" s="10"/>
      <c r="GQ25" s="10"/>
      <c r="GR25" s="10"/>
      <c r="GS25" s="10"/>
      <c r="GT25" s="10"/>
      <c r="GU25" s="10"/>
      <c r="GV25" s="10"/>
      <c r="GW25" s="10"/>
      <c r="GX25" s="10">
        <v>-8</v>
      </c>
      <c r="GY25" s="10"/>
      <c r="GZ25" s="10"/>
      <c r="HA25" s="10"/>
      <c r="HB25" s="10"/>
      <c r="HC25" s="10"/>
      <c r="HD25" s="10">
        <v>-2</v>
      </c>
      <c r="HE25" s="10"/>
      <c r="HF25" s="10">
        <v>-5</v>
      </c>
      <c r="HG25" s="10"/>
      <c r="HH25" s="10"/>
      <c r="HI25" s="10"/>
      <c r="HJ25" s="10"/>
      <c r="HK25" s="10"/>
      <c r="HL25" s="10">
        <v>-10</v>
      </c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>
        <v>-19</v>
      </c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>
        <v>-5</v>
      </c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>
        <v>114</v>
      </c>
      <c r="SH25" s="10"/>
      <c r="SI25" s="10"/>
      <c r="SJ25" s="10"/>
      <c r="SK25" s="10"/>
      <c r="SL25" s="10"/>
      <c r="SM25" s="10"/>
      <c r="SN25" s="10">
        <v>-112</v>
      </c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1">
        <f t="shared" si="1"/>
        <v>0</v>
      </c>
      <c r="TH25" s="9">
        <f t="shared" si="2"/>
        <v>-292</v>
      </c>
    </row>
    <row r="26" spans="1:528" ht="15.6" thickBot="1" x14ac:dyDescent="0.3">
      <c r="A26" s="25" t="s">
        <v>202</v>
      </c>
      <c r="B26" s="18" t="s">
        <v>12</v>
      </c>
      <c r="C26" s="3">
        <f>AGOSTO!D26</f>
        <v>2819</v>
      </c>
      <c r="D26" s="55">
        <f t="shared" si="0"/>
        <v>24</v>
      </c>
      <c r="E26" s="10"/>
      <c r="F26" s="10"/>
      <c r="G26" s="10"/>
      <c r="H26" s="10"/>
      <c r="I26" s="10"/>
      <c r="J26" s="10"/>
      <c r="K26" s="10"/>
      <c r="L26" s="10">
        <v>-10</v>
      </c>
      <c r="M26" s="10"/>
      <c r="N26" s="10"/>
      <c r="O26" s="10"/>
      <c r="P26" s="10">
        <v>-6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>
        <v>-209</v>
      </c>
      <c r="AQ26" s="10"/>
      <c r="AR26" s="10">
        <f>-6-4</f>
        <v>-10</v>
      </c>
      <c r="AS26" s="10"/>
      <c r="AT26" s="10"/>
      <c r="AU26" s="10"/>
      <c r="AV26" s="10"/>
      <c r="AW26" s="10"/>
      <c r="AX26" s="10"/>
      <c r="AY26" s="10"/>
      <c r="AZ26" s="10"/>
      <c r="BA26" s="10"/>
      <c r="BB26" s="10">
        <f>-30-168-1</f>
        <v>-199</v>
      </c>
      <c r="BC26" s="10"/>
      <c r="BD26" s="10">
        <f>-5-2-10</f>
        <v>-17</v>
      </c>
      <c r="BE26" s="10"/>
      <c r="BF26" s="10"/>
      <c r="BG26" s="10"/>
      <c r="BH26" s="10"/>
      <c r="BI26" s="10"/>
      <c r="BJ26" s="10"/>
      <c r="BK26" s="10"/>
      <c r="BL26" s="10"/>
      <c r="BM26" s="10"/>
      <c r="BN26" s="10">
        <v>-7</v>
      </c>
      <c r="BO26" s="10"/>
      <c r="BP26" s="10">
        <v>-2</v>
      </c>
      <c r="BQ26" s="10"/>
      <c r="BR26" s="10">
        <f>-56-14</f>
        <v>-70</v>
      </c>
      <c r="BS26" s="10"/>
      <c r="BT26" s="10">
        <f>-308-112</f>
        <v>-420</v>
      </c>
      <c r="BU26" s="10"/>
      <c r="BV26" s="10">
        <f>-6-10</f>
        <v>-16</v>
      </c>
      <c r="BW26" s="10"/>
      <c r="BX26" s="10"/>
      <c r="BY26" s="10"/>
      <c r="BZ26" s="10">
        <f>-28-106-6</f>
        <v>-140</v>
      </c>
      <c r="CA26" s="10"/>
      <c r="CB26" s="10">
        <f>-56-14</f>
        <v>-70</v>
      </c>
      <c r="CC26" s="10"/>
      <c r="CD26" s="10">
        <f>-2-5-10-14-2</f>
        <v>-33</v>
      </c>
      <c r="CE26" s="10"/>
      <c r="CF26" s="10">
        <v>-45</v>
      </c>
      <c r="CG26" s="10"/>
      <c r="CH26" s="10">
        <v>-67</v>
      </c>
      <c r="CI26" s="10"/>
      <c r="CJ26" s="10"/>
      <c r="CK26" s="10"/>
      <c r="CL26" s="10"/>
      <c r="CM26" s="10"/>
      <c r="CN26" s="10">
        <f>-64-11</f>
        <v>-75</v>
      </c>
      <c r="CO26" s="10"/>
      <c r="CP26" s="10">
        <v>-94</v>
      </c>
      <c r="CQ26" s="10"/>
      <c r="CR26" s="10">
        <v>-5</v>
      </c>
      <c r="CS26" s="10"/>
      <c r="CT26" s="10">
        <v>-29</v>
      </c>
      <c r="CU26" s="10"/>
      <c r="CV26" s="10">
        <v>-10</v>
      </c>
      <c r="CW26" s="10"/>
      <c r="CX26" s="10"/>
      <c r="CY26" s="10"/>
      <c r="CZ26" s="10"/>
      <c r="DA26" s="10"/>
      <c r="DB26" s="10">
        <v>-90</v>
      </c>
      <c r="DC26" s="10"/>
      <c r="DD26" s="10">
        <v>-25</v>
      </c>
      <c r="DE26" s="10"/>
      <c r="DF26" s="10">
        <v>-28</v>
      </c>
      <c r="DG26" s="10"/>
      <c r="DH26" s="10">
        <v>-29</v>
      </c>
      <c r="DI26" s="10"/>
      <c r="DJ26" s="10">
        <v>-7</v>
      </c>
      <c r="DK26" s="10"/>
      <c r="DL26" s="10">
        <v>-95</v>
      </c>
      <c r="DM26" s="10"/>
      <c r="DN26" s="10"/>
      <c r="DO26" s="10"/>
      <c r="DP26" s="10">
        <v>-58</v>
      </c>
      <c r="DQ26" s="10"/>
      <c r="DR26" s="10"/>
      <c r="DS26" s="10"/>
      <c r="DT26" s="10">
        <v>-145</v>
      </c>
      <c r="DU26" s="10"/>
      <c r="DV26" s="10">
        <f>-73-5</f>
        <v>-78</v>
      </c>
      <c r="DW26" s="10"/>
      <c r="DX26" s="10"/>
      <c r="DY26" s="10"/>
      <c r="DZ26" s="10"/>
      <c r="EA26" s="10"/>
      <c r="EB26" s="10"/>
      <c r="EC26" s="10"/>
      <c r="ED26" s="10">
        <v>-59</v>
      </c>
      <c r="EE26" s="10">
        <v>98</v>
      </c>
      <c r="EF26" s="10">
        <v>-45</v>
      </c>
      <c r="EG26" s="10"/>
      <c r="EH26" s="10">
        <v>-136</v>
      </c>
      <c r="EI26" s="10"/>
      <c r="EJ26" s="10">
        <f>-82-3</f>
        <v>-85</v>
      </c>
      <c r="EK26" s="10"/>
      <c r="EL26" s="10">
        <v>-13</v>
      </c>
      <c r="EM26" s="10"/>
      <c r="EN26" s="10">
        <v>-69</v>
      </c>
      <c r="EO26" s="10"/>
      <c r="EP26" s="10"/>
      <c r="EQ26" s="10">
        <v>10</v>
      </c>
      <c r="ER26" s="10"/>
      <c r="ES26" s="10"/>
      <c r="ET26" s="10">
        <f>-18-3</f>
        <v>-21</v>
      </c>
      <c r="EU26" s="10"/>
      <c r="EV26" s="10">
        <v>-5</v>
      </c>
      <c r="EW26" s="10"/>
      <c r="EX26" s="10">
        <v>-86</v>
      </c>
      <c r="EY26" s="10"/>
      <c r="EZ26" s="10">
        <v>-42</v>
      </c>
      <c r="FA26" s="10"/>
      <c r="FB26" s="10">
        <v>-72</v>
      </c>
      <c r="FC26" s="10"/>
      <c r="FD26" s="10"/>
      <c r="FE26" s="10"/>
      <c r="FF26" s="10"/>
      <c r="FG26" s="10"/>
      <c r="FH26" s="10"/>
      <c r="FI26" s="10"/>
      <c r="FJ26" s="10">
        <v>-7</v>
      </c>
      <c r="FK26" s="10"/>
      <c r="FL26" s="10">
        <v>-68</v>
      </c>
      <c r="FM26" s="10"/>
      <c r="FN26" s="10">
        <v>-10</v>
      </c>
      <c r="FO26" s="10"/>
      <c r="FP26" s="10"/>
      <c r="FQ26" s="10"/>
      <c r="FR26" s="10"/>
      <c r="FS26" s="10"/>
      <c r="FT26" s="10">
        <v>-9</v>
      </c>
      <c r="FU26" s="10"/>
      <c r="FV26" s="10"/>
      <c r="FW26" s="10"/>
      <c r="FX26" s="10">
        <v>-5</v>
      </c>
      <c r="FY26" s="10"/>
      <c r="FZ26" s="10">
        <v>-7</v>
      </c>
      <c r="GA26" s="10"/>
      <c r="GB26" s="10">
        <v>-18</v>
      </c>
      <c r="GC26" s="10">
        <f>9+2</f>
        <v>11</v>
      </c>
      <c r="GD26" s="10">
        <f>-5-23</f>
        <v>-28</v>
      </c>
      <c r="GE26" s="10"/>
      <c r="GF26" s="10"/>
      <c r="GG26" s="10"/>
      <c r="GH26" s="10">
        <v>-11</v>
      </c>
      <c r="GI26" s="10"/>
      <c r="GJ26" s="10"/>
      <c r="GK26" s="10"/>
      <c r="GL26" s="10">
        <f>-5-1</f>
        <v>-6</v>
      </c>
      <c r="GM26" s="10"/>
      <c r="GN26" s="10">
        <v>-7</v>
      </c>
      <c r="GO26" s="10"/>
      <c r="GP26" s="10"/>
      <c r="GQ26" s="10"/>
      <c r="GR26" s="10">
        <v>-10</v>
      </c>
      <c r="GS26" s="10"/>
      <c r="GT26" s="10"/>
      <c r="GU26" s="10"/>
      <c r="GV26" s="10">
        <v>-12</v>
      </c>
      <c r="GW26" s="10">
        <f>22+56</f>
        <v>78</v>
      </c>
      <c r="GX26" s="10">
        <v>-8</v>
      </c>
      <c r="GY26" s="10"/>
      <c r="GZ26" s="10">
        <v>-13</v>
      </c>
      <c r="HA26" s="10"/>
      <c r="HB26" s="10">
        <v>-28</v>
      </c>
      <c r="HC26" s="10"/>
      <c r="HD26" s="10"/>
      <c r="HE26" s="10"/>
      <c r="HF26" s="10">
        <v>-10</v>
      </c>
      <c r="HG26" s="10"/>
      <c r="HH26" s="10"/>
      <c r="HI26" s="14">
        <v>23</v>
      </c>
      <c r="HJ26" s="10"/>
      <c r="HK26" s="10"/>
      <c r="HL26" s="10">
        <f>-10-1</f>
        <v>-11</v>
      </c>
      <c r="HM26" s="10"/>
      <c r="HN26" s="10"/>
      <c r="HO26" s="10"/>
      <c r="HP26" s="10">
        <v>-1</v>
      </c>
      <c r="HQ26" s="10"/>
      <c r="HR26" s="10"/>
      <c r="HS26" s="10"/>
      <c r="HT26" s="10">
        <v>-5</v>
      </c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>
        <v>-10</v>
      </c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>
        <v>-5</v>
      </c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>
        <v>1</v>
      </c>
      <c r="SH26" s="10"/>
      <c r="SI26" s="10"/>
      <c r="SJ26" s="10"/>
      <c r="SK26" s="10"/>
      <c r="SL26" s="10"/>
      <c r="SM26" s="10"/>
      <c r="SN26" s="10">
        <v>-5</v>
      </c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1">
        <f t="shared" si="1"/>
        <v>0</v>
      </c>
      <c r="TH26" s="9">
        <f t="shared" si="2"/>
        <v>-451</v>
      </c>
    </row>
    <row r="27" spans="1:528" ht="15.6" thickBot="1" x14ac:dyDescent="0.3">
      <c r="A27" s="25" t="s">
        <v>204</v>
      </c>
      <c r="B27" s="18" t="s">
        <v>6</v>
      </c>
      <c r="C27" s="3">
        <f>AGOSTO!D27</f>
        <v>2175</v>
      </c>
      <c r="D27" s="55">
        <f t="shared" si="0"/>
        <v>232</v>
      </c>
      <c r="E27" s="10"/>
      <c r="F27" s="10"/>
      <c r="G27" s="10"/>
      <c r="H27" s="10"/>
      <c r="I27" s="10"/>
      <c r="J27" s="10"/>
      <c r="K27" s="10"/>
      <c r="L27" s="10">
        <v>-15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>
        <v>-187</v>
      </c>
      <c r="AQ27" s="10"/>
      <c r="AR27" s="10">
        <v>-4</v>
      </c>
      <c r="AS27" s="10"/>
      <c r="AT27" s="10"/>
      <c r="AU27" s="10"/>
      <c r="AV27" s="10"/>
      <c r="AW27" s="10"/>
      <c r="AX27" s="10"/>
      <c r="AY27" s="10"/>
      <c r="AZ27" s="10"/>
      <c r="BA27" s="10"/>
      <c r="BB27" s="10">
        <f>-20-168-1</f>
        <v>-189</v>
      </c>
      <c r="BC27" s="10"/>
      <c r="BD27" s="10">
        <v>-10</v>
      </c>
      <c r="BE27" s="10"/>
      <c r="BF27" s="10"/>
      <c r="BG27" s="10"/>
      <c r="BH27" s="10">
        <v>-6</v>
      </c>
      <c r="BI27" s="10"/>
      <c r="BJ27" s="10"/>
      <c r="BK27" s="10"/>
      <c r="BL27" s="10"/>
      <c r="BM27" s="10"/>
      <c r="BN27" s="10">
        <v>-7</v>
      </c>
      <c r="BO27" s="10"/>
      <c r="BP27" s="10">
        <v>-10</v>
      </c>
      <c r="BQ27" s="10"/>
      <c r="BR27" s="10">
        <v>-70</v>
      </c>
      <c r="BS27" s="10"/>
      <c r="BT27" s="10">
        <f>-4-106-132-182</f>
        <v>-424</v>
      </c>
      <c r="BU27" s="10"/>
      <c r="BV27" s="10">
        <f>-40-8</f>
        <v>-48</v>
      </c>
      <c r="BW27" s="10"/>
      <c r="BX27" s="10"/>
      <c r="BY27" s="10"/>
      <c r="BZ27" s="10">
        <f>-112-112-56</f>
        <v>-280</v>
      </c>
      <c r="CA27" s="10"/>
      <c r="CB27" s="10">
        <f>-42-14</f>
        <v>-56</v>
      </c>
      <c r="CC27" s="10"/>
      <c r="CD27" s="10">
        <f>-2-5-10-14</f>
        <v>-31</v>
      </c>
      <c r="CE27" s="10"/>
      <c r="CF27" s="10">
        <v>-37</v>
      </c>
      <c r="CG27" s="10"/>
      <c r="CH27" s="10">
        <v>-61</v>
      </c>
      <c r="CI27" s="10"/>
      <c r="CJ27" s="10"/>
      <c r="CK27" s="10"/>
      <c r="CL27" s="10"/>
      <c r="CM27" s="10"/>
      <c r="CN27" s="10">
        <f>-1-11</f>
        <v>-12</v>
      </c>
      <c r="CO27" s="10">
        <f>112+115</f>
        <v>227</v>
      </c>
      <c r="CP27" s="10">
        <v>-66</v>
      </c>
      <c r="CQ27" s="10"/>
      <c r="CR27" s="10"/>
      <c r="CS27" s="10"/>
      <c r="CT27" s="10">
        <v>-35</v>
      </c>
      <c r="CU27" s="10"/>
      <c r="CV27" s="10">
        <v>-5</v>
      </c>
      <c r="CW27" s="10"/>
      <c r="CX27" s="10"/>
      <c r="CY27" s="10"/>
      <c r="CZ27" s="10"/>
      <c r="DA27" s="10">
        <v>80</v>
      </c>
      <c r="DB27" s="10">
        <v>-72</v>
      </c>
      <c r="DC27" s="10"/>
      <c r="DD27" s="10">
        <v>-21</v>
      </c>
      <c r="DE27" s="10"/>
      <c r="DF27" s="10"/>
      <c r="DG27" s="10"/>
      <c r="DH27" s="10">
        <v>-30</v>
      </c>
      <c r="DI27" s="10"/>
      <c r="DJ27" s="10">
        <v>-13</v>
      </c>
      <c r="DK27" s="10">
        <v>82</v>
      </c>
      <c r="DL27" s="10">
        <v>-45</v>
      </c>
      <c r="DM27" s="10"/>
      <c r="DN27" s="10"/>
      <c r="DO27" s="10"/>
      <c r="DP27" s="10">
        <v>-35</v>
      </c>
      <c r="DQ27" s="10"/>
      <c r="DR27" s="10">
        <v>-28</v>
      </c>
      <c r="DS27" s="10">
        <f>112+60</f>
        <v>172</v>
      </c>
      <c r="DT27" s="10">
        <v>-124</v>
      </c>
      <c r="DU27" s="10"/>
      <c r="DV27" s="10">
        <f>-73-10</f>
        <v>-83</v>
      </c>
      <c r="DW27" s="10"/>
      <c r="DX27" s="10"/>
      <c r="DY27" s="10"/>
      <c r="DZ27" s="10"/>
      <c r="EA27" s="10"/>
      <c r="EB27" s="10"/>
      <c r="EC27" s="10"/>
      <c r="ED27" s="10">
        <v>-13</v>
      </c>
      <c r="EE27" s="10">
        <v>63</v>
      </c>
      <c r="EF27" s="10">
        <v>-70</v>
      </c>
      <c r="EG27" s="10"/>
      <c r="EH27" s="10">
        <v>-34</v>
      </c>
      <c r="EI27" s="10"/>
      <c r="EJ27" s="10">
        <f>-73-4</f>
        <v>-77</v>
      </c>
      <c r="EK27" s="10"/>
      <c r="EL27" s="10">
        <v>-4</v>
      </c>
      <c r="EM27" s="10"/>
      <c r="EN27" s="10">
        <v>-64</v>
      </c>
      <c r="EO27" s="10"/>
      <c r="EP27" s="10"/>
      <c r="EQ27" s="10">
        <v>19</v>
      </c>
      <c r="ER27" s="10">
        <v>-113</v>
      </c>
      <c r="ES27" s="10">
        <v>62</v>
      </c>
      <c r="ET27" s="10">
        <f>-22-1-3-3</f>
        <v>-29</v>
      </c>
      <c r="EU27" s="10"/>
      <c r="EV27" s="10">
        <v>-11</v>
      </c>
      <c r="EW27" s="10"/>
      <c r="EX27" s="10">
        <v>-79</v>
      </c>
      <c r="EY27" s="10">
        <v>71</v>
      </c>
      <c r="EZ27" s="10">
        <v>-53</v>
      </c>
      <c r="FA27" s="10"/>
      <c r="FB27" s="10">
        <v>-72</v>
      </c>
      <c r="FC27" s="10"/>
      <c r="FD27" s="10"/>
      <c r="FE27" s="10"/>
      <c r="FF27" s="10"/>
      <c r="FG27" s="10"/>
      <c r="FH27" s="10"/>
      <c r="FI27" s="10"/>
      <c r="FJ27" s="10">
        <v>-18</v>
      </c>
      <c r="FK27" s="10"/>
      <c r="FL27" s="10">
        <v>-5</v>
      </c>
      <c r="FM27" s="10"/>
      <c r="FN27" s="10">
        <v>-6</v>
      </c>
      <c r="FO27" s="10"/>
      <c r="FP27" s="10"/>
      <c r="FQ27" s="10"/>
      <c r="FR27" s="10"/>
      <c r="FS27" s="10"/>
      <c r="FT27" s="10">
        <v>-9</v>
      </c>
      <c r="FU27" s="10"/>
      <c r="FV27" s="10">
        <v>-61</v>
      </c>
      <c r="FW27" s="10"/>
      <c r="FX27" s="10">
        <v>-3</v>
      </c>
      <c r="FY27" s="10"/>
      <c r="FZ27" s="10"/>
      <c r="GA27" s="10"/>
      <c r="GB27" s="10">
        <v>-9</v>
      </c>
      <c r="GC27" s="10">
        <v>2</v>
      </c>
      <c r="GD27" s="10">
        <v>-5</v>
      </c>
      <c r="GE27" s="10"/>
      <c r="GF27" s="10"/>
      <c r="GG27" s="10"/>
      <c r="GH27" s="10">
        <v>-70</v>
      </c>
      <c r="GI27" s="10"/>
      <c r="GJ27" s="10">
        <v>-2</v>
      </c>
      <c r="GK27" s="10"/>
      <c r="GL27" s="10">
        <f>-5-1-1</f>
        <v>-7</v>
      </c>
      <c r="GM27" s="10"/>
      <c r="GN27" s="10">
        <v>-5</v>
      </c>
      <c r="GO27" s="10"/>
      <c r="GP27" s="10"/>
      <c r="GQ27" s="10"/>
      <c r="GR27" s="10"/>
      <c r="GS27" s="10"/>
      <c r="GT27" s="10"/>
      <c r="GU27" s="10"/>
      <c r="GV27" s="10"/>
      <c r="GW27" s="10"/>
      <c r="GX27" s="10">
        <v>-6</v>
      </c>
      <c r="GY27" s="10"/>
      <c r="GZ27" s="10">
        <f>-61-2</f>
        <v>-63</v>
      </c>
      <c r="HA27" s="10"/>
      <c r="HB27" s="10">
        <f>-2-2</f>
        <v>-4</v>
      </c>
      <c r="HC27" s="10"/>
      <c r="HD27" s="10">
        <v>-2</v>
      </c>
      <c r="HE27" s="10"/>
      <c r="HF27" s="10">
        <v>-5</v>
      </c>
      <c r="HG27" s="10"/>
      <c r="HH27" s="10"/>
      <c r="HI27" s="14">
        <v>107</v>
      </c>
      <c r="HJ27" s="10"/>
      <c r="HK27" s="10"/>
      <c r="HL27" s="10">
        <v>-17</v>
      </c>
      <c r="HM27" s="10"/>
      <c r="HN27" s="10">
        <v>-42</v>
      </c>
      <c r="HO27" s="10"/>
      <c r="HP27" s="10">
        <v>-2</v>
      </c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>
        <v>-24</v>
      </c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>
        <v>-7</v>
      </c>
      <c r="LA27" s="10"/>
      <c r="LB27" s="10"/>
      <c r="LC27" s="10"/>
      <c r="LD27" s="10"/>
      <c r="LE27" s="10"/>
      <c r="LF27" s="10"/>
      <c r="LG27" s="10"/>
      <c r="LH27" s="10">
        <v>-5</v>
      </c>
      <c r="LI27" s="10"/>
      <c r="LJ27" s="10"/>
      <c r="LK27" s="10"/>
      <c r="LL27" s="10">
        <v>-5</v>
      </c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>
        <v>172</v>
      </c>
      <c r="SH27" s="10"/>
      <c r="SI27" s="10"/>
      <c r="SJ27" s="10"/>
      <c r="SK27" s="10"/>
      <c r="SL27" s="10"/>
      <c r="SM27" s="10">
        <v>5</v>
      </c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1">
        <f t="shared" si="1"/>
        <v>0</v>
      </c>
      <c r="TH27" s="9">
        <f t="shared" si="2"/>
        <v>-411</v>
      </c>
    </row>
    <row r="28" spans="1:528" ht="15.6" thickBot="1" x14ac:dyDescent="0.3">
      <c r="A28" s="25" t="s">
        <v>205</v>
      </c>
      <c r="B28" s="18" t="s">
        <v>7</v>
      </c>
      <c r="C28" s="3">
        <f>AGOSTO!D28</f>
        <v>1759</v>
      </c>
      <c r="D28" s="55">
        <f t="shared" si="0"/>
        <v>214</v>
      </c>
      <c r="E28" s="10"/>
      <c r="F28" s="10"/>
      <c r="G28" s="10"/>
      <c r="H28" s="10"/>
      <c r="I28" s="10"/>
      <c r="J28" s="10"/>
      <c r="K28" s="10"/>
      <c r="L28" s="10">
        <v>-15</v>
      </c>
      <c r="M28" s="10"/>
      <c r="N28" s="10"/>
      <c r="O28" s="10"/>
      <c r="P28" s="10">
        <v>-6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>
        <v>-5</v>
      </c>
      <c r="AS28" s="10"/>
      <c r="AT28" s="10"/>
      <c r="AU28" s="10"/>
      <c r="AV28" s="10"/>
      <c r="AW28" s="10"/>
      <c r="AX28" s="10"/>
      <c r="AY28" s="10"/>
      <c r="AZ28" s="10"/>
      <c r="BA28" s="10"/>
      <c r="BB28" s="10">
        <f>-112-1</f>
        <v>-113</v>
      </c>
      <c r="BC28" s="10"/>
      <c r="BD28" s="10">
        <f>-2-10</f>
        <v>-12</v>
      </c>
      <c r="BE28" s="10"/>
      <c r="BF28" s="10"/>
      <c r="BG28" s="10"/>
      <c r="BH28" s="10">
        <v>-6</v>
      </c>
      <c r="BI28" s="10"/>
      <c r="BJ28" s="10"/>
      <c r="BK28" s="10"/>
      <c r="BL28" s="10"/>
      <c r="BM28" s="10"/>
      <c r="BN28" s="10"/>
      <c r="BO28" s="10"/>
      <c r="BP28" s="10">
        <f>-2-2</f>
        <v>-4</v>
      </c>
      <c r="BQ28" s="10"/>
      <c r="BR28" s="10"/>
      <c r="BS28" s="10"/>
      <c r="BT28" s="10">
        <f>-4-112-208</f>
        <v>-324</v>
      </c>
      <c r="BU28" s="10"/>
      <c r="BV28" s="10">
        <v>-10</v>
      </c>
      <c r="BW28" s="10"/>
      <c r="BX28" s="10"/>
      <c r="BY28" s="10"/>
      <c r="BZ28" s="10">
        <f>-37-75-80-32</f>
        <v>-224</v>
      </c>
      <c r="CA28" s="10"/>
      <c r="CB28" s="10">
        <v>-14</v>
      </c>
      <c r="CC28" s="10"/>
      <c r="CD28" s="10">
        <f>-2-1-5-7</f>
        <v>-15</v>
      </c>
      <c r="CE28" s="10"/>
      <c r="CF28" s="10">
        <v>-18</v>
      </c>
      <c r="CG28" s="10"/>
      <c r="CH28" s="10">
        <v>-52</v>
      </c>
      <c r="CI28" s="10"/>
      <c r="CJ28" s="10">
        <v>-8</v>
      </c>
      <c r="CK28" s="10"/>
      <c r="CL28" s="10"/>
      <c r="CM28" s="10"/>
      <c r="CN28" s="10">
        <v>-1</v>
      </c>
      <c r="CO28" s="10"/>
      <c r="CP28" s="10">
        <v>-2</v>
      </c>
      <c r="CQ28" s="10"/>
      <c r="CR28" s="10"/>
      <c r="CS28" s="10"/>
      <c r="CT28" s="10">
        <v>-20</v>
      </c>
      <c r="CU28" s="10"/>
      <c r="CV28" s="10">
        <v>-5</v>
      </c>
      <c r="CW28" s="10"/>
      <c r="CX28" s="10"/>
      <c r="CY28" s="10"/>
      <c r="CZ28" s="10"/>
      <c r="DA28" s="10"/>
      <c r="DB28" s="10">
        <v>-95</v>
      </c>
      <c r="DC28" s="10"/>
      <c r="DD28" s="10">
        <v>-14</v>
      </c>
      <c r="DE28" s="10"/>
      <c r="DF28" s="10"/>
      <c r="DG28" s="10"/>
      <c r="DH28" s="10">
        <v>-4</v>
      </c>
      <c r="DI28" s="10"/>
      <c r="DJ28" s="10"/>
      <c r="DK28" s="10">
        <f>27+55</f>
        <v>82</v>
      </c>
      <c r="DL28" s="10">
        <f>-1-2-17-9</f>
        <v>-29</v>
      </c>
      <c r="DM28" s="10"/>
      <c r="DN28" s="10"/>
      <c r="DO28" s="10"/>
      <c r="DP28" s="10">
        <v>-37</v>
      </c>
      <c r="DQ28" s="10"/>
      <c r="DR28" s="10">
        <v>-28</v>
      </c>
      <c r="DS28" s="10"/>
      <c r="DT28" s="10">
        <v>-19</v>
      </c>
      <c r="DU28" s="10"/>
      <c r="DV28" s="10">
        <f>-58-5</f>
        <v>-63</v>
      </c>
      <c r="DW28" s="10"/>
      <c r="DX28" s="10"/>
      <c r="DY28" s="10"/>
      <c r="DZ28" s="10"/>
      <c r="EA28" s="10"/>
      <c r="EB28" s="10"/>
      <c r="EC28" s="10"/>
      <c r="ED28" s="10">
        <v>-36</v>
      </c>
      <c r="EE28" s="10"/>
      <c r="EF28" s="10">
        <v>-40</v>
      </c>
      <c r="EG28" s="10"/>
      <c r="EH28" s="10">
        <v>-70</v>
      </c>
      <c r="EI28" s="10"/>
      <c r="EJ28" s="10">
        <f>-29-3</f>
        <v>-32</v>
      </c>
      <c r="EK28" s="10"/>
      <c r="EL28" s="10">
        <v>-3</v>
      </c>
      <c r="EM28" s="10"/>
      <c r="EN28" s="10">
        <v>-30</v>
      </c>
      <c r="EO28" s="10"/>
      <c r="EP28" s="10"/>
      <c r="EQ28" s="10"/>
      <c r="ER28" s="10">
        <v>-112</v>
      </c>
      <c r="ES28" s="10"/>
      <c r="ET28" s="10">
        <v>-15</v>
      </c>
      <c r="EU28" s="10"/>
      <c r="EV28" s="10">
        <v>-1</v>
      </c>
      <c r="EW28" s="10"/>
      <c r="EX28" s="10">
        <v>-37</v>
      </c>
      <c r="EY28" s="10">
        <v>68</v>
      </c>
      <c r="EZ28" s="10">
        <v>-13</v>
      </c>
      <c r="FA28" s="10"/>
      <c r="FB28" s="10">
        <v>-70</v>
      </c>
      <c r="FC28" s="10"/>
      <c r="FD28" s="10"/>
      <c r="FE28" s="10"/>
      <c r="FF28" s="10"/>
      <c r="FG28" s="10">
        <v>84</v>
      </c>
      <c r="FH28" s="10"/>
      <c r="FI28" s="10"/>
      <c r="FJ28" s="10">
        <v>-17</v>
      </c>
      <c r="FK28" s="10">
        <v>5</v>
      </c>
      <c r="FL28" s="10">
        <v>-1</v>
      </c>
      <c r="FM28" s="10"/>
      <c r="FN28" s="10">
        <v>-3</v>
      </c>
      <c r="FO28" s="10"/>
      <c r="FP28" s="10"/>
      <c r="FQ28" s="10"/>
      <c r="FR28" s="10"/>
      <c r="FS28" s="10"/>
      <c r="FT28" s="10"/>
      <c r="FU28" s="10"/>
      <c r="FV28" s="10">
        <v>-33</v>
      </c>
      <c r="FW28" s="10"/>
      <c r="FX28" s="10">
        <v>-1</v>
      </c>
      <c r="FY28" s="10"/>
      <c r="FZ28" s="10"/>
      <c r="GA28" s="10"/>
      <c r="GB28" s="10">
        <v>-1</v>
      </c>
      <c r="GC28" s="10"/>
      <c r="GD28" s="10">
        <v>-5</v>
      </c>
      <c r="GE28" s="10"/>
      <c r="GF28" s="10"/>
      <c r="GG28" s="10"/>
      <c r="GH28" s="10">
        <v>-28</v>
      </c>
      <c r="GI28" s="10">
        <v>15</v>
      </c>
      <c r="GJ28" s="10">
        <v>-1</v>
      </c>
      <c r="GK28" s="10"/>
      <c r="GL28" s="10">
        <v>-1</v>
      </c>
      <c r="GM28" s="10"/>
      <c r="GN28" s="10"/>
      <c r="GO28" s="10"/>
      <c r="GP28" s="10"/>
      <c r="GQ28" s="10"/>
      <c r="GR28" s="10"/>
      <c r="GS28" s="10"/>
      <c r="GT28" s="10"/>
      <c r="GU28" s="10"/>
      <c r="GV28" s="10">
        <v>-15</v>
      </c>
      <c r="GW28" s="10"/>
      <c r="GX28" s="10">
        <v>-7</v>
      </c>
      <c r="GY28" s="10"/>
      <c r="GZ28" s="10">
        <f>-56-2</f>
        <v>-58</v>
      </c>
      <c r="HA28" s="10"/>
      <c r="HB28" s="10">
        <f>-2-2</f>
        <v>-4</v>
      </c>
      <c r="HC28" s="10"/>
      <c r="HD28" s="10">
        <v>-2</v>
      </c>
      <c r="HE28" s="10"/>
      <c r="HF28" s="10">
        <v>-5</v>
      </c>
      <c r="HG28" s="10"/>
      <c r="HH28" s="10"/>
      <c r="HI28" s="10"/>
      <c r="HJ28" s="10"/>
      <c r="HK28" s="10"/>
      <c r="HL28" s="10"/>
      <c r="HM28" s="10"/>
      <c r="HN28" s="10">
        <v>-14</v>
      </c>
      <c r="HO28" s="10"/>
      <c r="HP28" s="14">
        <f>-10-200</f>
        <v>-210</v>
      </c>
      <c r="HQ28" s="10">
        <v>34</v>
      </c>
      <c r="HR28" s="10"/>
      <c r="HS28" s="10"/>
      <c r="HT28" s="10">
        <v>-5</v>
      </c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>
        <v>-7</v>
      </c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>
        <v>-5</v>
      </c>
      <c r="LI28" s="10"/>
      <c r="LJ28" s="10"/>
      <c r="LK28" s="10"/>
      <c r="LL28" s="10">
        <v>-3</v>
      </c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>
        <v>195</v>
      </c>
      <c r="SH28" s="10"/>
      <c r="SI28" s="10"/>
      <c r="SJ28" s="10"/>
      <c r="SK28" s="10"/>
      <c r="SL28" s="10"/>
      <c r="SM28" s="10">
        <v>5</v>
      </c>
      <c r="SN28" s="10">
        <v>-5</v>
      </c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1">
        <f t="shared" si="1"/>
        <v>0</v>
      </c>
      <c r="TH28" s="9">
        <f t="shared" si="2"/>
        <v>-157</v>
      </c>
    </row>
    <row r="29" spans="1:528" ht="15.6" thickBot="1" x14ac:dyDescent="0.3">
      <c r="A29" s="25" t="s">
        <v>206</v>
      </c>
      <c r="B29" s="18" t="s">
        <v>22</v>
      </c>
      <c r="C29" s="3">
        <f>AGOSTO!D29</f>
        <v>336</v>
      </c>
      <c r="D29" s="55">
        <f t="shared" si="0"/>
        <v>148</v>
      </c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>
        <v>82</v>
      </c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>
        <v>-4</v>
      </c>
      <c r="AS29" s="10"/>
      <c r="AT29" s="10"/>
      <c r="AU29" s="10"/>
      <c r="AV29" s="10"/>
      <c r="AW29" s="10"/>
      <c r="AX29" s="10"/>
      <c r="AY29" s="10"/>
      <c r="AZ29" s="10"/>
      <c r="BA29" s="10"/>
      <c r="BB29" s="10">
        <v>-56</v>
      </c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>
        <f>-26-142</f>
        <v>-168</v>
      </c>
      <c r="BU29" s="10"/>
      <c r="BV29" s="10"/>
      <c r="BW29" s="10"/>
      <c r="BX29" s="10"/>
      <c r="BY29" s="10"/>
      <c r="BZ29" s="10"/>
      <c r="CA29" s="10"/>
      <c r="CB29" s="10">
        <v>-14</v>
      </c>
      <c r="CC29" s="10"/>
      <c r="CD29" s="10">
        <f>-2-1-4-2</f>
        <v>-9</v>
      </c>
      <c r="CE29" s="10"/>
      <c r="CF29" s="10">
        <v>-11</v>
      </c>
      <c r="CG29" s="10"/>
      <c r="CH29" s="10">
        <v>-15</v>
      </c>
      <c r="CI29" s="10"/>
      <c r="CJ29" s="10">
        <v>-25</v>
      </c>
      <c r="CK29" s="10"/>
      <c r="CL29" s="10"/>
      <c r="CM29" s="10"/>
      <c r="CN29" s="10">
        <v>-1</v>
      </c>
      <c r="CO29" s="10"/>
      <c r="CP29" s="10">
        <v>-4</v>
      </c>
      <c r="CQ29" s="10"/>
      <c r="CR29" s="10">
        <v>-2</v>
      </c>
      <c r="CS29" s="10"/>
      <c r="CT29" s="10">
        <v>-79</v>
      </c>
      <c r="CU29" s="10"/>
      <c r="CV29" s="10"/>
      <c r="CW29" s="10"/>
      <c r="CX29" s="10"/>
      <c r="CY29" s="10"/>
      <c r="CZ29" s="10"/>
      <c r="DA29" s="10"/>
      <c r="DB29" s="10"/>
      <c r="DC29" s="10"/>
      <c r="DD29" s="10">
        <v>-5</v>
      </c>
      <c r="DE29" s="10"/>
      <c r="DF29" s="10"/>
      <c r="DG29" s="10"/>
      <c r="DH29" s="10">
        <v>-3</v>
      </c>
      <c r="DI29" s="10"/>
      <c r="DJ29" s="10"/>
      <c r="DK29" s="10">
        <f>13+77</f>
        <v>90</v>
      </c>
      <c r="DL29" s="10">
        <v>-30</v>
      </c>
      <c r="DM29" s="10"/>
      <c r="DN29" s="10"/>
      <c r="DO29" s="10"/>
      <c r="DP29" s="10">
        <v>-33</v>
      </c>
      <c r="DQ29" s="10">
        <v>84</v>
      </c>
      <c r="DR29" s="10"/>
      <c r="DS29" s="10"/>
      <c r="DT29" s="10">
        <v>-21</v>
      </c>
      <c r="DU29" s="10"/>
      <c r="DV29" s="10">
        <v>-5</v>
      </c>
      <c r="DW29" s="10"/>
      <c r="DX29" s="10"/>
      <c r="DY29" s="10"/>
      <c r="DZ29" s="10"/>
      <c r="EA29" s="10"/>
      <c r="EB29" s="10"/>
      <c r="EC29" s="10"/>
      <c r="ED29" s="10">
        <v>-1</v>
      </c>
      <c r="EE29" s="10">
        <v>79</v>
      </c>
      <c r="EF29" s="10">
        <v>-1</v>
      </c>
      <c r="EG29" s="10"/>
      <c r="EH29" s="10">
        <v>-1</v>
      </c>
      <c r="EI29" s="10"/>
      <c r="EJ29" s="10">
        <v>-3</v>
      </c>
      <c r="EK29" s="10"/>
      <c r="EL29" s="10">
        <v>-4</v>
      </c>
      <c r="EM29" s="10"/>
      <c r="EN29" s="10"/>
      <c r="EO29" s="10"/>
      <c r="EP29" s="10"/>
      <c r="EQ29" s="10"/>
      <c r="ER29" s="10">
        <v>-4</v>
      </c>
      <c r="ES29" s="10"/>
      <c r="ET29" s="10">
        <f>-17-3</f>
        <v>-20</v>
      </c>
      <c r="EU29" s="10"/>
      <c r="EV29" s="10">
        <v>-6</v>
      </c>
      <c r="EW29" s="10"/>
      <c r="EX29" s="10">
        <v>-6</v>
      </c>
      <c r="EY29" s="10"/>
      <c r="EZ29" s="10">
        <v>-5</v>
      </c>
      <c r="FA29" s="10"/>
      <c r="FB29" s="10">
        <v>-70</v>
      </c>
      <c r="FC29" s="10"/>
      <c r="FD29" s="10"/>
      <c r="FE29" s="10"/>
      <c r="FF29" s="10"/>
      <c r="FG29" s="10">
        <v>55</v>
      </c>
      <c r="FH29" s="10">
        <v>-10</v>
      </c>
      <c r="FI29" s="10"/>
      <c r="FJ29" s="10">
        <v>-1</v>
      </c>
      <c r="FK29" s="10"/>
      <c r="FL29" s="10">
        <v>-2</v>
      </c>
      <c r="FM29" s="10"/>
      <c r="FN29" s="10">
        <v>-3</v>
      </c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>
        <v>-3</v>
      </c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>
        <v>-1</v>
      </c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>
        <v>-5</v>
      </c>
      <c r="GY29" s="10"/>
      <c r="GZ29" s="10"/>
      <c r="HA29" s="10"/>
      <c r="HB29" s="10"/>
      <c r="HC29" s="10"/>
      <c r="HD29" s="10"/>
      <c r="HE29" s="10"/>
      <c r="HF29" s="10">
        <v>-5</v>
      </c>
      <c r="HG29" s="10"/>
      <c r="HH29" s="10"/>
      <c r="HI29" s="10"/>
      <c r="HJ29" s="10"/>
      <c r="HK29" s="10"/>
      <c r="HL29" s="10"/>
      <c r="HM29" s="10"/>
      <c r="HN29" s="10"/>
      <c r="HO29" s="10"/>
      <c r="HP29" s="10">
        <v>-5</v>
      </c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>
        <v>-7</v>
      </c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>
        <v>70</v>
      </c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1">
        <f t="shared" si="1"/>
        <v>82</v>
      </c>
      <c r="TH29" s="9">
        <f t="shared" si="2"/>
        <v>-60</v>
      </c>
    </row>
    <row r="30" spans="1:528" ht="15.6" thickBot="1" x14ac:dyDescent="0.3">
      <c r="A30" s="25" t="s">
        <v>207</v>
      </c>
      <c r="B30" s="18" t="s">
        <v>23</v>
      </c>
      <c r="C30" s="3">
        <f>AGOSTO!D30</f>
        <v>442</v>
      </c>
      <c r="D30" s="55">
        <f t="shared" si="0"/>
        <v>61</v>
      </c>
      <c r="E30" s="10"/>
      <c r="F30" s="10"/>
      <c r="G30" s="10"/>
      <c r="H30" s="10"/>
      <c r="I30" s="10"/>
      <c r="J30" s="10"/>
      <c r="K30" s="10"/>
      <c r="L30" s="10">
        <v>-4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>
        <v>-5</v>
      </c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>
        <v>-56</v>
      </c>
      <c r="BS30" s="10"/>
      <c r="BT30" s="10">
        <v>-38</v>
      </c>
      <c r="BU30" s="10"/>
      <c r="BV30" s="10"/>
      <c r="BW30" s="10"/>
      <c r="BX30" s="10"/>
      <c r="BY30" s="10"/>
      <c r="BZ30" s="10"/>
      <c r="CA30" s="10"/>
      <c r="CB30" s="10">
        <v>-14</v>
      </c>
      <c r="CC30" s="10"/>
      <c r="CD30" s="10">
        <f>-2-6-6</f>
        <v>-14</v>
      </c>
      <c r="CE30" s="10"/>
      <c r="CF30" s="10">
        <v>-11</v>
      </c>
      <c r="CG30" s="10"/>
      <c r="CH30" s="10">
        <v>-24</v>
      </c>
      <c r="CI30" s="10"/>
      <c r="CJ30" s="10"/>
      <c r="CK30" s="10"/>
      <c r="CL30" s="10"/>
      <c r="CM30" s="10"/>
      <c r="CN30" s="10">
        <v>-1</v>
      </c>
      <c r="CO30" s="10"/>
      <c r="CP30" s="10"/>
      <c r="CQ30" s="10"/>
      <c r="CR30" s="10"/>
      <c r="CS30" s="10"/>
      <c r="CT30" s="10">
        <v>-11</v>
      </c>
      <c r="CU30" s="10"/>
      <c r="CV30" s="10"/>
      <c r="CW30" s="10"/>
      <c r="CX30" s="10"/>
      <c r="CY30" s="10"/>
      <c r="CZ30" s="10"/>
      <c r="DA30" s="10"/>
      <c r="DB30" s="10">
        <v>-44</v>
      </c>
      <c r="DC30" s="10"/>
      <c r="DD30" s="10">
        <v>-1</v>
      </c>
      <c r="DE30" s="10"/>
      <c r="DF30" s="10"/>
      <c r="DG30" s="10"/>
      <c r="DH30" s="10">
        <v>-3</v>
      </c>
      <c r="DI30" s="10"/>
      <c r="DJ30" s="10">
        <v>-6</v>
      </c>
      <c r="DK30" s="10"/>
      <c r="DL30" s="10">
        <f>-28-26</f>
        <v>-54</v>
      </c>
      <c r="DM30" s="10"/>
      <c r="DN30" s="10"/>
      <c r="DO30" s="10"/>
      <c r="DP30" s="10">
        <v>-24</v>
      </c>
      <c r="DQ30" s="10">
        <v>86</v>
      </c>
      <c r="DR30" s="10"/>
      <c r="DS30" s="10"/>
      <c r="DT30" s="10">
        <v>-1</v>
      </c>
      <c r="DU30" s="10"/>
      <c r="DV30" s="10">
        <f>-42-5</f>
        <v>-47</v>
      </c>
      <c r="DW30" s="10"/>
      <c r="DX30" s="10"/>
      <c r="DY30" s="10"/>
      <c r="DZ30" s="10"/>
      <c r="EA30" s="10"/>
      <c r="EB30" s="10"/>
      <c r="EC30" s="10"/>
      <c r="ED30" s="10">
        <v>-11</v>
      </c>
      <c r="EE30" s="10"/>
      <c r="EF30" s="10">
        <v>-1</v>
      </c>
      <c r="EG30" s="10"/>
      <c r="EH30" s="10">
        <v>-1</v>
      </c>
      <c r="EI30" s="10"/>
      <c r="EJ30" s="10">
        <f>-2-3</f>
        <v>-5</v>
      </c>
      <c r="EK30" s="10"/>
      <c r="EL30" s="10">
        <v>-3</v>
      </c>
      <c r="EM30" s="10"/>
      <c r="EN30" s="10"/>
      <c r="EO30" s="10"/>
      <c r="EP30" s="10"/>
      <c r="EQ30" s="10"/>
      <c r="ER30" s="10"/>
      <c r="ES30" s="10"/>
      <c r="ET30" s="10">
        <v>-26</v>
      </c>
      <c r="EU30" s="10"/>
      <c r="EV30" s="10"/>
      <c r="EW30" s="10"/>
      <c r="EX30" s="10">
        <v>-6</v>
      </c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>
        <v>-4</v>
      </c>
      <c r="FK30" s="10"/>
      <c r="FL30" s="10"/>
      <c r="FM30" s="10"/>
      <c r="FN30" s="10">
        <v>-9</v>
      </c>
      <c r="FO30" s="10"/>
      <c r="FP30" s="10"/>
      <c r="FQ30" s="10"/>
      <c r="FR30" s="10"/>
      <c r="FS30" s="10"/>
      <c r="FT30" s="10"/>
      <c r="FU30" s="10"/>
      <c r="FV30" s="10">
        <v>-5</v>
      </c>
      <c r="FW30" s="10"/>
      <c r="FX30" s="10">
        <v>-1</v>
      </c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>
        <v>-5</v>
      </c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>
        <v>-2</v>
      </c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>
        <v>-10</v>
      </c>
      <c r="HM30" s="10"/>
      <c r="HN30" s="10"/>
      <c r="HO30" s="10"/>
      <c r="HP30" s="10">
        <v>-5</v>
      </c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>
        <v>-12</v>
      </c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>
        <v>-3</v>
      </c>
      <c r="SI30" s="10"/>
      <c r="SJ30" s="10"/>
      <c r="SK30" s="10"/>
      <c r="SL30" s="10"/>
      <c r="SM30" s="10">
        <v>5</v>
      </c>
      <c r="SN30" s="10">
        <v>-5</v>
      </c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1">
        <f t="shared" si="1"/>
        <v>0</v>
      </c>
      <c r="TH30" s="9">
        <f t="shared" si="2"/>
        <v>-9</v>
      </c>
    </row>
    <row r="31" spans="1:528" ht="15.6" thickBot="1" x14ac:dyDescent="0.3">
      <c r="A31" s="25" t="s">
        <v>208</v>
      </c>
      <c r="B31" s="18" t="s">
        <v>24</v>
      </c>
      <c r="C31" s="3">
        <f>AGOSTO!D31</f>
        <v>545</v>
      </c>
      <c r="D31" s="55">
        <f t="shared" si="0"/>
        <v>140</v>
      </c>
      <c r="E31" s="10"/>
      <c r="F31" s="10"/>
      <c r="G31" s="10"/>
      <c r="H31" s="10"/>
      <c r="I31" s="10"/>
      <c r="J31" s="10"/>
      <c r="K31" s="10"/>
      <c r="L31" s="10">
        <v>-15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>
        <v>-1</v>
      </c>
      <c r="BC31" s="10"/>
      <c r="BD31" s="10">
        <v>-2</v>
      </c>
      <c r="BE31" s="10"/>
      <c r="BF31" s="10"/>
      <c r="BG31" s="10"/>
      <c r="BH31" s="10">
        <v>-6</v>
      </c>
      <c r="BI31" s="10"/>
      <c r="BJ31" s="10"/>
      <c r="BK31" s="10"/>
      <c r="BL31" s="10"/>
      <c r="BM31" s="10"/>
      <c r="BN31" s="10"/>
      <c r="BO31" s="10"/>
      <c r="BP31" s="10">
        <f>-2-2</f>
        <v>-4</v>
      </c>
      <c r="BQ31" s="10"/>
      <c r="BR31" s="10">
        <v>-70</v>
      </c>
      <c r="BS31" s="10"/>
      <c r="BT31" s="10">
        <v>-21</v>
      </c>
      <c r="BU31" s="10"/>
      <c r="BV31" s="10">
        <v>-13</v>
      </c>
      <c r="BW31" s="10"/>
      <c r="BX31" s="10"/>
      <c r="BY31" s="10"/>
      <c r="BZ31" s="10"/>
      <c r="CA31" s="10"/>
      <c r="CB31" s="10">
        <v>-14</v>
      </c>
      <c r="CC31" s="10"/>
      <c r="CD31" s="10">
        <f>-2-2-2</f>
        <v>-6</v>
      </c>
      <c r="CE31" s="10"/>
      <c r="CF31" s="10">
        <f>-11-16</f>
        <v>-27</v>
      </c>
      <c r="CG31" s="10"/>
      <c r="CH31" s="10">
        <v>-22</v>
      </c>
      <c r="CI31" s="10"/>
      <c r="CJ31" s="10"/>
      <c r="CK31" s="10"/>
      <c r="CL31" s="10"/>
      <c r="CM31" s="10"/>
      <c r="CN31" s="10">
        <v>-1</v>
      </c>
      <c r="CO31" s="10"/>
      <c r="CP31" s="10">
        <v>-9</v>
      </c>
      <c r="CQ31" s="10"/>
      <c r="CR31" s="10"/>
      <c r="CS31" s="10"/>
      <c r="CT31" s="10">
        <v>-9</v>
      </c>
      <c r="CU31" s="10"/>
      <c r="CV31" s="10"/>
      <c r="CW31" s="10"/>
      <c r="CX31" s="10"/>
      <c r="CY31" s="10"/>
      <c r="CZ31" s="10"/>
      <c r="DA31" s="10"/>
      <c r="DB31" s="10">
        <v>-2</v>
      </c>
      <c r="DC31" s="10"/>
      <c r="DD31" s="10">
        <v>-1</v>
      </c>
      <c r="DE31" s="10"/>
      <c r="DF31" s="10"/>
      <c r="DG31" s="10"/>
      <c r="DH31" s="10">
        <v>-3</v>
      </c>
      <c r="DI31" s="10"/>
      <c r="DJ31" s="10">
        <v>-6</v>
      </c>
      <c r="DK31" s="10"/>
      <c r="DL31" s="10"/>
      <c r="DM31" s="10"/>
      <c r="DN31" s="10"/>
      <c r="DO31" s="10"/>
      <c r="DP31" s="10">
        <f>-3-17</f>
        <v>-20</v>
      </c>
      <c r="DQ31" s="10"/>
      <c r="DR31" s="10"/>
      <c r="DS31" s="10"/>
      <c r="DT31" s="10">
        <v>-25</v>
      </c>
      <c r="DU31" s="10"/>
      <c r="DV31" s="10">
        <f>-2-5</f>
        <v>-7</v>
      </c>
      <c r="DW31" s="10"/>
      <c r="DX31" s="10"/>
      <c r="DY31" s="10"/>
      <c r="DZ31" s="10"/>
      <c r="EA31" s="10"/>
      <c r="EB31" s="10"/>
      <c r="EC31" s="10"/>
      <c r="ED31" s="10">
        <v>-6</v>
      </c>
      <c r="EE31" s="10"/>
      <c r="EF31" s="10"/>
      <c r="EG31" s="10"/>
      <c r="EH31" s="10">
        <v>-4</v>
      </c>
      <c r="EI31" s="10"/>
      <c r="EJ31" s="10">
        <f>-2-3</f>
        <v>-5</v>
      </c>
      <c r="EK31" s="10"/>
      <c r="EL31" s="10">
        <v>-2</v>
      </c>
      <c r="EM31" s="10"/>
      <c r="EN31" s="10">
        <v>-5</v>
      </c>
      <c r="EO31" s="10"/>
      <c r="EP31" s="10"/>
      <c r="EQ31" s="10"/>
      <c r="ER31" s="10"/>
      <c r="ES31" s="10"/>
      <c r="ET31" s="10">
        <v>-9</v>
      </c>
      <c r="EU31" s="10"/>
      <c r="EV31" s="10">
        <v>-7</v>
      </c>
      <c r="EW31" s="10"/>
      <c r="EX31" s="10">
        <v>-6</v>
      </c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>
        <v>-3</v>
      </c>
      <c r="FK31" s="10"/>
      <c r="FL31" s="10"/>
      <c r="FM31" s="10"/>
      <c r="FN31" s="10">
        <v>-3</v>
      </c>
      <c r="FO31" s="10"/>
      <c r="FP31" s="10"/>
      <c r="FQ31" s="10"/>
      <c r="FR31" s="10"/>
      <c r="FS31" s="10"/>
      <c r="FT31" s="10">
        <v>-4</v>
      </c>
      <c r="FU31" s="10"/>
      <c r="FV31" s="10"/>
      <c r="FW31" s="10"/>
      <c r="FX31" s="10">
        <v>-1</v>
      </c>
      <c r="FY31" s="10"/>
      <c r="FZ31" s="10"/>
      <c r="GA31" s="10"/>
      <c r="GB31" s="10"/>
      <c r="GC31" s="10"/>
      <c r="GD31" s="10">
        <v>-5</v>
      </c>
      <c r="GE31" s="10"/>
      <c r="GF31" s="10"/>
      <c r="GG31" s="10"/>
      <c r="GH31" s="10"/>
      <c r="GI31" s="10"/>
      <c r="GJ31" s="10"/>
      <c r="GK31" s="10"/>
      <c r="GL31" s="10">
        <v>-1</v>
      </c>
      <c r="GM31" s="10"/>
      <c r="GN31" s="10"/>
      <c r="GO31" s="10"/>
      <c r="GP31" s="10"/>
      <c r="GQ31" s="10"/>
      <c r="GR31" s="10">
        <v>-5</v>
      </c>
      <c r="GS31" s="10"/>
      <c r="GT31" s="10"/>
      <c r="GU31" s="10"/>
      <c r="GV31" s="10"/>
      <c r="GW31" s="10"/>
      <c r="GX31" s="10">
        <v>-2</v>
      </c>
      <c r="GY31" s="10"/>
      <c r="GZ31" s="10">
        <v>-2</v>
      </c>
      <c r="HA31" s="10"/>
      <c r="HB31" s="10">
        <v>-2</v>
      </c>
      <c r="HC31" s="10"/>
      <c r="HD31" s="10"/>
      <c r="HE31" s="10"/>
      <c r="HF31" s="10">
        <v>-5</v>
      </c>
      <c r="HG31" s="10"/>
      <c r="HH31" s="10"/>
      <c r="HI31" s="10"/>
      <c r="HJ31" s="10"/>
      <c r="HK31" s="10"/>
      <c r="HL31" s="10">
        <f>-10-2</f>
        <v>-12</v>
      </c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>
        <v>-12</v>
      </c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>
        <v>-5</v>
      </c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>
        <v>-10</v>
      </c>
      <c r="SI31" s="10"/>
      <c r="SJ31" s="10"/>
      <c r="SK31" s="10"/>
      <c r="SL31" s="10"/>
      <c r="SM31" s="10"/>
      <c r="SN31" s="10">
        <v>-5</v>
      </c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1">
        <f t="shared" si="1"/>
        <v>0</v>
      </c>
      <c r="TH31" s="9">
        <f t="shared" si="2"/>
        <v>-24</v>
      </c>
    </row>
    <row r="32" spans="1:528" ht="15.6" thickBot="1" x14ac:dyDescent="0.3">
      <c r="A32" s="25" t="s">
        <v>955</v>
      </c>
      <c r="B32" s="18" t="s">
        <v>956</v>
      </c>
      <c r="C32" s="3">
        <f>AGOSTO!D32</f>
        <v>0</v>
      </c>
      <c r="D32" s="55">
        <f t="shared" si="0"/>
        <v>50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>
        <f>112+10</f>
        <v>122</v>
      </c>
      <c r="BP32" s="10"/>
      <c r="BQ32" s="10"/>
      <c r="BR32" s="10">
        <v>-42</v>
      </c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>
        <v>-1</v>
      </c>
      <c r="CG32" s="10"/>
      <c r="CH32" s="10">
        <v>-3</v>
      </c>
      <c r="CI32" s="10"/>
      <c r="CJ32" s="10"/>
      <c r="CK32" s="10"/>
      <c r="CL32" s="10"/>
      <c r="CM32" s="10"/>
      <c r="CN32" s="10">
        <v>-1</v>
      </c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>
        <v>-6</v>
      </c>
      <c r="DC32" s="10"/>
      <c r="DD32" s="10"/>
      <c r="DE32" s="10"/>
      <c r="DF32" s="10"/>
      <c r="DG32" s="10"/>
      <c r="DH32" s="10"/>
      <c r="DI32" s="10"/>
      <c r="DJ32" s="10">
        <v>-10</v>
      </c>
      <c r="DK32" s="10"/>
      <c r="DL32" s="10"/>
      <c r="DM32" s="10"/>
      <c r="DN32" s="10"/>
      <c r="DO32" s="10"/>
      <c r="DP32" s="10">
        <v>-3</v>
      </c>
      <c r="DQ32" s="10"/>
      <c r="DR32" s="10"/>
      <c r="DS32" s="10"/>
      <c r="DT32" s="10"/>
      <c r="DU32" s="10"/>
      <c r="DV32" s="10">
        <v>-4</v>
      </c>
      <c r="DW32" s="10"/>
      <c r="DX32" s="10"/>
      <c r="DY32" s="10"/>
      <c r="DZ32" s="10"/>
      <c r="EA32" s="10"/>
      <c r="EB32" s="10"/>
      <c r="EC32" s="10"/>
      <c r="ED32" s="10">
        <v>-1</v>
      </c>
      <c r="EE32" s="10"/>
      <c r="EF32" s="10"/>
      <c r="EG32" s="10"/>
      <c r="EH32" s="10">
        <v>-1</v>
      </c>
      <c r="EI32" s="10"/>
      <c r="EJ32" s="10">
        <v>-7</v>
      </c>
      <c r="EK32" s="10"/>
      <c r="EL32" s="10">
        <v>-1</v>
      </c>
      <c r="EM32" s="10"/>
      <c r="EN32" s="10"/>
      <c r="EO32" s="10"/>
      <c r="EP32" s="10"/>
      <c r="EQ32" s="10"/>
      <c r="ER32" s="10"/>
      <c r="ES32" s="10"/>
      <c r="ET32" s="10">
        <v>-3</v>
      </c>
      <c r="EU32" s="10"/>
      <c r="EV32" s="10"/>
      <c r="EW32" s="10">
        <v>72</v>
      </c>
      <c r="EX32" s="10">
        <v>-5</v>
      </c>
      <c r="EY32" s="10"/>
      <c r="EZ32" s="10">
        <v>-34</v>
      </c>
      <c r="FA32" s="10"/>
      <c r="FB32" s="10"/>
      <c r="FC32" s="10"/>
      <c r="FD32" s="10"/>
      <c r="FE32" s="10"/>
      <c r="FF32" s="10"/>
      <c r="FG32" s="10"/>
      <c r="FH32" s="10"/>
      <c r="FI32" s="10"/>
      <c r="FJ32" s="10">
        <v>-1</v>
      </c>
      <c r="FK32" s="10"/>
      <c r="FL32" s="10">
        <v>-2</v>
      </c>
      <c r="FM32" s="10"/>
      <c r="FN32" s="10"/>
      <c r="FO32" s="10"/>
      <c r="FP32" s="10"/>
      <c r="FQ32" s="10"/>
      <c r="FR32" s="10"/>
      <c r="FS32" s="10"/>
      <c r="FT32" s="10">
        <v>-1</v>
      </c>
      <c r="FU32" s="10"/>
      <c r="FV32" s="10"/>
      <c r="FW32" s="10"/>
      <c r="FX32" s="10">
        <v>-3</v>
      </c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>
        <v>-2</v>
      </c>
      <c r="GW32" s="10"/>
      <c r="GX32" s="10"/>
      <c r="GY32" s="10"/>
      <c r="GZ32" s="10"/>
      <c r="HA32" s="10"/>
      <c r="HB32" s="10"/>
      <c r="HC32" s="10"/>
      <c r="HD32" s="10"/>
      <c r="HE32" s="10"/>
      <c r="HF32" s="10">
        <v>-7</v>
      </c>
      <c r="HG32" s="10"/>
      <c r="HH32" s="10"/>
      <c r="HI32" s="10"/>
      <c r="HJ32" s="10"/>
      <c r="HK32" s="10"/>
      <c r="HL32" s="10"/>
      <c r="HM32" s="10"/>
      <c r="HN32" s="10"/>
      <c r="HO32" s="10"/>
      <c r="HP32" s="10">
        <v>-10</v>
      </c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>
        <v>4</v>
      </c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1">
        <f t="shared" si="1"/>
        <v>0</v>
      </c>
      <c r="TH32" s="9">
        <f t="shared" si="2"/>
        <v>0</v>
      </c>
    </row>
    <row r="33" spans="1:528" ht="15.6" thickBot="1" x14ac:dyDescent="0.3">
      <c r="A33" s="25" t="s">
        <v>334</v>
      </c>
      <c r="B33" s="18" t="s">
        <v>508</v>
      </c>
      <c r="C33" s="3">
        <f>AGOSTO!D33</f>
        <v>0</v>
      </c>
      <c r="D33" s="21">
        <f t="shared" si="0"/>
        <v>0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1">
        <f t="shared" si="1"/>
        <v>0</v>
      </c>
      <c r="TH33" s="9">
        <f t="shared" si="2"/>
        <v>0</v>
      </c>
    </row>
    <row r="34" spans="1:528" ht="15.6" thickBot="1" x14ac:dyDescent="0.3">
      <c r="A34" s="25" t="s">
        <v>335</v>
      </c>
      <c r="B34" s="18" t="s">
        <v>25</v>
      </c>
      <c r="C34" s="3">
        <f>AGOSTO!D34</f>
        <v>10</v>
      </c>
      <c r="D34" s="21">
        <f t="shared" si="0"/>
        <v>0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>
        <v>12</v>
      </c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>
        <v>-12</v>
      </c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>
        <v>-10</v>
      </c>
      <c r="GM34" s="10">
        <v>12</v>
      </c>
      <c r="GN34" s="10"/>
      <c r="GO34" s="10"/>
      <c r="GP34" s="10"/>
      <c r="GQ34" s="10"/>
      <c r="GR34" s="10">
        <v>-10</v>
      </c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>
        <v>-2</v>
      </c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1">
        <f t="shared" si="1"/>
        <v>0</v>
      </c>
      <c r="TH34" s="9">
        <f t="shared" si="2"/>
        <v>0</v>
      </c>
    </row>
    <row r="35" spans="1:528" ht="15.6" thickBot="1" x14ac:dyDescent="0.3">
      <c r="A35" s="25" t="s">
        <v>211</v>
      </c>
      <c r="B35" s="18" t="s">
        <v>866</v>
      </c>
      <c r="C35" s="3">
        <f>AGOSTO!D35</f>
        <v>0</v>
      </c>
      <c r="D35" s="55">
        <f t="shared" si="0"/>
        <v>259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>
        <f>112+112+112+36</f>
        <v>372</v>
      </c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>
        <v>-5</v>
      </c>
      <c r="BE35" s="10"/>
      <c r="BF35" s="10"/>
      <c r="BG35" s="10"/>
      <c r="BH35" s="10">
        <v>-6</v>
      </c>
      <c r="BI35" s="10"/>
      <c r="BJ35" s="10"/>
      <c r="BK35" s="10"/>
      <c r="BL35" s="10"/>
      <c r="BM35" s="10"/>
      <c r="BN35" s="10">
        <v>-336</v>
      </c>
      <c r="BO35" s="10"/>
      <c r="BP35" s="10">
        <f>-5-5</f>
        <v>-10</v>
      </c>
      <c r="BQ35" s="10">
        <f>56+112+29</f>
        <v>197</v>
      </c>
      <c r="BR35" s="10">
        <v>-56</v>
      </c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>
        <f>-2-3-2</f>
        <v>-7</v>
      </c>
      <c r="CE35" s="10"/>
      <c r="CF35" s="10">
        <v>-16</v>
      </c>
      <c r="CG35" s="10"/>
      <c r="CH35" s="10">
        <v>-26</v>
      </c>
      <c r="CI35" s="10"/>
      <c r="CJ35" s="10">
        <v>-8</v>
      </c>
      <c r="CK35" s="10"/>
      <c r="CL35" s="10"/>
      <c r="CM35" s="10">
        <f>112+70</f>
        <v>182</v>
      </c>
      <c r="CN35" s="10">
        <v>-46</v>
      </c>
      <c r="CO35" s="10"/>
      <c r="CP35" s="10"/>
      <c r="CQ35" s="10"/>
      <c r="CR35" s="10"/>
      <c r="CS35" s="10"/>
      <c r="CT35" s="10">
        <v>-32</v>
      </c>
      <c r="CU35" s="10"/>
      <c r="CV35" s="10">
        <v>-2</v>
      </c>
      <c r="CW35" s="10"/>
      <c r="CX35" s="10"/>
      <c r="CY35" s="10"/>
      <c r="CZ35" s="10"/>
      <c r="DA35" s="10"/>
      <c r="DB35" s="10">
        <v>-79</v>
      </c>
      <c r="DC35" s="10"/>
      <c r="DD35" s="10">
        <v>-19</v>
      </c>
      <c r="DE35" s="10"/>
      <c r="DF35" s="10">
        <v>-31</v>
      </c>
      <c r="DG35" s="10"/>
      <c r="DH35" s="10">
        <v>-2</v>
      </c>
      <c r="DI35" s="10"/>
      <c r="DJ35" s="10"/>
      <c r="DK35" s="10"/>
      <c r="DL35" s="10">
        <v>-24</v>
      </c>
      <c r="DM35" s="10"/>
      <c r="DN35" s="10"/>
      <c r="DO35" s="10"/>
      <c r="DP35" s="10">
        <v>-4</v>
      </c>
      <c r="DQ35" s="10"/>
      <c r="DR35" s="10"/>
      <c r="DS35" s="10"/>
      <c r="DT35" s="10">
        <v>-21</v>
      </c>
      <c r="DU35" s="10"/>
      <c r="DV35" s="10">
        <v>-7</v>
      </c>
      <c r="DW35" s="10"/>
      <c r="DX35" s="10"/>
      <c r="DY35" s="10"/>
      <c r="DZ35" s="10"/>
      <c r="EA35" s="10"/>
      <c r="EB35" s="10"/>
      <c r="EC35" s="10"/>
      <c r="ED35" s="10">
        <v>-6</v>
      </c>
      <c r="EE35" s="10">
        <v>4</v>
      </c>
      <c r="EF35" s="10"/>
      <c r="EG35" s="10"/>
      <c r="EH35" s="10">
        <v>-1</v>
      </c>
      <c r="EI35" s="10">
        <v>114</v>
      </c>
      <c r="EJ35" s="10"/>
      <c r="EK35" s="10"/>
      <c r="EL35" s="10">
        <v>-1</v>
      </c>
      <c r="EM35" s="10"/>
      <c r="EN35" s="10">
        <v>-10</v>
      </c>
      <c r="EO35" s="10">
        <v>4</v>
      </c>
      <c r="EP35" s="10"/>
      <c r="EQ35" s="10"/>
      <c r="ER35" s="10"/>
      <c r="ES35" s="10"/>
      <c r="ET35" s="10">
        <v>-5</v>
      </c>
      <c r="EU35" s="10"/>
      <c r="EV35" s="10">
        <v>-34</v>
      </c>
      <c r="EW35" s="10">
        <f>52+112+112+51</f>
        <v>327</v>
      </c>
      <c r="EX35" s="10">
        <v>-2</v>
      </c>
      <c r="EY35" s="10"/>
      <c r="EZ35" s="10">
        <v>-1</v>
      </c>
      <c r="FA35" s="10"/>
      <c r="FB35" s="10"/>
      <c r="FC35" s="10"/>
      <c r="FD35" s="10"/>
      <c r="FE35" s="10"/>
      <c r="FF35" s="10"/>
      <c r="FG35" s="10"/>
      <c r="FH35" s="10"/>
      <c r="FI35" s="10"/>
      <c r="FJ35" s="10">
        <v>-57</v>
      </c>
      <c r="FK35" s="10"/>
      <c r="FL35" s="10">
        <v>-2</v>
      </c>
      <c r="FM35" s="10"/>
      <c r="FN35" s="10">
        <v>-6</v>
      </c>
      <c r="FO35" s="10"/>
      <c r="FP35" s="10"/>
      <c r="FQ35" s="10"/>
      <c r="FR35" s="10"/>
      <c r="FS35" s="10"/>
      <c r="FT35" s="10"/>
      <c r="FU35" s="10"/>
      <c r="FV35" s="10">
        <v>-5</v>
      </c>
      <c r="FW35" s="10"/>
      <c r="FX35" s="10"/>
      <c r="FY35" s="10"/>
      <c r="FZ35" s="10">
        <v>-11</v>
      </c>
      <c r="GA35" s="10"/>
      <c r="GB35" s="10"/>
      <c r="GC35" s="10"/>
      <c r="GD35" s="10">
        <v>-5</v>
      </c>
      <c r="GE35" s="10"/>
      <c r="GF35" s="10"/>
      <c r="GG35" s="10"/>
      <c r="GH35" s="10"/>
      <c r="GI35" s="10"/>
      <c r="GJ35" s="10">
        <v>-12</v>
      </c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>
        <v>-2</v>
      </c>
      <c r="GY35" s="10"/>
      <c r="GZ35" s="10"/>
      <c r="HA35" s="10"/>
      <c r="HB35" s="10">
        <v>-6</v>
      </c>
      <c r="HC35" s="10"/>
      <c r="HD35" s="10"/>
      <c r="HE35" s="10"/>
      <c r="HF35" s="10">
        <v>-5</v>
      </c>
      <c r="HG35" s="10"/>
      <c r="HH35" s="10"/>
      <c r="HI35" s="10"/>
      <c r="HJ35" s="10"/>
      <c r="HK35" s="10"/>
      <c r="HL35" s="10">
        <v>-12</v>
      </c>
      <c r="HM35" s="10"/>
      <c r="HN35" s="10"/>
      <c r="HO35" s="10"/>
      <c r="HP35" s="10">
        <v>-5</v>
      </c>
      <c r="HQ35" s="10"/>
      <c r="HR35" s="10"/>
      <c r="HS35" s="10"/>
      <c r="HT35" s="10">
        <f>-5-5</f>
        <v>-10</v>
      </c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>
        <v>-11</v>
      </c>
      <c r="SI35" s="10"/>
      <c r="SJ35" s="10"/>
      <c r="SK35" s="10"/>
      <c r="SL35" s="10"/>
      <c r="SM35" s="10">
        <v>5</v>
      </c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1">
        <f t="shared" si="1"/>
        <v>372</v>
      </c>
      <c r="TH35" s="9">
        <f t="shared" si="2"/>
        <v>-11</v>
      </c>
    </row>
    <row r="36" spans="1:528" ht="15.6" thickBot="1" x14ac:dyDescent="0.3">
      <c r="A36" s="25" t="s">
        <v>944</v>
      </c>
      <c r="B36" s="18" t="s">
        <v>867</v>
      </c>
      <c r="C36" s="3">
        <f>AGOSTO!D36</f>
        <v>0</v>
      </c>
      <c r="D36" s="55">
        <f t="shared" si="0"/>
        <v>85</v>
      </c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>
        <f>42+31</f>
        <v>73</v>
      </c>
      <c r="BD36" s="10"/>
      <c r="BE36" s="10"/>
      <c r="BF36" s="10"/>
      <c r="BG36" s="10"/>
      <c r="BH36" s="10"/>
      <c r="BI36" s="10"/>
      <c r="BJ36" s="10"/>
      <c r="BK36" s="10">
        <f>112</f>
        <v>112</v>
      </c>
      <c r="BL36" s="10"/>
      <c r="BM36" s="10">
        <f>112+14+98+3</f>
        <v>227</v>
      </c>
      <c r="BN36" s="10">
        <v>-336</v>
      </c>
      <c r="BO36" s="10"/>
      <c r="BP36" s="10"/>
      <c r="BQ36" s="10"/>
      <c r="BR36" s="10">
        <v>-42</v>
      </c>
      <c r="BS36" s="10"/>
      <c r="BT36" s="10"/>
      <c r="BU36" s="10"/>
      <c r="BV36" s="10">
        <v>-3</v>
      </c>
      <c r="BW36" s="10"/>
      <c r="BX36" s="10"/>
      <c r="BY36" s="10"/>
      <c r="BZ36" s="10"/>
      <c r="CA36" s="10"/>
      <c r="CB36" s="10"/>
      <c r="CC36" s="10"/>
      <c r="CD36" s="10">
        <f>-1-1-1-3</f>
        <v>-6</v>
      </c>
      <c r="CE36" s="10"/>
      <c r="CF36" s="10">
        <v>-7</v>
      </c>
      <c r="CG36" s="10"/>
      <c r="CH36" s="10">
        <v>-14</v>
      </c>
      <c r="CI36" s="10"/>
      <c r="CJ36" s="10">
        <v>-2</v>
      </c>
      <c r="CK36" s="10"/>
      <c r="CL36" s="10"/>
      <c r="CM36" s="10"/>
      <c r="CN36" s="10">
        <v>-2</v>
      </c>
      <c r="CO36" s="10">
        <f>112+112</f>
        <v>224</v>
      </c>
      <c r="CP36" s="10"/>
      <c r="CQ36" s="10">
        <f>104</f>
        <v>104</v>
      </c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>
        <v>-7</v>
      </c>
      <c r="DC36" s="10"/>
      <c r="DD36" s="10">
        <v>-15</v>
      </c>
      <c r="DE36" s="10"/>
      <c r="DF36" s="10">
        <v>-3</v>
      </c>
      <c r="DG36" s="10"/>
      <c r="DH36" s="10">
        <v>-1</v>
      </c>
      <c r="DI36" s="10"/>
      <c r="DJ36" s="10">
        <v>-10</v>
      </c>
      <c r="DK36" s="10"/>
      <c r="DL36" s="10"/>
      <c r="DM36" s="10"/>
      <c r="DN36" s="10"/>
      <c r="DO36" s="10"/>
      <c r="DP36" s="10">
        <v>-4</v>
      </c>
      <c r="DQ36" s="10"/>
      <c r="DR36" s="10"/>
      <c r="DS36" s="10"/>
      <c r="DT36" s="10">
        <v>-1</v>
      </c>
      <c r="DU36" s="10"/>
      <c r="DV36" s="10">
        <v>-5</v>
      </c>
      <c r="DW36" s="10"/>
      <c r="DX36" s="10"/>
      <c r="DY36" s="10"/>
      <c r="DZ36" s="10"/>
      <c r="EA36" s="10"/>
      <c r="EB36" s="10"/>
      <c r="EC36" s="10"/>
      <c r="ED36" s="10">
        <v>-6</v>
      </c>
      <c r="EE36" s="10"/>
      <c r="EF36" s="10"/>
      <c r="EG36" s="10"/>
      <c r="EH36" s="10">
        <v>-1</v>
      </c>
      <c r="EI36" s="10"/>
      <c r="EJ36" s="10">
        <v>-2</v>
      </c>
      <c r="EK36" s="10"/>
      <c r="EL36" s="10">
        <v>-3</v>
      </c>
      <c r="EM36" s="10"/>
      <c r="EN36" s="10"/>
      <c r="EO36" s="10">
        <v>4</v>
      </c>
      <c r="EP36" s="10"/>
      <c r="EQ36" s="10"/>
      <c r="ER36" s="10">
        <v>-2</v>
      </c>
      <c r="ES36" s="10"/>
      <c r="ET36" s="10">
        <v>-4</v>
      </c>
      <c r="EU36" s="10"/>
      <c r="EV36" s="10">
        <v>-6</v>
      </c>
      <c r="EW36" s="10"/>
      <c r="EX36" s="10">
        <v>-2</v>
      </c>
      <c r="EY36" s="10"/>
      <c r="EZ36" s="10">
        <v>-5</v>
      </c>
      <c r="FA36" s="10"/>
      <c r="FB36" s="10"/>
      <c r="FC36" s="10"/>
      <c r="FD36" s="10"/>
      <c r="FE36" s="10"/>
      <c r="FF36" s="10"/>
      <c r="FG36" s="10"/>
      <c r="FH36" s="10"/>
      <c r="FI36" s="10"/>
      <c r="FJ36" s="10">
        <v>-113</v>
      </c>
      <c r="FK36" s="10"/>
      <c r="FL36" s="10"/>
      <c r="FM36" s="10"/>
      <c r="FN36" s="10">
        <v>-4</v>
      </c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>
        <v>-5</v>
      </c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>
        <v>-2</v>
      </c>
      <c r="GY36" s="10"/>
      <c r="GZ36" s="10"/>
      <c r="HA36" s="10"/>
      <c r="HB36" s="10"/>
      <c r="HC36" s="10"/>
      <c r="HD36" s="10"/>
      <c r="HE36" s="10"/>
      <c r="HF36" s="10">
        <v>-10</v>
      </c>
      <c r="HG36" s="10"/>
      <c r="HH36" s="10"/>
      <c r="HI36" s="10"/>
      <c r="HJ36" s="10"/>
      <c r="HK36" s="10"/>
      <c r="HL36" s="10">
        <v>-3</v>
      </c>
      <c r="HM36" s="10"/>
      <c r="HN36" s="10"/>
      <c r="HO36" s="10"/>
      <c r="HP36" s="10"/>
      <c r="HQ36" s="10"/>
      <c r="HR36" s="10"/>
      <c r="HS36" s="10"/>
      <c r="HT36" s="10">
        <f>-10-10</f>
        <v>-20</v>
      </c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>
        <v>-13</v>
      </c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1">
        <f t="shared" si="1"/>
        <v>73</v>
      </c>
      <c r="TH36" s="9">
        <f t="shared" si="2"/>
        <v>0</v>
      </c>
    </row>
    <row r="37" spans="1:528" ht="16.2" thickBot="1" x14ac:dyDescent="0.35">
      <c r="A37" s="25"/>
      <c r="B37" s="23" t="s">
        <v>26</v>
      </c>
      <c r="C37" s="3">
        <f>AGOSTO!D37</f>
        <v>0</v>
      </c>
      <c r="D37" s="21">
        <f t="shared" si="0"/>
        <v>0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1">
        <f t="shared" si="1"/>
        <v>0</v>
      </c>
      <c r="TH37" s="9">
        <f t="shared" si="2"/>
        <v>0</v>
      </c>
    </row>
    <row r="38" spans="1:528" ht="15.6" thickBot="1" x14ac:dyDescent="0.3">
      <c r="A38" s="25" t="s">
        <v>338</v>
      </c>
      <c r="B38" s="18" t="s">
        <v>4</v>
      </c>
      <c r="C38" s="3">
        <f>AGOSTO!D38</f>
        <v>0</v>
      </c>
      <c r="D38" s="21">
        <f t="shared" si="0"/>
        <v>0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1">
        <f t="shared" si="1"/>
        <v>0</v>
      </c>
      <c r="TH38" s="9">
        <f t="shared" si="2"/>
        <v>0</v>
      </c>
    </row>
    <row r="39" spans="1:528" ht="15.6" thickBot="1" x14ac:dyDescent="0.3">
      <c r="A39" s="25" t="s">
        <v>339</v>
      </c>
      <c r="B39" s="18" t="s">
        <v>3</v>
      </c>
      <c r="C39" s="3">
        <f>AGOSTO!D39</f>
        <v>0</v>
      </c>
      <c r="D39" s="21">
        <f t="shared" si="0"/>
        <v>0</v>
      </c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1">
        <f t="shared" si="1"/>
        <v>0</v>
      </c>
      <c r="TH39" s="9">
        <f t="shared" si="2"/>
        <v>0</v>
      </c>
    </row>
    <row r="40" spans="1:528" ht="15.6" thickBot="1" x14ac:dyDescent="0.3">
      <c r="A40" s="25" t="s">
        <v>337</v>
      </c>
      <c r="B40" s="18" t="s">
        <v>27</v>
      </c>
      <c r="C40" s="3">
        <f>AGOSTO!D40</f>
        <v>0</v>
      </c>
      <c r="D40" s="21">
        <f t="shared" si="0"/>
        <v>0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1">
        <f t="shared" si="1"/>
        <v>0</v>
      </c>
      <c r="TH40" s="9">
        <f t="shared" si="2"/>
        <v>0</v>
      </c>
    </row>
    <row r="41" spans="1:528" ht="15.6" thickBot="1" x14ac:dyDescent="0.3">
      <c r="A41" s="25" t="s">
        <v>336</v>
      </c>
      <c r="B41" s="18" t="s">
        <v>13</v>
      </c>
      <c r="C41" s="3">
        <f>AGOSTO!D41</f>
        <v>0</v>
      </c>
      <c r="D41" s="21">
        <f t="shared" si="0"/>
        <v>0</v>
      </c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1">
        <f t="shared" si="1"/>
        <v>0</v>
      </c>
      <c r="TH41" s="9">
        <f t="shared" si="2"/>
        <v>0</v>
      </c>
    </row>
    <row r="42" spans="1:528" ht="15.6" thickBot="1" x14ac:dyDescent="0.3">
      <c r="A42" s="25" t="s">
        <v>340</v>
      </c>
      <c r="B42" s="18" t="s">
        <v>160</v>
      </c>
      <c r="C42" s="3">
        <f>AGOSTO!D42</f>
        <v>0</v>
      </c>
      <c r="D42" s="21">
        <f t="shared" si="0"/>
        <v>0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1">
        <f t="shared" si="1"/>
        <v>0</v>
      </c>
      <c r="TH42" s="9">
        <f t="shared" si="2"/>
        <v>0</v>
      </c>
    </row>
    <row r="43" spans="1:528" ht="16.2" thickBot="1" x14ac:dyDescent="0.35">
      <c r="A43" s="25"/>
      <c r="B43" s="23" t="s">
        <v>957</v>
      </c>
      <c r="C43" s="3">
        <f>AGOSTO!D43</f>
        <v>0</v>
      </c>
      <c r="D43" s="21">
        <f t="shared" si="0"/>
        <v>0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1">
        <f t="shared" si="1"/>
        <v>0</v>
      </c>
      <c r="TH43" s="9">
        <f t="shared" si="2"/>
        <v>0</v>
      </c>
    </row>
    <row r="44" spans="1:528" ht="15.6" thickBot="1" x14ac:dyDescent="0.3">
      <c r="A44" s="25" t="s">
        <v>643</v>
      </c>
      <c r="B44" s="18" t="s">
        <v>492</v>
      </c>
      <c r="C44" s="3">
        <f>AGOSTO!D44</f>
        <v>0</v>
      </c>
      <c r="D44" s="21">
        <f t="shared" si="0"/>
        <v>24</v>
      </c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>
        <v>234</v>
      </c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>
        <v>-13</v>
      </c>
      <c r="BC44" s="10"/>
      <c r="BD44" s="10">
        <f>-5-10</f>
        <v>-15</v>
      </c>
      <c r="BE44" s="10"/>
      <c r="BF44" s="10"/>
      <c r="BG44" s="10"/>
      <c r="BH44" s="10">
        <v>-104</v>
      </c>
      <c r="BI44" s="10"/>
      <c r="BJ44" s="10"/>
      <c r="BK44" s="10"/>
      <c r="BL44" s="10">
        <v>-52</v>
      </c>
      <c r="BM44" s="10"/>
      <c r="BN44" s="10"/>
      <c r="BO44" s="10"/>
      <c r="BP44" s="10">
        <v>-10</v>
      </c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4">
        <v>-36</v>
      </c>
      <c r="CC44" s="10"/>
      <c r="CD44" s="10">
        <f>-4-3</f>
        <v>-7</v>
      </c>
      <c r="CE44" s="10">
        <v>18</v>
      </c>
      <c r="CF44" s="10">
        <v>-15</v>
      </c>
      <c r="CG44" s="10">
        <v>117</v>
      </c>
      <c r="CH44" s="10">
        <v>-26</v>
      </c>
      <c r="CI44" s="10"/>
      <c r="CJ44" s="10"/>
      <c r="CK44" s="10"/>
      <c r="CL44" s="10"/>
      <c r="CM44" s="10"/>
      <c r="CN44" s="10"/>
      <c r="CO44" s="10">
        <v>119</v>
      </c>
      <c r="CP44" s="10"/>
      <c r="CQ44" s="10"/>
      <c r="CR44" s="10"/>
      <c r="CS44" s="10"/>
      <c r="CT44" s="10">
        <v>-10</v>
      </c>
      <c r="CU44" s="10"/>
      <c r="CV44" s="10"/>
      <c r="CW44" s="10"/>
      <c r="CX44" s="10"/>
      <c r="CY44" s="10"/>
      <c r="CZ44" s="10"/>
      <c r="DA44" s="10"/>
      <c r="DB44" s="10"/>
      <c r="DC44" s="10">
        <v>117</v>
      </c>
      <c r="DD44" s="10">
        <v>-30</v>
      </c>
      <c r="DE44" s="10"/>
      <c r="DF44" s="10">
        <v>-68</v>
      </c>
      <c r="DG44" s="10"/>
      <c r="DH44" s="10">
        <v>-7</v>
      </c>
      <c r="DI44" s="10"/>
      <c r="DJ44" s="10"/>
      <c r="DK44" s="10"/>
      <c r="DL44" s="10"/>
      <c r="DM44" s="10"/>
      <c r="DN44" s="10"/>
      <c r="DO44" s="10"/>
      <c r="DP44" s="10">
        <v>-70</v>
      </c>
      <c r="DQ44" s="10"/>
      <c r="DR44" s="10"/>
      <c r="DS44" s="10"/>
      <c r="DT44" s="10"/>
      <c r="DU44" s="10"/>
      <c r="DV44" s="10">
        <f>-1-5</f>
        <v>-6</v>
      </c>
      <c r="DW44" s="10"/>
      <c r="DX44" s="10"/>
      <c r="DY44" s="10"/>
      <c r="DZ44" s="10"/>
      <c r="EA44" s="10"/>
      <c r="EB44" s="10"/>
      <c r="EC44" s="10"/>
      <c r="ED44" s="10">
        <v>-10</v>
      </c>
      <c r="EE44" s="10"/>
      <c r="EF44" s="10">
        <v>-9</v>
      </c>
      <c r="EG44" s="10">
        <v>117</v>
      </c>
      <c r="EH44" s="10">
        <v>-6</v>
      </c>
      <c r="EI44" s="10"/>
      <c r="EJ44" s="10">
        <v>-6</v>
      </c>
      <c r="EK44" s="10"/>
      <c r="EL44" s="10">
        <v>-3</v>
      </c>
      <c r="EM44" s="10"/>
      <c r="EN44" s="10">
        <v>-57</v>
      </c>
      <c r="EO44" s="10"/>
      <c r="EP44" s="10"/>
      <c r="EQ44" s="10"/>
      <c r="ER44" s="10"/>
      <c r="ES44" s="10"/>
      <c r="ET44" s="10">
        <v>-12</v>
      </c>
      <c r="EU44" s="10"/>
      <c r="EV44" s="10">
        <v>-41</v>
      </c>
      <c r="EW44" s="10"/>
      <c r="EX44" s="10"/>
      <c r="EY44" s="10"/>
      <c r="EZ44" s="10">
        <v>-24</v>
      </c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>
        <v>-6</v>
      </c>
      <c r="FU44" s="10"/>
      <c r="FV44" s="10">
        <v>-4</v>
      </c>
      <c r="FW44" s="10"/>
      <c r="FX44" s="10">
        <v>-2</v>
      </c>
      <c r="FY44" s="10"/>
      <c r="FZ44" s="10"/>
      <c r="GA44" s="10"/>
      <c r="GB44" s="10">
        <v>-12</v>
      </c>
      <c r="GC44" s="10"/>
      <c r="GD44" s="10">
        <v>-5</v>
      </c>
      <c r="GE44" s="10"/>
      <c r="GF44" s="10"/>
      <c r="GG44" s="10"/>
      <c r="GH44" s="10">
        <v>-16</v>
      </c>
      <c r="GI44" s="10"/>
      <c r="GJ44" s="10">
        <v>-2</v>
      </c>
      <c r="GK44" s="10"/>
      <c r="GL44" s="10"/>
      <c r="GM44" s="10"/>
      <c r="GN44" s="10">
        <v>-6</v>
      </c>
      <c r="GO44" s="10"/>
      <c r="GP44" s="10"/>
      <c r="GQ44" s="10">
        <v>60</v>
      </c>
      <c r="GR44" s="10">
        <v>-10</v>
      </c>
      <c r="GS44" s="10"/>
      <c r="GT44" s="10"/>
      <c r="GU44" s="10"/>
      <c r="GV44" s="10"/>
      <c r="GW44" s="10"/>
      <c r="GX44" s="10">
        <v>-4</v>
      </c>
      <c r="GY44" s="10"/>
      <c r="GZ44" s="10"/>
      <c r="HA44" s="10"/>
      <c r="HB44" s="10"/>
      <c r="HC44" s="10"/>
      <c r="HD44" s="10">
        <v>-2</v>
      </c>
      <c r="HE44" s="10"/>
      <c r="HF44" s="10">
        <v>-10</v>
      </c>
      <c r="HG44" s="10"/>
      <c r="HH44" s="10"/>
      <c r="HI44" s="10"/>
      <c r="HJ44" s="10"/>
      <c r="HK44" s="10"/>
      <c r="HL44" s="14">
        <f>-2-10</f>
        <v>-12</v>
      </c>
      <c r="HM44" s="10"/>
      <c r="HN44" s="10"/>
      <c r="HO44" s="10"/>
      <c r="HP44" s="10"/>
      <c r="HQ44" s="10"/>
      <c r="HR44" s="10"/>
      <c r="HS44" s="10"/>
      <c r="HT44" s="10">
        <v>-20</v>
      </c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>
        <v>-10</v>
      </c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1">
        <f t="shared" si="1"/>
        <v>234</v>
      </c>
      <c r="TH44" s="9">
        <f t="shared" si="2"/>
        <v>-132</v>
      </c>
    </row>
    <row r="45" spans="1:528" ht="15.6" thickBot="1" x14ac:dyDescent="0.3">
      <c r="A45" s="25" t="s">
        <v>190</v>
      </c>
      <c r="B45" s="18" t="s">
        <v>493</v>
      </c>
      <c r="C45" s="3">
        <f>AGOSTO!D45</f>
        <v>0</v>
      </c>
      <c r="D45" s="55">
        <f t="shared" si="0"/>
        <v>159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>
        <f>117*2</f>
        <v>234</v>
      </c>
      <c r="X45" s="10"/>
      <c r="Y45" s="10">
        <f>117*4+32</f>
        <v>500</v>
      </c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>
        <f>-13-120</f>
        <v>-133</v>
      </c>
      <c r="BC45" s="10"/>
      <c r="BD45" s="10">
        <f>-5-10</f>
        <v>-15</v>
      </c>
      <c r="BE45" s="10"/>
      <c r="BF45" s="10"/>
      <c r="BG45" s="10"/>
      <c r="BH45" s="10">
        <v>-108</v>
      </c>
      <c r="BI45" s="10"/>
      <c r="BJ45" s="10"/>
      <c r="BK45" s="10">
        <f>117</f>
        <v>117</v>
      </c>
      <c r="BL45" s="10">
        <v>-52</v>
      </c>
      <c r="BM45" s="10">
        <f>117+117+117</f>
        <v>351</v>
      </c>
      <c r="BN45" s="10"/>
      <c r="BO45" s="10">
        <v>61</v>
      </c>
      <c r="BP45" s="10">
        <v>-10</v>
      </c>
      <c r="BQ45" s="10"/>
      <c r="BR45" s="10"/>
      <c r="BS45" s="10">
        <f>117+117</f>
        <v>234</v>
      </c>
      <c r="BT45" s="10">
        <f>-234-234</f>
        <v>-468</v>
      </c>
      <c r="BU45" s="10"/>
      <c r="BV45" s="10"/>
      <c r="BW45" s="10"/>
      <c r="BX45" s="10"/>
      <c r="BY45" s="10"/>
      <c r="BZ45" s="10">
        <f>-182-156</f>
        <v>-338</v>
      </c>
      <c r="CA45" s="10"/>
      <c r="CB45" s="10">
        <f>-52-55-13</f>
        <v>-120</v>
      </c>
      <c r="CC45" s="10"/>
      <c r="CD45" s="10">
        <f>-2-1</f>
        <v>-3</v>
      </c>
      <c r="CE45" s="10"/>
      <c r="CF45" s="10">
        <v>-16</v>
      </c>
      <c r="CG45" s="10"/>
      <c r="CH45" s="10">
        <v>-21</v>
      </c>
      <c r="CI45" s="10"/>
      <c r="CJ45" s="10">
        <f>-10-10</f>
        <v>-20</v>
      </c>
      <c r="CK45" s="10"/>
      <c r="CL45" s="10"/>
      <c r="CM45" s="10"/>
      <c r="CN45" s="10">
        <v>-5</v>
      </c>
      <c r="CO45" s="10">
        <f>117</f>
        <v>117</v>
      </c>
      <c r="CP45" s="10"/>
      <c r="CQ45" s="10">
        <f>12+105+117+19</f>
        <v>253</v>
      </c>
      <c r="CR45" s="10"/>
      <c r="CS45" s="10"/>
      <c r="CT45" s="10">
        <v>-331</v>
      </c>
      <c r="CU45" s="10"/>
      <c r="CV45" s="10"/>
      <c r="CW45" s="10"/>
      <c r="CX45" s="10"/>
      <c r="CY45" s="10"/>
      <c r="CZ45" s="10"/>
      <c r="DA45" s="10"/>
      <c r="DB45" s="10">
        <v>-40</v>
      </c>
      <c r="DC45" s="10">
        <v>60</v>
      </c>
      <c r="DD45" s="10">
        <v>-14</v>
      </c>
      <c r="DE45" s="10"/>
      <c r="DF45" s="10">
        <v>-68</v>
      </c>
      <c r="DG45" s="10">
        <v>61</v>
      </c>
      <c r="DH45" s="10">
        <v>-7</v>
      </c>
      <c r="DI45" s="10"/>
      <c r="DJ45" s="10"/>
      <c r="DK45" s="10"/>
      <c r="DL45" s="10"/>
      <c r="DM45" s="10"/>
      <c r="DN45" s="10"/>
      <c r="DO45" s="10"/>
      <c r="DP45" s="10">
        <v>-66</v>
      </c>
      <c r="DQ45" s="10"/>
      <c r="DR45" s="10"/>
      <c r="DS45" s="10"/>
      <c r="DT45" s="10">
        <v>-17</v>
      </c>
      <c r="DU45" s="10"/>
      <c r="DV45" s="10">
        <f>-2-5</f>
        <v>-7</v>
      </c>
      <c r="DW45" s="10"/>
      <c r="DX45" s="10"/>
      <c r="DY45" s="10"/>
      <c r="DZ45" s="10"/>
      <c r="EA45" s="10"/>
      <c r="EB45" s="10"/>
      <c r="EC45" s="10">
        <v>117</v>
      </c>
      <c r="ED45" s="10">
        <v>-45</v>
      </c>
      <c r="EE45" s="10"/>
      <c r="EF45" s="10">
        <v>-39</v>
      </c>
      <c r="EG45" s="10">
        <v>117</v>
      </c>
      <c r="EH45" s="10">
        <v>-58</v>
      </c>
      <c r="EI45" s="10"/>
      <c r="EJ45" s="10">
        <v>-4</v>
      </c>
      <c r="EK45" s="10"/>
      <c r="EL45" s="10">
        <v>-1</v>
      </c>
      <c r="EM45" s="10"/>
      <c r="EN45" s="10">
        <v>-55</v>
      </c>
      <c r="EO45" s="10"/>
      <c r="EP45" s="10"/>
      <c r="EQ45" s="10"/>
      <c r="ER45" s="10">
        <v>-1</v>
      </c>
      <c r="ES45" s="10"/>
      <c r="ET45" s="10">
        <f>-14-1</f>
        <v>-15</v>
      </c>
      <c r="EU45" s="10"/>
      <c r="EV45" s="10">
        <f>-62-10-3</f>
        <v>-75</v>
      </c>
      <c r="EW45" s="10"/>
      <c r="EX45" s="10">
        <v>-52</v>
      </c>
      <c r="EY45" s="10">
        <f>39</f>
        <v>39</v>
      </c>
      <c r="EZ45" s="10">
        <v>-30</v>
      </c>
      <c r="FA45" s="10">
        <v>78</v>
      </c>
      <c r="FB45" s="10">
        <v>-1</v>
      </c>
      <c r="FC45" s="10"/>
      <c r="FD45" s="10"/>
      <c r="FE45" s="10"/>
      <c r="FF45" s="10"/>
      <c r="FG45" s="10">
        <v>117</v>
      </c>
      <c r="FH45" s="10">
        <v>-1</v>
      </c>
      <c r="FI45" s="10"/>
      <c r="FJ45" s="10"/>
      <c r="FK45" s="10"/>
      <c r="FL45" s="10">
        <v>-65</v>
      </c>
      <c r="FM45" s="10"/>
      <c r="FN45" s="10">
        <v>-1</v>
      </c>
      <c r="FO45" s="10"/>
      <c r="FP45" s="10"/>
      <c r="FQ45" s="10"/>
      <c r="FR45" s="10"/>
      <c r="FS45" s="10">
        <v>30</v>
      </c>
      <c r="FT45" s="10">
        <v>-14</v>
      </c>
      <c r="FU45" s="10"/>
      <c r="FV45" s="10">
        <v>-55</v>
      </c>
      <c r="FW45" s="10"/>
      <c r="FX45" s="10">
        <v>-4</v>
      </c>
      <c r="FY45" s="10"/>
      <c r="FZ45" s="10">
        <v>-10</v>
      </c>
      <c r="GA45" s="10"/>
      <c r="GB45" s="10">
        <f>-7-1-4</f>
        <v>-12</v>
      </c>
      <c r="GC45" s="10">
        <v>1</v>
      </c>
      <c r="GD45" s="10">
        <v>-15</v>
      </c>
      <c r="GE45" s="10"/>
      <c r="GF45" s="10"/>
      <c r="GG45" s="10"/>
      <c r="GH45" s="10">
        <v>-27</v>
      </c>
      <c r="GI45" s="10"/>
      <c r="GJ45" s="10"/>
      <c r="GK45" s="10"/>
      <c r="GL45" s="10">
        <f>-5-24</f>
        <v>-29</v>
      </c>
      <c r="GM45" s="10">
        <v>60</v>
      </c>
      <c r="GN45" s="10">
        <v>-6</v>
      </c>
      <c r="GO45" s="10"/>
      <c r="GP45" s="10"/>
      <c r="GQ45" s="10"/>
      <c r="GR45" s="10">
        <v>-10</v>
      </c>
      <c r="GS45" s="10"/>
      <c r="GT45" s="10"/>
      <c r="GU45" s="10"/>
      <c r="GV45" s="10">
        <v>-10</v>
      </c>
      <c r="GW45" s="10"/>
      <c r="GX45" s="10">
        <v>-3</v>
      </c>
      <c r="GY45" s="10"/>
      <c r="GZ45" s="10">
        <f>-5-4</f>
        <v>-9</v>
      </c>
      <c r="HA45" s="10"/>
      <c r="HB45" s="10">
        <v>-4</v>
      </c>
      <c r="HC45" s="10"/>
      <c r="HD45" s="10">
        <f>-2-4</f>
        <v>-6</v>
      </c>
      <c r="HE45" s="10"/>
      <c r="HF45" s="10">
        <v>-13</v>
      </c>
      <c r="HG45" s="10"/>
      <c r="HH45" s="10"/>
      <c r="HI45" s="10"/>
      <c r="HJ45" s="10"/>
      <c r="HK45" s="10"/>
      <c r="HL45" s="14">
        <f>-7-11</f>
        <v>-18</v>
      </c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>
        <v>30</v>
      </c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>
        <v>-10</v>
      </c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>
        <v>139</v>
      </c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1">
        <f t="shared" si="1"/>
        <v>734</v>
      </c>
      <c r="TH45" s="9">
        <f t="shared" si="2"/>
        <v>-256</v>
      </c>
    </row>
    <row r="46" spans="1:528" ht="15.6" thickBot="1" x14ac:dyDescent="0.3">
      <c r="A46" s="25" t="s">
        <v>189</v>
      </c>
      <c r="B46" s="18" t="s">
        <v>494</v>
      </c>
      <c r="C46" s="3">
        <f>AGOSTO!D46</f>
        <v>0</v>
      </c>
      <c r="D46" s="55">
        <f t="shared" si="0"/>
        <v>34</v>
      </c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>
        <f>117*2</f>
        <v>234</v>
      </c>
      <c r="V46" s="10"/>
      <c r="W46" s="10"/>
      <c r="X46" s="10"/>
      <c r="Y46" s="10"/>
      <c r="Z46" s="10"/>
      <c r="AA46" s="10">
        <f>117*4+32</f>
        <v>500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>
        <v>-60</v>
      </c>
      <c r="BC46" s="10"/>
      <c r="BD46" s="10"/>
      <c r="BE46" s="10"/>
      <c r="BF46" s="10"/>
      <c r="BG46" s="10"/>
      <c r="BH46" s="10">
        <f>-67-10</f>
        <v>-77</v>
      </c>
      <c r="BI46" s="10"/>
      <c r="BJ46" s="10"/>
      <c r="BK46" s="10">
        <f>45</f>
        <v>45</v>
      </c>
      <c r="BL46" s="10"/>
      <c r="BM46" s="10"/>
      <c r="BN46" s="10"/>
      <c r="BO46" s="10">
        <v>117</v>
      </c>
      <c r="BP46" s="10">
        <v>-10</v>
      </c>
      <c r="BQ46" s="10"/>
      <c r="BR46" s="10">
        <v>-39</v>
      </c>
      <c r="BS46" s="10"/>
      <c r="BT46" s="10">
        <v>-429</v>
      </c>
      <c r="BU46" s="10"/>
      <c r="BV46" s="10"/>
      <c r="BW46" s="10"/>
      <c r="BX46" s="10"/>
      <c r="BY46" s="10">
        <f>39+78</f>
        <v>117</v>
      </c>
      <c r="BZ46" s="10">
        <f>-117-52</f>
        <v>-169</v>
      </c>
      <c r="CA46" s="10"/>
      <c r="CB46" s="10">
        <f>-78-44-13</f>
        <v>-135</v>
      </c>
      <c r="CC46" s="10"/>
      <c r="CD46" s="10">
        <f>-1-1</f>
        <v>-2</v>
      </c>
      <c r="CE46" s="10"/>
      <c r="CF46" s="10">
        <v>-19</v>
      </c>
      <c r="CG46" s="10"/>
      <c r="CH46" s="10">
        <v>-29</v>
      </c>
      <c r="CI46" s="10"/>
      <c r="CJ46" s="10">
        <f>-10-10</f>
        <v>-20</v>
      </c>
      <c r="CK46" s="10"/>
      <c r="CL46" s="10"/>
      <c r="CM46" s="10"/>
      <c r="CN46" s="10">
        <v>-3</v>
      </c>
      <c r="CO46" s="10">
        <v>119</v>
      </c>
      <c r="CP46" s="10"/>
      <c r="CQ46" s="10"/>
      <c r="CR46" s="10"/>
      <c r="CS46" s="10"/>
      <c r="CT46" s="10">
        <v>-57</v>
      </c>
      <c r="CU46" s="10"/>
      <c r="CV46" s="10"/>
      <c r="CW46" s="10"/>
      <c r="CX46" s="10"/>
      <c r="CY46" s="10"/>
      <c r="CZ46" s="10"/>
      <c r="DA46" s="10">
        <v>78</v>
      </c>
      <c r="DB46" s="10">
        <v>-39</v>
      </c>
      <c r="DC46" s="10"/>
      <c r="DD46" s="10">
        <v>-44</v>
      </c>
      <c r="DE46" s="10"/>
      <c r="DF46" s="10"/>
      <c r="DG46" s="10"/>
      <c r="DH46" s="10">
        <v>-7</v>
      </c>
      <c r="DI46" s="10"/>
      <c r="DJ46" s="10">
        <v>-10</v>
      </c>
      <c r="DK46" s="10"/>
      <c r="DL46" s="10"/>
      <c r="DM46" s="10"/>
      <c r="DN46" s="10"/>
      <c r="DO46" s="10">
        <v>117</v>
      </c>
      <c r="DP46" s="10">
        <v>-50</v>
      </c>
      <c r="DQ46" s="10"/>
      <c r="DR46" s="10"/>
      <c r="DS46" s="10"/>
      <c r="DT46" s="10">
        <v>-13</v>
      </c>
      <c r="DU46" s="10"/>
      <c r="DV46" s="10">
        <v>-9</v>
      </c>
      <c r="DW46" s="10"/>
      <c r="DX46" s="10"/>
      <c r="DY46" s="10"/>
      <c r="DZ46" s="10"/>
      <c r="EA46" s="10"/>
      <c r="EB46" s="10"/>
      <c r="EC46" s="10"/>
      <c r="ED46" s="10">
        <v>-55</v>
      </c>
      <c r="EE46" s="10">
        <v>117</v>
      </c>
      <c r="EF46" s="10">
        <v>-19</v>
      </c>
      <c r="EG46" s="10">
        <v>117</v>
      </c>
      <c r="EH46" s="10">
        <v>-14</v>
      </c>
      <c r="EI46" s="10"/>
      <c r="EJ46" s="10">
        <v>-19</v>
      </c>
      <c r="EK46" s="10"/>
      <c r="EL46" s="10"/>
      <c r="EM46" s="10">
        <v>117</v>
      </c>
      <c r="EN46" s="10">
        <v>-30</v>
      </c>
      <c r="EO46" s="10"/>
      <c r="EP46" s="10"/>
      <c r="EQ46" s="10"/>
      <c r="ER46" s="10">
        <v>-1</v>
      </c>
      <c r="ES46" s="10"/>
      <c r="ET46" s="10">
        <f>-13-1</f>
        <v>-14</v>
      </c>
      <c r="EU46" s="10"/>
      <c r="EV46" s="10"/>
      <c r="EW46" s="10"/>
      <c r="EX46" s="10">
        <v>-169</v>
      </c>
      <c r="EY46" s="10"/>
      <c r="EZ46" s="10">
        <v>-43</v>
      </c>
      <c r="FA46" s="10">
        <v>117</v>
      </c>
      <c r="FB46" s="10">
        <v>-52</v>
      </c>
      <c r="FC46" s="10"/>
      <c r="FD46" s="10"/>
      <c r="FE46" s="10"/>
      <c r="FF46" s="10"/>
      <c r="FG46" s="10"/>
      <c r="FH46" s="10">
        <v>-2</v>
      </c>
      <c r="FI46" s="10"/>
      <c r="FJ46" s="10">
        <v>-13</v>
      </c>
      <c r="FK46" s="10"/>
      <c r="FL46" s="10">
        <v>-55</v>
      </c>
      <c r="FM46" s="10"/>
      <c r="FN46" s="10">
        <v>-10</v>
      </c>
      <c r="FO46" s="10"/>
      <c r="FP46" s="10"/>
      <c r="FQ46" s="10"/>
      <c r="FR46" s="10"/>
      <c r="FS46" s="10">
        <f>117</f>
        <v>117</v>
      </c>
      <c r="FT46" s="10">
        <v>-5</v>
      </c>
      <c r="FU46" s="10">
        <v>117</v>
      </c>
      <c r="FV46" s="10">
        <v>-61</v>
      </c>
      <c r="FW46" s="10"/>
      <c r="FX46" s="10">
        <v>-119</v>
      </c>
      <c r="FY46" s="10"/>
      <c r="FZ46" s="10">
        <v>-4</v>
      </c>
      <c r="GA46" s="10"/>
      <c r="GB46" s="10">
        <f>-5-1</f>
        <v>-6</v>
      </c>
      <c r="GC46" s="10"/>
      <c r="GD46" s="10">
        <v>-21</v>
      </c>
      <c r="GE46" s="10"/>
      <c r="GF46" s="10"/>
      <c r="GG46" s="10"/>
      <c r="GH46" s="10">
        <v>-52</v>
      </c>
      <c r="GI46" s="10"/>
      <c r="GJ46" s="10"/>
      <c r="GK46" s="10"/>
      <c r="GL46" s="10">
        <v>-15</v>
      </c>
      <c r="GM46" s="10">
        <v>117</v>
      </c>
      <c r="GN46" s="10">
        <v>-9</v>
      </c>
      <c r="GO46" s="10"/>
      <c r="GP46" s="10"/>
      <c r="GQ46" s="10"/>
      <c r="GR46" s="10">
        <v>-20</v>
      </c>
      <c r="GS46" s="10"/>
      <c r="GT46" s="10"/>
      <c r="GU46" s="10"/>
      <c r="GV46" s="10">
        <v>-30</v>
      </c>
      <c r="GW46" s="10"/>
      <c r="GX46" s="10">
        <v>-2</v>
      </c>
      <c r="GY46" s="10"/>
      <c r="GZ46" s="10">
        <f>-6-2-2</f>
        <v>-10</v>
      </c>
      <c r="HA46" s="10"/>
      <c r="HB46" s="10">
        <f>-15-2-2</f>
        <v>-19</v>
      </c>
      <c r="HC46" s="10"/>
      <c r="HD46" s="10">
        <f>-4-2</f>
        <v>-6</v>
      </c>
      <c r="HE46" s="10"/>
      <c r="HF46" s="10">
        <v>-25</v>
      </c>
      <c r="HG46" s="10"/>
      <c r="HH46" s="10"/>
      <c r="HI46" s="10"/>
      <c r="HJ46" s="10"/>
      <c r="HK46" s="14">
        <v>93</v>
      </c>
      <c r="HL46" s="10">
        <f>-35-1</f>
        <v>-36</v>
      </c>
      <c r="HM46" s="10"/>
      <c r="HN46" s="10"/>
      <c r="HO46" s="10"/>
      <c r="HP46" s="10">
        <v>-10</v>
      </c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>
        <v>-10</v>
      </c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>
        <v>-6</v>
      </c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>
        <v>-10</v>
      </c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>
        <v>-12</v>
      </c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1">
        <f t="shared" si="1"/>
        <v>734</v>
      </c>
      <c r="TH46" s="9">
        <f t="shared" si="2"/>
        <v>-137</v>
      </c>
    </row>
    <row r="47" spans="1:528" ht="15.6" thickBot="1" x14ac:dyDescent="0.3">
      <c r="A47" s="25" t="s">
        <v>191</v>
      </c>
      <c r="B47" s="18" t="s">
        <v>495</v>
      </c>
      <c r="C47" s="3">
        <f>AGOSTO!D47</f>
        <v>0</v>
      </c>
      <c r="D47" s="21">
        <f t="shared" si="0"/>
        <v>30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>
        <v>117</v>
      </c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>
        <v>-8</v>
      </c>
      <c r="AS47" s="10"/>
      <c r="AT47" s="10"/>
      <c r="AU47" s="10"/>
      <c r="AV47" s="10"/>
      <c r="AW47" s="10">
        <f>117*2+116</f>
        <v>350</v>
      </c>
      <c r="AX47" s="10"/>
      <c r="AY47" s="10"/>
      <c r="AZ47" s="10"/>
      <c r="BA47" s="10"/>
      <c r="BB47" s="10"/>
      <c r="BC47" s="10"/>
      <c r="BD47" s="10">
        <f>-5-10</f>
        <v>-15</v>
      </c>
      <c r="BE47" s="10"/>
      <c r="BF47" s="10"/>
      <c r="BG47" s="10"/>
      <c r="BH47" s="10">
        <f>-75-10</f>
        <v>-85</v>
      </c>
      <c r="BI47" s="10"/>
      <c r="BJ47" s="10"/>
      <c r="BK47" s="10"/>
      <c r="BL47" s="10">
        <v>-39</v>
      </c>
      <c r="BM47" s="10"/>
      <c r="BN47" s="10"/>
      <c r="BO47" s="10">
        <f>117*3</f>
        <v>351</v>
      </c>
      <c r="BP47" s="10">
        <v>-10</v>
      </c>
      <c r="BQ47" s="10">
        <f>117*2+117</f>
        <v>351</v>
      </c>
      <c r="BR47" s="10">
        <v>-52</v>
      </c>
      <c r="BS47" s="10"/>
      <c r="BT47" s="10">
        <f>-416-234-17-117-91</f>
        <v>-875</v>
      </c>
      <c r="BU47" s="10">
        <f>117+17+17</f>
        <v>151</v>
      </c>
      <c r="BV47" s="10"/>
      <c r="BW47" s="10"/>
      <c r="BX47" s="14">
        <v>-30</v>
      </c>
      <c r="BY47" s="10">
        <f>117+34</f>
        <v>151</v>
      </c>
      <c r="BZ47" s="10">
        <f>-112-73-34-5-104-26</f>
        <v>-354</v>
      </c>
      <c r="CA47" s="10">
        <f>55</f>
        <v>55</v>
      </c>
      <c r="CB47" s="10">
        <v>-55</v>
      </c>
      <c r="CC47" s="10">
        <v>122</v>
      </c>
      <c r="CD47" s="10">
        <f>-3-1</f>
        <v>-4</v>
      </c>
      <c r="CE47" s="10"/>
      <c r="CF47" s="10">
        <v>-16</v>
      </c>
      <c r="CG47" s="10">
        <v>117</v>
      </c>
      <c r="CH47" s="10">
        <v>-37</v>
      </c>
      <c r="CI47" s="10"/>
      <c r="CJ47" s="10">
        <f>-10-10</f>
        <v>-20</v>
      </c>
      <c r="CK47" s="10"/>
      <c r="CL47" s="10"/>
      <c r="CM47" s="10"/>
      <c r="CN47" s="10">
        <v>-5</v>
      </c>
      <c r="CO47" s="10">
        <f>117</f>
        <v>117</v>
      </c>
      <c r="CP47" s="10">
        <v>-104</v>
      </c>
      <c r="CQ47" s="10">
        <f>12+105+83</f>
        <v>200</v>
      </c>
      <c r="CR47" s="10">
        <v>-65</v>
      </c>
      <c r="CS47" s="10"/>
      <c r="CT47" s="10">
        <v>-230</v>
      </c>
      <c r="CU47" s="10"/>
      <c r="CV47" s="10"/>
      <c r="CW47" s="10"/>
      <c r="CX47" s="10"/>
      <c r="CY47" s="10"/>
      <c r="CZ47" s="10"/>
      <c r="DA47" s="10"/>
      <c r="DB47" s="10"/>
      <c r="DC47" s="10">
        <v>53</v>
      </c>
      <c r="DD47" s="10">
        <v>-14</v>
      </c>
      <c r="DE47" s="10"/>
      <c r="DF47" s="10">
        <v>-26</v>
      </c>
      <c r="DG47" s="10">
        <v>117</v>
      </c>
      <c r="DH47" s="10">
        <v>-57</v>
      </c>
      <c r="DI47" s="10"/>
      <c r="DJ47" s="10">
        <v>-10</v>
      </c>
      <c r="DK47" s="10"/>
      <c r="DL47" s="10"/>
      <c r="DM47" s="10"/>
      <c r="DN47" s="10"/>
      <c r="DO47" s="10"/>
      <c r="DP47" s="10">
        <v>-40</v>
      </c>
      <c r="DQ47" s="10"/>
      <c r="DR47" s="10"/>
      <c r="DS47" s="10"/>
      <c r="DT47" s="10">
        <v>-8</v>
      </c>
      <c r="DU47" s="10"/>
      <c r="DV47" s="10">
        <f>-1-10</f>
        <v>-11</v>
      </c>
      <c r="DW47" s="10"/>
      <c r="DX47" s="10"/>
      <c r="DY47" s="10"/>
      <c r="DZ47" s="10"/>
      <c r="EA47" s="10"/>
      <c r="EB47" s="10"/>
      <c r="EC47" s="10"/>
      <c r="ED47" s="10">
        <v>-65</v>
      </c>
      <c r="EE47" s="10">
        <v>117</v>
      </c>
      <c r="EF47" s="10">
        <v>-12</v>
      </c>
      <c r="EG47" s="10">
        <v>117</v>
      </c>
      <c r="EH47" s="10">
        <v>-9</v>
      </c>
      <c r="EI47" s="10"/>
      <c r="EJ47" s="10">
        <v>-6</v>
      </c>
      <c r="EK47" s="10">
        <v>117</v>
      </c>
      <c r="EL47" s="10">
        <v>-1</v>
      </c>
      <c r="EM47" s="10">
        <f>117+33</f>
        <v>150</v>
      </c>
      <c r="EN47" s="10">
        <v>-33</v>
      </c>
      <c r="EO47" s="10"/>
      <c r="EP47" s="10"/>
      <c r="EQ47" s="10"/>
      <c r="ER47" s="10">
        <v>-2</v>
      </c>
      <c r="ES47" s="10"/>
      <c r="ET47" s="10">
        <f>-13-1</f>
        <v>-14</v>
      </c>
      <c r="EU47" s="10"/>
      <c r="EV47" s="10">
        <v>-26</v>
      </c>
      <c r="EW47" s="10"/>
      <c r="EX47" s="10">
        <v>-286</v>
      </c>
      <c r="EY47" s="10"/>
      <c r="EZ47" s="10">
        <v>-28</v>
      </c>
      <c r="FA47" s="10">
        <v>117</v>
      </c>
      <c r="FB47" s="10">
        <v>-78</v>
      </c>
      <c r="FC47" s="10"/>
      <c r="FD47" s="10"/>
      <c r="FE47" s="10"/>
      <c r="FF47" s="10">
        <v>-14</v>
      </c>
      <c r="FG47" s="10"/>
      <c r="FH47" s="10">
        <v>-2</v>
      </c>
      <c r="FI47" s="10"/>
      <c r="FJ47" s="10"/>
      <c r="FK47" s="10"/>
      <c r="FL47" s="10">
        <v>-69</v>
      </c>
      <c r="FM47" s="10"/>
      <c r="FN47" s="10">
        <v>-49</v>
      </c>
      <c r="FO47" s="10"/>
      <c r="FP47" s="10"/>
      <c r="FQ47" s="10"/>
      <c r="FR47" s="10"/>
      <c r="FS47" s="10">
        <v>234</v>
      </c>
      <c r="FT47" s="10">
        <v>-28</v>
      </c>
      <c r="FU47" s="10"/>
      <c r="FV47" s="10">
        <v>-9</v>
      </c>
      <c r="FW47" s="10"/>
      <c r="FX47" s="10">
        <v>-3</v>
      </c>
      <c r="FY47" s="10"/>
      <c r="FZ47" s="10">
        <v>-10</v>
      </c>
      <c r="GA47" s="10"/>
      <c r="GB47" s="10">
        <f>-4-4</f>
        <v>-8</v>
      </c>
      <c r="GC47" s="10"/>
      <c r="GD47" s="10">
        <v>-21</v>
      </c>
      <c r="GE47" s="10"/>
      <c r="GF47" s="10"/>
      <c r="GG47" s="10"/>
      <c r="GH47" s="10"/>
      <c r="GI47" s="10"/>
      <c r="GJ47" s="10"/>
      <c r="GK47" s="10"/>
      <c r="GL47" s="10">
        <f>-27-24</f>
        <v>-51</v>
      </c>
      <c r="GM47" s="10"/>
      <c r="GN47" s="10">
        <v>-14</v>
      </c>
      <c r="GO47" s="10"/>
      <c r="GP47" s="10"/>
      <c r="GQ47" s="10"/>
      <c r="GR47" s="10">
        <v>-15</v>
      </c>
      <c r="GS47" s="10"/>
      <c r="GT47" s="10"/>
      <c r="GU47" s="10"/>
      <c r="GV47" s="10">
        <v>-14</v>
      </c>
      <c r="GW47" s="10"/>
      <c r="GX47" s="10">
        <v>-7</v>
      </c>
      <c r="GY47" s="10"/>
      <c r="GZ47" s="10">
        <f>-10-2-2</f>
        <v>-14</v>
      </c>
      <c r="HA47" s="10"/>
      <c r="HB47" s="10">
        <f>-13-2-2</f>
        <v>-17</v>
      </c>
      <c r="HC47" s="10"/>
      <c r="HD47" s="10">
        <v>-4</v>
      </c>
      <c r="HE47" s="10"/>
      <c r="HF47" s="10">
        <v>-20</v>
      </c>
      <c r="HG47" s="10"/>
      <c r="HH47" s="10"/>
      <c r="HI47" s="10"/>
      <c r="HJ47" s="10"/>
      <c r="HK47" s="10"/>
      <c r="HL47" s="14">
        <v>-5</v>
      </c>
      <c r="HM47" s="10">
        <v>39</v>
      </c>
      <c r="HN47" s="10">
        <v>-39</v>
      </c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>
        <v>30</v>
      </c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34">
        <f t="shared" si="1"/>
        <v>467</v>
      </c>
      <c r="TH47" s="7">
        <f t="shared" si="2"/>
        <v>-108</v>
      </c>
    </row>
    <row r="48" spans="1:528" ht="15.6" thickBot="1" x14ac:dyDescent="0.3">
      <c r="A48" s="25" t="s">
        <v>192</v>
      </c>
      <c r="B48" s="18" t="s">
        <v>1085</v>
      </c>
      <c r="C48" s="3">
        <f>AGOSTO!D48</f>
        <v>0</v>
      </c>
      <c r="D48" s="21">
        <f t="shared" si="0"/>
        <v>20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>
        <v>28</v>
      </c>
      <c r="BH48" s="10">
        <v>-28</v>
      </c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>
        <f>64</f>
        <v>64</v>
      </c>
      <c r="BZ48" s="10">
        <v>-56</v>
      </c>
      <c r="CA48" s="10">
        <f>36+36</f>
        <v>72</v>
      </c>
      <c r="CB48" s="10">
        <v>-8</v>
      </c>
      <c r="CC48" s="10"/>
      <c r="CD48" s="10">
        <f>-20-1-2-3</f>
        <v>-26</v>
      </c>
      <c r="CE48" s="10"/>
      <c r="CF48" s="10">
        <v>-1</v>
      </c>
      <c r="CG48" s="10"/>
      <c r="CH48" s="10">
        <v>-10</v>
      </c>
      <c r="CI48" s="10"/>
      <c r="CJ48" s="10">
        <v>-3</v>
      </c>
      <c r="CK48" s="10"/>
      <c r="CL48" s="10"/>
      <c r="CM48" s="10">
        <v>60</v>
      </c>
      <c r="CN48" s="10">
        <v>-4</v>
      </c>
      <c r="CO48" s="10"/>
      <c r="CP48" s="10"/>
      <c r="CQ48" s="10"/>
      <c r="CR48" s="10"/>
      <c r="CS48" s="10"/>
      <c r="CT48" s="10">
        <v>-1</v>
      </c>
      <c r="CU48" s="10"/>
      <c r="CV48" s="10"/>
      <c r="CW48" s="10">
        <v>31</v>
      </c>
      <c r="CX48" s="10"/>
      <c r="CY48" s="10"/>
      <c r="CZ48" s="10"/>
      <c r="DA48" s="10"/>
      <c r="DB48" s="10">
        <v>-26</v>
      </c>
      <c r="DC48" s="10"/>
      <c r="DD48" s="10">
        <v>-14</v>
      </c>
      <c r="DE48" s="10"/>
      <c r="DF48" s="10">
        <v>-17</v>
      </c>
      <c r="DG48" s="10"/>
      <c r="DH48" s="10">
        <v>-1</v>
      </c>
      <c r="DI48" s="10"/>
      <c r="DJ48" s="10">
        <v>-10</v>
      </c>
      <c r="DK48" s="10"/>
      <c r="DL48" s="10"/>
      <c r="DM48" s="10"/>
      <c r="DN48" s="10"/>
      <c r="DO48" s="10"/>
      <c r="DP48" s="10">
        <v>-32</v>
      </c>
      <c r="DQ48" s="10"/>
      <c r="DR48" s="10"/>
      <c r="DS48" s="10"/>
      <c r="DT48" s="10"/>
      <c r="DU48" s="10"/>
      <c r="DV48" s="10">
        <f>-10-2</f>
        <v>-12</v>
      </c>
      <c r="DW48" s="10">
        <v>60</v>
      </c>
      <c r="DX48" s="10"/>
      <c r="DY48" s="10"/>
      <c r="DZ48" s="10"/>
      <c r="EA48" s="10"/>
      <c r="EB48" s="10"/>
      <c r="EC48" s="10"/>
      <c r="ED48" s="10">
        <v>-11</v>
      </c>
      <c r="EE48" s="10"/>
      <c r="EF48" s="10"/>
      <c r="EG48" s="10"/>
      <c r="EH48" s="10">
        <v>-6</v>
      </c>
      <c r="EI48" s="10"/>
      <c r="EJ48" s="10"/>
      <c r="EK48" s="10"/>
      <c r="EL48" s="10">
        <v>-3</v>
      </c>
      <c r="EM48" s="10"/>
      <c r="EN48" s="10"/>
      <c r="EO48" s="10"/>
      <c r="EP48" s="10"/>
      <c r="EQ48" s="10"/>
      <c r="ER48" s="10">
        <v>-5</v>
      </c>
      <c r="ES48" s="10"/>
      <c r="ET48" s="10"/>
      <c r="EU48" s="10"/>
      <c r="EV48" s="10">
        <v>-3</v>
      </c>
      <c r="EW48" s="10"/>
      <c r="EX48" s="10"/>
      <c r="EY48" s="10"/>
      <c r="EZ48" s="10">
        <v>-5</v>
      </c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>
        <f>56*3</f>
        <v>168</v>
      </c>
      <c r="FL48" s="10"/>
      <c r="FM48" s="10"/>
      <c r="FN48" s="10">
        <v>-174</v>
      </c>
      <c r="FO48" s="10"/>
      <c r="FP48" s="10"/>
      <c r="FQ48" s="10"/>
      <c r="FR48" s="10"/>
      <c r="FS48" s="10"/>
      <c r="FT48" s="10"/>
      <c r="FU48" s="10"/>
      <c r="FV48" s="10">
        <v>-5</v>
      </c>
      <c r="FW48" s="10"/>
      <c r="FX48" s="10"/>
      <c r="FY48" s="10"/>
      <c r="FZ48" s="10"/>
      <c r="GA48" s="10"/>
      <c r="GB48" s="10"/>
      <c r="GC48" s="10"/>
      <c r="GD48" s="10">
        <v>-5</v>
      </c>
      <c r="GE48" s="10"/>
      <c r="GF48" s="10"/>
      <c r="GG48" s="10"/>
      <c r="GH48" s="10"/>
      <c r="GI48" s="10"/>
      <c r="GJ48" s="10"/>
      <c r="GK48" s="10"/>
      <c r="GL48" s="10">
        <v>-10</v>
      </c>
      <c r="GM48" s="10"/>
      <c r="GN48" s="10">
        <v>-3</v>
      </c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>
        <v>-4</v>
      </c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>
        <v>20</v>
      </c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1">
        <f t="shared" si="1"/>
        <v>28</v>
      </c>
      <c r="TH48" s="9">
        <f t="shared" si="2"/>
        <v>-28</v>
      </c>
    </row>
    <row r="49" spans="1:528" ht="16.2" thickBot="1" x14ac:dyDescent="0.35">
      <c r="A49" s="25"/>
      <c r="B49" s="23" t="s">
        <v>185</v>
      </c>
      <c r="C49" s="3">
        <f>AGOSTO!D49</f>
        <v>0</v>
      </c>
      <c r="D49" s="21">
        <f t="shared" si="0"/>
        <v>0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1">
        <f t="shared" si="1"/>
        <v>0</v>
      </c>
      <c r="TH49" s="9">
        <f t="shared" si="2"/>
        <v>0</v>
      </c>
    </row>
    <row r="50" spans="1:528" ht="15.6" thickBot="1" x14ac:dyDescent="0.3">
      <c r="A50" s="25" t="s">
        <v>186</v>
      </c>
      <c r="B50" s="18" t="s">
        <v>28</v>
      </c>
      <c r="C50" s="3">
        <f>AGOSTO!D50</f>
        <v>0</v>
      </c>
      <c r="D50" s="55">
        <f t="shared" si="0"/>
        <v>29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>
        <v>112</v>
      </c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>
        <v>-10</v>
      </c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>
        <v>-8</v>
      </c>
      <c r="BW50" s="10"/>
      <c r="BX50" s="10"/>
      <c r="BY50" s="10"/>
      <c r="BZ50" s="10"/>
      <c r="CA50" s="10"/>
      <c r="CB50" s="10"/>
      <c r="CC50" s="10"/>
      <c r="CD50" s="10">
        <v>-8</v>
      </c>
      <c r="CE50" s="10"/>
      <c r="CF50" s="10">
        <v>-1</v>
      </c>
      <c r="CG50" s="10"/>
      <c r="CH50" s="10">
        <v>-11</v>
      </c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>
        <v>-13</v>
      </c>
      <c r="CU50" s="10"/>
      <c r="CV50" s="10">
        <v>-5</v>
      </c>
      <c r="CW50" s="10"/>
      <c r="CX50" s="10"/>
      <c r="CY50" s="10"/>
      <c r="CZ50" s="10"/>
      <c r="DA50" s="10">
        <v>56</v>
      </c>
      <c r="DB50" s="10"/>
      <c r="DC50" s="10"/>
      <c r="DD50" s="10">
        <v>-41</v>
      </c>
      <c r="DE50" s="10"/>
      <c r="DF50" s="10"/>
      <c r="DG50" s="10"/>
      <c r="DH50" s="10"/>
      <c r="DI50" s="10"/>
      <c r="DJ50" s="10"/>
      <c r="DK50" s="10"/>
      <c r="DL50" s="10">
        <v>-16</v>
      </c>
      <c r="DM50" s="10"/>
      <c r="DN50" s="10"/>
      <c r="DO50" s="10"/>
      <c r="DP50" s="10">
        <v>-1</v>
      </c>
      <c r="DQ50" s="10"/>
      <c r="DR50" s="10"/>
      <c r="DS50" s="10"/>
      <c r="DT50" s="10"/>
      <c r="DU50" s="10"/>
      <c r="DV50" s="10">
        <v>-1</v>
      </c>
      <c r="DW50" s="10"/>
      <c r="DX50" s="10"/>
      <c r="DY50" s="10"/>
      <c r="DZ50" s="10"/>
      <c r="EA50" s="10"/>
      <c r="EB50" s="10"/>
      <c r="EC50" s="10"/>
      <c r="ED50" s="10">
        <v>-5</v>
      </c>
      <c r="EE50" s="10">
        <f>56+28</f>
        <v>84</v>
      </c>
      <c r="EF50" s="10"/>
      <c r="EG50" s="10"/>
      <c r="EH50" s="10">
        <v>-40</v>
      </c>
      <c r="EI50" s="10">
        <v>56</v>
      </c>
      <c r="EJ50" s="10">
        <v>-1</v>
      </c>
      <c r="EK50" s="10"/>
      <c r="EL50" s="10"/>
      <c r="EM50" s="10"/>
      <c r="EN50" s="10">
        <v>-28</v>
      </c>
      <c r="EO50" s="10"/>
      <c r="EP50" s="10"/>
      <c r="EQ50" s="10"/>
      <c r="ER50" s="10">
        <v>-1</v>
      </c>
      <c r="ES50" s="10"/>
      <c r="ET50" s="10">
        <v>-6</v>
      </c>
      <c r="EU50" s="10"/>
      <c r="EV50" s="10">
        <v>-12</v>
      </c>
      <c r="EW50" s="10"/>
      <c r="EX50" s="10">
        <v>-2</v>
      </c>
      <c r="EY50" s="10"/>
      <c r="EZ50" s="10"/>
      <c r="FA50" s="10"/>
      <c r="FB50" s="10">
        <v>-1</v>
      </c>
      <c r="FC50" s="10"/>
      <c r="FD50" s="10"/>
      <c r="FE50" s="10"/>
      <c r="FF50" s="10"/>
      <c r="FG50" s="10"/>
      <c r="FH50" s="10">
        <v>-2</v>
      </c>
      <c r="FI50" s="10"/>
      <c r="FJ50" s="10">
        <v>-10</v>
      </c>
      <c r="FK50" s="10"/>
      <c r="FL50" s="10"/>
      <c r="FM50" s="10"/>
      <c r="FN50" s="10">
        <v>-15</v>
      </c>
      <c r="FO50" s="10"/>
      <c r="FP50" s="10"/>
      <c r="FQ50" s="10"/>
      <c r="FR50" s="10"/>
      <c r="FS50" s="10"/>
      <c r="FT50" s="10">
        <f>-2-1</f>
        <v>-3</v>
      </c>
      <c r="FU50" s="10"/>
      <c r="FV50" s="10">
        <v>-3</v>
      </c>
      <c r="FW50" s="10"/>
      <c r="FX50" s="10">
        <v>-1</v>
      </c>
      <c r="FY50" s="10"/>
      <c r="FZ50" s="10"/>
      <c r="GA50" s="10"/>
      <c r="GB50" s="10">
        <v>-1</v>
      </c>
      <c r="GC50" s="10">
        <f>56+1</f>
        <v>57</v>
      </c>
      <c r="GD50" s="10">
        <v>-5</v>
      </c>
      <c r="GE50" s="10"/>
      <c r="GF50" s="10"/>
      <c r="GG50" s="10"/>
      <c r="GH50" s="10">
        <v>-6</v>
      </c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4">
        <v>18</v>
      </c>
      <c r="GT50" s="10"/>
      <c r="GU50" s="10"/>
      <c r="GV50" s="10">
        <v>-56</v>
      </c>
      <c r="GW50" s="10"/>
      <c r="GX50" s="10">
        <v>-10</v>
      </c>
      <c r="GY50" s="10"/>
      <c r="GZ50" s="10"/>
      <c r="HA50" s="10"/>
      <c r="HB50" s="10">
        <v>-8</v>
      </c>
      <c r="HC50" s="10"/>
      <c r="HD50" s="10"/>
      <c r="HE50" s="10"/>
      <c r="HF50" s="10">
        <v>-15</v>
      </c>
      <c r="HG50" s="10"/>
      <c r="HH50" s="10"/>
      <c r="HI50" s="10"/>
      <c r="HJ50" s="10"/>
      <c r="HK50" s="10"/>
      <c r="HL50" s="14">
        <f>-15-22</f>
        <v>-37</v>
      </c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>
        <v>15</v>
      </c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>
        <v>-8</v>
      </c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>
        <v>22</v>
      </c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1">
        <f t="shared" si="1"/>
        <v>112</v>
      </c>
      <c r="TH50" s="9">
        <f t="shared" si="2"/>
        <v>-10</v>
      </c>
    </row>
    <row r="51" spans="1:528" ht="15.6" thickBot="1" x14ac:dyDescent="0.3">
      <c r="A51" s="25" t="s">
        <v>187</v>
      </c>
      <c r="B51" s="18" t="s">
        <v>10</v>
      </c>
      <c r="C51" s="3">
        <f>AGOSTO!D51</f>
        <v>0</v>
      </c>
      <c r="D51" s="55">
        <f t="shared" si="0"/>
        <v>28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>
        <f>56*3+32</f>
        <v>200</v>
      </c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>
        <v>-10</v>
      </c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>
        <v>-5</v>
      </c>
      <c r="BW51" s="10"/>
      <c r="BX51" s="10"/>
      <c r="BY51" s="10"/>
      <c r="BZ51" s="10"/>
      <c r="CA51" s="10"/>
      <c r="CB51" s="10">
        <v>-8</v>
      </c>
      <c r="CC51" s="10"/>
      <c r="CD51" s="10">
        <v>-2</v>
      </c>
      <c r="CE51" s="10"/>
      <c r="CF51" s="10">
        <v>-1</v>
      </c>
      <c r="CG51" s="10"/>
      <c r="CH51" s="10">
        <v>-12</v>
      </c>
      <c r="CI51" s="10"/>
      <c r="CJ51" s="10">
        <v>-6</v>
      </c>
      <c r="CK51" s="10"/>
      <c r="CL51" s="10"/>
      <c r="CM51" s="10"/>
      <c r="CN51" s="10">
        <v>-7</v>
      </c>
      <c r="CO51" s="10"/>
      <c r="CP51" s="10"/>
      <c r="CQ51" s="10"/>
      <c r="CR51" s="10"/>
      <c r="CS51" s="10"/>
      <c r="CT51" s="10">
        <v>-17</v>
      </c>
      <c r="CU51" s="10"/>
      <c r="CV51" s="10"/>
      <c r="CW51" s="10"/>
      <c r="CX51" s="10"/>
      <c r="CY51" s="10"/>
      <c r="CZ51" s="10"/>
      <c r="DA51" s="10"/>
      <c r="DB51" s="10">
        <v>-1</v>
      </c>
      <c r="DC51" s="10"/>
      <c r="DD51" s="10">
        <v>-48</v>
      </c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>
        <v>-1</v>
      </c>
      <c r="DQ51" s="10"/>
      <c r="DR51" s="10"/>
      <c r="DS51" s="10"/>
      <c r="DT51" s="10">
        <v>-10</v>
      </c>
      <c r="DU51" s="10"/>
      <c r="DV51" s="10">
        <v>-11</v>
      </c>
      <c r="DW51" s="10"/>
      <c r="DX51" s="10"/>
      <c r="DY51" s="10"/>
      <c r="DZ51" s="10"/>
      <c r="EA51" s="10"/>
      <c r="EB51" s="10"/>
      <c r="EC51" s="10"/>
      <c r="ED51" s="10"/>
      <c r="EE51" s="10">
        <f>56</f>
        <v>56</v>
      </c>
      <c r="EF51" s="10">
        <v>-5</v>
      </c>
      <c r="EG51" s="10">
        <v>28</v>
      </c>
      <c r="EH51" s="10">
        <v>-33</v>
      </c>
      <c r="EI51" s="10">
        <v>56</v>
      </c>
      <c r="EJ51" s="10">
        <v>-2</v>
      </c>
      <c r="EK51" s="10"/>
      <c r="EL51" s="10"/>
      <c r="EM51" s="10"/>
      <c r="EN51" s="10">
        <v>-40</v>
      </c>
      <c r="EO51" s="10"/>
      <c r="EP51" s="10"/>
      <c r="EQ51" s="10"/>
      <c r="ER51" s="10"/>
      <c r="ES51" s="10"/>
      <c r="ET51" s="10">
        <v>-6</v>
      </c>
      <c r="EU51" s="10"/>
      <c r="EV51" s="10"/>
      <c r="EW51" s="10"/>
      <c r="EX51" s="10">
        <v>-2</v>
      </c>
      <c r="EY51" s="10"/>
      <c r="EZ51" s="10"/>
      <c r="FA51" s="10"/>
      <c r="FB51" s="10">
        <v>-1</v>
      </c>
      <c r="FC51" s="10"/>
      <c r="FD51" s="10"/>
      <c r="FE51" s="10"/>
      <c r="FF51" s="10"/>
      <c r="FG51" s="10"/>
      <c r="FH51" s="10">
        <v>-1</v>
      </c>
      <c r="FI51" s="10"/>
      <c r="FJ51" s="10"/>
      <c r="FK51" s="10"/>
      <c r="FL51" s="10"/>
      <c r="FM51" s="10"/>
      <c r="FN51" s="10">
        <v>-2</v>
      </c>
      <c r="FO51" s="10"/>
      <c r="FP51" s="10"/>
      <c r="FQ51" s="10"/>
      <c r="FR51" s="10"/>
      <c r="FS51" s="10"/>
      <c r="FT51" s="10">
        <f>-4-1</f>
        <v>-5</v>
      </c>
      <c r="FU51" s="10"/>
      <c r="FV51" s="10"/>
      <c r="FW51" s="10"/>
      <c r="FX51" s="10">
        <v>-1</v>
      </c>
      <c r="FY51" s="10"/>
      <c r="FZ51" s="10"/>
      <c r="GA51" s="10"/>
      <c r="GB51" s="10">
        <v>-5</v>
      </c>
      <c r="GC51" s="10">
        <v>1</v>
      </c>
      <c r="GD51" s="10">
        <v>-10</v>
      </c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>
        <v>-8</v>
      </c>
      <c r="GY51" s="10"/>
      <c r="GZ51" s="10"/>
      <c r="HA51" s="10"/>
      <c r="HB51" s="10"/>
      <c r="HC51" s="10"/>
      <c r="HD51" s="10"/>
      <c r="HE51" s="10"/>
      <c r="HF51" s="10">
        <v>-22</v>
      </c>
      <c r="HG51" s="10"/>
      <c r="HH51" s="10"/>
      <c r="HI51" s="10"/>
      <c r="HJ51" s="10"/>
      <c r="HK51" s="10"/>
      <c r="HL51" s="14">
        <f>-9-19</f>
        <v>-28</v>
      </c>
      <c r="HM51" s="10"/>
      <c r="HN51" s="10"/>
      <c r="HO51" s="10"/>
      <c r="HP51" s="10"/>
      <c r="HQ51" s="10"/>
      <c r="HR51" s="10"/>
      <c r="HS51" s="10"/>
      <c r="HT51" s="10">
        <v>-10</v>
      </c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>
        <v>-13</v>
      </c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>
        <v>20</v>
      </c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1">
        <f t="shared" si="1"/>
        <v>200</v>
      </c>
      <c r="TH51" s="9">
        <f t="shared" si="2"/>
        <v>-10</v>
      </c>
    </row>
    <row r="52" spans="1:528" ht="15.6" thickBot="1" x14ac:dyDescent="0.3">
      <c r="A52" s="25" t="s">
        <v>188</v>
      </c>
      <c r="B52" s="18" t="s">
        <v>750</v>
      </c>
      <c r="C52" s="3">
        <f>AGOSTO!D52</f>
        <v>0</v>
      </c>
      <c r="D52" s="21">
        <f t="shared" si="0"/>
        <v>2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>
        <v>56</v>
      </c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>
        <v>-10</v>
      </c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>
        <v>-20</v>
      </c>
      <c r="BW52" s="10"/>
      <c r="BX52" s="10"/>
      <c r="BY52" s="10"/>
      <c r="BZ52" s="10"/>
      <c r="CA52" s="10"/>
      <c r="CB52" s="10">
        <v>-8</v>
      </c>
      <c r="CC52" s="10"/>
      <c r="CD52" s="10">
        <v>-2</v>
      </c>
      <c r="CE52" s="10"/>
      <c r="CF52" s="10">
        <v>-1</v>
      </c>
      <c r="CG52" s="10"/>
      <c r="CH52" s="10"/>
      <c r="CI52" s="10"/>
      <c r="CJ52" s="10">
        <v>-6</v>
      </c>
      <c r="CK52" s="10"/>
      <c r="CL52" s="10"/>
      <c r="CM52" s="10">
        <v>56</v>
      </c>
      <c r="CN52" s="10">
        <v>-6</v>
      </c>
      <c r="CO52" s="10"/>
      <c r="CP52" s="10">
        <v>-35</v>
      </c>
      <c r="CQ52" s="10"/>
      <c r="CR52" s="10"/>
      <c r="CS52" s="10">
        <v>50</v>
      </c>
      <c r="CT52" s="10">
        <v>-14</v>
      </c>
      <c r="CU52" s="10"/>
      <c r="CV52" s="10"/>
      <c r="CW52" s="10"/>
      <c r="CX52" s="10"/>
      <c r="CY52" s="10"/>
      <c r="CZ52" s="10"/>
      <c r="DA52" s="10">
        <v>56</v>
      </c>
      <c r="DB52" s="10">
        <v>-1</v>
      </c>
      <c r="DC52" s="10"/>
      <c r="DD52" s="10">
        <v>-8</v>
      </c>
      <c r="DE52" s="10"/>
      <c r="DF52" s="10"/>
      <c r="DG52" s="10"/>
      <c r="DH52" s="10"/>
      <c r="DI52" s="10"/>
      <c r="DJ52" s="10"/>
      <c r="DK52" s="10"/>
      <c r="DL52" s="10">
        <v>-16</v>
      </c>
      <c r="DM52" s="10"/>
      <c r="DN52" s="10"/>
      <c r="DO52" s="10"/>
      <c r="DP52" s="10">
        <v>-1</v>
      </c>
      <c r="DQ52" s="10"/>
      <c r="DR52" s="10"/>
      <c r="DS52" s="10"/>
      <c r="DT52" s="10">
        <v>-10</v>
      </c>
      <c r="DU52" s="10"/>
      <c r="DV52" s="10">
        <f>-6-3</f>
        <v>-9</v>
      </c>
      <c r="DW52" s="10"/>
      <c r="DX52" s="10"/>
      <c r="DY52" s="10"/>
      <c r="DZ52" s="10"/>
      <c r="EA52" s="10"/>
      <c r="EB52" s="10"/>
      <c r="EC52" s="10"/>
      <c r="ED52" s="10">
        <v>-5</v>
      </c>
      <c r="EE52" s="10">
        <v>56</v>
      </c>
      <c r="EF52" s="10"/>
      <c r="EG52" s="10">
        <v>28</v>
      </c>
      <c r="EH52" s="10">
        <v>-30</v>
      </c>
      <c r="EI52" s="10">
        <v>56</v>
      </c>
      <c r="EJ52" s="10">
        <v>-2</v>
      </c>
      <c r="EK52" s="10"/>
      <c r="EL52" s="10"/>
      <c r="EM52" s="10"/>
      <c r="EN52" s="10">
        <v>-18</v>
      </c>
      <c r="EO52" s="10"/>
      <c r="EP52" s="10"/>
      <c r="EQ52" s="10"/>
      <c r="ER52" s="10"/>
      <c r="ES52" s="10"/>
      <c r="ET52" s="10">
        <v>-10</v>
      </c>
      <c r="EU52" s="10"/>
      <c r="EV52" s="10"/>
      <c r="EW52" s="10"/>
      <c r="EX52" s="10">
        <v>-2</v>
      </c>
      <c r="EY52" s="10"/>
      <c r="EZ52" s="10"/>
      <c r="FA52" s="10"/>
      <c r="FB52" s="10"/>
      <c r="FC52" s="10"/>
      <c r="FD52" s="10"/>
      <c r="FE52" s="10"/>
      <c r="FF52" s="10"/>
      <c r="FG52" s="10"/>
      <c r="FH52" s="10">
        <v>-1</v>
      </c>
      <c r="FI52" s="10"/>
      <c r="FJ52" s="10"/>
      <c r="FK52" s="10"/>
      <c r="FL52" s="10"/>
      <c r="FM52" s="10"/>
      <c r="FN52" s="10">
        <v>-5</v>
      </c>
      <c r="FO52" s="10"/>
      <c r="FP52" s="10"/>
      <c r="FQ52" s="10"/>
      <c r="FR52" s="10"/>
      <c r="FS52" s="10"/>
      <c r="FT52" s="10">
        <v>-6</v>
      </c>
      <c r="FU52" s="10"/>
      <c r="FV52" s="10">
        <v>-10</v>
      </c>
      <c r="FW52" s="10"/>
      <c r="FX52" s="10"/>
      <c r="FY52" s="10"/>
      <c r="FZ52" s="10"/>
      <c r="GA52" s="10"/>
      <c r="GB52" s="10">
        <f>-6-3</f>
        <v>-9</v>
      </c>
      <c r="GC52" s="10"/>
      <c r="GD52" s="10">
        <v>-12</v>
      </c>
      <c r="GE52" s="10"/>
      <c r="GF52" s="10"/>
      <c r="GG52" s="10"/>
      <c r="GH52" s="10">
        <v>-5</v>
      </c>
      <c r="GI52" s="10"/>
      <c r="GJ52" s="10">
        <v>-2</v>
      </c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>
        <v>-56</v>
      </c>
      <c r="GW52" s="10"/>
      <c r="GX52" s="10">
        <v>-10</v>
      </c>
      <c r="GY52" s="10"/>
      <c r="GZ52" s="10">
        <v>-10</v>
      </c>
      <c r="HA52" s="10"/>
      <c r="HB52" s="10"/>
      <c r="HC52" s="10"/>
      <c r="HD52" s="10"/>
      <c r="HE52" s="10"/>
      <c r="HF52" s="10">
        <v>-12</v>
      </c>
      <c r="HG52" s="10"/>
      <c r="HH52" s="10"/>
      <c r="HI52" s="10"/>
      <c r="HJ52" s="10"/>
      <c r="HK52" s="10"/>
      <c r="HL52" s="10">
        <v>-6</v>
      </c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>
        <v>15</v>
      </c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>
        <v>-13</v>
      </c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1">
        <f t="shared" si="1"/>
        <v>56</v>
      </c>
      <c r="TH52" s="9">
        <f t="shared" si="2"/>
        <v>-10</v>
      </c>
    </row>
    <row r="53" spans="1:528" ht="15.6" thickBot="1" x14ac:dyDescent="0.3">
      <c r="A53" s="25" t="s">
        <v>586</v>
      </c>
      <c r="B53" s="26" t="s">
        <v>490</v>
      </c>
      <c r="C53" s="3">
        <f>AGOSTO!D53</f>
        <v>0</v>
      </c>
      <c r="D53" s="55">
        <f t="shared" si="0"/>
        <v>32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>
        <v>20</v>
      </c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>
        <v>-10</v>
      </c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>
        <v>-8</v>
      </c>
      <c r="CE53" s="10"/>
      <c r="CF53" s="10">
        <v>-1</v>
      </c>
      <c r="CG53" s="10">
        <f>13</f>
        <v>13</v>
      </c>
      <c r="CH53" s="10">
        <v>-8</v>
      </c>
      <c r="CI53" s="10">
        <v>59</v>
      </c>
      <c r="CJ53" s="10">
        <v>-6</v>
      </c>
      <c r="CK53" s="10"/>
      <c r="CL53" s="10"/>
      <c r="CM53" s="10"/>
      <c r="CN53" s="10">
        <v>-6</v>
      </c>
      <c r="CO53" s="10"/>
      <c r="CP53" s="10"/>
      <c r="CQ53" s="10"/>
      <c r="CR53" s="10"/>
      <c r="CS53" s="10"/>
      <c r="CT53" s="10">
        <v>-5</v>
      </c>
      <c r="CU53" s="10"/>
      <c r="CV53" s="10"/>
      <c r="CW53" s="10"/>
      <c r="CX53" s="10"/>
      <c r="CY53" s="10"/>
      <c r="CZ53" s="10"/>
      <c r="DA53" s="10"/>
      <c r="DB53" s="10">
        <v>-1</v>
      </c>
      <c r="DC53" s="10"/>
      <c r="DD53" s="10">
        <v>-1</v>
      </c>
      <c r="DE53" s="10"/>
      <c r="DF53" s="10"/>
      <c r="DG53" s="10"/>
      <c r="DH53" s="10"/>
      <c r="DI53" s="10"/>
      <c r="DJ53" s="10"/>
      <c r="DK53" s="10"/>
      <c r="DL53" s="10">
        <v>-16</v>
      </c>
      <c r="DM53" s="10"/>
      <c r="DN53" s="10"/>
      <c r="DO53" s="10"/>
      <c r="DP53" s="10">
        <v>-1</v>
      </c>
      <c r="DQ53" s="10"/>
      <c r="DR53" s="10"/>
      <c r="DS53" s="10"/>
      <c r="DT53" s="10">
        <v>-2</v>
      </c>
      <c r="DU53" s="10"/>
      <c r="DV53" s="10">
        <v>-3</v>
      </c>
      <c r="DW53" s="10"/>
      <c r="DX53" s="10"/>
      <c r="DY53" s="10"/>
      <c r="DZ53" s="10"/>
      <c r="EA53" s="10"/>
      <c r="EB53" s="10"/>
      <c r="EC53" s="10"/>
      <c r="ED53" s="10"/>
      <c r="EE53" s="10">
        <v>5</v>
      </c>
      <c r="EF53" s="10"/>
      <c r="EG53" s="10">
        <v>28</v>
      </c>
      <c r="EH53" s="10">
        <v>-33</v>
      </c>
      <c r="EI53" s="10">
        <v>11</v>
      </c>
      <c r="EJ53" s="10"/>
      <c r="EK53" s="10"/>
      <c r="EL53" s="10"/>
      <c r="EM53" s="10"/>
      <c r="EN53" s="10">
        <v>-2</v>
      </c>
      <c r="EO53" s="10"/>
      <c r="EP53" s="10"/>
      <c r="EQ53" s="10"/>
      <c r="ER53" s="10"/>
      <c r="ES53" s="10"/>
      <c r="ET53" s="10">
        <v>-16</v>
      </c>
      <c r="EU53" s="10"/>
      <c r="EV53" s="10"/>
      <c r="EW53" s="10"/>
      <c r="EX53" s="10">
        <v>-2</v>
      </c>
      <c r="EY53" s="10"/>
      <c r="EZ53" s="10"/>
      <c r="FA53" s="10">
        <v>57</v>
      </c>
      <c r="FB53" s="10"/>
      <c r="FC53" s="10"/>
      <c r="FD53" s="10"/>
      <c r="FE53" s="10"/>
      <c r="FF53" s="10"/>
      <c r="FG53" s="10"/>
      <c r="FH53" s="10">
        <v>-1</v>
      </c>
      <c r="FI53" s="10"/>
      <c r="FJ53" s="10"/>
      <c r="FK53" s="10"/>
      <c r="FL53" s="10"/>
      <c r="FM53" s="10"/>
      <c r="FN53" s="10">
        <v>-2</v>
      </c>
      <c r="FO53" s="10"/>
      <c r="FP53" s="10"/>
      <c r="FQ53" s="10"/>
      <c r="FR53" s="10"/>
      <c r="FS53" s="10"/>
      <c r="FT53" s="10"/>
      <c r="FU53" s="10"/>
      <c r="FV53" s="10"/>
      <c r="FW53" s="10"/>
      <c r="FX53" s="10">
        <v>-15</v>
      </c>
      <c r="FY53" s="10"/>
      <c r="FZ53" s="10"/>
      <c r="GA53" s="10"/>
      <c r="GB53" s="10"/>
      <c r="GC53" s="10"/>
      <c r="GD53" s="10"/>
      <c r="GE53" s="10"/>
      <c r="GF53" s="10"/>
      <c r="GG53" s="10"/>
      <c r="GH53" s="10">
        <v>-5</v>
      </c>
      <c r="GI53" s="10"/>
      <c r="GJ53" s="10"/>
      <c r="GK53" s="10"/>
      <c r="GL53" s="10">
        <v>-5</v>
      </c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>
        <v>-1</v>
      </c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4">
        <f>-13-18</f>
        <v>-31</v>
      </c>
      <c r="HM53" s="10"/>
      <c r="HN53" s="10"/>
      <c r="HO53" s="10"/>
      <c r="HP53" s="10"/>
      <c r="HQ53" s="10"/>
      <c r="HR53" s="10"/>
      <c r="HS53" s="10"/>
      <c r="HT53" s="10">
        <v>-5</v>
      </c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>
        <v>15</v>
      </c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>
        <v>-8</v>
      </c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>
        <v>18</v>
      </c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1">
        <f t="shared" si="1"/>
        <v>20</v>
      </c>
      <c r="TH53" s="9">
        <f t="shared" si="2"/>
        <v>-10</v>
      </c>
    </row>
    <row r="54" spans="1:528" ht="15.6" thickBot="1" x14ac:dyDescent="0.3">
      <c r="A54" s="25" t="s">
        <v>945</v>
      </c>
      <c r="B54" s="26" t="s">
        <v>868</v>
      </c>
      <c r="C54" s="3">
        <f>AGOSTO!D54</f>
        <v>0</v>
      </c>
      <c r="D54" s="55">
        <f t="shared" si="0"/>
        <v>7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>
        <v>20</v>
      </c>
      <c r="BT54" s="10"/>
      <c r="BU54" s="10"/>
      <c r="BV54" s="10">
        <v>-5</v>
      </c>
      <c r="BW54" s="10"/>
      <c r="BX54" s="10"/>
      <c r="BY54" s="10"/>
      <c r="BZ54" s="10"/>
      <c r="CA54" s="10"/>
      <c r="CB54" s="10"/>
      <c r="CC54" s="10"/>
      <c r="CD54" s="10">
        <v>-8</v>
      </c>
      <c r="CE54" s="10"/>
      <c r="CF54" s="10">
        <v>-1</v>
      </c>
      <c r="CG54" s="10"/>
      <c r="CH54" s="10">
        <v>-3</v>
      </c>
      <c r="CI54" s="10"/>
      <c r="CJ54" s="10"/>
      <c r="CK54" s="10"/>
      <c r="CL54" s="10"/>
      <c r="CM54" s="10">
        <v>56</v>
      </c>
      <c r="CN54" s="10">
        <v>-6</v>
      </c>
      <c r="CO54" s="10"/>
      <c r="CP54" s="10">
        <v>-47</v>
      </c>
      <c r="CQ54" s="10"/>
      <c r="CR54" s="10"/>
      <c r="CS54" s="10"/>
      <c r="CT54" s="10"/>
      <c r="CU54" s="10">
        <f>56+44</f>
        <v>100</v>
      </c>
      <c r="CV54" s="10"/>
      <c r="CW54" s="10"/>
      <c r="CX54" s="10"/>
      <c r="CY54" s="10"/>
      <c r="CZ54" s="10"/>
      <c r="DA54" s="10"/>
      <c r="DB54" s="10">
        <v>-5</v>
      </c>
      <c r="DC54" s="10">
        <v>56</v>
      </c>
      <c r="DD54" s="10">
        <v>-8</v>
      </c>
      <c r="DE54" s="10"/>
      <c r="DF54" s="10"/>
      <c r="DG54" s="10"/>
      <c r="DH54" s="10">
        <v>-2</v>
      </c>
      <c r="DI54" s="10"/>
      <c r="DJ54" s="10"/>
      <c r="DK54" s="10"/>
      <c r="DL54" s="10">
        <v>-16</v>
      </c>
      <c r="DM54" s="10"/>
      <c r="DN54" s="10"/>
      <c r="DO54" s="10"/>
      <c r="DP54" s="10"/>
      <c r="DQ54" s="10"/>
      <c r="DR54" s="10"/>
      <c r="DS54" s="10"/>
      <c r="DT54" s="10">
        <v>-80</v>
      </c>
      <c r="DU54" s="10"/>
      <c r="DV54" s="10"/>
      <c r="DW54" s="10"/>
      <c r="DX54" s="10"/>
      <c r="DY54" s="10"/>
      <c r="DZ54" s="10"/>
      <c r="EA54" s="10"/>
      <c r="EB54" s="10"/>
      <c r="EC54" s="10"/>
      <c r="ED54" s="10">
        <v>-15</v>
      </c>
      <c r="EE54" s="10"/>
      <c r="EF54" s="10"/>
      <c r="EG54" s="10"/>
      <c r="EH54" s="10">
        <v>-9</v>
      </c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>
        <v>-12</v>
      </c>
      <c r="EY54" s="10"/>
      <c r="EZ54" s="10"/>
      <c r="FA54" s="10"/>
      <c r="FB54" s="10"/>
      <c r="FC54" s="10"/>
      <c r="FD54" s="10"/>
      <c r="FE54" s="10"/>
      <c r="FF54" s="10"/>
      <c r="FG54" s="10">
        <v>56</v>
      </c>
      <c r="FH54" s="10">
        <v>-2</v>
      </c>
      <c r="FI54" s="10"/>
      <c r="FJ54" s="10">
        <v>-8</v>
      </c>
      <c r="FK54" s="10"/>
      <c r="FL54" s="10"/>
      <c r="FM54" s="10"/>
      <c r="FN54" s="10"/>
      <c r="FO54" s="10"/>
      <c r="FP54" s="10"/>
      <c r="FQ54" s="10"/>
      <c r="FR54" s="10"/>
      <c r="FS54" s="10"/>
      <c r="FT54" s="10">
        <v>-2</v>
      </c>
      <c r="FU54" s="10"/>
      <c r="FV54" s="10">
        <v>-3</v>
      </c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>
        <v>-2</v>
      </c>
      <c r="GK54" s="10"/>
      <c r="GL54" s="10"/>
      <c r="GM54" s="10"/>
      <c r="GN54" s="10">
        <v>-3</v>
      </c>
      <c r="GO54" s="10"/>
      <c r="GP54" s="10"/>
      <c r="GQ54" s="10"/>
      <c r="GR54" s="10"/>
      <c r="GS54" s="10"/>
      <c r="GT54" s="10"/>
      <c r="GU54" s="10"/>
      <c r="GV54" s="10"/>
      <c r="GW54" s="10">
        <v>6</v>
      </c>
      <c r="GX54" s="10">
        <v>-1</v>
      </c>
      <c r="GY54" s="10">
        <v>22</v>
      </c>
      <c r="GZ54" s="10"/>
      <c r="HA54" s="10"/>
      <c r="HB54" s="10"/>
      <c r="HC54" s="10"/>
      <c r="HD54" s="10"/>
      <c r="HE54" s="10"/>
      <c r="HF54" s="10">
        <v>-20</v>
      </c>
      <c r="HG54" s="10"/>
      <c r="HH54" s="10"/>
      <c r="HI54" s="10"/>
      <c r="HJ54" s="10"/>
      <c r="HK54" s="10"/>
      <c r="HL54" s="14">
        <v>-37</v>
      </c>
      <c r="HM54" s="10"/>
      <c r="HN54" s="10"/>
      <c r="HO54" s="10"/>
      <c r="HP54" s="10"/>
      <c r="HQ54" s="10"/>
      <c r="HR54" s="10">
        <v>-2</v>
      </c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>
        <v>15</v>
      </c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>
        <v>-8</v>
      </c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>
        <v>-19</v>
      </c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1">
        <f t="shared" si="1"/>
        <v>0</v>
      </c>
      <c r="TH54" s="9">
        <f t="shared" si="2"/>
        <v>0</v>
      </c>
    </row>
    <row r="55" spans="1:528" ht="16.2" thickBot="1" x14ac:dyDescent="0.35">
      <c r="A55" s="25"/>
      <c r="B55" s="23" t="s">
        <v>958</v>
      </c>
      <c r="C55" s="3">
        <f>AGOSTO!D55</f>
        <v>0</v>
      </c>
      <c r="D55" s="21">
        <f t="shared" si="0"/>
        <v>0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1">
        <f t="shared" si="1"/>
        <v>0</v>
      </c>
      <c r="TH55" s="9">
        <f t="shared" si="2"/>
        <v>0</v>
      </c>
    </row>
    <row r="56" spans="1:528" ht="15.6" thickBot="1" x14ac:dyDescent="0.3">
      <c r="A56" s="25" t="s">
        <v>212</v>
      </c>
      <c r="B56" s="6" t="s">
        <v>1086</v>
      </c>
      <c r="C56" s="3">
        <f>AGOSTO!D56</f>
        <v>0</v>
      </c>
      <c r="D56" s="21">
        <f t="shared" si="0"/>
        <v>0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>
        <v>37</v>
      </c>
      <c r="BL56" s="10"/>
      <c r="BM56" s="10"/>
      <c r="BN56" s="10"/>
      <c r="BO56" s="10"/>
      <c r="BP56" s="10">
        <v>-5</v>
      </c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>
        <v>-10</v>
      </c>
      <c r="CI56" s="10"/>
      <c r="CJ56" s="10">
        <v>-10</v>
      </c>
      <c r="CK56" s="10"/>
      <c r="CL56" s="10"/>
      <c r="CM56" s="10"/>
      <c r="CN56" s="10">
        <v>-3</v>
      </c>
      <c r="CO56" s="10">
        <v>38</v>
      </c>
      <c r="CP56" s="10"/>
      <c r="CQ56" s="10"/>
      <c r="CR56" s="10"/>
      <c r="CS56" s="10"/>
      <c r="CT56" s="10">
        <v>-5</v>
      </c>
      <c r="CU56" s="10"/>
      <c r="CV56" s="10"/>
      <c r="CW56" s="10"/>
      <c r="CX56" s="10"/>
      <c r="CY56" s="10"/>
      <c r="CZ56" s="10"/>
      <c r="DA56" s="10"/>
      <c r="DB56" s="10"/>
      <c r="DC56" s="10"/>
      <c r="DD56" s="10">
        <v>-1</v>
      </c>
      <c r="DE56" s="10"/>
      <c r="DF56" s="10"/>
      <c r="DG56" s="10">
        <v>62</v>
      </c>
      <c r="DH56" s="10">
        <v>-1</v>
      </c>
      <c r="DI56" s="10"/>
      <c r="DJ56" s="10">
        <v>-10</v>
      </c>
      <c r="DK56" s="10"/>
      <c r="DL56" s="10"/>
      <c r="DM56" s="10"/>
      <c r="DN56" s="10"/>
      <c r="DO56" s="10"/>
      <c r="DP56" s="10">
        <v>-27</v>
      </c>
      <c r="DQ56" s="10"/>
      <c r="DR56" s="10">
        <v>-28</v>
      </c>
      <c r="DS56" s="10"/>
      <c r="DT56" s="10">
        <v>-4</v>
      </c>
      <c r="DU56" s="10"/>
      <c r="DV56" s="10">
        <f>-5-3</f>
        <v>-8</v>
      </c>
      <c r="DW56" s="10">
        <v>45</v>
      </c>
      <c r="DX56" s="10"/>
      <c r="DY56" s="10"/>
      <c r="DZ56" s="10"/>
      <c r="EA56" s="10"/>
      <c r="EB56" s="10"/>
      <c r="EC56" s="10"/>
      <c r="ED56" s="10">
        <v>-30</v>
      </c>
      <c r="EE56" s="10"/>
      <c r="EF56" s="10"/>
      <c r="EG56" s="10"/>
      <c r="EH56" s="10"/>
      <c r="EI56" s="10">
        <v>56</v>
      </c>
      <c r="EJ56" s="10"/>
      <c r="EK56" s="10"/>
      <c r="EL56" s="10">
        <v>-1</v>
      </c>
      <c r="EM56" s="10"/>
      <c r="EN56" s="10">
        <v>-5</v>
      </c>
      <c r="EO56" s="10"/>
      <c r="EP56" s="10"/>
      <c r="EQ56" s="10"/>
      <c r="ER56" s="10">
        <v>-16</v>
      </c>
      <c r="ES56" s="10"/>
      <c r="ET56" s="10">
        <v>-13</v>
      </c>
      <c r="EU56" s="10"/>
      <c r="EV56" s="10">
        <v>-13</v>
      </c>
      <c r="EW56" s="10"/>
      <c r="EX56" s="10"/>
      <c r="EY56" s="10"/>
      <c r="EZ56" s="10">
        <v>-6</v>
      </c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>
        <v>-2</v>
      </c>
      <c r="FW56" s="10"/>
      <c r="FX56" s="10">
        <v>-3</v>
      </c>
      <c r="FY56" s="10"/>
      <c r="FZ56" s="10"/>
      <c r="GA56" s="10"/>
      <c r="GB56" s="10"/>
      <c r="GC56" s="10"/>
      <c r="GD56" s="10">
        <v>-7</v>
      </c>
      <c r="GE56" s="10"/>
      <c r="GF56" s="10"/>
      <c r="GG56" s="10"/>
      <c r="GH56" s="10"/>
      <c r="GI56" s="10"/>
      <c r="GJ56" s="10"/>
      <c r="GK56" s="10"/>
      <c r="GL56" s="10">
        <v>-10</v>
      </c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>
        <v>-11</v>
      </c>
      <c r="HG56" s="10"/>
      <c r="HH56" s="10"/>
      <c r="HI56" s="10"/>
      <c r="HJ56" s="10"/>
      <c r="HK56" s="10"/>
      <c r="HL56" s="10">
        <v>-5</v>
      </c>
      <c r="HM56" s="10"/>
      <c r="HN56" s="10"/>
      <c r="HO56" s="10"/>
      <c r="HP56" s="10">
        <v>-4</v>
      </c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1">
        <f t="shared" si="1"/>
        <v>0</v>
      </c>
      <c r="TH56" s="9">
        <f t="shared" si="2"/>
        <v>0</v>
      </c>
    </row>
    <row r="57" spans="1:528" ht="15.6" thickBot="1" x14ac:dyDescent="0.3">
      <c r="A57" s="25" t="s">
        <v>213</v>
      </c>
      <c r="B57" s="6" t="s">
        <v>1087</v>
      </c>
      <c r="C57" s="3">
        <f>AGOSTO!D57</f>
        <v>0</v>
      </c>
      <c r="D57" s="21">
        <f t="shared" si="0"/>
        <v>6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>
        <f>52+8</f>
        <v>60</v>
      </c>
      <c r="BL57" s="10">
        <f>-8-28</f>
        <v>-36</v>
      </c>
      <c r="BM57" s="10"/>
      <c r="BN57" s="10"/>
      <c r="BO57" s="10"/>
      <c r="BP57" s="10">
        <v>-5</v>
      </c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>
        <v>20</v>
      </c>
      <c r="CB57" s="10"/>
      <c r="CC57" s="10"/>
      <c r="CD57" s="10"/>
      <c r="CE57" s="10"/>
      <c r="CF57" s="10"/>
      <c r="CG57" s="10"/>
      <c r="CH57" s="10">
        <v>-20</v>
      </c>
      <c r="CI57" s="10">
        <v>38</v>
      </c>
      <c r="CJ57" s="10">
        <v>-10</v>
      </c>
      <c r="CK57" s="10"/>
      <c r="CL57" s="10"/>
      <c r="CM57" s="10"/>
      <c r="CN57" s="10">
        <v>-3</v>
      </c>
      <c r="CO57" s="10">
        <v>58</v>
      </c>
      <c r="CP57" s="10"/>
      <c r="CQ57" s="10"/>
      <c r="CR57" s="10"/>
      <c r="CS57" s="10"/>
      <c r="CT57" s="10">
        <v>-10</v>
      </c>
      <c r="CU57" s="10"/>
      <c r="CV57" s="10"/>
      <c r="CW57" s="10"/>
      <c r="CX57" s="10"/>
      <c r="CY57" s="10"/>
      <c r="CZ57" s="10"/>
      <c r="DA57" s="10"/>
      <c r="DB57" s="10"/>
      <c r="DC57" s="10"/>
      <c r="DD57" s="10">
        <v>-1</v>
      </c>
      <c r="DE57" s="10">
        <v>30</v>
      </c>
      <c r="DF57" s="10">
        <v>-18</v>
      </c>
      <c r="DG57" s="10"/>
      <c r="DH57" s="10">
        <v>-1</v>
      </c>
      <c r="DI57" s="10"/>
      <c r="DJ57" s="10">
        <v>-10</v>
      </c>
      <c r="DK57" s="10"/>
      <c r="DL57" s="10"/>
      <c r="DM57" s="10"/>
      <c r="DN57" s="10"/>
      <c r="DO57" s="10"/>
      <c r="DP57" s="10">
        <v>-52</v>
      </c>
      <c r="DQ57" s="10"/>
      <c r="DR57" s="10">
        <v>-28</v>
      </c>
      <c r="DS57" s="10"/>
      <c r="DT57" s="10">
        <v>-3</v>
      </c>
      <c r="DU57" s="10"/>
      <c r="DV57" s="10">
        <f>-4-3</f>
        <v>-7</v>
      </c>
      <c r="DW57" s="10"/>
      <c r="DX57" s="10"/>
      <c r="DY57" s="10"/>
      <c r="DZ57" s="10"/>
      <c r="EA57" s="10"/>
      <c r="EB57" s="10"/>
      <c r="EC57" s="10">
        <f>60+59</f>
        <v>119</v>
      </c>
      <c r="ED57" s="10">
        <v>-60</v>
      </c>
      <c r="EE57" s="10"/>
      <c r="EF57" s="10"/>
      <c r="EG57" s="10"/>
      <c r="EH57" s="10"/>
      <c r="EI57" s="10">
        <v>48</v>
      </c>
      <c r="EJ57" s="10">
        <v>-2</v>
      </c>
      <c r="EK57" s="10"/>
      <c r="EL57" s="10">
        <v>-3</v>
      </c>
      <c r="EM57" s="10"/>
      <c r="EN57" s="10">
        <v>-5</v>
      </c>
      <c r="EO57" s="10"/>
      <c r="EP57" s="10"/>
      <c r="EQ57" s="10"/>
      <c r="ER57" s="10">
        <v>-16</v>
      </c>
      <c r="ES57" s="10"/>
      <c r="ET57" s="10">
        <v>-14</v>
      </c>
      <c r="EU57" s="10"/>
      <c r="EV57" s="10">
        <v>-40</v>
      </c>
      <c r="EW57" s="10"/>
      <c r="EX57" s="10"/>
      <c r="EY57" s="10"/>
      <c r="EZ57" s="10">
        <v>-11</v>
      </c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>
        <v>-5</v>
      </c>
      <c r="FU57" s="10"/>
      <c r="FV57" s="10">
        <v>-2</v>
      </c>
      <c r="FW57" s="10"/>
      <c r="FX57" s="10">
        <v>-3</v>
      </c>
      <c r="FY57" s="10"/>
      <c r="FZ57" s="10"/>
      <c r="GA57" s="10"/>
      <c r="GB57" s="10"/>
      <c r="GC57" s="10"/>
      <c r="GD57" s="10">
        <v>-5</v>
      </c>
      <c r="GE57" s="10"/>
      <c r="GF57" s="10"/>
      <c r="GG57" s="10"/>
      <c r="GH57" s="10"/>
      <c r="GI57" s="10"/>
      <c r="GJ57" s="10"/>
      <c r="GK57" s="10"/>
      <c r="GL57" s="10">
        <v>-1</v>
      </c>
      <c r="GM57" s="10"/>
      <c r="GN57" s="10"/>
      <c r="GO57" s="10"/>
      <c r="GP57" s="10"/>
      <c r="GQ57" s="10">
        <v>25</v>
      </c>
      <c r="GR57" s="10"/>
      <c r="GS57" s="10"/>
      <c r="GT57" s="10"/>
      <c r="GU57" s="10"/>
      <c r="GV57" s="10">
        <v>-2</v>
      </c>
      <c r="GW57" s="10"/>
      <c r="GX57" s="10">
        <v>-4</v>
      </c>
      <c r="GY57" s="10"/>
      <c r="GZ57" s="10"/>
      <c r="HA57" s="10"/>
      <c r="HB57" s="10">
        <v>-2</v>
      </c>
      <c r="HC57" s="10"/>
      <c r="HD57" s="10"/>
      <c r="HE57" s="10"/>
      <c r="HF57" s="10">
        <v>-13</v>
      </c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1">
        <f t="shared" si="1"/>
        <v>0</v>
      </c>
      <c r="TH57" s="9">
        <f t="shared" si="2"/>
        <v>0</v>
      </c>
    </row>
    <row r="58" spans="1:528" ht="15.6" thickBot="1" x14ac:dyDescent="0.3">
      <c r="A58" s="25" t="s">
        <v>959</v>
      </c>
      <c r="B58" s="18" t="s">
        <v>960</v>
      </c>
      <c r="C58" s="3">
        <f>AGOSTO!D58</f>
        <v>0</v>
      </c>
      <c r="D58" s="55">
        <f t="shared" si="0"/>
        <v>47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>
        <v>63</v>
      </c>
      <c r="BN58" s="10"/>
      <c r="BO58" s="10"/>
      <c r="BP58" s="10"/>
      <c r="BQ58" s="10"/>
      <c r="BR58" s="10">
        <v>-8</v>
      </c>
      <c r="BS58" s="10"/>
      <c r="BT58" s="10"/>
      <c r="BU58" s="10">
        <v>147</v>
      </c>
      <c r="BV58" s="10"/>
      <c r="BW58" s="10"/>
      <c r="BX58" s="10"/>
      <c r="BY58" s="10">
        <v>156</v>
      </c>
      <c r="BZ58" s="10"/>
      <c r="CA58" s="10"/>
      <c r="CB58" s="10">
        <f>-156-8</f>
        <v>-164</v>
      </c>
      <c r="CC58" s="10"/>
      <c r="CD58" s="10"/>
      <c r="CE58" s="10"/>
      <c r="CF58" s="10">
        <v>-1</v>
      </c>
      <c r="CG58" s="10"/>
      <c r="CH58" s="10">
        <v>-8</v>
      </c>
      <c r="CI58" s="10"/>
      <c r="CJ58" s="10"/>
      <c r="CK58" s="10"/>
      <c r="CL58" s="10"/>
      <c r="CM58" s="10"/>
      <c r="CN58" s="10">
        <v>-2</v>
      </c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>
        <v>-7</v>
      </c>
      <c r="DC58" s="10"/>
      <c r="DD58" s="10"/>
      <c r="DE58" s="10"/>
      <c r="DF58" s="10"/>
      <c r="DG58" s="10">
        <v>36</v>
      </c>
      <c r="DH58" s="10">
        <v>-3</v>
      </c>
      <c r="DI58" s="10"/>
      <c r="DJ58" s="10"/>
      <c r="DK58" s="10"/>
      <c r="DL58" s="10">
        <v>-28</v>
      </c>
      <c r="DM58" s="10"/>
      <c r="DN58" s="10"/>
      <c r="DO58" s="10"/>
      <c r="DP58" s="10">
        <v>-3</v>
      </c>
      <c r="DQ58" s="10"/>
      <c r="DR58" s="10"/>
      <c r="DS58" s="10"/>
      <c r="DT58" s="10"/>
      <c r="DU58" s="10"/>
      <c r="DV58" s="10">
        <v>-62</v>
      </c>
      <c r="DW58" s="10"/>
      <c r="DX58" s="10"/>
      <c r="DY58" s="10"/>
      <c r="DZ58" s="10"/>
      <c r="EA58" s="10"/>
      <c r="EB58" s="10"/>
      <c r="EC58" s="10"/>
      <c r="ED58" s="10">
        <v>-1</v>
      </c>
      <c r="EE58" s="10"/>
      <c r="EF58" s="10"/>
      <c r="EG58" s="10"/>
      <c r="EH58" s="10"/>
      <c r="EI58" s="10"/>
      <c r="EJ58" s="10"/>
      <c r="EK58" s="10"/>
      <c r="EL58" s="10">
        <v>-32</v>
      </c>
      <c r="EM58" s="10"/>
      <c r="EN58" s="10"/>
      <c r="EO58" s="10"/>
      <c r="EP58" s="10"/>
      <c r="EQ58" s="10"/>
      <c r="ER58" s="10"/>
      <c r="ES58" s="10"/>
      <c r="ET58" s="10">
        <v>-2</v>
      </c>
      <c r="EU58" s="10"/>
      <c r="EV58" s="10"/>
      <c r="EW58" s="10"/>
      <c r="EX58" s="10">
        <v>-2</v>
      </c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>
        <v>-2</v>
      </c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>
        <v>-3</v>
      </c>
      <c r="FW58" s="10"/>
      <c r="FX58" s="10">
        <v>-8</v>
      </c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>
        <v>-5</v>
      </c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>
        <v>-5</v>
      </c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>
        <v>-6</v>
      </c>
      <c r="SI58" s="10"/>
      <c r="SJ58" s="10"/>
      <c r="SK58" s="10"/>
      <c r="SL58" s="10"/>
      <c r="SM58" s="10">
        <v>2</v>
      </c>
      <c r="SN58" s="10">
        <v>-5</v>
      </c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1">
        <f t="shared" si="1"/>
        <v>0</v>
      </c>
      <c r="TH58" s="9">
        <f t="shared" si="2"/>
        <v>0</v>
      </c>
    </row>
    <row r="59" spans="1:528" ht="15.6" thickBot="1" x14ac:dyDescent="0.3">
      <c r="A59" s="25" t="s">
        <v>214</v>
      </c>
      <c r="B59" s="18" t="s">
        <v>961</v>
      </c>
      <c r="C59" s="3">
        <f>AGOSTO!D59</f>
        <v>437</v>
      </c>
      <c r="D59" s="55">
        <f t="shared" si="0"/>
        <v>300</v>
      </c>
      <c r="E59" s="10"/>
      <c r="F59" s="10"/>
      <c r="G59" s="10"/>
      <c r="H59" s="10"/>
      <c r="I59" s="10"/>
      <c r="J59" s="10"/>
      <c r="K59" s="10"/>
      <c r="L59" s="10">
        <v>-10</v>
      </c>
      <c r="M59" s="10">
        <f>156+64</f>
        <v>220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>
        <v>-8</v>
      </c>
      <c r="AS59" s="10"/>
      <c r="AT59" s="10"/>
      <c r="AU59" s="10"/>
      <c r="AV59" s="10"/>
      <c r="AW59" s="10"/>
      <c r="AX59" s="10"/>
      <c r="AY59" s="10"/>
      <c r="AZ59" s="10"/>
      <c r="BA59" s="10"/>
      <c r="BB59" s="10">
        <v>-52</v>
      </c>
      <c r="BC59" s="10"/>
      <c r="BD59" s="10">
        <f>-7-2</f>
        <v>-9</v>
      </c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>
        <v>-5</v>
      </c>
      <c r="BQ59" s="10"/>
      <c r="BR59" s="10">
        <v>-11</v>
      </c>
      <c r="BS59" s="10"/>
      <c r="BT59" s="10">
        <f>-202-162</f>
        <v>-364</v>
      </c>
      <c r="BU59" s="10"/>
      <c r="BV59" s="10">
        <v>-12</v>
      </c>
      <c r="BW59" s="10"/>
      <c r="BX59" s="10"/>
      <c r="BY59" s="10">
        <f>156+156</f>
        <v>312</v>
      </c>
      <c r="BZ59" s="10">
        <f>-35-43</f>
        <v>-78</v>
      </c>
      <c r="CA59" s="10">
        <v>125</v>
      </c>
      <c r="CB59" s="10">
        <f>-156-156-9-13</f>
        <v>-334</v>
      </c>
      <c r="CC59" s="10"/>
      <c r="CD59" s="10">
        <v>-5</v>
      </c>
      <c r="CE59" s="10"/>
      <c r="CF59" s="10">
        <v>-7</v>
      </c>
      <c r="CG59" s="10"/>
      <c r="CH59" s="10">
        <v>-10</v>
      </c>
      <c r="CI59" s="10"/>
      <c r="CJ59" s="10">
        <v>-6</v>
      </c>
      <c r="CK59" s="10"/>
      <c r="CL59" s="10"/>
      <c r="CM59" s="10"/>
      <c r="CN59" s="10"/>
      <c r="CO59" s="10">
        <v>156</v>
      </c>
      <c r="CP59" s="10">
        <v>-100</v>
      </c>
      <c r="CQ59" s="10"/>
      <c r="CR59" s="10">
        <v>-52</v>
      </c>
      <c r="CS59" s="10"/>
      <c r="CT59" s="10">
        <v>-80</v>
      </c>
      <c r="CU59" s="10"/>
      <c r="CV59" s="10">
        <v>-6</v>
      </c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>
        <v>-63</v>
      </c>
      <c r="DI59" s="10">
        <f>27+127</f>
        <v>154</v>
      </c>
      <c r="DJ59" s="10">
        <v>-13</v>
      </c>
      <c r="DK59" s="10"/>
      <c r="DL59" s="10"/>
      <c r="DM59" s="10"/>
      <c r="DN59" s="10"/>
      <c r="DO59" s="10"/>
      <c r="DP59" s="10">
        <v>-32</v>
      </c>
      <c r="DQ59" s="10"/>
      <c r="DR59" s="10"/>
      <c r="DS59" s="10">
        <v>137</v>
      </c>
      <c r="DT59" s="10">
        <v>-23</v>
      </c>
      <c r="DU59" s="10"/>
      <c r="DV59" s="10">
        <f>-5-5</f>
        <v>-10</v>
      </c>
      <c r="DW59" s="10"/>
      <c r="DX59" s="10"/>
      <c r="DY59" s="10"/>
      <c r="DZ59" s="10"/>
      <c r="EA59" s="10"/>
      <c r="EB59" s="10"/>
      <c r="EC59" s="10"/>
      <c r="ED59" s="10">
        <v>-43</v>
      </c>
      <c r="EE59" s="10"/>
      <c r="EF59" s="10">
        <v>-36</v>
      </c>
      <c r="EG59" s="10"/>
      <c r="EH59" s="10"/>
      <c r="EI59" s="10"/>
      <c r="EJ59" s="10">
        <v>-24</v>
      </c>
      <c r="EK59" s="10"/>
      <c r="EL59" s="10">
        <v>-1</v>
      </c>
      <c r="EM59" s="10"/>
      <c r="EN59" s="10">
        <v>-65</v>
      </c>
      <c r="EO59" s="10"/>
      <c r="EP59" s="10"/>
      <c r="EQ59" s="10">
        <v>156</v>
      </c>
      <c r="ER59" s="10">
        <v>-4</v>
      </c>
      <c r="ES59" s="10">
        <v>28</v>
      </c>
      <c r="ET59" s="10">
        <v>-13</v>
      </c>
      <c r="EU59" s="10"/>
      <c r="EV59" s="10"/>
      <c r="EW59" s="10"/>
      <c r="EX59" s="10">
        <v>-104</v>
      </c>
      <c r="EY59" s="10"/>
      <c r="EZ59" s="10">
        <v>-15</v>
      </c>
      <c r="FA59" s="10"/>
      <c r="FB59" s="10">
        <v>-52</v>
      </c>
      <c r="FC59" s="10"/>
      <c r="FD59" s="10"/>
      <c r="FE59" s="10"/>
      <c r="FF59" s="10"/>
      <c r="FG59" s="10"/>
      <c r="FH59" s="10"/>
      <c r="FI59" s="10"/>
      <c r="FJ59" s="10">
        <v>-21</v>
      </c>
      <c r="FK59" s="10">
        <v>4</v>
      </c>
      <c r="FL59" s="10"/>
      <c r="FM59" s="10"/>
      <c r="FN59" s="10">
        <v>-13</v>
      </c>
      <c r="FO59" s="10"/>
      <c r="FP59" s="10"/>
      <c r="FQ59" s="10"/>
      <c r="FR59" s="10"/>
      <c r="FS59" s="10"/>
      <c r="FT59" s="10">
        <v>-13</v>
      </c>
      <c r="FU59" s="10"/>
      <c r="FV59" s="10">
        <v>-3</v>
      </c>
      <c r="FW59" s="10"/>
      <c r="FX59" s="10">
        <v>-1</v>
      </c>
      <c r="FY59" s="10">
        <f>69+70</f>
        <v>139</v>
      </c>
      <c r="FZ59" s="10">
        <f>-5-5</f>
        <v>-10</v>
      </c>
      <c r="GA59" s="10"/>
      <c r="GB59" s="10">
        <v>-12</v>
      </c>
      <c r="GC59" s="10"/>
      <c r="GD59" s="10">
        <v>-5</v>
      </c>
      <c r="GE59" s="10"/>
      <c r="GF59" s="10"/>
      <c r="GG59" s="10"/>
      <c r="GH59" s="10"/>
      <c r="GI59" s="10"/>
      <c r="GJ59" s="10"/>
      <c r="GK59" s="10"/>
      <c r="GL59" s="10">
        <v>-12</v>
      </c>
      <c r="GM59" s="10"/>
      <c r="GN59" s="10">
        <v>-11</v>
      </c>
      <c r="GO59" s="10"/>
      <c r="GP59" s="10"/>
      <c r="GQ59" s="10"/>
      <c r="GR59" s="10">
        <v>-10</v>
      </c>
      <c r="GS59" s="10"/>
      <c r="GT59" s="10"/>
      <c r="GU59" s="10"/>
      <c r="GV59" s="10">
        <v>-10</v>
      </c>
      <c r="GW59" s="10"/>
      <c r="GX59" s="10">
        <v>-10</v>
      </c>
      <c r="GY59" s="10"/>
      <c r="GZ59" s="10">
        <v>-3</v>
      </c>
      <c r="HA59" s="10"/>
      <c r="HB59" s="10"/>
      <c r="HC59" s="10"/>
      <c r="HD59" s="10"/>
      <c r="HE59" s="10"/>
      <c r="HF59" s="10">
        <v>-15</v>
      </c>
      <c r="HG59" s="10"/>
      <c r="HH59" s="10"/>
      <c r="HI59" s="10"/>
      <c r="HJ59" s="10"/>
      <c r="HK59" s="10"/>
      <c r="HL59" s="10">
        <f>-10-1</f>
        <v>-11</v>
      </c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>
        <v>-10</v>
      </c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>
        <v>-10</v>
      </c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>
        <v>266</v>
      </c>
      <c r="SH59" s="10"/>
      <c r="SI59" s="10"/>
      <c r="SJ59" s="10"/>
      <c r="SK59" s="10"/>
      <c r="SL59" s="10"/>
      <c r="SM59" s="10">
        <v>3</v>
      </c>
      <c r="SN59" s="10">
        <v>-10</v>
      </c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1">
        <f t="shared" si="1"/>
        <v>220</v>
      </c>
      <c r="TH59" s="9">
        <f t="shared" si="2"/>
        <v>-79</v>
      </c>
    </row>
    <row r="60" spans="1:528" ht="15.6" thickBot="1" x14ac:dyDescent="0.3">
      <c r="A60" s="25" t="s">
        <v>215</v>
      </c>
      <c r="B60" s="18" t="s">
        <v>962</v>
      </c>
      <c r="C60" s="3">
        <f>AGOSTO!D60</f>
        <v>338</v>
      </c>
      <c r="D60" s="55">
        <f t="shared" si="0"/>
        <v>172</v>
      </c>
      <c r="E60" s="10"/>
      <c r="F60" s="10"/>
      <c r="G60" s="10"/>
      <c r="H60" s="10"/>
      <c r="I60" s="10">
        <f>17+139+144+156</f>
        <v>456</v>
      </c>
      <c r="J60" s="10"/>
      <c r="K60" s="10"/>
      <c r="L60" s="10">
        <v>-10</v>
      </c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>
        <f>-30-78</f>
        <v>-108</v>
      </c>
      <c r="BC60" s="10"/>
      <c r="BD60" s="10">
        <v>-6</v>
      </c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>
        <v>-5</v>
      </c>
      <c r="BQ60" s="10">
        <f>127+29+156</f>
        <v>312</v>
      </c>
      <c r="BR60" s="10">
        <v>-13</v>
      </c>
      <c r="BS60" s="10"/>
      <c r="BT60" s="10">
        <f>-104-156-156</f>
        <v>-416</v>
      </c>
      <c r="BU60" s="10">
        <f>4+152</f>
        <v>156</v>
      </c>
      <c r="BV60" s="10">
        <v>-12</v>
      </c>
      <c r="BW60" s="10"/>
      <c r="BX60" s="10"/>
      <c r="BY60" s="10"/>
      <c r="BZ60" s="10">
        <f>-104-17-12-139</f>
        <v>-272</v>
      </c>
      <c r="CA60" s="10">
        <v>140</v>
      </c>
      <c r="CB60" s="10">
        <f>-12-156-23-78-73-19-13</f>
        <v>-374</v>
      </c>
      <c r="CC60" s="10"/>
      <c r="CD60" s="10">
        <f>-5-6-3</f>
        <v>-14</v>
      </c>
      <c r="CE60" s="10">
        <f>156+156+124</f>
        <v>436</v>
      </c>
      <c r="CF60" s="10">
        <v>-24</v>
      </c>
      <c r="CG60" s="10"/>
      <c r="CH60" s="10">
        <v>-57</v>
      </c>
      <c r="CI60" s="10"/>
      <c r="CJ60" s="10">
        <v>-6</v>
      </c>
      <c r="CK60" s="10"/>
      <c r="CL60" s="10"/>
      <c r="CM60" s="10"/>
      <c r="CN60" s="10"/>
      <c r="CO60" s="10"/>
      <c r="CP60" s="10">
        <v>-285</v>
      </c>
      <c r="CQ60" s="10"/>
      <c r="CR60" s="10"/>
      <c r="CS60" s="10"/>
      <c r="CT60" s="10">
        <v>-116</v>
      </c>
      <c r="CU60" s="10"/>
      <c r="CV60" s="10">
        <v>-5</v>
      </c>
      <c r="CW60" s="10"/>
      <c r="CX60" s="10">
        <v>-52</v>
      </c>
      <c r="CY60" s="10"/>
      <c r="CZ60" s="10"/>
      <c r="DA60" s="10"/>
      <c r="DB60" s="10"/>
      <c r="DC60" s="10">
        <v>156</v>
      </c>
      <c r="DD60" s="10"/>
      <c r="DE60" s="10"/>
      <c r="DF60" s="10"/>
      <c r="DG60" s="10">
        <v>32</v>
      </c>
      <c r="DH60" s="10">
        <v>-63</v>
      </c>
      <c r="DI60" s="10"/>
      <c r="DJ60" s="10">
        <v>-13</v>
      </c>
      <c r="DK60" s="10"/>
      <c r="DL60" s="10"/>
      <c r="DM60" s="10"/>
      <c r="DN60" s="10"/>
      <c r="DO60" s="10">
        <v>124</v>
      </c>
      <c r="DP60" s="10">
        <v>-54</v>
      </c>
      <c r="DQ60" s="10"/>
      <c r="DR60" s="10"/>
      <c r="DS60" s="10">
        <v>69</v>
      </c>
      <c r="DT60" s="10">
        <v>-26</v>
      </c>
      <c r="DU60" s="10"/>
      <c r="DV60" s="10">
        <v>-5</v>
      </c>
      <c r="DW60" s="10"/>
      <c r="DX60" s="10"/>
      <c r="DY60" s="10"/>
      <c r="DZ60" s="10"/>
      <c r="EA60" s="10"/>
      <c r="EB60" s="10"/>
      <c r="EC60" s="10"/>
      <c r="ED60" s="10">
        <v>-38</v>
      </c>
      <c r="EE60" s="10"/>
      <c r="EF60" s="10">
        <v>-10</v>
      </c>
      <c r="EG60" s="10"/>
      <c r="EH60" s="10">
        <v>-26</v>
      </c>
      <c r="EI60" s="10"/>
      <c r="EJ60" s="10">
        <v>-59</v>
      </c>
      <c r="EK60" s="10"/>
      <c r="EL60" s="10">
        <v>-1</v>
      </c>
      <c r="EM60" s="10"/>
      <c r="EN60" s="10">
        <v>-89</v>
      </c>
      <c r="EO60" s="10"/>
      <c r="EP60" s="10"/>
      <c r="EQ60" s="10">
        <v>19</v>
      </c>
      <c r="ER60" s="10"/>
      <c r="ES60" s="10"/>
      <c r="ET60" s="10">
        <v>-18</v>
      </c>
      <c r="EU60" s="10">
        <f>94+156</f>
        <v>250</v>
      </c>
      <c r="EV60" s="10">
        <v>-80</v>
      </c>
      <c r="EW60" s="10">
        <v>38</v>
      </c>
      <c r="EX60" s="10">
        <v>-104</v>
      </c>
      <c r="EY60" s="10"/>
      <c r="EZ60" s="10">
        <v>-27</v>
      </c>
      <c r="FA60" s="10"/>
      <c r="FB60" s="10">
        <v>-105</v>
      </c>
      <c r="FC60" s="10"/>
      <c r="FD60" s="10"/>
      <c r="FE60" s="10"/>
      <c r="FF60" s="10"/>
      <c r="FG60" s="10"/>
      <c r="FH60" s="10"/>
      <c r="FI60" s="10"/>
      <c r="FJ60" s="10">
        <v>-21</v>
      </c>
      <c r="FK60" s="10">
        <v>26</v>
      </c>
      <c r="FL60" s="10">
        <f>-12-26</f>
        <v>-38</v>
      </c>
      <c r="FM60" s="10">
        <v>166</v>
      </c>
      <c r="FN60" s="10">
        <v>-4</v>
      </c>
      <c r="FO60" s="10"/>
      <c r="FP60" s="10"/>
      <c r="FQ60" s="10"/>
      <c r="FR60" s="10"/>
      <c r="FS60" s="10"/>
      <c r="FT60" s="10">
        <v>-18</v>
      </c>
      <c r="FU60" s="10"/>
      <c r="FV60" s="10">
        <v>-3</v>
      </c>
      <c r="FW60" s="10"/>
      <c r="FX60" s="10">
        <v>-17</v>
      </c>
      <c r="FY60" s="10"/>
      <c r="FZ60" s="10"/>
      <c r="GA60" s="10"/>
      <c r="GB60" s="10">
        <v>-14</v>
      </c>
      <c r="GC60" s="10">
        <v>1</v>
      </c>
      <c r="GD60" s="10">
        <v>-5</v>
      </c>
      <c r="GE60" s="10"/>
      <c r="GF60" s="10"/>
      <c r="GG60" s="10"/>
      <c r="GH60" s="10">
        <v>-35</v>
      </c>
      <c r="GI60" s="10"/>
      <c r="GJ60" s="10"/>
      <c r="GK60" s="10"/>
      <c r="GL60" s="10"/>
      <c r="GM60" s="10">
        <v>69</v>
      </c>
      <c r="GN60" s="10">
        <v>-9</v>
      </c>
      <c r="GO60" s="10"/>
      <c r="GP60" s="10"/>
      <c r="GQ60" s="10"/>
      <c r="GR60" s="10">
        <v>-15</v>
      </c>
      <c r="GS60" s="10"/>
      <c r="GT60" s="10"/>
      <c r="GU60" s="10"/>
      <c r="GV60" s="10">
        <v>-2</v>
      </c>
      <c r="GW60" s="10"/>
      <c r="GX60" s="10">
        <v>-10</v>
      </c>
      <c r="GY60" s="10"/>
      <c r="GZ60" s="10">
        <f>-29-2</f>
        <v>-31</v>
      </c>
      <c r="HA60" s="10"/>
      <c r="HB60" s="10">
        <v>-2</v>
      </c>
      <c r="HC60" s="10"/>
      <c r="HD60" s="10"/>
      <c r="HE60" s="10"/>
      <c r="HF60" s="10">
        <v>-10</v>
      </c>
      <c r="HG60" s="10"/>
      <c r="HH60" s="10"/>
      <c r="HI60" s="10"/>
      <c r="HJ60" s="10"/>
      <c r="HK60" s="10"/>
      <c r="HL60" s="10">
        <f>-10-1</f>
        <v>-11</v>
      </c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>
        <v>-5</v>
      </c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>
        <v>-5</v>
      </c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>
        <v>-5</v>
      </c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>
        <v>144</v>
      </c>
      <c r="SH60" s="10"/>
      <c r="SI60" s="10"/>
      <c r="SJ60" s="10"/>
      <c r="SK60" s="10"/>
      <c r="SL60" s="10"/>
      <c r="SM60" s="10">
        <v>3</v>
      </c>
      <c r="SN60" s="10">
        <v>-10</v>
      </c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1">
        <f t="shared" si="1"/>
        <v>456</v>
      </c>
      <c r="TH60" s="9">
        <f t="shared" si="2"/>
        <v>-124</v>
      </c>
    </row>
    <row r="61" spans="1:528" ht="15.6" thickBot="1" x14ac:dyDescent="0.3">
      <c r="A61" s="25" t="s">
        <v>216</v>
      </c>
      <c r="B61" s="26" t="s">
        <v>963</v>
      </c>
      <c r="C61" s="3">
        <f>AGOSTO!D61</f>
        <v>622</v>
      </c>
      <c r="D61" s="55">
        <f t="shared" si="0"/>
        <v>52</v>
      </c>
      <c r="E61" s="10"/>
      <c r="F61" s="10"/>
      <c r="G61" s="10"/>
      <c r="H61" s="10"/>
      <c r="I61" s="10"/>
      <c r="J61" s="10"/>
      <c r="K61" s="10">
        <f>156+156+129</f>
        <v>441</v>
      </c>
      <c r="L61" s="10">
        <v>-10</v>
      </c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>
        <v>-36</v>
      </c>
      <c r="BC61" s="10"/>
      <c r="BD61" s="10">
        <f>-13-5</f>
        <v>-18</v>
      </c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>
        <v>-13</v>
      </c>
      <c r="BS61" s="10"/>
      <c r="BT61" s="10"/>
      <c r="BU61" s="10"/>
      <c r="BV61" s="10"/>
      <c r="BW61" s="10"/>
      <c r="BX61" s="10"/>
      <c r="BY61" s="10"/>
      <c r="BZ61" s="10"/>
      <c r="CA61" s="10"/>
      <c r="CB61" s="10">
        <f>-22-138-276</f>
        <v>-436</v>
      </c>
      <c r="CC61" s="10"/>
      <c r="CD61" s="10">
        <v>-10</v>
      </c>
      <c r="CE61" s="10"/>
      <c r="CF61" s="10">
        <v>-8</v>
      </c>
      <c r="CG61" s="10"/>
      <c r="CH61" s="10">
        <v>-20</v>
      </c>
      <c r="CI61" s="10"/>
      <c r="CJ61" s="10">
        <f>-14-10-4</f>
        <v>-28</v>
      </c>
      <c r="CK61" s="10"/>
      <c r="CL61" s="10"/>
      <c r="CM61" s="10"/>
      <c r="CN61" s="10"/>
      <c r="CO61" s="10">
        <v>156</v>
      </c>
      <c r="CP61" s="10">
        <v>-372</v>
      </c>
      <c r="CQ61" s="10">
        <f>96+60</f>
        <v>156</v>
      </c>
      <c r="CR61" s="10"/>
      <c r="CS61" s="10"/>
      <c r="CT61" s="10">
        <v>-102</v>
      </c>
      <c r="CU61" s="10"/>
      <c r="CV61" s="10">
        <v>-6</v>
      </c>
      <c r="CW61" s="10"/>
      <c r="CX61" s="10">
        <v>-52</v>
      </c>
      <c r="CY61" s="10"/>
      <c r="CZ61" s="10"/>
      <c r="DA61" s="10"/>
      <c r="DB61" s="10">
        <v>-7</v>
      </c>
      <c r="DC61" s="10"/>
      <c r="DD61" s="10"/>
      <c r="DE61" s="10"/>
      <c r="DF61" s="10"/>
      <c r="DG61" s="10">
        <v>124</v>
      </c>
      <c r="DH61" s="10">
        <v>-191</v>
      </c>
      <c r="DI61" s="10">
        <v>156</v>
      </c>
      <c r="DJ61" s="10">
        <v>-26</v>
      </c>
      <c r="DK61" s="10">
        <v>158</v>
      </c>
      <c r="DL61" s="10">
        <v>-144</v>
      </c>
      <c r="DM61" s="10"/>
      <c r="DN61" s="10"/>
      <c r="DO61" s="10"/>
      <c r="DP61" s="10">
        <v>-6</v>
      </c>
      <c r="DQ61" s="10"/>
      <c r="DR61" s="10">
        <v>-46</v>
      </c>
      <c r="DS61" s="10"/>
      <c r="DT61" s="10">
        <v>-5</v>
      </c>
      <c r="DU61" s="10"/>
      <c r="DV61" s="10">
        <f>-4-5</f>
        <v>-9</v>
      </c>
      <c r="DW61" s="10"/>
      <c r="DX61" s="10"/>
      <c r="DY61" s="10"/>
      <c r="DZ61" s="10"/>
      <c r="EA61" s="10"/>
      <c r="EB61" s="10"/>
      <c r="EC61" s="10"/>
      <c r="ED61" s="10">
        <v>-20</v>
      </c>
      <c r="EE61" s="10">
        <v>139</v>
      </c>
      <c r="EF61" s="10">
        <v>-78</v>
      </c>
      <c r="EG61" s="10"/>
      <c r="EH61" s="10">
        <v>-52</v>
      </c>
      <c r="EI61" s="10"/>
      <c r="EJ61" s="10">
        <v>-78</v>
      </c>
      <c r="EK61" s="10">
        <v>139</v>
      </c>
      <c r="EL61" s="10">
        <v>-1</v>
      </c>
      <c r="EM61" s="10"/>
      <c r="EN61" s="10">
        <v>-93</v>
      </c>
      <c r="EO61" s="10"/>
      <c r="EP61" s="10"/>
      <c r="EQ61" s="10"/>
      <c r="ER61" s="10"/>
      <c r="ES61" s="10"/>
      <c r="ET61" s="10">
        <v>-3</v>
      </c>
      <c r="EU61" s="10"/>
      <c r="EV61" s="10"/>
      <c r="EW61" s="10"/>
      <c r="EX61" s="10">
        <v>-22</v>
      </c>
      <c r="EY61" s="10">
        <f>156+38</f>
        <v>194</v>
      </c>
      <c r="EZ61" s="10">
        <v>-35</v>
      </c>
      <c r="FA61" s="10"/>
      <c r="FB61" s="10">
        <v>-53</v>
      </c>
      <c r="FC61" s="10"/>
      <c r="FD61" s="10"/>
      <c r="FE61" s="10"/>
      <c r="FF61" s="10"/>
      <c r="FG61" s="10"/>
      <c r="FH61" s="10">
        <v>-2</v>
      </c>
      <c r="FI61" s="10"/>
      <c r="FJ61" s="10">
        <v>-143</v>
      </c>
      <c r="FK61" s="10"/>
      <c r="FL61" s="10">
        <v>-27</v>
      </c>
      <c r="FM61" s="10"/>
      <c r="FN61" s="10">
        <v>-18</v>
      </c>
      <c r="FO61" s="10"/>
      <c r="FP61" s="10"/>
      <c r="FQ61" s="10"/>
      <c r="FR61" s="10"/>
      <c r="FS61" s="10"/>
      <c r="FT61" s="10">
        <v>-29</v>
      </c>
      <c r="FU61" s="10"/>
      <c r="FV61" s="10">
        <v>-3</v>
      </c>
      <c r="FW61" s="10"/>
      <c r="FX61" s="10">
        <v>-3</v>
      </c>
      <c r="FY61" s="10">
        <v>70</v>
      </c>
      <c r="FZ61" s="10">
        <v>-10</v>
      </c>
      <c r="GA61" s="10"/>
      <c r="GB61" s="10">
        <v>-18</v>
      </c>
      <c r="GC61" s="10">
        <v>1</v>
      </c>
      <c r="GD61" s="10">
        <v>-5</v>
      </c>
      <c r="GE61" s="10"/>
      <c r="GF61" s="10"/>
      <c r="GG61" s="10"/>
      <c r="GH61" s="10">
        <v>-89</v>
      </c>
      <c r="GI61" s="10"/>
      <c r="GJ61" s="10">
        <v>-10</v>
      </c>
      <c r="GK61" s="10"/>
      <c r="GL61" s="10"/>
      <c r="GM61" s="10">
        <v>69</v>
      </c>
      <c r="GN61" s="10">
        <v>-21</v>
      </c>
      <c r="GO61" s="10"/>
      <c r="GP61" s="10"/>
      <c r="GQ61" s="10"/>
      <c r="GR61" s="10"/>
      <c r="GS61" s="10"/>
      <c r="GT61" s="10"/>
      <c r="GU61" s="10"/>
      <c r="GV61" s="10"/>
      <c r="GW61" s="10"/>
      <c r="GX61" s="10">
        <v>-20</v>
      </c>
      <c r="GY61" s="10">
        <v>19</v>
      </c>
      <c r="GZ61" s="10">
        <v>-29</v>
      </c>
      <c r="HA61" s="10"/>
      <c r="HB61" s="10"/>
      <c r="HC61" s="10"/>
      <c r="HD61" s="10"/>
      <c r="HE61" s="10"/>
      <c r="HF61" s="10">
        <v>-15</v>
      </c>
      <c r="HG61" s="10"/>
      <c r="HH61" s="10"/>
      <c r="HI61" s="10"/>
      <c r="HJ61" s="10"/>
      <c r="HK61" s="10"/>
      <c r="HL61" s="10">
        <v>-3</v>
      </c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>
        <v>-10</v>
      </c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>
        <v>45</v>
      </c>
      <c r="SH61" s="10"/>
      <c r="SI61" s="10"/>
      <c r="SJ61" s="10"/>
      <c r="SK61" s="10"/>
      <c r="SL61" s="10"/>
      <c r="SM61" s="10">
        <v>3</v>
      </c>
      <c r="SN61" s="10">
        <v>-5</v>
      </c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1">
        <f t="shared" si="1"/>
        <v>441</v>
      </c>
      <c r="TH61" s="9">
        <f t="shared" si="2"/>
        <v>-64</v>
      </c>
    </row>
    <row r="62" spans="1:528" ht="15.6" thickBot="1" x14ac:dyDescent="0.3">
      <c r="A62" s="35">
        <v>88110071003024</v>
      </c>
      <c r="B62" s="26" t="s">
        <v>964</v>
      </c>
      <c r="C62" s="3">
        <f>AGOSTO!D62</f>
        <v>0</v>
      </c>
      <c r="D62" s="55">
        <f t="shared" si="0"/>
        <v>66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>
        <v>62</v>
      </c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>
        <v>-5</v>
      </c>
      <c r="CE62" s="10"/>
      <c r="CF62" s="10">
        <v>-1</v>
      </c>
      <c r="CG62" s="10"/>
      <c r="CH62" s="10">
        <v>-1</v>
      </c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>
        <v>-7</v>
      </c>
      <c r="DC62" s="10"/>
      <c r="DD62" s="10"/>
      <c r="DE62" s="10"/>
      <c r="DF62" s="10"/>
      <c r="DG62" s="10"/>
      <c r="DH62" s="10">
        <v>-3</v>
      </c>
      <c r="DI62" s="10"/>
      <c r="DJ62" s="10"/>
      <c r="DK62" s="10"/>
      <c r="DL62" s="10">
        <v>-28</v>
      </c>
      <c r="DM62" s="10"/>
      <c r="DN62" s="10"/>
      <c r="DO62" s="10"/>
      <c r="DP62" s="10"/>
      <c r="DQ62" s="10"/>
      <c r="DR62" s="10"/>
      <c r="DS62" s="10">
        <v>66</v>
      </c>
      <c r="DT62" s="10"/>
      <c r="DU62" s="10"/>
      <c r="DV62" s="10">
        <v>-1</v>
      </c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>
        <v>-1</v>
      </c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>
        <v>-2</v>
      </c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>
        <v>-2</v>
      </c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>
        <v>-3</v>
      </c>
      <c r="FW62" s="10"/>
      <c r="FX62" s="10">
        <v>-1</v>
      </c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>
        <v>-5</v>
      </c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>
        <v>3</v>
      </c>
      <c r="SN62" s="10">
        <v>-5</v>
      </c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1">
        <f t="shared" si="1"/>
        <v>0</v>
      </c>
      <c r="TH62" s="9">
        <f t="shared" si="2"/>
        <v>0</v>
      </c>
    </row>
    <row r="63" spans="1:528" ht="15.6" thickBot="1" x14ac:dyDescent="0.3">
      <c r="A63" s="25" t="s">
        <v>217</v>
      </c>
      <c r="B63" s="26" t="s">
        <v>965</v>
      </c>
      <c r="C63" s="3">
        <f>AGOSTO!D63</f>
        <v>192</v>
      </c>
      <c r="D63" s="55">
        <f t="shared" si="0"/>
        <v>96</v>
      </c>
      <c r="E63" s="10"/>
      <c r="F63" s="10"/>
      <c r="G63" s="10">
        <f>58</f>
        <v>58</v>
      </c>
      <c r="H63" s="10"/>
      <c r="I63" s="10"/>
      <c r="J63" s="10"/>
      <c r="K63" s="10"/>
      <c r="L63" s="10">
        <v>-10</v>
      </c>
      <c r="M63" s="10"/>
      <c r="N63" s="10"/>
      <c r="O63" s="10"/>
      <c r="P63" s="10">
        <v>-5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>
        <f>-2-3</f>
        <v>-5</v>
      </c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>
        <v>-44</v>
      </c>
      <c r="BM63" s="10"/>
      <c r="BN63" s="10">
        <v>-8</v>
      </c>
      <c r="BO63" s="10">
        <v>96</v>
      </c>
      <c r="BP63" s="10"/>
      <c r="BQ63" s="10">
        <f>52+44+96</f>
        <v>192</v>
      </c>
      <c r="BR63" s="10"/>
      <c r="BS63" s="10">
        <f>44+52</f>
        <v>96</v>
      </c>
      <c r="BT63" s="10">
        <f>-28-170</f>
        <v>-198</v>
      </c>
      <c r="BU63" s="10"/>
      <c r="BV63" s="10"/>
      <c r="BW63" s="10"/>
      <c r="BX63" s="10"/>
      <c r="BY63" s="10">
        <f>57</f>
        <v>57</v>
      </c>
      <c r="BZ63" s="10">
        <f>-44-21-7</f>
        <v>-72</v>
      </c>
      <c r="CA63" s="10"/>
      <c r="CB63" s="10">
        <v>-48</v>
      </c>
      <c r="CC63" s="10"/>
      <c r="CD63" s="10">
        <v>-10</v>
      </c>
      <c r="CE63" s="10"/>
      <c r="CF63" s="10"/>
      <c r="CG63" s="10"/>
      <c r="CH63" s="10">
        <v>-10</v>
      </c>
      <c r="CI63" s="10"/>
      <c r="CJ63" s="10">
        <v>-4</v>
      </c>
      <c r="CK63" s="10"/>
      <c r="CL63" s="10"/>
      <c r="CM63" s="10"/>
      <c r="CN63" s="10">
        <v>-1</v>
      </c>
      <c r="CO63" s="10"/>
      <c r="CP63" s="10"/>
      <c r="CQ63" s="10"/>
      <c r="CR63" s="10">
        <v>-44</v>
      </c>
      <c r="CS63" s="10"/>
      <c r="CT63" s="10">
        <v>-122</v>
      </c>
      <c r="CU63" s="10"/>
      <c r="CV63" s="10">
        <v>-17</v>
      </c>
      <c r="CW63" s="10"/>
      <c r="CX63" s="10">
        <v>-22</v>
      </c>
      <c r="CY63" s="10"/>
      <c r="CZ63" s="10"/>
      <c r="DA63" s="10"/>
      <c r="DB63" s="10">
        <v>-17</v>
      </c>
      <c r="DC63" s="10">
        <v>88</v>
      </c>
      <c r="DD63" s="10"/>
      <c r="DE63" s="10">
        <v>88</v>
      </c>
      <c r="DF63" s="10">
        <v>-22</v>
      </c>
      <c r="DG63" s="10">
        <f>88+15</f>
        <v>103</v>
      </c>
      <c r="DH63" s="10">
        <v>-5</v>
      </c>
      <c r="DI63" s="10"/>
      <c r="DJ63" s="10">
        <v>-208</v>
      </c>
      <c r="DK63" s="10"/>
      <c r="DL63" s="10"/>
      <c r="DM63" s="10"/>
      <c r="DN63" s="10"/>
      <c r="DO63" s="10"/>
      <c r="DP63" s="10">
        <v>-1</v>
      </c>
      <c r="DQ63" s="10"/>
      <c r="DR63" s="10"/>
      <c r="DS63" s="10">
        <v>90</v>
      </c>
      <c r="DT63" s="10">
        <v>-45</v>
      </c>
      <c r="DU63" s="10"/>
      <c r="DV63" s="10">
        <f>-4-2</f>
        <v>-6</v>
      </c>
      <c r="DW63" s="10"/>
      <c r="DX63" s="10"/>
      <c r="DY63" s="10"/>
      <c r="DZ63" s="10"/>
      <c r="EA63" s="10"/>
      <c r="EB63" s="10"/>
      <c r="EC63" s="10"/>
      <c r="ED63" s="10">
        <v>-86</v>
      </c>
      <c r="EE63" s="10"/>
      <c r="EF63" s="10">
        <v>-5</v>
      </c>
      <c r="EG63" s="10"/>
      <c r="EH63" s="10">
        <v>-15</v>
      </c>
      <c r="EI63" s="10">
        <v>20</v>
      </c>
      <c r="EJ63" s="10">
        <v>-25</v>
      </c>
      <c r="EK63" s="10">
        <v>61</v>
      </c>
      <c r="EL63" s="10"/>
      <c r="EM63" s="10">
        <f>54+28</f>
        <v>82</v>
      </c>
      <c r="EN63" s="10">
        <v>-43</v>
      </c>
      <c r="EO63" s="10"/>
      <c r="EP63" s="10"/>
      <c r="EQ63" s="10"/>
      <c r="ER63" s="10"/>
      <c r="ES63" s="10">
        <f>93+3</f>
        <v>96</v>
      </c>
      <c r="ET63" s="10"/>
      <c r="EU63" s="10"/>
      <c r="EV63" s="10">
        <v>-52</v>
      </c>
      <c r="EW63" s="10"/>
      <c r="EX63" s="10">
        <v>-45</v>
      </c>
      <c r="EY63" s="10"/>
      <c r="EZ63" s="10">
        <v>-6</v>
      </c>
      <c r="FA63" s="10"/>
      <c r="FB63" s="10">
        <v>-92</v>
      </c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>
        <v>-1</v>
      </c>
      <c r="FO63" s="10"/>
      <c r="FP63" s="10"/>
      <c r="FQ63" s="10"/>
      <c r="FR63" s="10"/>
      <c r="FS63" s="10"/>
      <c r="FT63" s="10"/>
      <c r="FU63" s="10"/>
      <c r="FV63" s="10">
        <v>-4</v>
      </c>
      <c r="FW63" s="10"/>
      <c r="FX63" s="14">
        <v>-21</v>
      </c>
      <c r="FY63" s="10"/>
      <c r="FZ63" s="10"/>
      <c r="GA63" s="10"/>
      <c r="GB63" s="10"/>
      <c r="GC63" s="10"/>
      <c r="GD63" s="10"/>
      <c r="GE63" s="10"/>
      <c r="GF63" s="10"/>
      <c r="GG63" s="10">
        <v>22</v>
      </c>
      <c r="GH63" s="10">
        <v>-22</v>
      </c>
      <c r="GI63" s="10"/>
      <c r="GJ63" s="10"/>
      <c r="GK63" s="10"/>
      <c r="GL63" s="10"/>
      <c r="GM63" s="10">
        <v>4</v>
      </c>
      <c r="GN63" s="10">
        <v>-3</v>
      </c>
      <c r="GO63" s="10"/>
      <c r="GP63" s="10"/>
      <c r="GQ63" s="10"/>
      <c r="GR63" s="10"/>
      <c r="GS63" s="10"/>
      <c r="GT63" s="10"/>
      <c r="GU63" s="10"/>
      <c r="GV63" s="10">
        <v>-1</v>
      </c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>
        <v>106</v>
      </c>
      <c r="SH63" s="10"/>
      <c r="SI63" s="10"/>
      <c r="SJ63" s="10"/>
      <c r="SK63" s="10"/>
      <c r="SL63" s="10"/>
      <c r="SM63" s="10"/>
      <c r="SN63" s="10">
        <v>-10</v>
      </c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1">
        <f t="shared" si="1"/>
        <v>58</v>
      </c>
      <c r="TH63" s="9">
        <f t="shared" si="2"/>
        <v>-20</v>
      </c>
    </row>
    <row r="64" spans="1:528" ht="15.6" thickBot="1" x14ac:dyDescent="0.3">
      <c r="A64" s="25" t="s">
        <v>218</v>
      </c>
      <c r="B64" s="26" t="s">
        <v>966</v>
      </c>
      <c r="C64" s="3">
        <f>AGOSTO!D64</f>
        <v>0</v>
      </c>
      <c r="D64" s="55">
        <f t="shared" si="0"/>
        <v>7</v>
      </c>
      <c r="E64" s="10"/>
      <c r="F64" s="10"/>
      <c r="G64" s="10">
        <f>96+52</f>
        <v>148</v>
      </c>
      <c r="H64" s="10"/>
      <c r="I64" s="10"/>
      <c r="J64" s="10"/>
      <c r="K64" s="10"/>
      <c r="L64" s="10">
        <v>-10</v>
      </c>
      <c r="M64" s="10"/>
      <c r="N64" s="10"/>
      <c r="O64" s="10"/>
      <c r="P64" s="10">
        <v>-5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>
        <v>-44</v>
      </c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>
        <v>-10</v>
      </c>
      <c r="CE64" s="10"/>
      <c r="CF64" s="10"/>
      <c r="CG64" s="10">
        <f>96</f>
        <v>96</v>
      </c>
      <c r="CH64" s="10">
        <v>-8</v>
      </c>
      <c r="CI64" s="10">
        <f>96+96+88</f>
        <v>280</v>
      </c>
      <c r="CJ64" s="10"/>
      <c r="CK64" s="10"/>
      <c r="CL64" s="10"/>
      <c r="CM64" s="10">
        <f>88+11</f>
        <v>99</v>
      </c>
      <c r="CN64" s="10"/>
      <c r="CO64" s="10"/>
      <c r="CP64" s="10"/>
      <c r="CQ64" s="10"/>
      <c r="CR64" s="10"/>
      <c r="CS64" s="10"/>
      <c r="CT64" s="10">
        <v>-43</v>
      </c>
      <c r="CU64" s="10"/>
      <c r="CV64" s="10">
        <v>-18</v>
      </c>
      <c r="CW64" s="10"/>
      <c r="CX64" s="10">
        <v>-22</v>
      </c>
      <c r="CY64" s="10"/>
      <c r="CZ64" s="10"/>
      <c r="DA64" s="10"/>
      <c r="DB64" s="10">
        <v>-17</v>
      </c>
      <c r="DC64" s="10"/>
      <c r="DD64" s="10"/>
      <c r="DE64" s="10"/>
      <c r="DF64" s="10">
        <v>-22</v>
      </c>
      <c r="DG64" s="10">
        <v>91</v>
      </c>
      <c r="DH64" s="10">
        <v>-5</v>
      </c>
      <c r="DI64" s="10"/>
      <c r="DJ64" s="10">
        <v>-215</v>
      </c>
      <c r="DK64" s="10"/>
      <c r="DL64" s="10"/>
      <c r="DM64" s="10"/>
      <c r="DN64" s="10"/>
      <c r="DO64" s="10">
        <v>88</v>
      </c>
      <c r="DP64" s="10"/>
      <c r="DQ64" s="10">
        <v>90</v>
      </c>
      <c r="DR64" s="10"/>
      <c r="DS64" s="10"/>
      <c r="DT64" s="10"/>
      <c r="DU64" s="10">
        <v>7</v>
      </c>
      <c r="DV64" s="10">
        <v>-2</v>
      </c>
      <c r="DW64" s="10"/>
      <c r="DX64" s="10"/>
      <c r="DY64" s="10"/>
      <c r="DZ64" s="10"/>
      <c r="EA64" s="10"/>
      <c r="EB64" s="10"/>
      <c r="EC64" s="10">
        <v>35</v>
      </c>
      <c r="ED64" s="10">
        <v>-487</v>
      </c>
      <c r="EE64" s="10"/>
      <c r="EF64" s="10">
        <v>-10</v>
      </c>
      <c r="EG64" s="10">
        <f>11+17</f>
        <v>28</v>
      </c>
      <c r="EH64" s="10">
        <v>-22</v>
      </c>
      <c r="EI64" s="10"/>
      <c r="EJ64" s="10">
        <v>-2</v>
      </c>
      <c r="EK64" s="10"/>
      <c r="EL64" s="10">
        <v>-1</v>
      </c>
      <c r="EM64" s="10">
        <f>13+41+41</f>
        <v>95</v>
      </c>
      <c r="EN64" s="10">
        <v>-43</v>
      </c>
      <c r="EO64" s="10"/>
      <c r="EP64" s="10"/>
      <c r="EQ64" s="10"/>
      <c r="ER64" s="10">
        <v>-3</v>
      </c>
      <c r="ES64" s="10"/>
      <c r="ET64" s="10">
        <v>-2</v>
      </c>
      <c r="EU64" s="10"/>
      <c r="EV64" s="10">
        <v>-46</v>
      </c>
      <c r="EW64" s="10"/>
      <c r="EX64" s="10">
        <v>-2</v>
      </c>
      <c r="EY64" s="10">
        <v>41</v>
      </c>
      <c r="EZ64" s="10">
        <v>-2</v>
      </c>
      <c r="FA64" s="10">
        <v>41</v>
      </c>
      <c r="FB64" s="10">
        <v>-4</v>
      </c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>
        <v>-48</v>
      </c>
      <c r="FO64" s="10"/>
      <c r="FP64" s="10"/>
      <c r="FQ64" s="10"/>
      <c r="FR64" s="10"/>
      <c r="FS64" s="10"/>
      <c r="FT64" s="10">
        <v>-1</v>
      </c>
      <c r="FU64" s="10"/>
      <c r="FV64" s="10"/>
      <c r="FW64" s="10"/>
      <c r="FX64" s="10">
        <v>-8</v>
      </c>
      <c r="FY64" s="10"/>
      <c r="FZ64" s="10">
        <v>-4</v>
      </c>
      <c r="GA64" s="10"/>
      <c r="GB64" s="10">
        <v>-6</v>
      </c>
      <c r="GC64" s="10"/>
      <c r="GD64" s="10">
        <v>-5</v>
      </c>
      <c r="GE64" s="10"/>
      <c r="GF64" s="10"/>
      <c r="GG64" s="10"/>
      <c r="GH64" s="10">
        <v>-3</v>
      </c>
      <c r="GI64" s="10"/>
      <c r="GJ64" s="10"/>
      <c r="GK64" s="10"/>
      <c r="GL64" s="10">
        <v>-5</v>
      </c>
      <c r="GM64" s="10"/>
      <c r="GN64" s="10">
        <v>-3</v>
      </c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>
        <v>-3</v>
      </c>
      <c r="HA64" s="10"/>
      <c r="HB64" s="10">
        <v>-8</v>
      </c>
      <c r="HC64" s="10">
        <v>33</v>
      </c>
      <c r="HD64" s="10"/>
      <c r="HE64" s="10"/>
      <c r="HF64" s="10">
        <v>-3</v>
      </c>
      <c r="HG64" s="10"/>
      <c r="HH64" s="10"/>
      <c r="HI64" s="10"/>
      <c r="HJ64" s="10">
        <v>-30</v>
      </c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>
        <v>15</v>
      </c>
      <c r="SH64" s="10"/>
      <c r="SI64" s="10"/>
      <c r="SJ64" s="10"/>
      <c r="SK64" s="10"/>
      <c r="SL64" s="10"/>
      <c r="SM64" s="10"/>
      <c r="SN64" s="10">
        <v>-8</v>
      </c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1">
        <f t="shared" si="1"/>
        <v>148</v>
      </c>
      <c r="TH64" s="9">
        <f t="shared" si="2"/>
        <v>-15</v>
      </c>
    </row>
    <row r="65" spans="1:528" ht="16.2" thickBot="1" x14ac:dyDescent="0.35">
      <c r="A65" s="25"/>
      <c r="B65" s="23" t="s">
        <v>373</v>
      </c>
      <c r="C65" s="3">
        <f>AGOSTO!D65</f>
        <v>0</v>
      </c>
      <c r="D65" s="21">
        <f t="shared" si="0"/>
        <v>0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1">
        <f t="shared" si="1"/>
        <v>0</v>
      </c>
      <c r="TH65" s="9">
        <f t="shared" si="2"/>
        <v>0</v>
      </c>
    </row>
    <row r="66" spans="1:528" ht="15.6" thickBot="1" x14ac:dyDescent="0.3">
      <c r="A66" s="25" t="s">
        <v>219</v>
      </c>
      <c r="B66" s="18" t="s">
        <v>37</v>
      </c>
      <c r="C66" s="3">
        <f>AGOSTO!D66</f>
        <v>861</v>
      </c>
      <c r="D66" s="55">
        <f t="shared" si="0"/>
        <v>139</v>
      </c>
      <c r="E66" s="10"/>
      <c r="F66" s="10"/>
      <c r="G66" s="10"/>
      <c r="H66" s="10"/>
      <c r="I66" s="10"/>
      <c r="J66" s="10"/>
      <c r="K66" s="10"/>
      <c r="L66" s="10">
        <v>-10</v>
      </c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>
        <v>-31</v>
      </c>
      <c r="AY66" s="10"/>
      <c r="AZ66" s="10"/>
      <c r="BA66" s="10"/>
      <c r="BB66" s="10">
        <v>-15</v>
      </c>
      <c r="BC66" s="10"/>
      <c r="BD66" s="10">
        <f>-14-10</f>
        <v>-24</v>
      </c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>
        <v>-5</v>
      </c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>
        <f>-34-15-6-3-8</f>
        <v>-66</v>
      </c>
      <c r="CE66" s="10"/>
      <c r="CF66" s="10">
        <v>-29</v>
      </c>
      <c r="CG66" s="10"/>
      <c r="CH66" s="10">
        <v>-60</v>
      </c>
      <c r="CI66" s="10"/>
      <c r="CJ66" s="10"/>
      <c r="CK66" s="10"/>
      <c r="CL66" s="10"/>
      <c r="CM66" s="10"/>
      <c r="CN66" s="10">
        <v>-3</v>
      </c>
      <c r="CO66" s="10"/>
      <c r="CP66" s="10"/>
      <c r="CQ66" s="10"/>
      <c r="CR66" s="10">
        <v>-6</v>
      </c>
      <c r="CS66" s="10"/>
      <c r="CT66" s="10">
        <v>-37</v>
      </c>
      <c r="CU66" s="10"/>
      <c r="CV66" s="10"/>
      <c r="CW66" s="10"/>
      <c r="CX66" s="10"/>
      <c r="CY66" s="10"/>
      <c r="CZ66" s="10"/>
      <c r="DA66" s="10"/>
      <c r="DB66" s="10">
        <v>-9</v>
      </c>
      <c r="DC66" s="10"/>
      <c r="DD66" s="10">
        <v>-2</v>
      </c>
      <c r="DE66" s="10"/>
      <c r="DF66" s="10"/>
      <c r="DG66" s="10"/>
      <c r="DH66" s="10"/>
      <c r="DI66" s="10"/>
      <c r="DJ66" s="10"/>
      <c r="DK66" s="10"/>
      <c r="DL66" s="10">
        <v>-28</v>
      </c>
      <c r="DM66" s="10"/>
      <c r="DN66" s="10"/>
      <c r="DO66" s="10"/>
      <c r="DP66" s="10">
        <v>-2</v>
      </c>
      <c r="DQ66" s="10"/>
      <c r="DR66" s="10"/>
      <c r="DS66" s="10"/>
      <c r="DT66" s="10">
        <v>-2</v>
      </c>
      <c r="DU66" s="10"/>
      <c r="DV66" s="10">
        <f>-34-10</f>
        <v>-44</v>
      </c>
      <c r="DW66" s="10"/>
      <c r="DX66" s="10"/>
      <c r="DY66" s="10"/>
      <c r="DZ66" s="10"/>
      <c r="EA66" s="10"/>
      <c r="EB66" s="10"/>
      <c r="EC66" s="10"/>
      <c r="ED66" s="10">
        <v>-2</v>
      </c>
      <c r="EE66" s="10"/>
      <c r="EF66" s="10"/>
      <c r="EG66" s="10"/>
      <c r="EH66" s="10">
        <v>-5</v>
      </c>
      <c r="EI66" s="10"/>
      <c r="EJ66" s="10"/>
      <c r="EK66" s="10"/>
      <c r="EL66" s="10">
        <v>-5</v>
      </c>
      <c r="EM66" s="10"/>
      <c r="EN66" s="10">
        <v>-5</v>
      </c>
      <c r="EO66" s="10">
        <v>2</v>
      </c>
      <c r="EP66" s="10"/>
      <c r="EQ66" s="10"/>
      <c r="ER66" s="10"/>
      <c r="ES66" s="10"/>
      <c r="ET66" s="10">
        <v>-16</v>
      </c>
      <c r="EU66" s="10"/>
      <c r="EV66" s="10"/>
      <c r="EW66" s="10"/>
      <c r="EX66" s="10">
        <v>-1</v>
      </c>
      <c r="EY66" s="10"/>
      <c r="EZ66" s="10">
        <v>-10</v>
      </c>
      <c r="FA66" s="10"/>
      <c r="FB66" s="10"/>
      <c r="FC66" s="10"/>
      <c r="FD66" s="10"/>
      <c r="FE66" s="10"/>
      <c r="FF66" s="10"/>
      <c r="FG66" s="10"/>
      <c r="FH66" s="10">
        <v>-5</v>
      </c>
      <c r="FI66" s="10"/>
      <c r="FJ66" s="10">
        <v>-2</v>
      </c>
      <c r="FK66" s="10"/>
      <c r="FL66" s="10">
        <v>-2</v>
      </c>
      <c r="FM66" s="10"/>
      <c r="FN66" s="10">
        <v>-27</v>
      </c>
      <c r="FO66" s="10"/>
      <c r="FP66" s="10"/>
      <c r="FQ66" s="10"/>
      <c r="FR66" s="10"/>
      <c r="FS66" s="10"/>
      <c r="FT66" s="10">
        <v>-6</v>
      </c>
      <c r="FU66" s="10"/>
      <c r="FV66" s="10"/>
      <c r="FW66" s="10"/>
      <c r="FX66" s="10">
        <v>-3</v>
      </c>
      <c r="FY66" s="10"/>
      <c r="FZ66" s="10"/>
      <c r="GA66" s="10"/>
      <c r="GB66" s="10">
        <v>-4</v>
      </c>
      <c r="GC66" s="10"/>
      <c r="GD66" s="10">
        <v>-10</v>
      </c>
      <c r="GE66" s="10"/>
      <c r="GF66" s="10"/>
      <c r="GG66" s="10"/>
      <c r="GH66" s="10"/>
      <c r="GI66" s="10"/>
      <c r="GJ66" s="10">
        <v>-6</v>
      </c>
      <c r="GK66" s="10"/>
      <c r="GL66" s="10">
        <v>-14</v>
      </c>
      <c r="GM66" s="10"/>
      <c r="GN66" s="10"/>
      <c r="GO66" s="10"/>
      <c r="GP66" s="10"/>
      <c r="GQ66" s="10"/>
      <c r="GR66" s="10">
        <v>-10</v>
      </c>
      <c r="GS66" s="10"/>
      <c r="GT66" s="10"/>
      <c r="GU66" s="10"/>
      <c r="GV66" s="10">
        <v>-84</v>
      </c>
      <c r="GW66" s="10"/>
      <c r="GX66" s="10">
        <v>-2</v>
      </c>
      <c r="GY66" s="10"/>
      <c r="GZ66" s="10"/>
      <c r="HA66" s="10"/>
      <c r="HB66" s="10">
        <v>-10</v>
      </c>
      <c r="HC66" s="10"/>
      <c r="HD66" s="10"/>
      <c r="HE66" s="10"/>
      <c r="HF66" s="10">
        <v>-10</v>
      </c>
      <c r="HG66" s="10"/>
      <c r="HH66" s="10"/>
      <c r="HI66" s="10"/>
      <c r="HJ66" s="10">
        <v>-10</v>
      </c>
      <c r="HK66" s="10"/>
      <c r="HL66" s="10">
        <v>-9</v>
      </c>
      <c r="HM66" s="10"/>
      <c r="HN66" s="10"/>
      <c r="HO66" s="10"/>
      <c r="HP66" s="10"/>
      <c r="HQ66" s="10"/>
      <c r="HR66" s="10"/>
      <c r="HS66" s="10"/>
      <c r="HT66" s="10">
        <v>-10</v>
      </c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>
        <v>-5</v>
      </c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>
        <v>-10</v>
      </c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>
        <v>-10</v>
      </c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>
        <v>-48</v>
      </c>
      <c r="SI66" s="10"/>
      <c r="SJ66" s="10"/>
      <c r="SK66" s="10"/>
      <c r="SL66" s="10"/>
      <c r="SM66" s="10"/>
      <c r="SN66" s="10">
        <v>-10</v>
      </c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1">
        <f t="shared" si="1"/>
        <v>0</v>
      </c>
      <c r="TH66" s="9">
        <f t="shared" si="2"/>
        <v>-80</v>
      </c>
    </row>
    <row r="67" spans="1:528" ht="15.6" thickBot="1" x14ac:dyDescent="0.3">
      <c r="A67" s="25" t="s">
        <v>522</v>
      </c>
      <c r="B67" s="18" t="s">
        <v>431</v>
      </c>
      <c r="C67" s="3">
        <f>AGOSTO!D67</f>
        <v>566</v>
      </c>
      <c r="D67" s="21">
        <f t="shared" si="0"/>
        <v>7</v>
      </c>
      <c r="E67" s="10"/>
      <c r="F67" s="10"/>
      <c r="G67" s="10"/>
      <c r="H67" s="10"/>
      <c r="I67" s="10"/>
      <c r="J67" s="10"/>
      <c r="K67" s="10"/>
      <c r="L67" s="10">
        <v>-10</v>
      </c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>
        <v>-28</v>
      </c>
      <c r="AY67" s="10"/>
      <c r="AZ67" s="10"/>
      <c r="BA67" s="10"/>
      <c r="BB67" s="10">
        <v>-10</v>
      </c>
      <c r="BC67" s="10"/>
      <c r="BD67" s="10">
        <f>-14-5</f>
        <v>-19</v>
      </c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>
        <v>-5</v>
      </c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>
        <f>-206-10-6-3-8</f>
        <v>-233</v>
      </c>
      <c r="CE67" s="10"/>
      <c r="CF67" s="10">
        <v>-32</v>
      </c>
      <c r="CG67" s="10"/>
      <c r="CH67" s="10">
        <v>-52</v>
      </c>
      <c r="CI67" s="10"/>
      <c r="CJ67" s="10"/>
      <c r="CK67" s="10"/>
      <c r="CL67" s="10"/>
      <c r="CM67" s="10"/>
      <c r="CN67" s="10">
        <v>-3</v>
      </c>
      <c r="CO67" s="10"/>
      <c r="CP67" s="10"/>
      <c r="CQ67" s="10"/>
      <c r="CR67" s="10"/>
      <c r="CS67" s="10"/>
      <c r="CT67" s="10">
        <v>-29</v>
      </c>
      <c r="CU67" s="10"/>
      <c r="CV67" s="10"/>
      <c r="CW67" s="10"/>
      <c r="CX67" s="10"/>
      <c r="CY67" s="10"/>
      <c r="CZ67" s="10"/>
      <c r="DA67" s="10"/>
      <c r="DB67" s="10">
        <v>-21</v>
      </c>
      <c r="DC67" s="10"/>
      <c r="DD67" s="10">
        <v>-1</v>
      </c>
      <c r="DE67" s="10"/>
      <c r="DF67" s="10"/>
      <c r="DG67" s="10"/>
      <c r="DH67" s="10"/>
      <c r="DI67" s="10"/>
      <c r="DJ67" s="10"/>
      <c r="DK67" s="10"/>
      <c r="DL67" s="10">
        <v>-28</v>
      </c>
      <c r="DM67" s="10"/>
      <c r="DN67" s="10"/>
      <c r="DO67" s="10"/>
      <c r="DP67" s="10">
        <v>-3</v>
      </c>
      <c r="DQ67" s="10"/>
      <c r="DR67" s="10"/>
      <c r="DS67" s="10"/>
      <c r="DT67" s="10">
        <v>-2</v>
      </c>
      <c r="DU67" s="10"/>
      <c r="DV67" s="10">
        <f>-8-5</f>
        <v>-13</v>
      </c>
      <c r="DW67" s="10"/>
      <c r="DX67" s="10"/>
      <c r="DY67" s="10"/>
      <c r="DZ67" s="10"/>
      <c r="EA67" s="10"/>
      <c r="EB67" s="10"/>
      <c r="EC67" s="10"/>
      <c r="ED67" s="10">
        <v>-2</v>
      </c>
      <c r="EE67" s="10"/>
      <c r="EF67" s="10"/>
      <c r="EG67" s="10"/>
      <c r="EH67" s="10">
        <v>-3</v>
      </c>
      <c r="EI67" s="10"/>
      <c r="EJ67" s="10"/>
      <c r="EK67" s="10"/>
      <c r="EL67" s="10">
        <v>-5</v>
      </c>
      <c r="EM67" s="10"/>
      <c r="EN67" s="10"/>
      <c r="EO67" s="10">
        <v>1</v>
      </c>
      <c r="EP67" s="10"/>
      <c r="EQ67" s="10"/>
      <c r="ER67" s="10"/>
      <c r="ES67" s="10"/>
      <c r="ET67" s="10">
        <v>-13</v>
      </c>
      <c r="EU67" s="10"/>
      <c r="EV67" s="10"/>
      <c r="EW67" s="10"/>
      <c r="EX67" s="10">
        <v>-1</v>
      </c>
      <c r="EY67" s="10"/>
      <c r="EZ67" s="10">
        <v>-16</v>
      </c>
      <c r="FA67" s="10"/>
      <c r="FB67" s="10"/>
      <c r="FC67" s="10"/>
      <c r="FD67" s="10"/>
      <c r="FE67" s="10"/>
      <c r="FF67" s="10"/>
      <c r="FG67" s="10"/>
      <c r="FH67" s="10">
        <v>-5</v>
      </c>
      <c r="FI67" s="10"/>
      <c r="FJ67" s="10">
        <v>-2</v>
      </c>
      <c r="FK67" s="10"/>
      <c r="FL67" s="10">
        <v>-2</v>
      </c>
      <c r="FM67" s="10"/>
      <c r="FN67" s="10">
        <v>-17</v>
      </c>
      <c r="FO67" s="10"/>
      <c r="FP67" s="10"/>
      <c r="FQ67" s="10"/>
      <c r="FR67" s="10"/>
      <c r="FS67" s="10"/>
      <c r="FT67" s="10"/>
      <c r="FU67" s="10"/>
      <c r="FV67" s="10">
        <v>-3</v>
      </c>
      <c r="FW67" s="10">
        <f>48+168</f>
        <v>216</v>
      </c>
      <c r="FX67" s="10">
        <v>-2</v>
      </c>
      <c r="FY67" s="10"/>
      <c r="FZ67" s="10"/>
      <c r="GA67" s="10"/>
      <c r="GB67" s="10"/>
      <c r="GC67" s="10"/>
      <c r="GD67" s="10">
        <v>-10</v>
      </c>
      <c r="GE67" s="10"/>
      <c r="GF67" s="10"/>
      <c r="GG67" s="10"/>
      <c r="GH67" s="10"/>
      <c r="GI67" s="10"/>
      <c r="GJ67" s="10">
        <v>-10</v>
      </c>
      <c r="GK67" s="10"/>
      <c r="GL67" s="10">
        <v>-14</v>
      </c>
      <c r="GM67" s="10"/>
      <c r="GN67" s="10"/>
      <c r="GO67" s="10"/>
      <c r="GP67" s="10"/>
      <c r="GQ67" s="10"/>
      <c r="GR67" s="10">
        <v>-5</v>
      </c>
      <c r="GS67" s="10"/>
      <c r="GT67" s="10"/>
      <c r="GU67" s="10"/>
      <c r="GV67" s="10">
        <v>-168</v>
      </c>
      <c r="GW67" s="10"/>
      <c r="GX67" s="10">
        <v>-2</v>
      </c>
      <c r="GY67" s="10"/>
      <c r="GZ67" s="10"/>
      <c r="HA67" s="10"/>
      <c r="HB67" s="10">
        <v>-7</v>
      </c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1">
        <f t="shared" si="1"/>
        <v>0</v>
      </c>
      <c r="TH67" s="9">
        <f t="shared" si="2"/>
        <v>-67</v>
      </c>
    </row>
    <row r="68" spans="1:528" ht="15.6" thickBot="1" x14ac:dyDescent="0.3">
      <c r="A68" s="25" t="s">
        <v>220</v>
      </c>
      <c r="B68" s="18" t="s">
        <v>38</v>
      </c>
      <c r="C68" s="3">
        <f>AGOSTO!D68</f>
        <v>1094</v>
      </c>
      <c r="D68" s="55">
        <f t="shared" si="0"/>
        <v>345</v>
      </c>
      <c r="E68" s="10"/>
      <c r="F68" s="10"/>
      <c r="G68" s="10"/>
      <c r="H68" s="10"/>
      <c r="I68" s="10"/>
      <c r="J68" s="10"/>
      <c r="K68" s="10"/>
      <c r="L68" s="10">
        <v>-5</v>
      </c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>
        <v>-17</v>
      </c>
      <c r="AY68" s="10"/>
      <c r="AZ68" s="10"/>
      <c r="BA68" s="10"/>
      <c r="BB68" s="10">
        <v>-10</v>
      </c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>
        <v>-5</v>
      </c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>
        <f>-105-10-3-2-8</f>
        <v>-128</v>
      </c>
      <c r="CE68" s="10"/>
      <c r="CF68" s="10">
        <v>-26</v>
      </c>
      <c r="CG68" s="10"/>
      <c r="CH68" s="10">
        <v>-43</v>
      </c>
      <c r="CI68" s="10"/>
      <c r="CJ68" s="10"/>
      <c r="CK68" s="10"/>
      <c r="CL68" s="10"/>
      <c r="CM68" s="10"/>
      <c r="CN68" s="10">
        <v>-3</v>
      </c>
      <c r="CO68" s="10"/>
      <c r="CP68" s="10"/>
      <c r="CQ68" s="10"/>
      <c r="CR68" s="10">
        <v>-6</v>
      </c>
      <c r="CS68" s="10"/>
      <c r="CT68" s="10">
        <v>-34</v>
      </c>
      <c r="CU68" s="10"/>
      <c r="CV68" s="10"/>
      <c r="CW68" s="10"/>
      <c r="CX68" s="10"/>
      <c r="CY68" s="10"/>
      <c r="CZ68" s="10"/>
      <c r="DA68" s="10"/>
      <c r="DB68" s="10">
        <v>-17</v>
      </c>
      <c r="DC68" s="10"/>
      <c r="DD68" s="10">
        <v>-1</v>
      </c>
      <c r="DE68" s="10"/>
      <c r="DF68" s="10"/>
      <c r="DG68" s="10"/>
      <c r="DH68" s="10"/>
      <c r="DI68" s="10"/>
      <c r="DJ68" s="10"/>
      <c r="DK68" s="10"/>
      <c r="DL68" s="10">
        <v>-28</v>
      </c>
      <c r="DM68" s="10"/>
      <c r="DN68" s="10"/>
      <c r="DO68" s="10"/>
      <c r="DP68" s="10">
        <v>-2</v>
      </c>
      <c r="DQ68" s="10"/>
      <c r="DR68" s="10"/>
      <c r="DS68" s="10"/>
      <c r="DT68" s="10">
        <v>-5</v>
      </c>
      <c r="DU68" s="10"/>
      <c r="DV68" s="10">
        <f>-5-10</f>
        <v>-15</v>
      </c>
      <c r="DW68" s="10"/>
      <c r="DX68" s="10"/>
      <c r="DY68" s="10"/>
      <c r="DZ68" s="10"/>
      <c r="EA68" s="10"/>
      <c r="EB68" s="10"/>
      <c r="EC68" s="10"/>
      <c r="ED68" s="10">
        <v>-2</v>
      </c>
      <c r="EE68" s="10"/>
      <c r="EF68" s="10"/>
      <c r="EG68" s="10"/>
      <c r="EH68" s="10">
        <v>-5</v>
      </c>
      <c r="EI68" s="10"/>
      <c r="EJ68" s="10"/>
      <c r="EK68" s="10"/>
      <c r="EL68" s="10">
        <v>-7</v>
      </c>
      <c r="EM68" s="10"/>
      <c r="EN68" s="10">
        <v>-5</v>
      </c>
      <c r="EO68" s="10">
        <v>1</v>
      </c>
      <c r="EP68" s="10"/>
      <c r="EQ68" s="10"/>
      <c r="ER68" s="10">
        <v>-1</v>
      </c>
      <c r="ES68" s="10"/>
      <c r="ET68" s="10">
        <v>-9</v>
      </c>
      <c r="EU68" s="10"/>
      <c r="EV68" s="10"/>
      <c r="EW68" s="10"/>
      <c r="EX68" s="10">
        <v>-1</v>
      </c>
      <c r="EY68" s="10"/>
      <c r="EZ68" s="10">
        <v>-9</v>
      </c>
      <c r="FA68" s="10"/>
      <c r="FB68" s="10"/>
      <c r="FC68" s="10"/>
      <c r="FD68" s="10"/>
      <c r="FE68" s="10"/>
      <c r="FF68" s="10"/>
      <c r="FG68" s="10"/>
      <c r="FH68" s="10">
        <v>-5</v>
      </c>
      <c r="FI68" s="10"/>
      <c r="FJ68" s="10">
        <v>-2</v>
      </c>
      <c r="FK68" s="10"/>
      <c r="FL68" s="10">
        <v>-1</v>
      </c>
      <c r="FM68" s="10"/>
      <c r="FN68" s="10">
        <v>-12</v>
      </c>
      <c r="FO68" s="10"/>
      <c r="FP68" s="10"/>
      <c r="FQ68" s="10"/>
      <c r="FR68" s="10"/>
      <c r="FS68" s="10"/>
      <c r="FT68" s="10"/>
      <c r="FU68" s="10"/>
      <c r="FV68" s="10"/>
      <c r="FW68" s="10"/>
      <c r="FX68" s="10">
        <v>-3</v>
      </c>
      <c r="FY68" s="10"/>
      <c r="FZ68" s="10"/>
      <c r="GA68" s="10"/>
      <c r="GB68" s="10"/>
      <c r="GC68" s="10"/>
      <c r="GD68" s="10">
        <v>-10</v>
      </c>
      <c r="GE68" s="10"/>
      <c r="GF68" s="10"/>
      <c r="GG68" s="10"/>
      <c r="GH68" s="10"/>
      <c r="GI68" s="10"/>
      <c r="GJ68" s="10">
        <v>-6</v>
      </c>
      <c r="GK68" s="10"/>
      <c r="GL68" s="10">
        <v>-14</v>
      </c>
      <c r="GM68" s="10"/>
      <c r="GN68" s="10"/>
      <c r="GO68" s="10"/>
      <c r="GP68" s="10"/>
      <c r="GQ68" s="10"/>
      <c r="GR68" s="10"/>
      <c r="GS68" s="10"/>
      <c r="GT68" s="10"/>
      <c r="GU68" s="10"/>
      <c r="GV68" s="10">
        <v>-88</v>
      </c>
      <c r="GW68" s="10"/>
      <c r="GX68" s="10">
        <v>-2</v>
      </c>
      <c r="GY68" s="10"/>
      <c r="GZ68" s="10"/>
      <c r="HA68" s="10"/>
      <c r="HB68" s="10">
        <v>-5</v>
      </c>
      <c r="HC68" s="10"/>
      <c r="HD68" s="10">
        <v>-3</v>
      </c>
      <c r="HE68" s="10"/>
      <c r="HF68" s="10">
        <v>-10</v>
      </c>
      <c r="HG68" s="10"/>
      <c r="HH68" s="10"/>
      <c r="HI68" s="10"/>
      <c r="HJ68" s="10">
        <v>-40</v>
      </c>
      <c r="HK68" s="10"/>
      <c r="HL68" s="10">
        <f>-14-1</f>
        <v>-15</v>
      </c>
      <c r="HM68" s="10"/>
      <c r="HN68" s="10"/>
      <c r="HO68" s="10"/>
      <c r="HP68" s="10">
        <v>-20</v>
      </c>
      <c r="HQ68" s="10"/>
      <c r="HR68" s="10"/>
      <c r="HS68" s="10"/>
      <c r="HT68" s="10">
        <v>-10</v>
      </c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>
        <v>-10</v>
      </c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>
        <v>-110</v>
      </c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1">
        <f t="shared" si="1"/>
        <v>0</v>
      </c>
      <c r="TH68" s="9">
        <f t="shared" si="2"/>
        <v>-32</v>
      </c>
    </row>
    <row r="69" spans="1:528" ht="15.6" thickBot="1" x14ac:dyDescent="0.3">
      <c r="A69" s="25" t="s">
        <v>221</v>
      </c>
      <c r="B69" s="18" t="s">
        <v>39</v>
      </c>
      <c r="C69" s="3">
        <f>AGOSTO!D69</f>
        <v>635</v>
      </c>
      <c r="D69" s="55">
        <f t="shared" si="0"/>
        <v>33</v>
      </c>
      <c r="E69" s="10"/>
      <c r="F69" s="10"/>
      <c r="G69" s="10"/>
      <c r="H69" s="10"/>
      <c r="I69" s="10"/>
      <c r="J69" s="10"/>
      <c r="K69" s="10"/>
      <c r="L69" s="10">
        <v>-10</v>
      </c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>
        <v>-5</v>
      </c>
      <c r="BC69" s="10"/>
      <c r="BD69" s="10">
        <f>-14-5</f>
        <v>-19</v>
      </c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>
        <v>-5</v>
      </c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>
        <f>-5-3-8</f>
        <v>-16</v>
      </c>
      <c r="CE69" s="10"/>
      <c r="CF69" s="10">
        <v>-17</v>
      </c>
      <c r="CG69" s="10"/>
      <c r="CH69" s="10">
        <v>-43</v>
      </c>
      <c r="CI69" s="10"/>
      <c r="CJ69" s="10"/>
      <c r="CK69" s="10"/>
      <c r="CL69" s="10"/>
      <c r="CM69" s="10"/>
      <c r="CN69" s="10">
        <v>-3</v>
      </c>
      <c r="CO69" s="10"/>
      <c r="CP69" s="10"/>
      <c r="CQ69" s="10"/>
      <c r="CR69" s="10"/>
      <c r="CS69" s="10"/>
      <c r="CT69" s="10">
        <v>-10</v>
      </c>
      <c r="CU69" s="10"/>
      <c r="CV69" s="10"/>
      <c r="CW69" s="10"/>
      <c r="CX69" s="10"/>
      <c r="CY69" s="10"/>
      <c r="CZ69" s="10"/>
      <c r="DA69" s="10"/>
      <c r="DB69" s="10">
        <v>-11</v>
      </c>
      <c r="DC69" s="10"/>
      <c r="DD69" s="10">
        <v>-1</v>
      </c>
      <c r="DE69" s="10"/>
      <c r="DF69" s="10"/>
      <c r="DG69" s="10"/>
      <c r="DH69" s="10"/>
      <c r="DI69" s="10"/>
      <c r="DJ69" s="10"/>
      <c r="DK69" s="10"/>
      <c r="DL69" s="10">
        <v>-28</v>
      </c>
      <c r="DM69" s="10"/>
      <c r="DN69" s="10"/>
      <c r="DO69" s="10"/>
      <c r="DP69" s="10">
        <v>-2</v>
      </c>
      <c r="DQ69" s="10"/>
      <c r="DR69" s="10"/>
      <c r="DS69" s="10"/>
      <c r="DT69" s="10">
        <v>-5</v>
      </c>
      <c r="DU69" s="10"/>
      <c r="DV69" s="10">
        <f>-3-5</f>
        <v>-8</v>
      </c>
      <c r="DW69" s="10"/>
      <c r="DX69" s="10"/>
      <c r="DY69" s="10"/>
      <c r="DZ69" s="10"/>
      <c r="EA69" s="10"/>
      <c r="EB69" s="10"/>
      <c r="EC69" s="10"/>
      <c r="ED69" s="10">
        <v>-2</v>
      </c>
      <c r="EE69" s="10"/>
      <c r="EF69" s="10"/>
      <c r="EG69" s="10"/>
      <c r="EH69" s="10">
        <v>-2</v>
      </c>
      <c r="EI69" s="10"/>
      <c r="EJ69" s="10"/>
      <c r="EK69" s="10"/>
      <c r="EL69" s="10">
        <v>-5</v>
      </c>
      <c r="EM69" s="10"/>
      <c r="EN69" s="10"/>
      <c r="EO69" s="10"/>
      <c r="EP69" s="10"/>
      <c r="EQ69" s="10"/>
      <c r="ER69" s="10"/>
      <c r="ES69" s="10"/>
      <c r="ET69" s="10">
        <v>-13</v>
      </c>
      <c r="EU69" s="10"/>
      <c r="EV69" s="10"/>
      <c r="EW69" s="10"/>
      <c r="EX69" s="10">
        <v>-1</v>
      </c>
      <c r="EY69" s="10"/>
      <c r="EZ69" s="10">
        <v>-5</v>
      </c>
      <c r="FA69" s="10"/>
      <c r="FB69" s="10"/>
      <c r="FC69" s="10"/>
      <c r="FD69" s="10"/>
      <c r="FE69" s="10"/>
      <c r="FF69" s="10"/>
      <c r="FG69" s="10"/>
      <c r="FH69" s="10">
        <v>-5</v>
      </c>
      <c r="FI69" s="10"/>
      <c r="FJ69" s="10">
        <v>-2</v>
      </c>
      <c r="FK69" s="10"/>
      <c r="FL69" s="10">
        <v>-1</v>
      </c>
      <c r="FM69" s="10"/>
      <c r="FN69" s="10">
        <v>-5</v>
      </c>
      <c r="FO69" s="10"/>
      <c r="FP69" s="10"/>
      <c r="FQ69" s="10"/>
      <c r="FR69" s="10"/>
      <c r="FS69" s="10"/>
      <c r="FT69" s="10"/>
      <c r="FU69" s="10"/>
      <c r="FV69" s="10">
        <v>-4</v>
      </c>
      <c r="FW69" s="10"/>
      <c r="FX69" s="10">
        <v>-2</v>
      </c>
      <c r="FY69" s="10"/>
      <c r="FZ69" s="10"/>
      <c r="GA69" s="10"/>
      <c r="GB69" s="10">
        <v>-4</v>
      </c>
      <c r="GC69" s="10"/>
      <c r="GD69" s="10">
        <v>-12</v>
      </c>
      <c r="GE69" s="10"/>
      <c r="GF69" s="10"/>
      <c r="GG69" s="10"/>
      <c r="GH69" s="10"/>
      <c r="GI69" s="10"/>
      <c r="GJ69" s="10">
        <v>-6</v>
      </c>
      <c r="GK69" s="10"/>
      <c r="GL69" s="10">
        <v>-14</v>
      </c>
      <c r="GM69" s="10"/>
      <c r="GN69" s="10"/>
      <c r="GO69" s="10"/>
      <c r="GP69" s="10"/>
      <c r="GQ69" s="10"/>
      <c r="GR69" s="10">
        <v>-5</v>
      </c>
      <c r="GS69" s="10"/>
      <c r="GT69" s="10"/>
      <c r="GU69" s="10"/>
      <c r="GV69" s="10">
        <v>-168</v>
      </c>
      <c r="GW69" s="10"/>
      <c r="GX69" s="10">
        <v>-2</v>
      </c>
      <c r="GY69" s="10"/>
      <c r="GZ69" s="10"/>
      <c r="HA69" s="10"/>
      <c r="HB69" s="10">
        <v>-5</v>
      </c>
      <c r="HC69" s="10"/>
      <c r="HD69" s="10"/>
      <c r="HE69" s="10"/>
      <c r="HF69" s="10">
        <v>-10</v>
      </c>
      <c r="HG69" s="10"/>
      <c r="HH69" s="10"/>
      <c r="HI69" s="10"/>
      <c r="HJ69" s="10">
        <v>-40</v>
      </c>
      <c r="HK69" s="10"/>
      <c r="HL69" s="10">
        <v>-18</v>
      </c>
      <c r="HM69" s="10"/>
      <c r="HN69" s="10"/>
      <c r="HO69" s="10"/>
      <c r="HP69" s="10"/>
      <c r="HQ69" s="10"/>
      <c r="HR69" s="10"/>
      <c r="HS69" s="10"/>
      <c r="HT69" s="10">
        <v>-15</v>
      </c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>
        <v>-5</v>
      </c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>
        <v>-68</v>
      </c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1">
        <f t="shared" si="1"/>
        <v>0</v>
      </c>
      <c r="TH69" s="9">
        <f t="shared" si="2"/>
        <v>-34</v>
      </c>
    </row>
    <row r="70" spans="1:528" ht="15.6" thickBot="1" x14ac:dyDescent="0.3">
      <c r="A70" s="25" t="s">
        <v>756</v>
      </c>
      <c r="B70" s="18" t="s">
        <v>432</v>
      </c>
      <c r="C70" s="3">
        <f>AGOSTO!D70</f>
        <v>867</v>
      </c>
      <c r="D70" s="55">
        <f t="shared" ref="D70:D133" si="3">C70+SUM(E70:TF70)</f>
        <v>221</v>
      </c>
      <c r="E70" s="10"/>
      <c r="F70" s="10"/>
      <c r="G70" s="10"/>
      <c r="H70" s="10"/>
      <c r="I70" s="10"/>
      <c r="J70" s="10"/>
      <c r="K70" s="10"/>
      <c r="L70" s="10">
        <v>-10</v>
      </c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>
        <v>-5</v>
      </c>
      <c r="BC70" s="10"/>
      <c r="BD70" s="10">
        <f>-14-10</f>
        <v>-24</v>
      </c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>
        <v>-5</v>
      </c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>
        <f>-65-5-3-2-6</f>
        <v>-81</v>
      </c>
      <c r="CE70" s="10"/>
      <c r="CF70" s="10">
        <v>-17</v>
      </c>
      <c r="CG70" s="10"/>
      <c r="CH70" s="10">
        <v>-42</v>
      </c>
      <c r="CI70" s="10"/>
      <c r="CJ70" s="10"/>
      <c r="CK70" s="10"/>
      <c r="CL70" s="10"/>
      <c r="CM70" s="10"/>
      <c r="CN70" s="10">
        <v>-3</v>
      </c>
      <c r="CO70" s="10"/>
      <c r="CP70" s="10"/>
      <c r="CQ70" s="10"/>
      <c r="CR70" s="10">
        <v>-6</v>
      </c>
      <c r="CS70" s="10"/>
      <c r="CT70" s="10">
        <v>-10</v>
      </c>
      <c r="CU70" s="10"/>
      <c r="CV70" s="10"/>
      <c r="CW70" s="10"/>
      <c r="CX70" s="10"/>
      <c r="CY70" s="10"/>
      <c r="CZ70" s="10"/>
      <c r="DA70" s="10"/>
      <c r="DB70" s="10">
        <v>-15</v>
      </c>
      <c r="DC70" s="10"/>
      <c r="DD70" s="10">
        <v>-1</v>
      </c>
      <c r="DE70" s="10"/>
      <c r="DF70" s="10"/>
      <c r="DG70" s="10"/>
      <c r="DH70" s="10"/>
      <c r="DI70" s="10"/>
      <c r="DJ70" s="10"/>
      <c r="DK70" s="10"/>
      <c r="DL70" s="10">
        <v>-28</v>
      </c>
      <c r="DM70" s="10"/>
      <c r="DN70" s="10"/>
      <c r="DO70" s="10"/>
      <c r="DP70" s="10">
        <v>-27</v>
      </c>
      <c r="DQ70" s="10"/>
      <c r="DR70" s="10"/>
      <c r="DS70" s="10"/>
      <c r="DT70" s="10">
        <v>-5</v>
      </c>
      <c r="DU70" s="10"/>
      <c r="DV70" s="10">
        <f>-7-5</f>
        <v>-12</v>
      </c>
      <c r="DW70" s="10"/>
      <c r="DX70" s="10"/>
      <c r="DY70" s="10"/>
      <c r="DZ70" s="10"/>
      <c r="EA70" s="10"/>
      <c r="EB70" s="10"/>
      <c r="EC70" s="10"/>
      <c r="ED70" s="10">
        <v>-2</v>
      </c>
      <c r="EE70" s="10"/>
      <c r="EF70" s="10"/>
      <c r="EG70" s="10"/>
      <c r="EH70" s="10">
        <v>-5</v>
      </c>
      <c r="EI70" s="10"/>
      <c r="EJ70" s="10"/>
      <c r="EK70" s="10"/>
      <c r="EL70" s="10">
        <v>-5</v>
      </c>
      <c r="EM70" s="10"/>
      <c r="EN70" s="10"/>
      <c r="EO70" s="10"/>
      <c r="EP70" s="10"/>
      <c r="EQ70" s="10"/>
      <c r="ER70" s="10"/>
      <c r="ES70" s="10"/>
      <c r="ET70" s="10">
        <v>-13</v>
      </c>
      <c r="EU70" s="10"/>
      <c r="EV70" s="10"/>
      <c r="EW70" s="10"/>
      <c r="EX70" s="10">
        <v>-1</v>
      </c>
      <c r="EY70" s="10"/>
      <c r="EZ70" s="10">
        <v>-5</v>
      </c>
      <c r="FA70" s="10"/>
      <c r="FB70" s="10"/>
      <c r="FC70" s="10"/>
      <c r="FD70" s="10"/>
      <c r="FE70" s="10"/>
      <c r="FF70" s="10"/>
      <c r="FG70" s="10"/>
      <c r="FH70" s="10"/>
      <c r="FI70" s="10"/>
      <c r="FJ70" s="10">
        <v>-2</v>
      </c>
      <c r="FK70" s="10"/>
      <c r="FL70" s="10">
        <v>-1</v>
      </c>
      <c r="FM70" s="10"/>
      <c r="FN70" s="10">
        <v>-5</v>
      </c>
      <c r="FO70" s="10"/>
      <c r="FP70" s="10"/>
      <c r="FQ70" s="10"/>
      <c r="FR70" s="10"/>
      <c r="FS70" s="10"/>
      <c r="FT70" s="10"/>
      <c r="FU70" s="10"/>
      <c r="FV70" s="10">
        <v>-4</v>
      </c>
      <c r="FW70" s="10"/>
      <c r="FX70" s="10">
        <v>-18</v>
      </c>
      <c r="FY70" s="10"/>
      <c r="FZ70" s="10"/>
      <c r="GA70" s="10"/>
      <c r="GB70" s="10"/>
      <c r="GC70" s="10"/>
      <c r="GD70" s="10">
        <v>-10</v>
      </c>
      <c r="GE70" s="10"/>
      <c r="GF70" s="10"/>
      <c r="GG70" s="10"/>
      <c r="GH70" s="10"/>
      <c r="GI70" s="10"/>
      <c r="GJ70" s="10">
        <v>-6</v>
      </c>
      <c r="GK70" s="10"/>
      <c r="GL70" s="10">
        <v>-14</v>
      </c>
      <c r="GM70" s="10"/>
      <c r="GN70" s="10"/>
      <c r="GO70" s="10"/>
      <c r="GP70" s="10"/>
      <c r="GQ70" s="10"/>
      <c r="GR70" s="10">
        <v>-5</v>
      </c>
      <c r="GS70" s="10"/>
      <c r="GT70" s="10"/>
      <c r="GU70" s="10"/>
      <c r="GV70" s="10">
        <v>-168</v>
      </c>
      <c r="GW70" s="10"/>
      <c r="GX70" s="10">
        <v>-2</v>
      </c>
      <c r="GY70" s="10"/>
      <c r="GZ70" s="10"/>
      <c r="HA70" s="10"/>
      <c r="HB70" s="10">
        <v>-6</v>
      </c>
      <c r="HC70" s="10"/>
      <c r="HD70" s="10"/>
      <c r="HE70" s="10"/>
      <c r="HF70" s="10">
        <v>-10</v>
      </c>
      <c r="HG70" s="10"/>
      <c r="HH70" s="10"/>
      <c r="HI70" s="10"/>
      <c r="HJ70" s="10"/>
      <c r="HK70" s="10"/>
      <c r="HL70" s="10">
        <v>-9</v>
      </c>
      <c r="HM70" s="10"/>
      <c r="HN70" s="10"/>
      <c r="HO70" s="10"/>
      <c r="HP70" s="10"/>
      <c r="HQ70" s="10"/>
      <c r="HR70" s="10"/>
      <c r="HS70" s="10"/>
      <c r="HT70" s="10">
        <v>-15</v>
      </c>
      <c r="HU70" s="10"/>
      <c r="HV70" s="10"/>
      <c r="HW70" s="10"/>
      <c r="HX70" s="10">
        <v>-9</v>
      </c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>
        <v>-10</v>
      </c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>
        <v>-10</v>
      </c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>
        <v>-20</v>
      </c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1">
        <f t="shared" ref="TG70:TG133" si="4">TE70+BG70+BE70+BC70+BA70+AY70+AW70+AU70+AS70+AQ70+AO70+AM70+AK70+AI70+AG70+AE70+AC70+AA70+Y70+W70+U70+S70+Q70+O70+M70+K70+I70+G70+E70</f>
        <v>0</v>
      </c>
      <c r="TH70" s="9">
        <f t="shared" ref="TH70:TH133" si="5">TF70+BH70+BF70+BD70+BB70+AZ70+AX70+AV70+AT70+AR70+AP70+AN70+AL70+AJ70+AH70+AF70+AD70+AB70+Z70+X70+V70+T70+R70+P70+N70+L70+J70+H70+F70</f>
        <v>-39</v>
      </c>
    </row>
    <row r="71" spans="1:528" ht="15.6" thickBot="1" x14ac:dyDescent="0.3">
      <c r="A71" s="25" t="s">
        <v>222</v>
      </c>
      <c r="B71" s="18" t="s">
        <v>40</v>
      </c>
      <c r="C71" s="3">
        <f>AGOSTO!D71</f>
        <v>759</v>
      </c>
      <c r="D71" s="55">
        <f t="shared" si="3"/>
        <v>87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>
        <v>-31</v>
      </c>
      <c r="AY71" s="10"/>
      <c r="AZ71" s="10"/>
      <c r="BA71" s="10"/>
      <c r="BB71" s="10">
        <v>-10</v>
      </c>
      <c r="BC71" s="10"/>
      <c r="BD71" s="10">
        <v>-14</v>
      </c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>
        <v>-5</v>
      </c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>
        <f>-15-4-2-8</f>
        <v>-29</v>
      </c>
      <c r="CE71" s="10"/>
      <c r="CF71" s="10">
        <v>-26</v>
      </c>
      <c r="CG71" s="10"/>
      <c r="CH71" s="10">
        <v>-49</v>
      </c>
      <c r="CI71" s="10"/>
      <c r="CJ71" s="10"/>
      <c r="CK71" s="10"/>
      <c r="CL71" s="10"/>
      <c r="CM71" s="10"/>
      <c r="CN71" s="10">
        <v>-3</v>
      </c>
      <c r="CO71" s="10"/>
      <c r="CP71" s="10"/>
      <c r="CQ71" s="10"/>
      <c r="CR71" s="10">
        <v>-6</v>
      </c>
      <c r="CS71" s="10"/>
      <c r="CT71" s="10">
        <v>-29</v>
      </c>
      <c r="CU71" s="10"/>
      <c r="CV71" s="10"/>
      <c r="CW71" s="10"/>
      <c r="CX71" s="10"/>
      <c r="CY71" s="10"/>
      <c r="CZ71" s="10"/>
      <c r="DA71" s="10"/>
      <c r="DB71" s="10">
        <v>-25</v>
      </c>
      <c r="DC71" s="10"/>
      <c r="DD71" s="10">
        <v>-1</v>
      </c>
      <c r="DE71" s="10"/>
      <c r="DF71" s="10"/>
      <c r="DG71" s="10"/>
      <c r="DH71" s="10"/>
      <c r="DI71" s="10"/>
      <c r="DJ71" s="10"/>
      <c r="DK71" s="10"/>
      <c r="DL71" s="10">
        <v>-28</v>
      </c>
      <c r="DM71" s="10"/>
      <c r="DN71" s="10"/>
      <c r="DO71" s="10"/>
      <c r="DP71" s="10">
        <v>-2</v>
      </c>
      <c r="DQ71" s="10"/>
      <c r="DR71" s="10"/>
      <c r="DS71" s="10"/>
      <c r="DT71" s="10">
        <v>-5</v>
      </c>
      <c r="DU71" s="10"/>
      <c r="DV71" s="10">
        <v>-5</v>
      </c>
      <c r="DW71" s="10"/>
      <c r="DX71" s="10"/>
      <c r="DY71" s="10"/>
      <c r="DZ71" s="10"/>
      <c r="EA71" s="10"/>
      <c r="EB71" s="10"/>
      <c r="EC71" s="10"/>
      <c r="ED71" s="10">
        <v>-2</v>
      </c>
      <c r="EE71" s="10"/>
      <c r="EF71" s="10"/>
      <c r="EG71" s="10"/>
      <c r="EH71" s="10">
        <v>-4</v>
      </c>
      <c r="EI71" s="10"/>
      <c r="EJ71" s="10"/>
      <c r="EK71" s="10"/>
      <c r="EL71" s="10">
        <v>-7</v>
      </c>
      <c r="EM71" s="10"/>
      <c r="EN71" s="10"/>
      <c r="EO71" s="10"/>
      <c r="EP71" s="10"/>
      <c r="EQ71" s="10"/>
      <c r="ER71" s="10"/>
      <c r="ES71" s="10"/>
      <c r="ET71" s="10">
        <v>-3</v>
      </c>
      <c r="EU71" s="10"/>
      <c r="EV71" s="10"/>
      <c r="EW71" s="10"/>
      <c r="EX71" s="10">
        <v>-1</v>
      </c>
      <c r="EY71" s="10"/>
      <c r="EZ71" s="10">
        <v>-5</v>
      </c>
      <c r="FA71" s="10"/>
      <c r="FB71" s="10"/>
      <c r="FC71" s="10"/>
      <c r="FD71" s="10"/>
      <c r="FE71" s="10"/>
      <c r="FF71" s="10"/>
      <c r="FG71" s="10"/>
      <c r="FH71" s="10">
        <v>-5</v>
      </c>
      <c r="FI71" s="10"/>
      <c r="FJ71" s="10">
        <v>-2</v>
      </c>
      <c r="FK71" s="10"/>
      <c r="FL71" s="10">
        <v>-2</v>
      </c>
      <c r="FM71" s="10"/>
      <c r="FN71" s="10">
        <v>-7</v>
      </c>
      <c r="FO71" s="10"/>
      <c r="FP71" s="10"/>
      <c r="FQ71" s="10"/>
      <c r="FR71" s="10"/>
      <c r="FS71" s="10"/>
      <c r="FT71" s="10"/>
      <c r="FU71" s="10"/>
      <c r="FV71" s="10"/>
      <c r="FW71" s="10"/>
      <c r="FX71" s="10">
        <v>-3</v>
      </c>
      <c r="FY71" s="10"/>
      <c r="FZ71" s="10"/>
      <c r="GA71" s="10"/>
      <c r="GB71" s="10"/>
      <c r="GC71" s="10"/>
      <c r="GD71" s="10">
        <v>-10</v>
      </c>
      <c r="GE71" s="10"/>
      <c r="GF71" s="10"/>
      <c r="GG71" s="10"/>
      <c r="GH71" s="10"/>
      <c r="GI71" s="10"/>
      <c r="GJ71" s="10">
        <v>-6</v>
      </c>
      <c r="GK71" s="10"/>
      <c r="GL71" s="10">
        <f>-14-2</f>
        <v>-16</v>
      </c>
      <c r="GM71" s="10"/>
      <c r="GN71" s="10"/>
      <c r="GO71" s="10"/>
      <c r="GP71" s="10"/>
      <c r="GQ71" s="10"/>
      <c r="GR71" s="10">
        <v>-5</v>
      </c>
      <c r="GS71" s="10"/>
      <c r="GT71" s="10"/>
      <c r="GU71" s="10"/>
      <c r="GV71" s="10">
        <v>-168</v>
      </c>
      <c r="GW71" s="10"/>
      <c r="GX71" s="10">
        <v>-2</v>
      </c>
      <c r="GY71" s="10"/>
      <c r="GZ71" s="10"/>
      <c r="HA71" s="10"/>
      <c r="HB71" s="10">
        <v>-12</v>
      </c>
      <c r="HC71" s="10"/>
      <c r="HD71" s="10"/>
      <c r="HE71" s="10"/>
      <c r="HF71" s="10">
        <v>-10</v>
      </c>
      <c r="HG71" s="10"/>
      <c r="HH71" s="10"/>
      <c r="HI71" s="10"/>
      <c r="HJ71" s="10">
        <v>-40</v>
      </c>
      <c r="HK71" s="10"/>
      <c r="HL71" s="10">
        <v>-7</v>
      </c>
      <c r="HM71" s="10"/>
      <c r="HN71" s="10"/>
      <c r="HO71" s="10"/>
      <c r="HP71" s="10"/>
      <c r="HQ71" s="10"/>
      <c r="HR71" s="10"/>
      <c r="HS71" s="10"/>
      <c r="HT71" s="10">
        <v>-15</v>
      </c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>
        <v>-5</v>
      </c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>
        <v>-67</v>
      </c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1">
        <f t="shared" si="4"/>
        <v>0</v>
      </c>
      <c r="TH71" s="9">
        <f t="shared" si="5"/>
        <v>-55</v>
      </c>
    </row>
    <row r="72" spans="1:528" ht="16.2" thickBot="1" x14ac:dyDescent="0.35">
      <c r="A72" s="25"/>
      <c r="B72" s="23" t="s">
        <v>226</v>
      </c>
      <c r="C72" s="3">
        <f>AGOSTO!D72</f>
        <v>0</v>
      </c>
      <c r="D72" s="21">
        <f t="shared" si="3"/>
        <v>0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1">
        <f t="shared" si="4"/>
        <v>0</v>
      </c>
      <c r="TH72" s="9">
        <f t="shared" si="5"/>
        <v>0</v>
      </c>
    </row>
    <row r="73" spans="1:528" ht="15.6" thickBot="1" x14ac:dyDescent="0.3">
      <c r="A73" s="25" t="s">
        <v>229</v>
      </c>
      <c r="B73" s="18" t="s">
        <v>176</v>
      </c>
      <c r="C73" s="3">
        <f>AGOSTO!D73</f>
        <v>0</v>
      </c>
      <c r="D73" s="55">
        <f t="shared" si="3"/>
        <v>45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>
        <f>54*2+18+18</f>
        <v>144</v>
      </c>
      <c r="AP73" s="10"/>
      <c r="AQ73" s="10"/>
      <c r="AR73" s="10">
        <v>-6</v>
      </c>
      <c r="AS73" s="10"/>
      <c r="AT73" s="10"/>
      <c r="AU73" s="10"/>
      <c r="AV73" s="10"/>
      <c r="AW73" s="10"/>
      <c r="AX73" s="10">
        <v>-13</v>
      </c>
      <c r="AY73" s="10"/>
      <c r="AZ73" s="10"/>
      <c r="BA73" s="10"/>
      <c r="BB73" s="10">
        <v>-4</v>
      </c>
      <c r="BC73" s="10"/>
      <c r="BD73" s="10">
        <v>-16</v>
      </c>
      <c r="BE73" s="10"/>
      <c r="BF73" s="10"/>
      <c r="BG73" s="10"/>
      <c r="BH73" s="10"/>
      <c r="BI73" s="10"/>
      <c r="BJ73" s="10"/>
      <c r="BK73" s="10"/>
      <c r="BL73" s="10"/>
      <c r="BM73" s="10">
        <f>244</f>
        <v>244</v>
      </c>
      <c r="BN73" s="10">
        <v>-32</v>
      </c>
      <c r="BO73" s="10"/>
      <c r="BP73" s="10">
        <f>-3-3</f>
        <v>-6</v>
      </c>
      <c r="BQ73" s="10"/>
      <c r="BR73" s="10">
        <f>-221-59</f>
        <v>-280</v>
      </c>
      <c r="BS73" s="10"/>
      <c r="BT73" s="10"/>
      <c r="BU73" s="10"/>
      <c r="BV73" s="10"/>
      <c r="BW73" s="10"/>
      <c r="BX73" s="10"/>
      <c r="BY73" s="10">
        <f>56*2</f>
        <v>112</v>
      </c>
      <c r="BZ73" s="10"/>
      <c r="CA73" s="10">
        <v>56</v>
      </c>
      <c r="CB73" s="10"/>
      <c r="CC73" s="10"/>
      <c r="CD73" s="10">
        <f>-2-6-8-5</f>
        <v>-21</v>
      </c>
      <c r="CE73" s="10"/>
      <c r="CF73" s="10">
        <v>-89</v>
      </c>
      <c r="CG73" s="10"/>
      <c r="CH73" s="10">
        <v>-21</v>
      </c>
      <c r="CI73" s="10"/>
      <c r="CJ73" s="10"/>
      <c r="CK73" s="10"/>
      <c r="CL73" s="10"/>
      <c r="CM73" s="10"/>
      <c r="CN73" s="10">
        <v>-3</v>
      </c>
      <c r="CO73" s="10"/>
      <c r="CP73" s="10"/>
      <c r="CQ73" s="10"/>
      <c r="CR73" s="10"/>
      <c r="CS73" s="10">
        <f>56+9</f>
        <v>65</v>
      </c>
      <c r="CT73" s="10"/>
      <c r="CU73" s="10"/>
      <c r="CV73" s="10">
        <v>-10</v>
      </c>
      <c r="CW73" s="10"/>
      <c r="CX73" s="10"/>
      <c r="CY73" s="10"/>
      <c r="CZ73" s="10"/>
      <c r="DA73" s="10"/>
      <c r="DB73" s="10">
        <v>-8</v>
      </c>
      <c r="DC73" s="10"/>
      <c r="DD73" s="10">
        <v>-4</v>
      </c>
      <c r="DE73" s="10"/>
      <c r="DF73" s="10"/>
      <c r="DG73" s="10"/>
      <c r="DH73" s="10">
        <v>-1</v>
      </c>
      <c r="DI73" s="10">
        <f>56+14</f>
        <v>70</v>
      </c>
      <c r="DJ73" s="10">
        <v>-40</v>
      </c>
      <c r="DK73" s="10"/>
      <c r="DL73" s="10">
        <v>-30</v>
      </c>
      <c r="DM73" s="10"/>
      <c r="DN73" s="10"/>
      <c r="DO73" s="10"/>
      <c r="DP73" s="10">
        <v>-48</v>
      </c>
      <c r="DQ73" s="10"/>
      <c r="DR73" s="10"/>
      <c r="DS73" s="10"/>
      <c r="DT73" s="10"/>
      <c r="DU73" s="10"/>
      <c r="DV73" s="10">
        <v>-8</v>
      </c>
      <c r="DW73" s="10"/>
      <c r="DX73" s="10"/>
      <c r="DY73" s="10"/>
      <c r="DZ73" s="10"/>
      <c r="EA73" s="10"/>
      <c r="EB73" s="10"/>
      <c r="EC73" s="10"/>
      <c r="ED73" s="10">
        <v>-38</v>
      </c>
      <c r="EE73" s="10"/>
      <c r="EF73" s="10"/>
      <c r="EG73" s="10">
        <v>116</v>
      </c>
      <c r="EH73" s="10">
        <v>-2</v>
      </c>
      <c r="EI73" s="10"/>
      <c r="EJ73" s="10"/>
      <c r="EK73" s="10"/>
      <c r="EL73" s="10"/>
      <c r="EM73" s="10"/>
      <c r="EN73" s="10"/>
      <c r="EO73" s="10"/>
      <c r="EP73" s="10"/>
      <c r="EQ73" s="10">
        <f>56+56+16</f>
        <v>128</v>
      </c>
      <c r="ER73" s="10">
        <v>-33</v>
      </c>
      <c r="ES73" s="10"/>
      <c r="ET73" s="10">
        <v>-24</v>
      </c>
      <c r="EU73" s="10"/>
      <c r="EV73" s="10">
        <v>-105</v>
      </c>
      <c r="EW73" s="10"/>
      <c r="EX73" s="10">
        <v>-2</v>
      </c>
      <c r="EY73" s="10"/>
      <c r="EZ73" s="10"/>
      <c r="FA73" s="10"/>
      <c r="FB73" s="10"/>
      <c r="FC73" s="10"/>
      <c r="FD73" s="10"/>
      <c r="FE73" s="10"/>
      <c r="FF73" s="10"/>
      <c r="FG73" s="10"/>
      <c r="FH73" s="10">
        <v>-58</v>
      </c>
      <c r="FI73" s="10">
        <v>112</v>
      </c>
      <c r="FJ73" s="10"/>
      <c r="FK73" s="10">
        <v>2</v>
      </c>
      <c r="FL73" s="10">
        <v>-10</v>
      </c>
      <c r="FM73" s="10"/>
      <c r="FN73" s="10">
        <v>-61</v>
      </c>
      <c r="FO73" s="10"/>
      <c r="FP73" s="10"/>
      <c r="FQ73" s="10"/>
      <c r="FR73" s="10"/>
      <c r="FS73" s="10"/>
      <c r="FT73" s="10">
        <v>-12</v>
      </c>
      <c r="FU73" s="10"/>
      <c r="FV73" s="10">
        <v>-5</v>
      </c>
      <c r="FW73" s="10"/>
      <c r="FX73" s="10">
        <v>-2</v>
      </c>
      <c r="FY73" s="10"/>
      <c r="FZ73" s="10"/>
      <c r="GA73" s="10"/>
      <c r="GB73" s="10"/>
      <c r="GC73" s="10"/>
      <c r="GD73" s="10">
        <v>-2</v>
      </c>
      <c r="GE73" s="10"/>
      <c r="GF73" s="10"/>
      <c r="GG73" s="10"/>
      <c r="GH73" s="10">
        <v>-40</v>
      </c>
      <c r="GI73" s="10"/>
      <c r="GJ73" s="10"/>
      <c r="GK73" s="10"/>
      <c r="GL73" s="10">
        <v>-5</v>
      </c>
      <c r="GM73" s="10"/>
      <c r="GN73" s="10"/>
      <c r="GO73" s="10"/>
      <c r="GP73" s="10"/>
      <c r="GQ73" s="10">
        <f>56+42</f>
        <v>98</v>
      </c>
      <c r="GR73" s="10">
        <v>-4</v>
      </c>
      <c r="GS73" s="10"/>
      <c r="GT73" s="10"/>
      <c r="GU73" s="10">
        <f>9*56</f>
        <v>504</v>
      </c>
      <c r="GV73" s="10">
        <v>-596</v>
      </c>
      <c r="GW73" s="10"/>
      <c r="GX73" s="10">
        <v>-10</v>
      </c>
      <c r="GY73" s="10"/>
      <c r="GZ73" s="10"/>
      <c r="HA73" s="10"/>
      <c r="HB73" s="10">
        <v>-1</v>
      </c>
      <c r="HC73" s="10">
        <f>56+45</f>
        <v>101</v>
      </c>
      <c r="HD73" s="10">
        <v>-12</v>
      </c>
      <c r="HE73" s="10"/>
      <c r="HF73" s="10"/>
      <c r="HG73" s="10"/>
      <c r="HH73" s="10"/>
      <c r="HI73" s="10"/>
      <c r="HJ73" s="10">
        <v>-30</v>
      </c>
      <c r="HK73" s="10"/>
      <c r="HL73" s="10">
        <v>-30</v>
      </c>
      <c r="HM73" s="10">
        <v>56</v>
      </c>
      <c r="HN73" s="10"/>
      <c r="HO73" s="10"/>
      <c r="HP73" s="10"/>
      <c r="HQ73" s="10"/>
      <c r="HR73" s="10"/>
      <c r="HS73" s="10"/>
      <c r="HT73" s="10">
        <v>-5</v>
      </c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>
        <v>-8</v>
      </c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>
        <v>-28</v>
      </c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1">
        <f t="shared" si="4"/>
        <v>144</v>
      </c>
      <c r="TH73" s="9">
        <f t="shared" si="5"/>
        <v>-39</v>
      </c>
    </row>
    <row r="74" spans="1:528" ht="15.6" thickBot="1" x14ac:dyDescent="0.3">
      <c r="A74" s="25" t="s">
        <v>870</v>
      </c>
      <c r="B74" s="18" t="s">
        <v>77</v>
      </c>
      <c r="C74" s="3">
        <f>AGOSTO!D74</f>
        <v>0</v>
      </c>
      <c r="D74" s="55">
        <f t="shared" si="3"/>
        <v>61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>
        <v>58</v>
      </c>
      <c r="AL74" s="10"/>
      <c r="AM74" s="10"/>
      <c r="AN74" s="10"/>
      <c r="AO74" s="10"/>
      <c r="AP74" s="10"/>
      <c r="AQ74" s="10">
        <f>56+17</f>
        <v>73</v>
      </c>
      <c r="AR74" s="10">
        <v>-6</v>
      </c>
      <c r="AS74" s="10"/>
      <c r="AT74" s="10"/>
      <c r="AU74" s="10"/>
      <c r="AV74" s="10"/>
      <c r="AW74" s="10"/>
      <c r="AX74" s="10">
        <v>-13</v>
      </c>
      <c r="AY74" s="10"/>
      <c r="AZ74" s="10"/>
      <c r="BA74" s="10"/>
      <c r="BB74" s="10">
        <v>-4</v>
      </c>
      <c r="BC74" s="10"/>
      <c r="BD74" s="10">
        <v>-8</v>
      </c>
      <c r="BE74" s="10"/>
      <c r="BF74" s="10"/>
      <c r="BG74" s="10"/>
      <c r="BH74" s="10"/>
      <c r="BI74" s="10"/>
      <c r="BJ74" s="10"/>
      <c r="BK74" s="10"/>
      <c r="BL74" s="10"/>
      <c r="BM74" s="10">
        <f>56</f>
        <v>56</v>
      </c>
      <c r="BN74" s="10">
        <v>-48</v>
      </c>
      <c r="BO74" s="10">
        <f>56*3+24</f>
        <v>192</v>
      </c>
      <c r="BP74" s="10">
        <f>-3-3</f>
        <v>-6</v>
      </c>
      <c r="BQ74" s="10"/>
      <c r="BR74" s="10">
        <f>-228-52</f>
        <v>-280</v>
      </c>
      <c r="BS74" s="10"/>
      <c r="BT74" s="10"/>
      <c r="BU74" s="10">
        <f>56+56+21</f>
        <v>133</v>
      </c>
      <c r="BV74" s="10"/>
      <c r="BW74" s="10"/>
      <c r="BX74" s="10"/>
      <c r="BY74" s="10">
        <f>56</f>
        <v>56</v>
      </c>
      <c r="BZ74" s="10"/>
      <c r="CA74" s="10"/>
      <c r="CB74" s="10"/>
      <c r="CC74" s="10">
        <v>56</v>
      </c>
      <c r="CD74" s="10">
        <f>-40-2-6-8-4</f>
        <v>-60</v>
      </c>
      <c r="CE74" s="10"/>
      <c r="CF74" s="10">
        <v>-88</v>
      </c>
      <c r="CG74" s="10"/>
      <c r="CH74" s="10">
        <v>-23</v>
      </c>
      <c r="CI74" s="10"/>
      <c r="CJ74" s="10"/>
      <c r="CK74" s="10"/>
      <c r="CL74" s="10"/>
      <c r="CM74" s="10"/>
      <c r="CN74" s="10">
        <v>-9</v>
      </c>
      <c r="CO74" s="10"/>
      <c r="CP74" s="10"/>
      <c r="CQ74" s="10"/>
      <c r="CR74" s="10"/>
      <c r="CS74" s="10"/>
      <c r="CT74" s="10">
        <v>-16</v>
      </c>
      <c r="CU74" s="10"/>
      <c r="CV74" s="10">
        <v>-8</v>
      </c>
      <c r="CW74" s="10"/>
      <c r="CX74" s="10"/>
      <c r="CY74" s="10"/>
      <c r="CZ74" s="10"/>
      <c r="DA74" s="10">
        <f>53*3</f>
        <v>159</v>
      </c>
      <c r="DB74" s="10">
        <v>-13</v>
      </c>
      <c r="DC74" s="10">
        <f>56+56+6</f>
        <v>118</v>
      </c>
      <c r="DD74" s="10">
        <v>-4</v>
      </c>
      <c r="DE74" s="10"/>
      <c r="DF74" s="10"/>
      <c r="DG74" s="10"/>
      <c r="DH74" s="10">
        <v>-1</v>
      </c>
      <c r="DI74" s="10"/>
      <c r="DJ74" s="10"/>
      <c r="DK74" s="10"/>
      <c r="DL74" s="10">
        <v>-30</v>
      </c>
      <c r="DM74" s="10"/>
      <c r="DN74" s="10"/>
      <c r="DO74" s="10"/>
      <c r="DP74" s="10">
        <v>-2</v>
      </c>
      <c r="DQ74" s="10"/>
      <c r="DR74" s="10"/>
      <c r="DS74" s="10"/>
      <c r="DT74" s="10">
        <v>-16</v>
      </c>
      <c r="DU74" s="10">
        <f>56*2</f>
        <v>112</v>
      </c>
      <c r="DV74" s="10">
        <v>-8</v>
      </c>
      <c r="DW74" s="10"/>
      <c r="DX74" s="10"/>
      <c r="DY74" s="10"/>
      <c r="DZ74" s="10"/>
      <c r="EA74" s="10"/>
      <c r="EB74" s="10"/>
      <c r="EC74" s="10"/>
      <c r="ED74" s="10">
        <v>-224</v>
      </c>
      <c r="EE74" s="10"/>
      <c r="EF74" s="10"/>
      <c r="EG74" s="10"/>
      <c r="EH74" s="10">
        <v>-18</v>
      </c>
      <c r="EI74" s="10"/>
      <c r="EJ74" s="10"/>
      <c r="EK74" s="10"/>
      <c r="EL74" s="10">
        <v>-4</v>
      </c>
      <c r="EM74" s="10"/>
      <c r="EN74" s="10"/>
      <c r="EO74" s="10"/>
      <c r="EP74" s="10"/>
      <c r="EQ74" s="10"/>
      <c r="ER74" s="10">
        <v>-5</v>
      </c>
      <c r="ES74" s="10">
        <v>112</v>
      </c>
      <c r="ET74" s="10">
        <v>-19</v>
      </c>
      <c r="EU74" s="10"/>
      <c r="EV74" s="10">
        <v>-92</v>
      </c>
      <c r="EW74" s="10"/>
      <c r="EX74" s="10">
        <v>-2</v>
      </c>
      <c r="EY74" s="10"/>
      <c r="EZ74" s="10"/>
      <c r="FA74" s="10"/>
      <c r="FB74" s="10"/>
      <c r="FC74" s="10"/>
      <c r="FD74" s="10"/>
      <c r="FE74" s="10"/>
      <c r="FF74" s="10">
        <v>-100</v>
      </c>
      <c r="FG74" s="10"/>
      <c r="FH74" s="10">
        <v>-2</v>
      </c>
      <c r="FI74" s="10">
        <f>56+56+5</f>
        <v>117</v>
      </c>
      <c r="FJ74" s="10">
        <v>-7</v>
      </c>
      <c r="FK74" s="14">
        <v>30</v>
      </c>
      <c r="FL74" s="10">
        <v>-90</v>
      </c>
      <c r="FM74" s="10">
        <f>56+6</f>
        <v>62</v>
      </c>
      <c r="FN74" s="10">
        <v>-128</v>
      </c>
      <c r="FO74" s="10"/>
      <c r="FP74" s="10"/>
      <c r="FQ74" s="10"/>
      <c r="FR74" s="10"/>
      <c r="FS74" s="10">
        <v>56</v>
      </c>
      <c r="FT74" s="10">
        <v>-12</v>
      </c>
      <c r="FU74" s="10"/>
      <c r="FV74" s="10">
        <v>-11</v>
      </c>
      <c r="FW74" s="10">
        <f>56+21</f>
        <v>77</v>
      </c>
      <c r="FX74" s="10">
        <v>-15</v>
      </c>
      <c r="FY74" s="10"/>
      <c r="FZ74" s="10"/>
      <c r="GA74" s="10"/>
      <c r="GB74" s="10"/>
      <c r="GC74" s="10"/>
      <c r="GD74" s="10">
        <v>-2</v>
      </c>
      <c r="GE74" s="10"/>
      <c r="GF74" s="10"/>
      <c r="GG74" s="10"/>
      <c r="GH74" s="10">
        <v>-28</v>
      </c>
      <c r="GI74" s="10"/>
      <c r="GJ74" s="10">
        <v>-4</v>
      </c>
      <c r="GK74" s="10"/>
      <c r="GL74" s="10">
        <v>-6</v>
      </c>
      <c r="GM74" s="10"/>
      <c r="GN74" s="10"/>
      <c r="GO74" s="10">
        <f>(56*9)+14</f>
        <v>518</v>
      </c>
      <c r="GP74" s="10">
        <v>-70</v>
      </c>
      <c r="GQ74" s="10">
        <f>56*3+14</f>
        <v>182</v>
      </c>
      <c r="GR74" s="10"/>
      <c r="GS74" s="10"/>
      <c r="GT74" s="10"/>
      <c r="GU74" s="10"/>
      <c r="GV74" s="10">
        <v>-590</v>
      </c>
      <c r="GW74" s="10"/>
      <c r="GX74" s="10">
        <v>-15</v>
      </c>
      <c r="GY74" s="10"/>
      <c r="GZ74" s="10">
        <v>-20</v>
      </c>
      <c r="HA74" s="10"/>
      <c r="HB74" s="10">
        <v>-1</v>
      </c>
      <c r="HC74" s="10"/>
      <c r="HD74" s="10"/>
      <c r="HE74" s="10"/>
      <c r="HF74" s="10">
        <v>-20</v>
      </c>
      <c r="HG74" s="10"/>
      <c r="HH74" s="10"/>
      <c r="HI74" s="10"/>
      <c r="HJ74" s="10"/>
      <c r="HK74" s="10"/>
      <c r="HL74" s="10">
        <v>-25</v>
      </c>
      <c r="HM74" s="10">
        <v>56</v>
      </c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>
        <v>-8</v>
      </c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>
        <v>-1</v>
      </c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1">
        <f t="shared" si="4"/>
        <v>131</v>
      </c>
      <c r="TH74" s="9">
        <f t="shared" si="5"/>
        <v>-31</v>
      </c>
    </row>
    <row r="75" spans="1:528" ht="15.6" thickBot="1" x14ac:dyDescent="0.3">
      <c r="A75" s="25" t="s">
        <v>498</v>
      </c>
      <c r="B75" s="18" t="s">
        <v>228</v>
      </c>
      <c r="C75" s="3">
        <f>AGOSTO!D75</f>
        <v>0</v>
      </c>
      <c r="D75" s="55">
        <f t="shared" si="3"/>
        <v>30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>
        <f>54+54+7+6</f>
        <v>121</v>
      </c>
      <c r="AP75" s="10"/>
      <c r="AQ75" s="10"/>
      <c r="AR75" s="10">
        <v>-6</v>
      </c>
      <c r="AS75" s="10"/>
      <c r="AT75" s="10"/>
      <c r="AU75" s="10"/>
      <c r="AV75" s="10"/>
      <c r="AW75" s="10"/>
      <c r="AX75" s="10">
        <v>-13</v>
      </c>
      <c r="AY75" s="10"/>
      <c r="AZ75" s="10"/>
      <c r="BA75" s="10"/>
      <c r="BB75" s="10">
        <v>-4</v>
      </c>
      <c r="BC75" s="10"/>
      <c r="BD75" s="10">
        <v>-8</v>
      </c>
      <c r="BE75" s="10"/>
      <c r="BF75" s="10"/>
      <c r="BG75" s="10"/>
      <c r="BH75" s="10"/>
      <c r="BI75" s="10"/>
      <c r="BJ75" s="10"/>
      <c r="BK75" s="10"/>
      <c r="BL75" s="10"/>
      <c r="BM75" s="10"/>
      <c r="BN75" s="10">
        <v>-32</v>
      </c>
      <c r="BO75" s="10">
        <f>56*2</f>
        <v>112</v>
      </c>
      <c r="BP75" s="10">
        <f>-3-3</f>
        <v>-6</v>
      </c>
      <c r="BQ75" s="10">
        <f>56+56+4</f>
        <v>116</v>
      </c>
      <c r="BR75" s="10">
        <f>-224-56</f>
        <v>-280</v>
      </c>
      <c r="BS75" s="10">
        <f>112</f>
        <v>112</v>
      </c>
      <c r="BT75" s="10"/>
      <c r="BU75" s="10">
        <f>56+56</f>
        <v>112</v>
      </c>
      <c r="BV75" s="10"/>
      <c r="BW75" s="10"/>
      <c r="BX75" s="10"/>
      <c r="BY75" s="10"/>
      <c r="BZ75" s="10">
        <v>-112</v>
      </c>
      <c r="CA75" s="10">
        <v>58</v>
      </c>
      <c r="CB75" s="10"/>
      <c r="CC75" s="10"/>
      <c r="CD75" s="10">
        <f>-3-6-4</f>
        <v>-13</v>
      </c>
      <c r="CE75" s="10"/>
      <c r="CF75" s="10">
        <v>-69</v>
      </c>
      <c r="CG75" s="10"/>
      <c r="CH75" s="10">
        <v>-29</v>
      </c>
      <c r="CI75" s="10"/>
      <c r="CJ75" s="10"/>
      <c r="CK75" s="10"/>
      <c r="CL75" s="10"/>
      <c r="CM75" s="10"/>
      <c r="CN75" s="10"/>
      <c r="CO75" s="10"/>
      <c r="CP75" s="10"/>
      <c r="CQ75" s="10"/>
      <c r="CR75" s="10">
        <v>-4</v>
      </c>
      <c r="CS75" s="10"/>
      <c r="CT75" s="10">
        <v>-3</v>
      </c>
      <c r="CU75" s="10"/>
      <c r="CV75" s="10">
        <v>-8</v>
      </c>
      <c r="CW75" s="10"/>
      <c r="CX75" s="10"/>
      <c r="CY75" s="10"/>
      <c r="CZ75" s="10"/>
      <c r="DA75" s="10"/>
      <c r="DB75" s="10">
        <v>-4</v>
      </c>
      <c r="DC75" s="10">
        <f>56+21</f>
        <v>77</v>
      </c>
      <c r="DD75" s="10">
        <v>-4</v>
      </c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>
        <v>-1</v>
      </c>
      <c r="DU75" s="10"/>
      <c r="DV75" s="10"/>
      <c r="DW75" s="10">
        <v>50</v>
      </c>
      <c r="DX75" s="10"/>
      <c r="DY75" s="10"/>
      <c r="DZ75" s="10"/>
      <c r="EA75" s="10"/>
      <c r="EB75" s="10"/>
      <c r="EC75" s="10"/>
      <c r="ED75" s="10">
        <v>-152</v>
      </c>
      <c r="EE75" s="10"/>
      <c r="EF75" s="10"/>
      <c r="EG75" s="10"/>
      <c r="EH75" s="10">
        <v>-1</v>
      </c>
      <c r="EI75" s="10"/>
      <c r="EJ75" s="10"/>
      <c r="EK75" s="10"/>
      <c r="EL75" s="10"/>
      <c r="EM75" s="10"/>
      <c r="EN75" s="10">
        <v>-2</v>
      </c>
      <c r="EO75" s="10"/>
      <c r="EP75" s="10"/>
      <c r="EQ75" s="10">
        <f>35+56+21</f>
        <v>112</v>
      </c>
      <c r="ER75" s="10">
        <v>-35</v>
      </c>
      <c r="ES75" s="10"/>
      <c r="ET75" s="10">
        <v>-33</v>
      </c>
      <c r="EU75" s="10">
        <v>65</v>
      </c>
      <c r="EV75" s="10">
        <v>-72</v>
      </c>
      <c r="EW75" s="10"/>
      <c r="EX75" s="10">
        <v>-2</v>
      </c>
      <c r="EY75" s="10"/>
      <c r="EZ75" s="10"/>
      <c r="FA75" s="10"/>
      <c r="FB75" s="10"/>
      <c r="FC75" s="10"/>
      <c r="FD75" s="10"/>
      <c r="FE75" s="10"/>
      <c r="FF75" s="10"/>
      <c r="FG75" s="10"/>
      <c r="FH75" s="10">
        <v>-2</v>
      </c>
      <c r="FI75" s="10"/>
      <c r="FJ75" s="10"/>
      <c r="FK75" s="10">
        <v>56</v>
      </c>
      <c r="FL75" s="10">
        <v>-10</v>
      </c>
      <c r="FM75" s="10"/>
      <c r="FN75" s="10">
        <v>-81</v>
      </c>
      <c r="FO75" s="10"/>
      <c r="FP75" s="10"/>
      <c r="FQ75" s="10"/>
      <c r="FR75" s="10"/>
      <c r="FS75" s="10"/>
      <c r="FT75" s="10">
        <v>-3</v>
      </c>
      <c r="FU75" s="10"/>
      <c r="FV75" s="10">
        <v>-2</v>
      </c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>
        <f>56+44</f>
        <v>100</v>
      </c>
      <c r="GR75" s="10">
        <v>-60</v>
      </c>
      <c r="GS75" s="10"/>
      <c r="GT75" s="10"/>
      <c r="GU75" s="10">
        <v>56</v>
      </c>
      <c r="GV75" s="10">
        <v>-66</v>
      </c>
      <c r="GW75" s="10"/>
      <c r="GX75" s="10">
        <v>-15</v>
      </c>
      <c r="GY75" s="10"/>
      <c r="GZ75" s="10"/>
      <c r="HA75" s="14">
        <v>3</v>
      </c>
      <c r="HB75" s="10"/>
      <c r="HC75" s="10">
        <v>49</v>
      </c>
      <c r="HD75" s="10"/>
      <c r="HE75" s="10"/>
      <c r="HF75" s="10"/>
      <c r="HG75" s="10"/>
      <c r="HH75" s="10"/>
      <c r="HI75" s="10"/>
      <c r="HJ75" s="10"/>
      <c r="HK75" s="10"/>
      <c r="HL75" s="10">
        <v>-10</v>
      </c>
      <c r="HM75" s="10"/>
      <c r="HN75" s="10"/>
      <c r="HO75" s="10"/>
      <c r="HP75" s="10">
        <v>-9</v>
      </c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>
        <v>-8</v>
      </c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>
        <v>-10</v>
      </c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1">
        <f t="shared" si="4"/>
        <v>121</v>
      </c>
      <c r="TH75" s="9">
        <f t="shared" si="5"/>
        <v>-31</v>
      </c>
    </row>
    <row r="76" spans="1:528" ht="16.2" thickBot="1" x14ac:dyDescent="0.35">
      <c r="A76" s="25"/>
      <c r="B76" s="23" t="s">
        <v>967</v>
      </c>
      <c r="C76" s="3">
        <f>AGOSTO!D76</f>
        <v>0</v>
      </c>
      <c r="D76" s="21">
        <f t="shared" si="3"/>
        <v>0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1">
        <f t="shared" si="4"/>
        <v>0</v>
      </c>
      <c r="TH76" s="9">
        <f t="shared" si="5"/>
        <v>0</v>
      </c>
    </row>
    <row r="77" spans="1:528" ht="15.6" thickBot="1" x14ac:dyDescent="0.3">
      <c r="A77" s="36">
        <v>65110081152012</v>
      </c>
      <c r="B77" s="37" t="s">
        <v>107</v>
      </c>
      <c r="C77" s="3">
        <f>AGOSTO!D77</f>
        <v>130</v>
      </c>
      <c r="D77" s="55">
        <f t="shared" si="3"/>
        <v>221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>
        <f>117*5</f>
        <v>585</v>
      </c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>
        <v>-6</v>
      </c>
      <c r="AS77" s="10"/>
      <c r="AT77" s="10"/>
      <c r="AU77" s="10"/>
      <c r="AV77" s="10"/>
      <c r="AW77" s="10"/>
      <c r="AX77" s="10">
        <v>-260</v>
      </c>
      <c r="AY77" s="10">
        <f>117</f>
        <v>117</v>
      </c>
      <c r="AZ77" s="10"/>
      <c r="BA77" s="10">
        <f>117+117+10</f>
        <v>244</v>
      </c>
      <c r="BB77" s="10">
        <v>-10</v>
      </c>
      <c r="BC77" s="10"/>
      <c r="BD77" s="10">
        <v>-13</v>
      </c>
      <c r="BE77" s="10"/>
      <c r="BF77" s="10"/>
      <c r="BG77" s="10"/>
      <c r="BH77" s="10"/>
      <c r="BI77" s="10"/>
      <c r="BJ77" s="10"/>
      <c r="BK77" s="10"/>
      <c r="BL77" s="10"/>
      <c r="BM77" s="10"/>
      <c r="BN77" s="10">
        <v>-26</v>
      </c>
      <c r="BO77" s="10"/>
      <c r="BP77" s="10">
        <v>-191</v>
      </c>
      <c r="BQ77" s="10"/>
      <c r="BR77" s="10">
        <v>-117</v>
      </c>
      <c r="BS77" s="10"/>
      <c r="BT77" s="10"/>
      <c r="BU77" s="10"/>
      <c r="BV77" s="10"/>
      <c r="BW77" s="10"/>
      <c r="BX77" s="10"/>
      <c r="BY77" s="10"/>
      <c r="BZ77" s="10"/>
      <c r="CA77" s="10">
        <f>117+3</f>
        <v>120</v>
      </c>
      <c r="CB77" s="10"/>
      <c r="CC77" s="10"/>
      <c r="CD77" s="10">
        <f>-23-5-2-3</f>
        <v>-33</v>
      </c>
      <c r="CE77" s="10"/>
      <c r="CF77" s="10">
        <v>-60</v>
      </c>
      <c r="CG77" s="10"/>
      <c r="CH77" s="10">
        <v>-32</v>
      </c>
      <c r="CI77" s="10"/>
      <c r="CJ77" s="10">
        <f>-10-302-26-10</f>
        <v>-348</v>
      </c>
      <c r="CK77" s="10"/>
      <c r="CL77" s="10"/>
      <c r="CM77" s="10"/>
      <c r="CN77" s="10"/>
      <c r="CO77" s="10">
        <v>119</v>
      </c>
      <c r="CP77" s="10"/>
      <c r="CQ77" s="10"/>
      <c r="CR77" s="10">
        <v>-3</v>
      </c>
      <c r="CS77" s="10"/>
      <c r="CT77" s="10">
        <v>-5</v>
      </c>
      <c r="CU77" s="10"/>
      <c r="CV77" s="10"/>
      <c r="CW77" s="10"/>
      <c r="CX77" s="10">
        <v>-52</v>
      </c>
      <c r="CY77" s="10"/>
      <c r="CZ77" s="10"/>
      <c r="DA77" s="10"/>
      <c r="DB77" s="10">
        <v>-16</v>
      </c>
      <c r="DC77" s="10"/>
      <c r="DD77" s="10">
        <v>-4</v>
      </c>
      <c r="DE77" s="10"/>
      <c r="DF77" s="10"/>
      <c r="DG77" s="10"/>
      <c r="DH77" s="10">
        <v>-39</v>
      </c>
      <c r="DI77" s="10"/>
      <c r="DJ77" s="10">
        <v>-13</v>
      </c>
      <c r="DK77" s="10">
        <v>117</v>
      </c>
      <c r="DL77" s="10">
        <v>-26</v>
      </c>
      <c r="DM77" s="10"/>
      <c r="DN77" s="10"/>
      <c r="DO77" s="10"/>
      <c r="DP77" s="10">
        <v>-57</v>
      </c>
      <c r="DQ77" s="10">
        <v>234</v>
      </c>
      <c r="DR77" s="10"/>
      <c r="DS77" s="10"/>
      <c r="DT77" s="10">
        <v>-31</v>
      </c>
      <c r="DU77" s="10"/>
      <c r="DV77" s="10">
        <f>-19-3</f>
        <v>-22</v>
      </c>
      <c r="DW77" s="10"/>
      <c r="DX77" s="10"/>
      <c r="DY77" s="10"/>
      <c r="DZ77" s="10"/>
      <c r="EA77" s="10"/>
      <c r="EB77" s="10"/>
      <c r="EC77" s="10"/>
      <c r="ED77" s="10">
        <v>-3</v>
      </c>
      <c r="EE77" s="10"/>
      <c r="EF77" s="10">
        <v>-13</v>
      </c>
      <c r="EG77" s="10"/>
      <c r="EH77" s="10">
        <v>-31</v>
      </c>
      <c r="EI77" s="10"/>
      <c r="EJ77" s="10">
        <v>-58</v>
      </c>
      <c r="EK77" s="10"/>
      <c r="EL77" s="10">
        <v>-35</v>
      </c>
      <c r="EM77" s="10"/>
      <c r="EN77" s="10">
        <v>-3</v>
      </c>
      <c r="EO77" s="10"/>
      <c r="EP77" s="10"/>
      <c r="EQ77" s="10"/>
      <c r="ER77" s="10">
        <v>-1</v>
      </c>
      <c r="ES77" s="10"/>
      <c r="ET77" s="10">
        <f>-8-1</f>
        <v>-9</v>
      </c>
      <c r="EU77" s="10"/>
      <c r="EV77" s="10">
        <v>-2</v>
      </c>
      <c r="EW77" s="10"/>
      <c r="EX77" s="10">
        <v>-47</v>
      </c>
      <c r="EY77" s="10"/>
      <c r="EZ77" s="10">
        <v>-17</v>
      </c>
      <c r="FA77" s="10"/>
      <c r="FB77" s="10">
        <v>-26</v>
      </c>
      <c r="FC77" s="10"/>
      <c r="FD77" s="10"/>
      <c r="FE77" s="10">
        <v>117</v>
      </c>
      <c r="FF77" s="10">
        <v>-13</v>
      </c>
      <c r="FG77" s="10"/>
      <c r="FH77" s="10">
        <v>-44</v>
      </c>
      <c r="FI77" s="10"/>
      <c r="FJ77" s="10">
        <v>-44</v>
      </c>
      <c r="FK77" s="10"/>
      <c r="FL77" s="10">
        <v>-1</v>
      </c>
      <c r="FM77" s="10"/>
      <c r="FN77" s="10">
        <v>-5</v>
      </c>
      <c r="FO77" s="10"/>
      <c r="FP77" s="10"/>
      <c r="FQ77" s="10"/>
      <c r="FR77" s="10"/>
      <c r="FS77" s="10"/>
      <c r="FT77" s="10">
        <v>-13</v>
      </c>
      <c r="FU77" s="10"/>
      <c r="FV77" s="10">
        <v>-5</v>
      </c>
      <c r="FW77" s="10">
        <v>117</v>
      </c>
      <c r="FX77" s="10">
        <v>-2</v>
      </c>
      <c r="FY77" s="10">
        <v>234</v>
      </c>
      <c r="FZ77" s="10">
        <v>-16</v>
      </c>
      <c r="GA77" s="10"/>
      <c r="GB77" s="10">
        <v>-4</v>
      </c>
      <c r="GC77" s="10"/>
      <c r="GD77" s="10">
        <v>-5</v>
      </c>
      <c r="GE77" s="10"/>
      <c r="GF77" s="10"/>
      <c r="GG77" s="10"/>
      <c r="GH77" s="10"/>
      <c r="GI77" s="10"/>
      <c r="GJ77" s="10">
        <v>-12</v>
      </c>
      <c r="GK77" s="10"/>
      <c r="GL77" s="10">
        <f>-112-24</f>
        <v>-136</v>
      </c>
      <c r="GM77" s="10"/>
      <c r="GN77" s="10">
        <v>-32</v>
      </c>
      <c r="GO77" s="10"/>
      <c r="GP77" s="10"/>
      <c r="GQ77" s="10"/>
      <c r="GR77" s="10"/>
      <c r="GS77" s="10"/>
      <c r="GT77" s="10"/>
      <c r="GU77" s="10"/>
      <c r="GV77" s="10">
        <v>-134</v>
      </c>
      <c r="GW77" s="10"/>
      <c r="GX77" s="10">
        <v>-4</v>
      </c>
      <c r="GY77" s="10"/>
      <c r="GZ77" s="10"/>
      <c r="HA77" s="10"/>
      <c r="HB77" s="10">
        <v>-25</v>
      </c>
      <c r="HC77" s="10">
        <v>66</v>
      </c>
      <c r="HD77" s="10">
        <v>-52</v>
      </c>
      <c r="HE77" s="10"/>
      <c r="HF77" s="10">
        <v>-8</v>
      </c>
      <c r="HG77" s="10"/>
      <c r="HH77" s="10"/>
      <c r="HI77" s="10"/>
      <c r="HJ77" s="10"/>
      <c r="HK77" s="10"/>
      <c r="HL77" s="10">
        <f>-10-2</f>
        <v>-12</v>
      </c>
      <c r="HM77" s="10"/>
      <c r="HN77" s="10"/>
      <c r="HO77" s="10">
        <v>101</v>
      </c>
      <c r="HP77" s="10"/>
      <c r="HQ77" s="10"/>
      <c r="HR77" s="10"/>
      <c r="HS77" s="10"/>
      <c r="HT77" s="10">
        <v>-10</v>
      </c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>
        <v>-13</v>
      </c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>
        <v>-5</v>
      </c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>
        <v>124</v>
      </c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1">
        <f t="shared" si="4"/>
        <v>946</v>
      </c>
      <c r="TH77" s="9">
        <f t="shared" si="5"/>
        <v>-289</v>
      </c>
    </row>
    <row r="78" spans="1:528" ht="15.6" thickBot="1" x14ac:dyDescent="0.3">
      <c r="A78" s="25" t="s">
        <v>552</v>
      </c>
      <c r="B78" s="18" t="s">
        <v>11</v>
      </c>
      <c r="C78" s="3">
        <f>AGOSTO!D78</f>
        <v>130</v>
      </c>
      <c r="D78" s="55">
        <f t="shared" si="3"/>
        <v>77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>
        <f>117*4+7</f>
        <v>475</v>
      </c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>
        <f>117*3+3</f>
        <v>354</v>
      </c>
      <c r="AR78" s="10">
        <f>-8-6</f>
        <v>-14</v>
      </c>
      <c r="AS78" s="10"/>
      <c r="AT78" s="10"/>
      <c r="AU78" s="10"/>
      <c r="AV78" s="10"/>
      <c r="AW78" s="10"/>
      <c r="AX78" s="10">
        <v>-330</v>
      </c>
      <c r="AY78" s="10"/>
      <c r="AZ78" s="10"/>
      <c r="BA78" s="10">
        <f>117+117+9</f>
        <v>243</v>
      </c>
      <c r="BB78" s="10">
        <f>-10-6-34</f>
        <v>-50</v>
      </c>
      <c r="BC78" s="10"/>
      <c r="BD78" s="10">
        <v>-13</v>
      </c>
      <c r="BE78" s="10"/>
      <c r="BF78" s="10"/>
      <c r="BG78" s="10"/>
      <c r="BH78" s="10"/>
      <c r="BI78" s="10"/>
      <c r="BJ78" s="10"/>
      <c r="BK78" s="10"/>
      <c r="BL78" s="10">
        <v>-52</v>
      </c>
      <c r="BM78" s="10"/>
      <c r="BN78" s="10">
        <v>-26</v>
      </c>
      <c r="BO78" s="10"/>
      <c r="BP78" s="10">
        <f>-30-128</f>
        <v>-158</v>
      </c>
      <c r="BQ78" s="10"/>
      <c r="BR78" s="10">
        <v>-117</v>
      </c>
      <c r="BS78" s="10">
        <f>117+3</f>
        <v>120</v>
      </c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>
        <f>-5-2-6</f>
        <v>-13</v>
      </c>
      <c r="CE78" s="10"/>
      <c r="CF78" s="10">
        <v>-92</v>
      </c>
      <c r="CG78" s="10"/>
      <c r="CH78" s="10">
        <v>-75</v>
      </c>
      <c r="CI78" s="10">
        <f>167+40</f>
        <v>207</v>
      </c>
      <c r="CJ78" s="10">
        <f>-236-59-5-40-20</f>
        <v>-360</v>
      </c>
      <c r="CK78" s="10"/>
      <c r="CL78" s="10"/>
      <c r="CM78" s="10"/>
      <c r="CN78" s="10">
        <v>-5</v>
      </c>
      <c r="CO78" s="10">
        <v>124</v>
      </c>
      <c r="CP78" s="10">
        <v>-44</v>
      </c>
      <c r="CQ78" s="10"/>
      <c r="CR78" s="10"/>
      <c r="CS78" s="10"/>
      <c r="CT78" s="10">
        <v>-122</v>
      </c>
      <c r="CU78" s="10"/>
      <c r="CV78" s="10"/>
      <c r="CW78" s="10"/>
      <c r="CX78" s="10"/>
      <c r="CY78" s="10"/>
      <c r="CZ78" s="10"/>
      <c r="DA78" s="10">
        <f>117*2</f>
        <v>234</v>
      </c>
      <c r="DB78" s="10">
        <v>-5</v>
      </c>
      <c r="DC78" s="10"/>
      <c r="DD78" s="10">
        <v>-4</v>
      </c>
      <c r="DE78" s="10"/>
      <c r="DF78" s="10">
        <v>-26</v>
      </c>
      <c r="DG78" s="10"/>
      <c r="DH78" s="10">
        <v>-40</v>
      </c>
      <c r="DI78" s="10">
        <v>234</v>
      </c>
      <c r="DJ78" s="10">
        <v>-84</v>
      </c>
      <c r="DK78" s="10"/>
      <c r="DL78" s="10">
        <v>-26</v>
      </c>
      <c r="DM78" s="10"/>
      <c r="DN78" s="10"/>
      <c r="DO78" s="10"/>
      <c r="DP78" s="10">
        <v>-70</v>
      </c>
      <c r="DQ78" s="10"/>
      <c r="DR78" s="10">
        <v>-149</v>
      </c>
      <c r="DS78" s="10"/>
      <c r="DT78" s="10">
        <v>-22</v>
      </c>
      <c r="DU78" s="10"/>
      <c r="DV78" s="10">
        <v>-58</v>
      </c>
      <c r="DW78" s="10"/>
      <c r="DX78" s="10"/>
      <c r="DY78" s="10"/>
      <c r="DZ78" s="10"/>
      <c r="EA78" s="10"/>
      <c r="EB78" s="10"/>
      <c r="EC78" s="10"/>
      <c r="ED78" s="10">
        <v>-13</v>
      </c>
      <c r="EE78" s="10"/>
      <c r="EF78" s="10">
        <v>-38</v>
      </c>
      <c r="EG78" s="10"/>
      <c r="EH78" s="10">
        <v>-31</v>
      </c>
      <c r="EI78" s="10">
        <f>117+51+76+41</f>
        <v>285</v>
      </c>
      <c r="EJ78" s="10">
        <v>-114</v>
      </c>
      <c r="EK78" s="10"/>
      <c r="EL78" s="10">
        <v>-32</v>
      </c>
      <c r="EM78" s="10"/>
      <c r="EN78" s="10">
        <v>-20</v>
      </c>
      <c r="EO78" s="10"/>
      <c r="EP78" s="10"/>
      <c r="EQ78" s="10"/>
      <c r="ER78" s="10"/>
      <c r="ES78" s="10"/>
      <c r="ET78" s="10">
        <f>-8-8</f>
        <v>-16</v>
      </c>
      <c r="EU78" s="10"/>
      <c r="EV78" s="10">
        <v>-39</v>
      </c>
      <c r="EW78" s="10">
        <v>234</v>
      </c>
      <c r="EX78" s="10">
        <v>-47</v>
      </c>
      <c r="EY78" s="10"/>
      <c r="EZ78" s="10">
        <v>-137</v>
      </c>
      <c r="FA78" s="10"/>
      <c r="FB78" s="10">
        <v>-26</v>
      </c>
      <c r="FC78" s="10"/>
      <c r="FD78" s="10"/>
      <c r="FE78" s="10"/>
      <c r="FF78" s="10">
        <v>-13</v>
      </c>
      <c r="FG78" s="10"/>
      <c r="FH78" s="10">
        <v>-62</v>
      </c>
      <c r="FI78" s="10"/>
      <c r="FJ78" s="10">
        <v>-69</v>
      </c>
      <c r="FK78" s="10"/>
      <c r="FL78" s="10"/>
      <c r="FM78" s="10"/>
      <c r="FN78" s="10">
        <v>-3</v>
      </c>
      <c r="FO78" s="10"/>
      <c r="FP78" s="10"/>
      <c r="FQ78" s="10"/>
      <c r="FR78" s="10"/>
      <c r="FS78" s="10"/>
      <c r="FT78" s="10"/>
      <c r="FU78" s="10"/>
      <c r="FV78" s="10">
        <v>-4</v>
      </c>
      <c r="FW78" s="10">
        <v>117</v>
      </c>
      <c r="FX78" s="10">
        <v>-2</v>
      </c>
      <c r="FY78" s="10">
        <v>117</v>
      </c>
      <c r="FZ78" s="10">
        <v>-11</v>
      </c>
      <c r="GA78" s="10"/>
      <c r="GB78" s="10">
        <v>-4</v>
      </c>
      <c r="GC78" s="10"/>
      <c r="GD78" s="10">
        <v>-5</v>
      </c>
      <c r="GE78" s="10"/>
      <c r="GF78" s="10"/>
      <c r="GG78" s="10">
        <v>117</v>
      </c>
      <c r="GH78" s="10">
        <v>-33</v>
      </c>
      <c r="GI78" s="10"/>
      <c r="GJ78" s="10">
        <v>-2</v>
      </c>
      <c r="GK78" s="10"/>
      <c r="GL78" s="10">
        <v>-176</v>
      </c>
      <c r="GM78" s="10"/>
      <c r="GN78" s="10">
        <v>-37</v>
      </c>
      <c r="GO78" s="10"/>
      <c r="GP78" s="10"/>
      <c r="GQ78" s="10"/>
      <c r="GR78" s="10">
        <v>-10</v>
      </c>
      <c r="GS78" s="10"/>
      <c r="GT78" s="10"/>
      <c r="GU78" s="10">
        <v>117</v>
      </c>
      <c r="GV78" s="10">
        <v>-85</v>
      </c>
      <c r="GW78" s="10"/>
      <c r="GX78" s="10">
        <v>-4</v>
      </c>
      <c r="GY78" s="10"/>
      <c r="GZ78" s="10"/>
      <c r="HA78" s="10"/>
      <c r="HB78" s="10">
        <v>-25</v>
      </c>
      <c r="HC78" s="10">
        <v>117</v>
      </c>
      <c r="HD78" s="10">
        <v>-52</v>
      </c>
      <c r="HE78" s="10"/>
      <c r="HF78" s="10">
        <v>-5</v>
      </c>
      <c r="HG78" s="10"/>
      <c r="HH78" s="10"/>
      <c r="HI78" s="10"/>
      <c r="HJ78" s="10">
        <v>-50</v>
      </c>
      <c r="HK78" s="10"/>
      <c r="HL78" s="10">
        <v>-18</v>
      </c>
      <c r="HM78" s="10"/>
      <c r="HN78" s="10"/>
      <c r="HO78" s="10"/>
      <c r="HP78" s="10"/>
      <c r="HQ78" s="10"/>
      <c r="HR78" s="10"/>
      <c r="HS78" s="10"/>
      <c r="HT78" s="10">
        <v>-5</v>
      </c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>
        <v>-5</v>
      </c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1">
        <f t="shared" si="4"/>
        <v>1072</v>
      </c>
      <c r="TH78" s="9">
        <f t="shared" si="5"/>
        <v>-407</v>
      </c>
    </row>
    <row r="79" spans="1:528" ht="15.6" thickBot="1" x14ac:dyDescent="0.3">
      <c r="A79" s="25" t="s">
        <v>559</v>
      </c>
      <c r="B79" s="18" t="s">
        <v>43</v>
      </c>
      <c r="C79" s="3">
        <f>AGOSTO!D79</f>
        <v>364</v>
      </c>
      <c r="D79" s="55">
        <f t="shared" si="3"/>
        <v>65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>
        <f>117*6+4</f>
        <v>706</v>
      </c>
      <c r="AJ79" s="10"/>
      <c r="AK79" s="10"/>
      <c r="AL79" s="10"/>
      <c r="AM79" s="10"/>
      <c r="AN79" s="10"/>
      <c r="AO79" s="10"/>
      <c r="AP79" s="10"/>
      <c r="AQ79" s="10"/>
      <c r="AR79" s="10">
        <v>-6</v>
      </c>
      <c r="AS79" s="10"/>
      <c r="AT79" s="10"/>
      <c r="AU79" s="10"/>
      <c r="AV79" s="10"/>
      <c r="AW79" s="10"/>
      <c r="AX79" s="10">
        <v>-304</v>
      </c>
      <c r="AY79" s="10"/>
      <c r="AZ79" s="10"/>
      <c r="BA79" s="10">
        <v>117</v>
      </c>
      <c r="BB79" s="10">
        <v>-10</v>
      </c>
      <c r="BC79" s="10">
        <f>117*4+11</f>
        <v>479</v>
      </c>
      <c r="BD79" s="10">
        <v>-13</v>
      </c>
      <c r="BE79" s="10"/>
      <c r="BF79" s="10"/>
      <c r="BG79" s="10"/>
      <c r="BH79" s="10"/>
      <c r="BI79" s="10"/>
      <c r="BJ79" s="10"/>
      <c r="BK79" s="10"/>
      <c r="BL79" s="10">
        <v>-52</v>
      </c>
      <c r="BM79" s="10"/>
      <c r="BN79" s="10">
        <v>-91</v>
      </c>
      <c r="BO79" s="10"/>
      <c r="BP79" s="10">
        <f>-30-320</f>
        <v>-350</v>
      </c>
      <c r="BQ79" s="10"/>
      <c r="BR79" s="10">
        <v>-117</v>
      </c>
      <c r="BS79" s="10">
        <f>117+43</f>
        <v>160</v>
      </c>
      <c r="BT79" s="10"/>
      <c r="BU79" s="10"/>
      <c r="BV79" s="10"/>
      <c r="BW79" s="10"/>
      <c r="BX79" s="10"/>
      <c r="BY79" s="10"/>
      <c r="BZ79" s="10"/>
      <c r="CA79" s="10"/>
      <c r="CB79" s="10"/>
      <c r="CC79" s="10">
        <f>117+117+10</f>
        <v>244</v>
      </c>
      <c r="CD79" s="10">
        <f>-53-10-2-8</f>
        <v>-73</v>
      </c>
      <c r="CE79" s="10"/>
      <c r="CF79" s="10">
        <v>-214</v>
      </c>
      <c r="CG79" s="10"/>
      <c r="CH79" s="10">
        <v>-97</v>
      </c>
      <c r="CI79" s="10"/>
      <c r="CJ79" s="10">
        <f>-338-91-109</f>
        <v>-538</v>
      </c>
      <c r="CK79" s="10"/>
      <c r="CL79" s="10"/>
      <c r="CM79" s="10">
        <f>117+117</f>
        <v>234</v>
      </c>
      <c r="CN79" s="10"/>
      <c r="CO79" s="10">
        <v>117</v>
      </c>
      <c r="CP79" s="10"/>
      <c r="CQ79" s="10"/>
      <c r="CR79" s="10">
        <v>-3</v>
      </c>
      <c r="CS79" s="10"/>
      <c r="CT79" s="10">
        <v>-109</v>
      </c>
      <c r="CU79" s="10"/>
      <c r="CV79" s="10"/>
      <c r="CW79" s="10"/>
      <c r="CX79" s="10">
        <v>-52</v>
      </c>
      <c r="CY79" s="10"/>
      <c r="CZ79" s="10"/>
      <c r="DA79" s="10"/>
      <c r="DB79" s="10">
        <v>-117</v>
      </c>
      <c r="DC79" s="10"/>
      <c r="DD79" s="10">
        <v>-4</v>
      </c>
      <c r="DE79" s="10"/>
      <c r="DF79" s="10">
        <v>-52</v>
      </c>
      <c r="DG79" s="10"/>
      <c r="DH79" s="10">
        <v>-40</v>
      </c>
      <c r="DI79" s="10"/>
      <c r="DJ79" s="10">
        <v>-13</v>
      </c>
      <c r="DK79" s="10">
        <v>234</v>
      </c>
      <c r="DL79" s="10">
        <v>-26</v>
      </c>
      <c r="DM79" s="10"/>
      <c r="DN79" s="10"/>
      <c r="DO79" s="10"/>
      <c r="DP79" s="10">
        <v>-5</v>
      </c>
      <c r="DQ79" s="10"/>
      <c r="DR79" s="10">
        <v>-83</v>
      </c>
      <c r="DS79" s="10"/>
      <c r="DT79" s="10">
        <v>-46</v>
      </c>
      <c r="DU79" s="10"/>
      <c r="DV79" s="10">
        <f>-38-3</f>
        <v>-41</v>
      </c>
      <c r="DW79" s="10"/>
      <c r="DX79" s="10"/>
      <c r="DY79" s="10"/>
      <c r="DZ79" s="10"/>
      <c r="EA79" s="10"/>
      <c r="EB79" s="10"/>
      <c r="EC79" s="10"/>
      <c r="ED79" s="10">
        <v>-13</v>
      </c>
      <c r="EE79" s="10"/>
      <c r="EF79" s="10">
        <v>-13</v>
      </c>
      <c r="EG79" s="10"/>
      <c r="EH79" s="10">
        <v>-7</v>
      </c>
      <c r="EI79" s="10"/>
      <c r="EJ79" s="10">
        <v>-58</v>
      </c>
      <c r="EK79" s="10"/>
      <c r="EL79" s="10">
        <v>-11</v>
      </c>
      <c r="EM79" s="10">
        <v>117</v>
      </c>
      <c r="EN79" s="10">
        <v>-3</v>
      </c>
      <c r="EO79" s="10"/>
      <c r="EP79" s="10"/>
      <c r="EQ79" s="10">
        <v>117</v>
      </c>
      <c r="ER79" s="10">
        <v>-30</v>
      </c>
      <c r="ES79" s="10"/>
      <c r="ET79" s="10">
        <v>-9</v>
      </c>
      <c r="EU79" s="10"/>
      <c r="EV79" s="10">
        <v>-41</v>
      </c>
      <c r="EW79" s="10"/>
      <c r="EX79" s="10">
        <v>-60</v>
      </c>
      <c r="EY79" s="10">
        <v>117</v>
      </c>
      <c r="EZ79" s="10">
        <v>-135</v>
      </c>
      <c r="FA79" s="10"/>
      <c r="FB79" s="10">
        <v>-26</v>
      </c>
      <c r="FC79" s="10"/>
      <c r="FD79" s="10"/>
      <c r="FE79" s="10"/>
      <c r="FF79" s="10">
        <v>-39</v>
      </c>
      <c r="FG79" s="10"/>
      <c r="FH79" s="10">
        <v>-20</v>
      </c>
      <c r="FI79" s="10"/>
      <c r="FJ79" s="10">
        <v>-44</v>
      </c>
      <c r="FK79" s="10"/>
      <c r="FL79" s="10">
        <v>-3</v>
      </c>
      <c r="FM79" s="10">
        <v>234</v>
      </c>
      <c r="FN79" s="10">
        <v>-150</v>
      </c>
      <c r="FO79" s="10"/>
      <c r="FP79" s="10"/>
      <c r="FQ79" s="10"/>
      <c r="FR79" s="10"/>
      <c r="FS79" s="10"/>
      <c r="FT79" s="10">
        <v>-21</v>
      </c>
      <c r="FU79" s="10"/>
      <c r="FV79" s="10">
        <v>-7</v>
      </c>
      <c r="FW79" s="10">
        <v>234</v>
      </c>
      <c r="FX79" s="10">
        <v>-32</v>
      </c>
      <c r="FY79" s="10">
        <v>117</v>
      </c>
      <c r="FZ79" s="10">
        <v>-16</v>
      </c>
      <c r="GA79" s="10"/>
      <c r="GB79" s="10"/>
      <c r="GC79" s="10"/>
      <c r="GD79" s="10">
        <v>-5</v>
      </c>
      <c r="GE79" s="10"/>
      <c r="GF79" s="10"/>
      <c r="GG79" s="10"/>
      <c r="GH79" s="10">
        <v>-26</v>
      </c>
      <c r="GI79" s="10"/>
      <c r="GJ79" s="10">
        <v>-2</v>
      </c>
      <c r="GK79" s="10"/>
      <c r="GL79" s="10">
        <v>-147</v>
      </c>
      <c r="GM79" s="10"/>
      <c r="GN79" s="10">
        <v>-47</v>
      </c>
      <c r="GO79" s="10"/>
      <c r="GP79" s="10"/>
      <c r="GQ79" s="10"/>
      <c r="GR79" s="10"/>
      <c r="GS79" s="10"/>
      <c r="GT79" s="10"/>
      <c r="GU79" s="10">
        <v>117</v>
      </c>
      <c r="GV79" s="10">
        <v>-134</v>
      </c>
      <c r="GW79" s="10"/>
      <c r="GX79" s="10">
        <v>-38</v>
      </c>
      <c r="GY79" s="10"/>
      <c r="GZ79" s="10">
        <v>-1</v>
      </c>
      <c r="HA79" s="10"/>
      <c r="HB79" s="10">
        <v>-25</v>
      </c>
      <c r="HC79" s="10"/>
      <c r="HD79" s="10">
        <f>-52-2</f>
        <v>-54</v>
      </c>
      <c r="HE79" s="10"/>
      <c r="HF79" s="10">
        <v>-5</v>
      </c>
      <c r="HG79" s="10"/>
      <c r="HH79" s="10"/>
      <c r="HI79" s="10"/>
      <c r="HJ79" s="10"/>
      <c r="HK79" s="10">
        <v>117</v>
      </c>
      <c r="HL79" s="10">
        <v>-15</v>
      </c>
      <c r="HM79" s="10"/>
      <c r="HN79" s="10">
        <v>-117</v>
      </c>
      <c r="HO79" s="10"/>
      <c r="HP79" s="10"/>
      <c r="HQ79" s="10"/>
      <c r="HR79" s="10"/>
      <c r="HS79" s="10"/>
      <c r="HT79" s="10">
        <v>-10</v>
      </c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>
        <v>76</v>
      </c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>
        <v>-13</v>
      </c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>
        <v>-3</v>
      </c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1">
        <f t="shared" si="4"/>
        <v>1302</v>
      </c>
      <c r="TH79" s="9">
        <f t="shared" si="5"/>
        <v>-333</v>
      </c>
    </row>
    <row r="80" spans="1:528" ht="15.6" thickBot="1" x14ac:dyDescent="0.3">
      <c r="A80" s="25" t="s">
        <v>736</v>
      </c>
      <c r="B80" s="18" t="s">
        <v>41</v>
      </c>
      <c r="C80" s="3">
        <f>AGOSTO!D80</f>
        <v>130</v>
      </c>
      <c r="D80" s="55">
        <f t="shared" si="3"/>
        <v>6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>
        <v>117</v>
      </c>
      <c r="AJ80" s="10"/>
      <c r="AK80" s="10">
        <f>117+117+18</f>
        <v>252</v>
      </c>
      <c r="AL80" s="10"/>
      <c r="AM80" s="10"/>
      <c r="AN80" s="10"/>
      <c r="AO80" s="10"/>
      <c r="AP80" s="10"/>
      <c r="AQ80" s="10">
        <f>117+80</f>
        <v>197</v>
      </c>
      <c r="AR80" s="10">
        <v>-6</v>
      </c>
      <c r="AS80" s="10"/>
      <c r="AT80" s="10"/>
      <c r="AU80" s="10"/>
      <c r="AV80" s="10"/>
      <c r="AW80" s="10"/>
      <c r="AX80" s="10">
        <v>-239</v>
      </c>
      <c r="AY80" s="10"/>
      <c r="AZ80" s="10"/>
      <c r="BA80" s="10"/>
      <c r="BB80" s="10">
        <v>-10</v>
      </c>
      <c r="BC80" s="10">
        <f>117+62</f>
        <v>179</v>
      </c>
      <c r="BD80" s="10">
        <v>-13</v>
      </c>
      <c r="BE80" s="10"/>
      <c r="BF80" s="10"/>
      <c r="BG80" s="10"/>
      <c r="BH80" s="10"/>
      <c r="BI80" s="10"/>
      <c r="BJ80" s="10"/>
      <c r="BK80" s="10"/>
      <c r="BL80" s="10"/>
      <c r="BM80" s="10"/>
      <c r="BN80" s="10">
        <v>-13</v>
      </c>
      <c r="BO80" s="10"/>
      <c r="BP80" s="10">
        <v>-65</v>
      </c>
      <c r="BQ80" s="10"/>
      <c r="BR80" s="10">
        <v>-117</v>
      </c>
      <c r="BS80" s="10"/>
      <c r="BT80" s="10"/>
      <c r="BU80" s="10">
        <v>117</v>
      </c>
      <c r="BV80" s="10"/>
      <c r="BW80" s="10"/>
      <c r="BX80" s="10"/>
      <c r="BY80" s="10"/>
      <c r="BZ80" s="10"/>
      <c r="CA80" s="10"/>
      <c r="CB80" s="10"/>
      <c r="CC80" s="10">
        <f>117+74</f>
        <v>191</v>
      </c>
      <c r="CD80" s="10">
        <f>-4-2-5</f>
        <v>-11</v>
      </c>
      <c r="CE80" s="10"/>
      <c r="CF80" s="10">
        <v>-65</v>
      </c>
      <c r="CG80" s="10"/>
      <c r="CH80" s="10">
        <v>-60</v>
      </c>
      <c r="CI80" s="10"/>
      <c r="CJ80" s="10">
        <f>-74-43-117-104</f>
        <v>-338</v>
      </c>
      <c r="CK80" s="10"/>
      <c r="CL80" s="10"/>
      <c r="CM80" s="10"/>
      <c r="CN80" s="10"/>
      <c r="CO80" s="10"/>
      <c r="CP80" s="10"/>
      <c r="CQ80" s="10">
        <v>126</v>
      </c>
      <c r="CR80" s="10">
        <v>-3</v>
      </c>
      <c r="CS80" s="10"/>
      <c r="CT80" s="10">
        <v>-18</v>
      </c>
      <c r="CU80" s="10"/>
      <c r="CV80" s="10"/>
      <c r="CW80" s="10"/>
      <c r="CX80" s="10">
        <v>-52</v>
      </c>
      <c r="CY80" s="10"/>
      <c r="CZ80" s="10"/>
      <c r="DA80" s="10"/>
      <c r="DB80" s="10">
        <v>-122</v>
      </c>
      <c r="DC80" s="10"/>
      <c r="DD80" s="10">
        <v>-3</v>
      </c>
      <c r="DE80" s="10"/>
      <c r="DF80" s="10"/>
      <c r="DG80" s="10"/>
      <c r="DH80" s="10">
        <v>-39</v>
      </c>
      <c r="DI80" s="10"/>
      <c r="DJ80" s="10">
        <v>-13</v>
      </c>
      <c r="DK80" s="10"/>
      <c r="DL80" s="10">
        <v>-26</v>
      </c>
      <c r="DM80" s="10"/>
      <c r="DN80" s="10"/>
      <c r="DO80" s="10"/>
      <c r="DP80" s="10">
        <v>-5</v>
      </c>
      <c r="DQ80" s="10">
        <f>117+9</f>
        <v>126</v>
      </c>
      <c r="DR80" s="10"/>
      <c r="DS80" s="10"/>
      <c r="DT80" s="10">
        <v>-42</v>
      </c>
      <c r="DU80" s="10"/>
      <c r="DV80" s="10">
        <f>-33-3</f>
        <v>-36</v>
      </c>
      <c r="DW80" s="10"/>
      <c r="DX80" s="10"/>
      <c r="DY80" s="10"/>
      <c r="DZ80" s="10"/>
      <c r="EA80" s="10"/>
      <c r="EB80" s="10"/>
      <c r="EC80" s="10"/>
      <c r="ED80" s="10">
        <v>-8</v>
      </c>
      <c r="EE80" s="10"/>
      <c r="EF80" s="10"/>
      <c r="EG80" s="10"/>
      <c r="EH80" s="10">
        <v>-4</v>
      </c>
      <c r="EI80" s="10"/>
      <c r="EJ80" s="10">
        <v>-32</v>
      </c>
      <c r="EK80" s="10"/>
      <c r="EL80" s="10">
        <v>-32</v>
      </c>
      <c r="EM80" s="10"/>
      <c r="EN80" s="10">
        <v>-3</v>
      </c>
      <c r="EO80" s="10"/>
      <c r="EP80" s="10"/>
      <c r="EQ80" s="10"/>
      <c r="ER80" s="10"/>
      <c r="ES80" s="10"/>
      <c r="ET80" s="10">
        <v>-3</v>
      </c>
      <c r="EU80" s="10"/>
      <c r="EV80" s="10">
        <v>-2</v>
      </c>
      <c r="EW80" s="10">
        <v>117</v>
      </c>
      <c r="EX80" s="10">
        <v>-47</v>
      </c>
      <c r="EY80" s="10"/>
      <c r="EZ80" s="10">
        <v>-13</v>
      </c>
      <c r="FA80" s="10"/>
      <c r="FB80" s="10"/>
      <c r="FC80" s="10"/>
      <c r="FD80" s="10"/>
      <c r="FE80" s="10"/>
      <c r="FF80" s="10">
        <v>-26</v>
      </c>
      <c r="FG80" s="10"/>
      <c r="FH80" s="10">
        <v>-5</v>
      </c>
      <c r="FI80" s="10"/>
      <c r="FJ80" s="10">
        <v>-44</v>
      </c>
      <c r="FK80" s="10"/>
      <c r="FL80" s="10">
        <v>-3</v>
      </c>
      <c r="FM80" s="10"/>
      <c r="FN80" s="10">
        <v>-3</v>
      </c>
      <c r="FO80" s="10"/>
      <c r="FP80" s="10"/>
      <c r="FQ80" s="10"/>
      <c r="FR80" s="10"/>
      <c r="FS80" s="10"/>
      <c r="FT80" s="10">
        <v>-16</v>
      </c>
      <c r="FU80" s="10"/>
      <c r="FV80" s="10">
        <v>-5</v>
      </c>
      <c r="FW80" s="10"/>
      <c r="FX80" s="10">
        <v>-2</v>
      </c>
      <c r="FY80" s="10"/>
      <c r="FZ80" s="10"/>
      <c r="GA80" s="10"/>
      <c r="GB80" s="10"/>
      <c r="GC80" s="10"/>
      <c r="GD80" s="10"/>
      <c r="GE80" s="10"/>
      <c r="GF80" s="10"/>
      <c r="GG80" s="10">
        <v>117</v>
      </c>
      <c r="GH80" s="10"/>
      <c r="GI80" s="10"/>
      <c r="GJ80" s="10">
        <v>-2</v>
      </c>
      <c r="GK80" s="10"/>
      <c r="GL80" s="10">
        <v>-38</v>
      </c>
      <c r="GM80" s="10"/>
      <c r="GN80" s="10">
        <v>-32</v>
      </c>
      <c r="GO80" s="10"/>
      <c r="GP80" s="10"/>
      <c r="GQ80" s="10"/>
      <c r="GR80" s="10">
        <v>-10</v>
      </c>
      <c r="GS80" s="10"/>
      <c r="GT80" s="10"/>
      <c r="GU80" s="10"/>
      <c r="GV80" s="10"/>
      <c r="GW80" s="10"/>
      <c r="GX80" s="10">
        <v>-4</v>
      </c>
      <c r="GY80" s="10"/>
      <c r="GZ80" s="10">
        <v>-1</v>
      </c>
      <c r="HA80" s="10">
        <v>117</v>
      </c>
      <c r="HB80" s="10">
        <v>-30</v>
      </c>
      <c r="HC80" s="10"/>
      <c r="HD80" s="10">
        <v>-52</v>
      </c>
      <c r="HE80" s="10"/>
      <c r="HF80" s="10">
        <v>-5</v>
      </c>
      <c r="HG80" s="10"/>
      <c r="HH80" s="10"/>
      <c r="HI80" s="10"/>
      <c r="HJ80" s="10"/>
      <c r="HK80" s="10"/>
      <c r="HL80" s="10">
        <v>-15</v>
      </c>
      <c r="HM80" s="10"/>
      <c r="HN80" s="10"/>
      <c r="HO80" s="10"/>
      <c r="HP80" s="10"/>
      <c r="HQ80" s="10"/>
      <c r="HR80" s="10"/>
      <c r="HS80" s="10"/>
      <c r="HT80" s="10">
        <v>-10</v>
      </c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>
        <v>-13</v>
      </c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>
        <v>-5</v>
      </c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>
        <v>-19</v>
      </c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1">
        <f t="shared" si="4"/>
        <v>745</v>
      </c>
      <c r="TH80" s="9">
        <f t="shared" si="5"/>
        <v>-268</v>
      </c>
    </row>
    <row r="81" spans="1:528" ht="15.6" thickBot="1" x14ac:dyDescent="0.3">
      <c r="A81" s="25" t="s">
        <v>531</v>
      </c>
      <c r="B81" s="18" t="s">
        <v>272</v>
      </c>
      <c r="C81" s="3">
        <f>AGOSTO!D81</f>
        <v>260</v>
      </c>
      <c r="D81" s="55">
        <f t="shared" si="3"/>
        <v>99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>
        <v>-6</v>
      </c>
      <c r="AS81" s="10">
        <f>117*4+2</f>
        <v>470</v>
      </c>
      <c r="AT81" s="10"/>
      <c r="AU81" s="10"/>
      <c r="AV81" s="10"/>
      <c r="AW81" s="10"/>
      <c r="AX81" s="10">
        <v>-447</v>
      </c>
      <c r="AY81" s="10"/>
      <c r="AZ81" s="10"/>
      <c r="BA81" s="10"/>
      <c r="BB81" s="10">
        <v>-10</v>
      </c>
      <c r="BC81" s="10"/>
      <c r="BD81" s="10">
        <v>-13</v>
      </c>
      <c r="BE81" s="10"/>
      <c r="BF81" s="10"/>
      <c r="BG81" s="10"/>
      <c r="BH81" s="10"/>
      <c r="BI81" s="10"/>
      <c r="BJ81" s="10"/>
      <c r="BK81" s="10"/>
      <c r="BL81" s="10">
        <v>-52</v>
      </c>
      <c r="BM81" s="10"/>
      <c r="BN81" s="10">
        <v>-26</v>
      </c>
      <c r="BO81" s="10"/>
      <c r="BP81" s="10">
        <v>-10</v>
      </c>
      <c r="BQ81" s="10"/>
      <c r="BR81" s="10"/>
      <c r="BS81" s="10">
        <v>117</v>
      </c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>
        <f>-153-2-2-2</f>
        <v>-159</v>
      </c>
      <c r="CE81" s="10"/>
      <c r="CF81" s="10">
        <v>-28</v>
      </c>
      <c r="CG81" s="10"/>
      <c r="CH81" s="10">
        <v>-47</v>
      </c>
      <c r="CI81" s="10"/>
      <c r="CJ81" s="10">
        <v>-10</v>
      </c>
      <c r="CK81" s="10"/>
      <c r="CL81" s="10"/>
      <c r="CM81" s="10">
        <f>117*3</f>
        <v>351</v>
      </c>
      <c r="CN81" s="10">
        <v>-5</v>
      </c>
      <c r="CO81" s="10"/>
      <c r="CP81" s="10"/>
      <c r="CQ81" s="10"/>
      <c r="CR81" s="10">
        <v>-3</v>
      </c>
      <c r="CS81" s="10"/>
      <c r="CT81" s="10">
        <v>-83</v>
      </c>
      <c r="CU81" s="10"/>
      <c r="CV81" s="10"/>
      <c r="CW81" s="10"/>
      <c r="CX81" s="10">
        <v>-52</v>
      </c>
      <c r="CY81" s="10"/>
      <c r="CZ81" s="10"/>
      <c r="DA81" s="10"/>
      <c r="DB81" s="10">
        <v>-10</v>
      </c>
      <c r="DC81" s="10"/>
      <c r="DD81" s="10">
        <v>-4</v>
      </c>
      <c r="DE81" s="10"/>
      <c r="DF81" s="10">
        <v>-26</v>
      </c>
      <c r="DG81" s="10"/>
      <c r="DH81" s="10">
        <v>-39</v>
      </c>
      <c r="DI81" s="10"/>
      <c r="DJ81" s="10">
        <v>-13</v>
      </c>
      <c r="DK81" s="10">
        <v>234</v>
      </c>
      <c r="DL81" s="10">
        <v>-26</v>
      </c>
      <c r="DM81" s="10"/>
      <c r="DN81" s="10"/>
      <c r="DO81" s="10"/>
      <c r="DP81" s="10">
        <v>-5</v>
      </c>
      <c r="DQ81" s="10"/>
      <c r="DR81" s="10">
        <v>-56</v>
      </c>
      <c r="DS81" s="10"/>
      <c r="DT81" s="10">
        <v>-23</v>
      </c>
      <c r="DU81" s="10"/>
      <c r="DV81" s="10">
        <f>-97-10</f>
        <v>-107</v>
      </c>
      <c r="DW81" s="10"/>
      <c r="DX81" s="10"/>
      <c r="DY81" s="10"/>
      <c r="DZ81" s="10"/>
      <c r="EA81" s="10"/>
      <c r="EB81" s="10"/>
      <c r="EC81" s="10"/>
      <c r="ED81" s="10">
        <v>-3</v>
      </c>
      <c r="EE81" s="10"/>
      <c r="EF81" s="10"/>
      <c r="EG81" s="10"/>
      <c r="EH81" s="10">
        <v>-4</v>
      </c>
      <c r="EI81" s="10"/>
      <c r="EJ81" s="10">
        <v>-58</v>
      </c>
      <c r="EK81" s="10">
        <f>117*2</f>
        <v>234</v>
      </c>
      <c r="EL81" s="10">
        <v>-14</v>
      </c>
      <c r="EM81" s="10"/>
      <c r="EN81" s="10">
        <v>-3</v>
      </c>
      <c r="EO81" s="10"/>
      <c r="EP81" s="10"/>
      <c r="EQ81" s="10"/>
      <c r="ER81" s="10">
        <v>-20</v>
      </c>
      <c r="ES81" s="10">
        <v>234</v>
      </c>
      <c r="ET81" s="10">
        <v>-7</v>
      </c>
      <c r="EU81" s="10"/>
      <c r="EV81" s="10">
        <v>-39</v>
      </c>
      <c r="EW81" s="10"/>
      <c r="EX81" s="10">
        <v>-28</v>
      </c>
      <c r="EY81" s="10"/>
      <c r="EZ81" s="10">
        <v>-19</v>
      </c>
      <c r="FA81" s="10"/>
      <c r="FB81" s="10"/>
      <c r="FC81" s="10"/>
      <c r="FD81" s="10"/>
      <c r="FE81" s="10"/>
      <c r="FF81" s="10">
        <v>-39</v>
      </c>
      <c r="FG81" s="10"/>
      <c r="FH81" s="10">
        <v>-10</v>
      </c>
      <c r="FI81" s="10"/>
      <c r="FJ81" s="10">
        <v>-336</v>
      </c>
      <c r="FK81" s="10"/>
      <c r="FL81" s="10">
        <v>-13</v>
      </c>
      <c r="FM81" s="10"/>
      <c r="FN81" s="10">
        <v>-13</v>
      </c>
      <c r="FO81" s="10"/>
      <c r="FP81" s="10"/>
      <c r="FQ81" s="10"/>
      <c r="FR81" s="10"/>
      <c r="FS81" s="10"/>
      <c r="FT81" s="10">
        <v>-16</v>
      </c>
      <c r="FU81" s="10"/>
      <c r="FV81" s="10">
        <v>-4</v>
      </c>
      <c r="FW81" s="10">
        <v>117</v>
      </c>
      <c r="FX81" s="10">
        <v>-2</v>
      </c>
      <c r="FY81" s="10"/>
      <c r="FZ81" s="10">
        <v>-10</v>
      </c>
      <c r="GA81" s="10"/>
      <c r="GB81" s="10"/>
      <c r="GC81" s="10"/>
      <c r="GD81" s="10">
        <v>-10</v>
      </c>
      <c r="GE81" s="10"/>
      <c r="GF81" s="10"/>
      <c r="GG81" s="10">
        <v>117</v>
      </c>
      <c r="GH81" s="10">
        <v>-55</v>
      </c>
      <c r="GI81" s="10"/>
      <c r="GJ81" s="10">
        <v>-14</v>
      </c>
      <c r="GK81" s="10"/>
      <c r="GL81" s="10">
        <v>-50</v>
      </c>
      <c r="GM81" s="10"/>
      <c r="GN81" s="10">
        <v>-47</v>
      </c>
      <c r="GO81" s="10"/>
      <c r="GP81" s="10"/>
      <c r="GQ81" s="10"/>
      <c r="GR81" s="10">
        <v>-10</v>
      </c>
      <c r="GS81" s="10"/>
      <c r="GT81" s="10"/>
      <c r="GU81" s="10">
        <v>117</v>
      </c>
      <c r="GV81" s="10">
        <v>-72</v>
      </c>
      <c r="GW81" s="10"/>
      <c r="GX81" s="10">
        <v>-4</v>
      </c>
      <c r="GY81" s="10"/>
      <c r="GZ81" s="10">
        <v>-4</v>
      </c>
      <c r="HA81" s="10"/>
      <c r="HB81" s="10">
        <f>-25-4</f>
        <v>-29</v>
      </c>
      <c r="HC81" s="10">
        <v>117</v>
      </c>
      <c r="HD81" s="10">
        <v>-52</v>
      </c>
      <c r="HE81" s="10"/>
      <c r="HF81" s="10">
        <v>-9</v>
      </c>
      <c r="HG81" s="10"/>
      <c r="HH81" s="10"/>
      <c r="HI81" s="10"/>
      <c r="HJ81" s="10"/>
      <c r="HK81" s="10"/>
      <c r="HL81" s="10">
        <v>-20</v>
      </c>
      <c r="HM81" s="10"/>
      <c r="HN81" s="10"/>
      <c r="HO81" s="10"/>
      <c r="HP81" s="10"/>
      <c r="HQ81" s="10"/>
      <c r="HR81" s="10"/>
      <c r="HS81" s="10"/>
      <c r="HT81" s="10">
        <v>-10</v>
      </c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>
        <v>15</v>
      </c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1">
        <f t="shared" si="4"/>
        <v>470</v>
      </c>
      <c r="TH81" s="9">
        <f t="shared" si="5"/>
        <v>-476</v>
      </c>
    </row>
    <row r="82" spans="1:528" ht="15.6" thickBot="1" x14ac:dyDescent="0.3">
      <c r="A82" s="25" t="s">
        <v>901</v>
      </c>
      <c r="B82" s="18" t="s">
        <v>116</v>
      </c>
      <c r="C82" s="3">
        <f>AGOSTO!D82</f>
        <v>0</v>
      </c>
      <c r="D82" s="21">
        <f t="shared" si="3"/>
        <v>6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>
        <f>117*3+1</f>
        <v>352</v>
      </c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>
        <v>-6</v>
      </c>
      <c r="AS82" s="10">
        <v>120</v>
      </c>
      <c r="AT82" s="10"/>
      <c r="AU82" s="10"/>
      <c r="AV82" s="10"/>
      <c r="AW82" s="10"/>
      <c r="AX82" s="10">
        <v>-278</v>
      </c>
      <c r="AY82" s="10"/>
      <c r="AZ82" s="10"/>
      <c r="BA82" s="10"/>
      <c r="BB82" s="10">
        <v>-10</v>
      </c>
      <c r="BC82" s="10"/>
      <c r="BD82" s="10"/>
      <c r="BE82" s="10"/>
      <c r="BF82" s="10"/>
      <c r="BG82" s="10"/>
      <c r="BH82" s="10"/>
      <c r="BI82" s="10"/>
      <c r="BJ82" s="10"/>
      <c r="BK82" s="10"/>
      <c r="BL82" s="10">
        <v>-52</v>
      </c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>
        <f>-2-2-2</f>
        <v>-6</v>
      </c>
      <c r="CE82" s="10"/>
      <c r="CF82" s="10">
        <v>-24</v>
      </c>
      <c r="CG82" s="10"/>
      <c r="CH82" s="10">
        <v>-56</v>
      </c>
      <c r="CI82" s="10"/>
      <c r="CJ82" s="10">
        <v>-20</v>
      </c>
      <c r="CK82" s="10"/>
      <c r="CL82" s="10"/>
      <c r="CM82" s="10">
        <v>120</v>
      </c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>
        <v>-5</v>
      </c>
      <c r="DC82" s="10"/>
      <c r="DD82" s="10">
        <v>-4</v>
      </c>
      <c r="DE82" s="10"/>
      <c r="DF82" s="10">
        <v>-26</v>
      </c>
      <c r="DG82" s="10"/>
      <c r="DH82" s="10">
        <v>-40</v>
      </c>
      <c r="DI82" s="10"/>
      <c r="DJ82" s="10">
        <v>-13</v>
      </c>
      <c r="DK82" s="10"/>
      <c r="DL82" s="10">
        <v>-26</v>
      </c>
      <c r="DM82" s="10"/>
      <c r="DN82" s="10"/>
      <c r="DO82" s="10">
        <v>117</v>
      </c>
      <c r="DP82" s="10">
        <v>-5</v>
      </c>
      <c r="DQ82" s="10"/>
      <c r="DR82" s="10"/>
      <c r="DS82" s="10"/>
      <c r="DT82" s="10"/>
      <c r="DU82" s="10"/>
      <c r="DV82" s="10">
        <v>-15</v>
      </c>
      <c r="DW82" s="10"/>
      <c r="DX82" s="10"/>
      <c r="DY82" s="10"/>
      <c r="DZ82" s="10"/>
      <c r="EA82" s="10"/>
      <c r="EB82" s="10"/>
      <c r="EC82" s="10"/>
      <c r="ED82" s="10">
        <v>-8</v>
      </c>
      <c r="EE82" s="10"/>
      <c r="EF82" s="10">
        <v>-13</v>
      </c>
      <c r="EG82" s="10"/>
      <c r="EH82" s="10">
        <v>-29</v>
      </c>
      <c r="EI82" s="10"/>
      <c r="EJ82" s="10">
        <v>-6</v>
      </c>
      <c r="EK82" s="10"/>
      <c r="EL82" s="10">
        <v>-14</v>
      </c>
      <c r="EM82" s="10"/>
      <c r="EN82" s="10">
        <v>-8</v>
      </c>
      <c r="EO82" s="10"/>
      <c r="EP82" s="10"/>
      <c r="EQ82" s="10">
        <v>234</v>
      </c>
      <c r="ER82" s="10"/>
      <c r="ES82" s="10">
        <v>117</v>
      </c>
      <c r="ET82" s="10">
        <v>-7</v>
      </c>
      <c r="EU82" s="10"/>
      <c r="EV82" s="10">
        <v>-26</v>
      </c>
      <c r="EW82" s="10"/>
      <c r="EX82" s="10">
        <v>-90</v>
      </c>
      <c r="EY82" s="10"/>
      <c r="EZ82" s="10">
        <v>-20</v>
      </c>
      <c r="FA82" s="10"/>
      <c r="FB82" s="10">
        <v>-26</v>
      </c>
      <c r="FC82" s="10"/>
      <c r="FD82" s="10"/>
      <c r="FE82" s="10"/>
      <c r="FF82" s="10">
        <v>-26</v>
      </c>
      <c r="FG82" s="10"/>
      <c r="FH82" s="10">
        <v>-5</v>
      </c>
      <c r="FI82" s="10"/>
      <c r="FJ82" s="10">
        <v>-46</v>
      </c>
      <c r="FK82" s="10"/>
      <c r="FL82" s="10"/>
      <c r="FM82" s="10"/>
      <c r="FN82" s="10">
        <v>-3</v>
      </c>
      <c r="FO82" s="10"/>
      <c r="FP82" s="10"/>
      <c r="FQ82" s="10"/>
      <c r="FR82" s="10"/>
      <c r="FS82" s="10"/>
      <c r="FT82" s="10">
        <v>-18</v>
      </c>
      <c r="FU82" s="10"/>
      <c r="FV82" s="10">
        <v>-4</v>
      </c>
      <c r="FW82" s="10"/>
      <c r="FX82" s="10">
        <v>-22</v>
      </c>
      <c r="FY82" s="10"/>
      <c r="FZ82" s="10"/>
      <c r="GA82" s="10"/>
      <c r="GB82" s="10"/>
      <c r="GC82" s="10"/>
      <c r="GD82" s="10">
        <v>-10</v>
      </c>
      <c r="GE82" s="10"/>
      <c r="GF82" s="10"/>
      <c r="GG82" s="10">
        <v>117</v>
      </c>
      <c r="GH82" s="10"/>
      <c r="GI82" s="10"/>
      <c r="GJ82" s="10">
        <v>-2</v>
      </c>
      <c r="GK82" s="10"/>
      <c r="GL82" s="10">
        <v>-48</v>
      </c>
      <c r="GM82" s="10"/>
      <c r="GN82" s="10">
        <v>-32</v>
      </c>
      <c r="GO82" s="10"/>
      <c r="GP82" s="10"/>
      <c r="GQ82" s="10"/>
      <c r="GR82" s="10">
        <v>-10</v>
      </c>
      <c r="GS82" s="10"/>
      <c r="GT82" s="10"/>
      <c r="GU82" s="10"/>
      <c r="GV82" s="10">
        <v>-59</v>
      </c>
      <c r="GW82" s="10"/>
      <c r="GX82" s="10">
        <v>-4</v>
      </c>
      <c r="GY82" s="10"/>
      <c r="GZ82" s="10"/>
      <c r="HA82" s="10"/>
      <c r="HB82" s="10">
        <v>-25</v>
      </c>
      <c r="HC82" s="10">
        <v>60</v>
      </c>
      <c r="HD82" s="10">
        <v>-52</v>
      </c>
      <c r="HE82" s="10"/>
      <c r="HF82" s="10">
        <v>-10</v>
      </c>
      <c r="HG82" s="10"/>
      <c r="HH82" s="10"/>
      <c r="HI82" s="10"/>
      <c r="HJ82" s="10"/>
      <c r="HK82" s="10"/>
      <c r="HL82" s="10">
        <v>-2</v>
      </c>
      <c r="HM82" s="10"/>
      <c r="HN82" s="10"/>
      <c r="HO82" s="10"/>
      <c r="HP82" s="10"/>
      <c r="HQ82" s="10"/>
      <c r="HR82" s="10"/>
      <c r="HS82" s="10"/>
      <c r="HT82" s="10">
        <v>-10</v>
      </c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>
        <v>-10</v>
      </c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1">
        <f t="shared" si="4"/>
        <v>472</v>
      </c>
      <c r="TH82" s="9">
        <f t="shared" si="5"/>
        <v>-294</v>
      </c>
    </row>
    <row r="83" spans="1:528" ht="15.6" thickBot="1" x14ac:dyDescent="0.3">
      <c r="A83" s="25" t="s">
        <v>535</v>
      </c>
      <c r="B83" s="18" t="s">
        <v>223</v>
      </c>
      <c r="C83" s="3">
        <f>AGOSTO!D83</f>
        <v>507</v>
      </c>
      <c r="D83" s="55">
        <f t="shared" si="3"/>
        <v>104</v>
      </c>
      <c r="E83" s="10"/>
      <c r="F83" s="10"/>
      <c r="G83" s="10"/>
      <c r="H83" s="10"/>
      <c r="I83" s="10"/>
      <c r="J83" s="10"/>
      <c r="K83" s="10"/>
      <c r="L83" s="10"/>
      <c r="M83" s="10">
        <f>4*117</f>
        <v>468</v>
      </c>
      <c r="N83" s="10"/>
      <c r="O83" s="10">
        <f>117+117</f>
        <v>234</v>
      </c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>
        <v>-8</v>
      </c>
      <c r="AS83" s="10"/>
      <c r="AT83" s="10"/>
      <c r="AU83" s="10"/>
      <c r="AV83" s="10"/>
      <c r="AW83" s="10"/>
      <c r="AX83" s="10">
        <v>-356</v>
      </c>
      <c r="AY83" s="10"/>
      <c r="AZ83" s="10"/>
      <c r="BA83" s="10"/>
      <c r="BB83" s="10">
        <v>-10</v>
      </c>
      <c r="BC83" s="10"/>
      <c r="BD83" s="10">
        <v>-13</v>
      </c>
      <c r="BE83" s="10"/>
      <c r="BF83" s="10"/>
      <c r="BG83" s="10"/>
      <c r="BH83" s="10"/>
      <c r="BI83" s="10"/>
      <c r="BJ83" s="10"/>
      <c r="BK83" s="10"/>
      <c r="BL83" s="10">
        <v>-52</v>
      </c>
      <c r="BM83" s="10"/>
      <c r="BN83" s="10">
        <v>-351</v>
      </c>
      <c r="BO83" s="10"/>
      <c r="BP83" s="10">
        <v>-30</v>
      </c>
      <c r="BQ83" s="10"/>
      <c r="BR83" s="10"/>
      <c r="BS83" s="10">
        <f>117+7</f>
        <v>124</v>
      </c>
      <c r="BT83" s="10"/>
      <c r="BU83" s="10"/>
      <c r="BV83" s="10"/>
      <c r="BW83" s="10"/>
      <c r="BX83" s="10"/>
      <c r="BY83" s="10"/>
      <c r="BZ83" s="10"/>
      <c r="CA83" s="10">
        <f>117*3</f>
        <v>351</v>
      </c>
      <c r="CB83" s="10"/>
      <c r="CC83" s="10"/>
      <c r="CD83" s="10">
        <f>-353-4-2-6</f>
        <v>-365</v>
      </c>
      <c r="CE83" s="10"/>
      <c r="CF83" s="10">
        <v>-63</v>
      </c>
      <c r="CG83" s="10"/>
      <c r="CH83" s="10">
        <v>-55</v>
      </c>
      <c r="CI83" s="10"/>
      <c r="CJ83" s="10"/>
      <c r="CK83" s="10"/>
      <c r="CL83" s="10"/>
      <c r="CM83" s="10"/>
      <c r="CN83" s="10"/>
      <c r="CO83" s="10"/>
      <c r="CP83" s="10">
        <v>-30</v>
      </c>
      <c r="CQ83" s="10"/>
      <c r="CR83" s="10">
        <v>-117</v>
      </c>
      <c r="CS83" s="10"/>
      <c r="CT83" s="10">
        <v>-57</v>
      </c>
      <c r="CU83" s="10"/>
      <c r="CV83" s="10"/>
      <c r="CW83" s="10"/>
      <c r="CX83" s="10">
        <v>-52</v>
      </c>
      <c r="CY83" s="10"/>
      <c r="CZ83" s="10"/>
      <c r="DA83" s="10"/>
      <c r="DB83" s="10">
        <v>-21</v>
      </c>
      <c r="DC83" s="10"/>
      <c r="DD83" s="10">
        <v>-4</v>
      </c>
      <c r="DE83" s="10"/>
      <c r="DF83" s="10">
        <v>-26</v>
      </c>
      <c r="DG83" s="10"/>
      <c r="DH83" s="10">
        <v>-40</v>
      </c>
      <c r="DI83" s="10">
        <f>52+234</f>
        <v>286</v>
      </c>
      <c r="DJ83" s="10">
        <v>-19</v>
      </c>
      <c r="DK83" s="10"/>
      <c r="DL83" s="10">
        <v>-26</v>
      </c>
      <c r="DM83" s="10"/>
      <c r="DN83" s="10"/>
      <c r="DO83" s="10"/>
      <c r="DP83" s="10">
        <v>-20</v>
      </c>
      <c r="DQ83" s="10"/>
      <c r="DR83" s="10"/>
      <c r="DS83" s="10"/>
      <c r="DT83" s="10">
        <v>-2</v>
      </c>
      <c r="DU83" s="10"/>
      <c r="DV83" s="10">
        <f>-31-5</f>
        <v>-36</v>
      </c>
      <c r="DW83" s="10"/>
      <c r="DX83" s="10"/>
      <c r="DY83" s="10"/>
      <c r="DZ83" s="10"/>
      <c r="EA83" s="10"/>
      <c r="EB83" s="10"/>
      <c r="EC83" s="10"/>
      <c r="ED83" s="10">
        <v>-22</v>
      </c>
      <c r="EE83" s="10"/>
      <c r="EF83" s="10"/>
      <c r="EG83" s="10"/>
      <c r="EH83" s="10">
        <v>-7</v>
      </c>
      <c r="EI83" s="10"/>
      <c r="EJ83" s="10">
        <v>-6</v>
      </c>
      <c r="EK83" s="10">
        <f>117*3</f>
        <v>351</v>
      </c>
      <c r="EL83" s="10">
        <v>-362</v>
      </c>
      <c r="EM83" s="10">
        <v>117</v>
      </c>
      <c r="EN83" s="10">
        <v>-3</v>
      </c>
      <c r="EO83" s="10"/>
      <c r="EP83" s="10"/>
      <c r="EQ83" s="10">
        <v>234</v>
      </c>
      <c r="ER83" s="10">
        <v>-282</v>
      </c>
      <c r="ES83" s="10">
        <v>71</v>
      </c>
      <c r="ET83" s="10">
        <f>-8-1</f>
        <v>-9</v>
      </c>
      <c r="EU83" s="10"/>
      <c r="EV83" s="10">
        <v>-52</v>
      </c>
      <c r="EW83" s="10"/>
      <c r="EX83" s="10">
        <v>-67</v>
      </c>
      <c r="EY83" s="10"/>
      <c r="EZ83" s="10">
        <v>-25</v>
      </c>
      <c r="FA83" s="10"/>
      <c r="FB83" s="10"/>
      <c r="FC83" s="10"/>
      <c r="FD83" s="10"/>
      <c r="FE83" s="10"/>
      <c r="FF83" s="10">
        <v>-26</v>
      </c>
      <c r="FG83" s="10">
        <v>234</v>
      </c>
      <c r="FH83" s="10">
        <v>-10</v>
      </c>
      <c r="FI83" s="10"/>
      <c r="FJ83" s="10">
        <v>-44</v>
      </c>
      <c r="FK83" s="10"/>
      <c r="FL83" s="10">
        <v>-4</v>
      </c>
      <c r="FM83" s="10"/>
      <c r="FN83" s="10">
        <v>-57</v>
      </c>
      <c r="FO83" s="10"/>
      <c r="FP83" s="10"/>
      <c r="FQ83" s="10"/>
      <c r="FR83" s="10"/>
      <c r="FS83" s="10"/>
      <c r="FT83" s="10">
        <v>-19</v>
      </c>
      <c r="FU83" s="10">
        <v>234</v>
      </c>
      <c r="FV83" s="10">
        <v>-238</v>
      </c>
      <c r="FW83" s="10"/>
      <c r="FX83" s="10">
        <v>-32</v>
      </c>
      <c r="FY83" s="10"/>
      <c r="FZ83" s="10">
        <f>-8-10</f>
        <v>-18</v>
      </c>
      <c r="GA83" s="10"/>
      <c r="GB83" s="10">
        <v>-1</v>
      </c>
      <c r="GC83" s="10"/>
      <c r="GD83" s="10">
        <v>-127</v>
      </c>
      <c r="GE83" s="10"/>
      <c r="GF83" s="10"/>
      <c r="GG83" s="10">
        <v>117</v>
      </c>
      <c r="GH83" s="10">
        <v>-13</v>
      </c>
      <c r="GI83" s="10"/>
      <c r="GJ83" s="10">
        <v>-2</v>
      </c>
      <c r="GK83" s="10"/>
      <c r="GL83" s="10">
        <v>-5</v>
      </c>
      <c r="GM83" s="10"/>
      <c r="GN83" s="10">
        <v>-59</v>
      </c>
      <c r="GO83" s="10"/>
      <c r="GP83" s="10"/>
      <c r="GQ83" s="10"/>
      <c r="GR83" s="10">
        <v>-5</v>
      </c>
      <c r="GS83" s="10"/>
      <c r="GT83" s="10"/>
      <c r="GU83" s="10"/>
      <c r="GV83" s="10">
        <v>-63</v>
      </c>
      <c r="GW83" s="10">
        <v>117</v>
      </c>
      <c r="GX83" s="10">
        <v>-2</v>
      </c>
      <c r="GY83" s="10"/>
      <c r="GZ83" s="10">
        <v>-19</v>
      </c>
      <c r="HA83" s="10"/>
      <c r="HB83" s="10">
        <f>-20-3</f>
        <v>-23</v>
      </c>
      <c r="HC83" s="10">
        <v>76</v>
      </c>
      <c r="HD83" s="10">
        <v>-52</v>
      </c>
      <c r="HE83" s="10"/>
      <c r="HF83" s="10">
        <v>-5</v>
      </c>
      <c r="HG83" s="10"/>
      <c r="HH83" s="10"/>
      <c r="HI83" s="10"/>
      <c r="HJ83" s="10">
        <v>-50</v>
      </c>
      <c r="HK83" s="10"/>
      <c r="HL83" s="10">
        <f>-18-2</f>
        <v>-20</v>
      </c>
      <c r="HM83" s="10"/>
      <c r="HN83" s="10"/>
      <c r="HO83" s="10">
        <v>117</v>
      </c>
      <c r="HP83" s="10">
        <v>-10</v>
      </c>
      <c r="HQ83" s="10"/>
      <c r="HR83" s="10"/>
      <c r="HS83" s="10"/>
      <c r="HT83" s="10">
        <v>-15</v>
      </c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>
        <v>-10</v>
      </c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>
        <v>-17</v>
      </c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1">
        <f t="shared" si="4"/>
        <v>702</v>
      </c>
      <c r="TH83" s="9">
        <f t="shared" si="5"/>
        <v>-387</v>
      </c>
    </row>
    <row r="84" spans="1:528" ht="15.6" thickBot="1" x14ac:dyDescent="0.3">
      <c r="A84" s="25" t="s">
        <v>534</v>
      </c>
      <c r="B84" s="18" t="s">
        <v>224</v>
      </c>
      <c r="C84" s="3">
        <f>AGOSTO!D84</f>
        <v>117</v>
      </c>
      <c r="D84" s="55">
        <f t="shared" si="3"/>
        <v>68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>
        <f>117*4</f>
        <v>468</v>
      </c>
      <c r="P84" s="10"/>
      <c r="Q84" s="10">
        <f>117*2+1</f>
        <v>235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>
        <v>-10</v>
      </c>
      <c r="AS84" s="10"/>
      <c r="AT84" s="10"/>
      <c r="AU84" s="10"/>
      <c r="AV84" s="10"/>
      <c r="AW84" s="10"/>
      <c r="AX84" s="10">
        <v>-239</v>
      </c>
      <c r="AY84" s="10"/>
      <c r="AZ84" s="10"/>
      <c r="BA84" s="10"/>
      <c r="BB84" s="10">
        <v>-10</v>
      </c>
      <c r="BC84" s="10"/>
      <c r="BD84" s="10">
        <v>-13</v>
      </c>
      <c r="BE84" s="10"/>
      <c r="BF84" s="10"/>
      <c r="BG84" s="10"/>
      <c r="BH84" s="10"/>
      <c r="BI84" s="10"/>
      <c r="BJ84" s="10"/>
      <c r="BK84" s="10"/>
      <c r="BL84" s="10"/>
      <c r="BM84" s="10"/>
      <c r="BN84" s="10">
        <f>-234-117-26-39</f>
        <v>-416</v>
      </c>
      <c r="BO84" s="10"/>
      <c r="BP84" s="10">
        <v>-20</v>
      </c>
      <c r="BQ84" s="10"/>
      <c r="BR84" s="10"/>
      <c r="BS84" s="10"/>
      <c r="BT84" s="10"/>
      <c r="BU84" s="10"/>
      <c r="BV84" s="10"/>
      <c r="BW84" s="10"/>
      <c r="BX84" s="10"/>
      <c r="BY84" s="10">
        <f>117*3+2</f>
        <v>353</v>
      </c>
      <c r="BZ84" s="10"/>
      <c r="CA84" s="10"/>
      <c r="CB84" s="10"/>
      <c r="CC84" s="10"/>
      <c r="CD84" s="10">
        <f>-5-2-5</f>
        <v>-12</v>
      </c>
      <c r="CE84" s="10"/>
      <c r="CF84" s="10">
        <v>-63</v>
      </c>
      <c r="CG84" s="10"/>
      <c r="CH84" s="10">
        <v>-70</v>
      </c>
      <c r="CI84" s="10"/>
      <c r="CJ84" s="10"/>
      <c r="CK84" s="10"/>
      <c r="CL84" s="10"/>
      <c r="CM84" s="10"/>
      <c r="CN84" s="10"/>
      <c r="CO84" s="10">
        <v>234</v>
      </c>
      <c r="CP84" s="10">
        <v>-117</v>
      </c>
      <c r="CQ84" s="10"/>
      <c r="CR84" s="10">
        <v>-117</v>
      </c>
      <c r="CS84" s="10"/>
      <c r="CT84" s="10">
        <v>-31</v>
      </c>
      <c r="CU84" s="10"/>
      <c r="CV84" s="10"/>
      <c r="CW84" s="10"/>
      <c r="CX84" s="10"/>
      <c r="CY84" s="10"/>
      <c r="CZ84" s="10"/>
      <c r="DA84" s="10"/>
      <c r="DB84" s="10">
        <v>-137</v>
      </c>
      <c r="DC84" s="10"/>
      <c r="DD84" s="10">
        <v>-4</v>
      </c>
      <c r="DE84" s="10"/>
      <c r="DF84" s="10"/>
      <c r="DG84" s="10"/>
      <c r="DH84" s="10">
        <v>-39</v>
      </c>
      <c r="DI84" s="10"/>
      <c r="DJ84" s="10">
        <v>-13</v>
      </c>
      <c r="DK84" s="10"/>
      <c r="DL84" s="10">
        <v>-26</v>
      </c>
      <c r="DM84" s="10"/>
      <c r="DN84" s="10"/>
      <c r="DO84" s="10">
        <v>234</v>
      </c>
      <c r="DP84" s="10">
        <v>-20</v>
      </c>
      <c r="DQ84" s="10"/>
      <c r="DR84" s="10"/>
      <c r="DS84" s="10"/>
      <c r="DT84" s="10">
        <v>-5</v>
      </c>
      <c r="DU84" s="10"/>
      <c r="DV84" s="10">
        <v>-23</v>
      </c>
      <c r="DW84" s="10"/>
      <c r="DX84" s="10"/>
      <c r="DY84" s="10"/>
      <c r="DZ84" s="10"/>
      <c r="EA84" s="10"/>
      <c r="EB84" s="10"/>
      <c r="EC84" s="10"/>
      <c r="ED84" s="10">
        <v>-12</v>
      </c>
      <c r="EE84" s="10"/>
      <c r="EF84" s="10"/>
      <c r="EG84" s="10"/>
      <c r="EH84" s="10">
        <v>-5</v>
      </c>
      <c r="EI84" s="10"/>
      <c r="EJ84" s="10">
        <v>-6</v>
      </c>
      <c r="EK84" s="10"/>
      <c r="EL84" s="10">
        <v>-128</v>
      </c>
      <c r="EM84" s="10"/>
      <c r="EN84" s="10">
        <v>-3</v>
      </c>
      <c r="EO84" s="10"/>
      <c r="EP84" s="10"/>
      <c r="EQ84" s="10">
        <v>117</v>
      </c>
      <c r="ER84" s="10">
        <v>-117</v>
      </c>
      <c r="ES84" s="10"/>
      <c r="ET84" s="10">
        <v>-8</v>
      </c>
      <c r="EU84" s="10"/>
      <c r="EV84" s="10"/>
      <c r="EW84" s="10">
        <v>117</v>
      </c>
      <c r="EX84" s="10">
        <v>-184</v>
      </c>
      <c r="EY84" s="10">
        <v>117</v>
      </c>
      <c r="EZ84" s="10">
        <v>-13</v>
      </c>
      <c r="FA84" s="10"/>
      <c r="FB84" s="10"/>
      <c r="FC84" s="10"/>
      <c r="FD84" s="10"/>
      <c r="FE84" s="10">
        <v>117</v>
      </c>
      <c r="FF84" s="10">
        <v>-13</v>
      </c>
      <c r="FG84" s="10">
        <v>117</v>
      </c>
      <c r="FH84" s="10">
        <v>-10</v>
      </c>
      <c r="FI84" s="10"/>
      <c r="FJ84" s="10">
        <v>-174</v>
      </c>
      <c r="FK84" s="10"/>
      <c r="FL84" s="10">
        <v>-3</v>
      </c>
      <c r="FM84" s="10"/>
      <c r="FN84" s="10"/>
      <c r="FO84" s="10"/>
      <c r="FP84" s="10"/>
      <c r="FQ84" s="10"/>
      <c r="FR84" s="10"/>
      <c r="FS84" s="10"/>
      <c r="FT84" s="10">
        <v>-135</v>
      </c>
      <c r="FU84" s="14">
        <v>91</v>
      </c>
      <c r="FV84" s="10">
        <v>-121</v>
      </c>
      <c r="FW84" s="10"/>
      <c r="FX84" s="10"/>
      <c r="FY84" s="10"/>
      <c r="FZ84" s="10"/>
      <c r="GA84" s="10"/>
      <c r="GB84" s="10"/>
      <c r="GC84" s="10">
        <v>117</v>
      </c>
      <c r="GD84" s="10">
        <v>-10</v>
      </c>
      <c r="GE84" s="10"/>
      <c r="GF84" s="10"/>
      <c r="GG84" s="10"/>
      <c r="GH84" s="10">
        <v>-13</v>
      </c>
      <c r="GI84" s="10">
        <v>234</v>
      </c>
      <c r="GJ84" s="10">
        <v>-2</v>
      </c>
      <c r="GK84" s="10"/>
      <c r="GL84" s="10"/>
      <c r="GM84" s="10"/>
      <c r="GN84" s="10">
        <v>-54</v>
      </c>
      <c r="GO84" s="10"/>
      <c r="GP84" s="10"/>
      <c r="GQ84" s="10"/>
      <c r="GR84" s="10">
        <v>-5</v>
      </c>
      <c r="GS84" s="10"/>
      <c r="GT84" s="10"/>
      <c r="GU84" s="10"/>
      <c r="GV84" s="10">
        <v>-26</v>
      </c>
      <c r="GW84" s="10"/>
      <c r="GX84" s="10">
        <v>-2</v>
      </c>
      <c r="GY84" s="10"/>
      <c r="GZ84" s="10">
        <f>-13-4</f>
        <v>-17</v>
      </c>
      <c r="HA84" s="10"/>
      <c r="HB84" s="10">
        <f>-15-4</f>
        <v>-19</v>
      </c>
      <c r="HC84" s="10"/>
      <c r="HD84" s="10">
        <v>-52</v>
      </c>
      <c r="HE84" s="10"/>
      <c r="HF84" s="10">
        <v>-5</v>
      </c>
      <c r="HG84" s="10"/>
      <c r="HH84" s="10"/>
      <c r="HI84" s="10"/>
      <c r="HJ84" s="10"/>
      <c r="HK84" s="10"/>
      <c r="HL84" s="10">
        <v>-20</v>
      </c>
      <c r="HM84" s="10"/>
      <c r="HN84" s="10">
        <v>-117</v>
      </c>
      <c r="HO84" s="10"/>
      <c r="HP84" s="10"/>
      <c r="HQ84" s="10"/>
      <c r="HR84" s="10"/>
      <c r="HS84" s="10"/>
      <c r="HT84" s="10">
        <v>-9</v>
      </c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>
        <v>60</v>
      </c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>
        <v>-13</v>
      </c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>
        <v>-10</v>
      </c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>
        <v>31</v>
      </c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1">
        <f t="shared" si="4"/>
        <v>703</v>
      </c>
      <c r="TH84" s="9">
        <f t="shared" si="5"/>
        <v>-272</v>
      </c>
    </row>
    <row r="85" spans="1:528" ht="15.6" thickBot="1" x14ac:dyDescent="0.3">
      <c r="A85" s="25" t="s">
        <v>533</v>
      </c>
      <c r="B85" s="18" t="s">
        <v>225</v>
      </c>
      <c r="C85" s="3">
        <f>AGOSTO!D85</f>
        <v>390</v>
      </c>
      <c r="D85" s="55">
        <f t="shared" si="3"/>
        <v>59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>
        <v>117</v>
      </c>
      <c r="R85" s="10"/>
      <c r="S85" s="10"/>
      <c r="T85" s="10"/>
      <c r="U85" s="10">
        <f>117*5</f>
        <v>585</v>
      </c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>
        <v>-10</v>
      </c>
      <c r="AS85" s="10"/>
      <c r="AT85" s="10"/>
      <c r="AU85" s="10"/>
      <c r="AV85" s="10"/>
      <c r="AW85" s="10"/>
      <c r="AX85" s="10">
        <v>-395</v>
      </c>
      <c r="AY85" s="10">
        <f>117*2+4</f>
        <v>238</v>
      </c>
      <c r="AZ85" s="10"/>
      <c r="BA85" s="10"/>
      <c r="BB85" s="10">
        <v>-10</v>
      </c>
      <c r="BC85" s="10"/>
      <c r="BD85" s="10">
        <v>-13</v>
      </c>
      <c r="BE85" s="10"/>
      <c r="BF85" s="10"/>
      <c r="BG85" s="10"/>
      <c r="BH85" s="10"/>
      <c r="BI85" s="10"/>
      <c r="BJ85" s="10"/>
      <c r="BK85" s="10"/>
      <c r="BL85" s="10"/>
      <c r="BM85" s="10"/>
      <c r="BN85" s="10">
        <f>-234-117-26-39</f>
        <v>-416</v>
      </c>
      <c r="BO85" s="10"/>
      <c r="BP85" s="10">
        <v>-110</v>
      </c>
      <c r="BQ85" s="10"/>
      <c r="BR85" s="10"/>
      <c r="BS85" s="10"/>
      <c r="BT85" s="10"/>
      <c r="BU85" s="10"/>
      <c r="BV85" s="10"/>
      <c r="BW85" s="10"/>
      <c r="BX85" s="10"/>
      <c r="BY85" s="10">
        <f>117</f>
        <v>117</v>
      </c>
      <c r="BZ85" s="10"/>
      <c r="CA85" s="10">
        <f>117+117+4</f>
        <v>238</v>
      </c>
      <c r="CB85" s="10"/>
      <c r="CC85" s="10"/>
      <c r="CD85" s="10">
        <f>-313-1-4-6</f>
        <v>-324</v>
      </c>
      <c r="CE85" s="10"/>
      <c r="CF85" s="10">
        <v>-52</v>
      </c>
      <c r="CG85" s="10"/>
      <c r="CH85" s="10">
        <v>-70</v>
      </c>
      <c r="CI85" s="10"/>
      <c r="CJ85" s="10"/>
      <c r="CK85" s="10"/>
      <c r="CL85" s="10"/>
      <c r="CM85" s="10"/>
      <c r="CN85" s="10"/>
      <c r="CO85" s="10">
        <f>117*3</f>
        <v>351</v>
      </c>
      <c r="CP85" s="10">
        <v>-172</v>
      </c>
      <c r="CQ85" s="10">
        <v>130</v>
      </c>
      <c r="CR85" s="10">
        <v>-234</v>
      </c>
      <c r="CS85" s="10"/>
      <c r="CT85" s="10">
        <v>-39</v>
      </c>
      <c r="CU85" s="10"/>
      <c r="CV85" s="10"/>
      <c r="CW85" s="10"/>
      <c r="CX85" s="10">
        <v>-52</v>
      </c>
      <c r="CY85" s="10"/>
      <c r="CZ85" s="10"/>
      <c r="DA85" s="10"/>
      <c r="DB85" s="10">
        <v>-135</v>
      </c>
      <c r="DC85" s="10"/>
      <c r="DD85" s="10">
        <v>-4</v>
      </c>
      <c r="DE85" s="10"/>
      <c r="DF85" s="10"/>
      <c r="DG85" s="10"/>
      <c r="DH85" s="10">
        <v>-40</v>
      </c>
      <c r="DI85" s="10"/>
      <c r="DJ85" s="10">
        <v>-13</v>
      </c>
      <c r="DK85" s="10"/>
      <c r="DL85" s="10">
        <v>-26</v>
      </c>
      <c r="DM85" s="10"/>
      <c r="DN85" s="10"/>
      <c r="DO85" s="10">
        <f>117*3</f>
        <v>351</v>
      </c>
      <c r="DP85" s="10">
        <v>-20</v>
      </c>
      <c r="DQ85" s="10"/>
      <c r="DR85" s="10"/>
      <c r="DS85" s="10"/>
      <c r="DT85" s="10">
        <v>-5</v>
      </c>
      <c r="DU85" s="10"/>
      <c r="DV85" s="10">
        <f>-161-5</f>
        <v>-166</v>
      </c>
      <c r="DW85" s="10"/>
      <c r="DX85" s="10"/>
      <c r="DY85" s="10"/>
      <c r="DZ85" s="10"/>
      <c r="EA85" s="10"/>
      <c r="EB85" s="10"/>
      <c r="EC85" s="10"/>
      <c r="ED85" s="10">
        <v>-12</v>
      </c>
      <c r="EE85" s="10"/>
      <c r="EF85" s="10">
        <v>-13</v>
      </c>
      <c r="EG85" s="10"/>
      <c r="EH85" s="10">
        <v>-30</v>
      </c>
      <c r="EI85" s="10"/>
      <c r="EJ85" s="10">
        <v>-19</v>
      </c>
      <c r="EK85" s="10">
        <f>117*3</f>
        <v>351</v>
      </c>
      <c r="EL85" s="10">
        <v>-245</v>
      </c>
      <c r="EM85" s="10"/>
      <c r="EN85" s="10">
        <v>-3</v>
      </c>
      <c r="EO85" s="10"/>
      <c r="EP85" s="10"/>
      <c r="EQ85" s="10"/>
      <c r="ER85" s="10">
        <v>-213</v>
      </c>
      <c r="ES85" s="10">
        <v>117</v>
      </c>
      <c r="ET85" s="10">
        <v>-8</v>
      </c>
      <c r="EU85" s="10"/>
      <c r="EV85" s="10"/>
      <c r="EW85" s="10"/>
      <c r="EX85" s="10">
        <v>-41</v>
      </c>
      <c r="EY85" s="10">
        <v>117</v>
      </c>
      <c r="EZ85" s="10">
        <v>-10</v>
      </c>
      <c r="FA85" s="10"/>
      <c r="FB85" s="10">
        <v>-13</v>
      </c>
      <c r="FC85" s="10"/>
      <c r="FD85" s="10"/>
      <c r="FE85" s="10">
        <v>117</v>
      </c>
      <c r="FF85" s="10">
        <v>-13</v>
      </c>
      <c r="FG85" s="10">
        <v>117</v>
      </c>
      <c r="FH85" s="10">
        <v>-31</v>
      </c>
      <c r="FI85" s="10"/>
      <c r="FJ85" s="10">
        <v>-187</v>
      </c>
      <c r="FK85" s="10"/>
      <c r="FL85" s="10">
        <v>-16</v>
      </c>
      <c r="FM85" s="10"/>
      <c r="FN85" s="10">
        <v>-5</v>
      </c>
      <c r="FO85" s="10"/>
      <c r="FP85" s="10"/>
      <c r="FQ85" s="10"/>
      <c r="FR85" s="10"/>
      <c r="FS85" s="10"/>
      <c r="FT85" s="10">
        <v>-135</v>
      </c>
      <c r="FU85" s="10">
        <v>234</v>
      </c>
      <c r="FV85" s="10">
        <v>-121</v>
      </c>
      <c r="FW85" s="10">
        <v>117</v>
      </c>
      <c r="FX85" s="10">
        <v>-19</v>
      </c>
      <c r="FY85" s="10"/>
      <c r="FZ85" s="10">
        <v>-4</v>
      </c>
      <c r="GA85" s="10"/>
      <c r="GB85" s="10">
        <v>-4</v>
      </c>
      <c r="GC85" s="10"/>
      <c r="GD85" s="10">
        <v>-127</v>
      </c>
      <c r="GE85" s="10"/>
      <c r="GF85" s="10"/>
      <c r="GG85" s="10"/>
      <c r="GH85" s="10">
        <v>-13</v>
      </c>
      <c r="GI85" s="10">
        <v>234</v>
      </c>
      <c r="GJ85" s="10">
        <v>-2</v>
      </c>
      <c r="GK85" s="10"/>
      <c r="GL85" s="10">
        <f>-10-24</f>
        <v>-34</v>
      </c>
      <c r="GM85" s="10"/>
      <c r="GN85" s="10">
        <v>-56</v>
      </c>
      <c r="GO85" s="10"/>
      <c r="GP85" s="10"/>
      <c r="GQ85" s="10"/>
      <c r="GR85" s="10">
        <v>-6</v>
      </c>
      <c r="GS85" s="10"/>
      <c r="GT85" s="10"/>
      <c r="GU85" s="10"/>
      <c r="GV85" s="10">
        <v>-85</v>
      </c>
      <c r="GW85" s="10"/>
      <c r="GX85" s="10">
        <v>-2</v>
      </c>
      <c r="GY85" s="10"/>
      <c r="GZ85" s="10">
        <f>-18-4</f>
        <v>-22</v>
      </c>
      <c r="HA85" s="10"/>
      <c r="HB85" s="10">
        <f>-15-4</f>
        <v>-19</v>
      </c>
      <c r="HC85" s="10"/>
      <c r="HD85" s="10">
        <v>-52</v>
      </c>
      <c r="HE85" s="10">
        <v>117</v>
      </c>
      <c r="HF85" s="10">
        <v>-5</v>
      </c>
      <c r="HG85" s="10"/>
      <c r="HH85" s="10"/>
      <c r="HI85" s="10"/>
      <c r="HJ85" s="10">
        <v>-30</v>
      </c>
      <c r="HK85" s="10"/>
      <c r="HL85" s="10">
        <f>-13-3</f>
        <v>-16</v>
      </c>
      <c r="HM85" s="10"/>
      <c r="HN85" s="10">
        <v>-117</v>
      </c>
      <c r="HO85" s="10"/>
      <c r="HP85" s="10"/>
      <c r="HQ85" s="10"/>
      <c r="HR85" s="10"/>
      <c r="HS85" s="10"/>
      <c r="HT85" s="10">
        <v>-4</v>
      </c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>
        <v>67</v>
      </c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>
        <v>-13</v>
      </c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>
        <v>5</v>
      </c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1">
        <f t="shared" si="4"/>
        <v>940</v>
      </c>
      <c r="TH85" s="9">
        <f t="shared" si="5"/>
        <v>-428</v>
      </c>
    </row>
    <row r="86" spans="1:528" ht="15.6" thickBot="1" x14ac:dyDescent="0.3">
      <c r="A86" s="25" t="s">
        <v>899</v>
      </c>
      <c r="B86" s="18" t="s">
        <v>900</v>
      </c>
      <c r="C86" s="3">
        <f>AGOSTO!D86</f>
        <v>0</v>
      </c>
      <c r="D86" s="21">
        <f t="shared" si="3"/>
        <v>10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>
        <f>117*6</f>
        <v>702</v>
      </c>
      <c r="AD86" s="10"/>
      <c r="AE86" s="10">
        <v>126</v>
      </c>
      <c r="AF86" s="10"/>
      <c r="AG86" s="10"/>
      <c r="AH86" s="10"/>
      <c r="AI86" s="10"/>
      <c r="AJ86" s="10"/>
      <c r="AK86" s="10"/>
      <c r="AL86" s="10">
        <v>-17</v>
      </c>
      <c r="AM86" s="10"/>
      <c r="AN86" s="10"/>
      <c r="AO86" s="10"/>
      <c r="AP86" s="10"/>
      <c r="AQ86" s="10"/>
      <c r="AR86" s="10">
        <v>-10</v>
      </c>
      <c r="AS86" s="10"/>
      <c r="AT86" s="10"/>
      <c r="AU86" s="10"/>
      <c r="AV86" s="10"/>
      <c r="AW86" s="10"/>
      <c r="AX86" s="10">
        <v>-278</v>
      </c>
      <c r="AY86" s="10"/>
      <c r="AZ86" s="10"/>
      <c r="BA86" s="10"/>
      <c r="BB86" s="10">
        <v>-10</v>
      </c>
      <c r="BC86" s="10"/>
      <c r="BD86" s="10">
        <v>-13</v>
      </c>
      <c r="BE86" s="10"/>
      <c r="BF86" s="10"/>
      <c r="BG86" s="10"/>
      <c r="BH86" s="10"/>
      <c r="BI86" s="10"/>
      <c r="BJ86" s="10"/>
      <c r="BK86" s="10"/>
      <c r="BL86" s="10">
        <v>-52</v>
      </c>
      <c r="BM86" s="10"/>
      <c r="BN86" s="10">
        <v>-39</v>
      </c>
      <c r="BO86" s="10"/>
      <c r="BP86" s="10">
        <v>-70</v>
      </c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>
        <v>234</v>
      </c>
      <c r="CD86" s="10">
        <f>-2-2-2</f>
        <v>-6</v>
      </c>
      <c r="CE86" s="10">
        <f>117*5+8</f>
        <v>593</v>
      </c>
      <c r="CF86" s="10">
        <v>-26</v>
      </c>
      <c r="CG86" s="10"/>
      <c r="CH86" s="10">
        <v>-39</v>
      </c>
      <c r="CI86" s="10"/>
      <c r="CJ86" s="10">
        <v>-3</v>
      </c>
      <c r="CK86" s="10"/>
      <c r="CL86" s="10"/>
      <c r="CM86" s="10"/>
      <c r="CN86" s="10">
        <v>-18</v>
      </c>
      <c r="CO86" s="10"/>
      <c r="CP86" s="10"/>
      <c r="CQ86" s="10"/>
      <c r="CR86" s="10">
        <v>-481</v>
      </c>
      <c r="CS86" s="10"/>
      <c r="CT86" s="10"/>
      <c r="CU86" s="10"/>
      <c r="CV86" s="10"/>
      <c r="CW86" s="10"/>
      <c r="CX86" s="10">
        <v>-52</v>
      </c>
      <c r="CY86" s="10"/>
      <c r="CZ86" s="10"/>
      <c r="DA86" s="10"/>
      <c r="DB86" s="10">
        <v>-12</v>
      </c>
      <c r="DC86" s="10"/>
      <c r="DD86" s="10">
        <v>-4</v>
      </c>
      <c r="DE86" s="10"/>
      <c r="DF86" s="10">
        <v>-26</v>
      </c>
      <c r="DG86" s="10"/>
      <c r="DH86" s="10">
        <v>-40</v>
      </c>
      <c r="DI86" s="10"/>
      <c r="DJ86" s="10">
        <v>-13</v>
      </c>
      <c r="DK86" s="10"/>
      <c r="DL86" s="10">
        <v>-26</v>
      </c>
      <c r="DM86" s="10"/>
      <c r="DN86" s="10"/>
      <c r="DO86" s="10"/>
      <c r="DP86" s="10">
        <v>-20</v>
      </c>
      <c r="DQ86" s="10">
        <v>234</v>
      </c>
      <c r="DR86" s="10"/>
      <c r="DS86" s="10"/>
      <c r="DT86" s="10">
        <v>-6</v>
      </c>
      <c r="DU86" s="10"/>
      <c r="DV86" s="10">
        <v>-21</v>
      </c>
      <c r="DW86" s="10"/>
      <c r="DX86" s="10"/>
      <c r="DY86" s="10"/>
      <c r="DZ86" s="10"/>
      <c r="EA86" s="10"/>
      <c r="EB86" s="10"/>
      <c r="EC86" s="10"/>
      <c r="ED86" s="10">
        <v>-287</v>
      </c>
      <c r="EE86" s="10"/>
      <c r="EF86" s="10">
        <v>-13</v>
      </c>
      <c r="EG86" s="10"/>
      <c r="EH86" s="10">
        <v>-33</v>
      </c>
      <c r="EI86" s="10"/>
      <c r="EJ86" s="10">
        <v>-32</v>
      </c>
      <c r="EK86" s="10"/>
      <c r="EL86" s="10">
        <v>-11</v>
      </c>
      <c r="EM86" s="10">
        <v>234</v>
      </c>
      <c r="EN86" s="10">
        <v>-8</v>
      </c>
      <c r="EO86" s="10"/>
      <c r="EP86" s="10"/>
      <c r="EQ86" s="10"/>
      <c r="ER86" s="10">
        <v>-347</v>
      </c>
      <c r="ES86" s="10"/>
      <c r="ET86" s="10">
        <v>-6</v>
      </c>
      <c r="EU86" s="10"/>
      <c r="EV86" s="10">
        <v>-39</v>
      </c>
      <c r="EW86" s="10">
        <v>117</v>
      </c>
      <c r="EX86" s="10">
        <v>-41</v>
      </c>
      <c r="EY86" s="10"/>
      <c r="EZ86" s="10">
        <v>-10</v>
      </c>
      <c r="FA86" s="10"/>
      <c r="FB86" s="10">
        <v>-13</v>
      </c>
      <c r="FC86" s="10"/>
      <c r="FD86" s="10"/>
      <c r="FE86" s="10"/>
      <c r="FF86" s="10">
        <v>-26</v>
      </c>
      <c r="FG86" s="10">
        <v>234</v>
      </c>
      <c r="FH86" s="10">
        <v>-10</v>
      </c>
      <c r="FI86" s="10"/>
      <c r="FJ86" s="10">
        <v>-44</v>
      </c>
      <c r="FK86" s="10"/>
      <c r="FL86" s="10">
        <v>-16</v>
      </c>
      <c r="FM86" s="10"/>
      <c r="FN86" s="10"/>
      <c r="FO86" s="10"/>
      <c r="FP86" s="10"/>
      <c r="FQ86" s="10"/>
      <c r="FR86" s="10"/>
      <c r="FS86" s="10"/>
      <c r="FT86" s="10">
        <v>-143</v>
      </c>
      <c r="FU86" s="10"/>
      <c r="FV86" s="10">
        <v>-9</v>
      </c>
      <c r="FW86" s="10">
        <v>117</v>
      </c>
      <c r="FX86" s="10">
        <v>-2</v>
      </c>
      <c r="FY86" s="10"/>
      <c r="FZ86" s="10">
        <v>-14</v>
      </c>
      <c r="GA86" s="10"/>
      <c r="GB86" s="10"/>
      <c r="GC86" s="10"/>
      <c r="GD86" s="10">
        <v>-117</v>
      </c>
      <c r="GE86" s="10"/>
      <c r="GF86" s="10"/>
      <c r="GG86" s="10"/>
      <c r="GH86" s="10"/>
      <c r="GI86" s="10">
        <v>117</v>
      </c>
      <c r="GJ86" s="10">
        <v>-2</v>
      </c>
      <c r="GK86" s="10"/>
      <c r="GL86" s="10">
        <v>-22</v>
      </c>
      <c r="GM86" s="10"/>
      <c r="GN86" s="10">
        <v>-54</v>
      </c>
      <c r="GO86" s="10"/>
      <c r="GP86" s="10"/>
      <c r="GQ86" s="10"/>
      <c r="GR86" s="10">
        <v>-10</v>
      </c>
      <c r="GS86" s="10"/>
      <c r="GT86" s="10"/>
      <c r="GU86" s="10"/>
      <c r="GV86" s="10">
        <v>-72</v>
      </c>
      <c r="GW86" s="10"/>
      <c r="GX86" s="10">
        <v>-2</v>
      </c>
      <c r="GY86" s="10"/>
      <c r="GZ86" s="10">
        <v>-8</v>
      </c>
      <c r="HA86" s="10">
        <v>117</v>
      </c>
      <c r="HB86" s="10">
        <v>-23</v>
      </c>
      <c r="HC86" s="10"/>
      <c r="HD86" s="10">
        <v>-52</v>
      </c>
      <c r="HE86" s="10"/>
      <c r="HF86" s="10">
        <v>-19</v>
      </c>
      <c r="HG86" s="10"/>
      <c r="HH86" s="10"/>
      <c r="HI86" s="10"/>
      <c r="HJ86" s="10"/>
      <c r="HK86" s="10"/>
      <c r="HL86" s="10">
        <v>-5</v>
      </c>
      <c r="HM86" s="10"/>
      <c r="HN86" s="10"/>
      <c r="HO86" s="10"/>
      <c r="HP86" s="10">
        <v>-10</v>
      </c>
      <c r="HQ86" s="10"/>
      <c r="HR86" s="10"/>
      <c r="HS86" s="10"/>
      <c r="HT86" s="10">
        <v>-10</v>
      </c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>
        <v>-13</v>
      </c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>
        <v>-10</v>
      </c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1">
        <f t="shared" si="4"/>
        <v>828</v>
      </c>
      <c r="TH86" s="9">
        <f t="shared" si="5"/>
        <v>-328</v>
      </c>
    </row>
    <row r="87" spans="1:528" ht="15.6" thickBot="1" x14ac:dyDescent="0.3">
      <c r="A87" s="25" t="s">
        <v>556</v>
      </c>
      <c r="B87" s="18" t="s">
        <v>555</v>
      </c>
      <c r="C87" s="3">
        <f>AGOSTO!D87</f>
        <v>0</v>
      </c>
      <c r="D87" s="55">
        <f t="shared" si="3"/>
        <v>50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>
        <f>56+5</f>
        <v>61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>
        <v>-16</v>
      </c>
      <c r="BM87" s="10"/>
      <c r="BN87" s="10"/>
      <c r="BO87" s="10"/>
      <c r="BP87" s="10">
        <v>-3</v>
      </c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>
        <f>56*2</f>
        <v>112</v>
      </c>
      <c r="CB87" s="10"/>
      <c r="CC87" s="10"/>
      <c r="CD87" s="10">
        <v>-20</v>
      </c>
      <c r="CE87" s="10"/>
      <c r="CF87" s="10">
        <v>-8</v>
      </c>
      <c r="CG87" s="10"/>
      <c r="CH87" s="10">
        <v>-13</v>
      </c>
      <c r="CI87" s="10"/>
      <c r="CJ87" s="10"/>
      <c r="CK87" s="10"/>
      <c r="CL87" s="10"/>
      <c r="CM87" s="10">
        <f>56+56+21</f>
        <v>133</v>
      </c>
      <c r="CN87" s="10"/>
      <c r="CO87" s="10"/>
      <c r="CP87" s="10">
        <v>-112</v>
      </c>
      <c r="CQ87" s="10"/>
      <c r="CR87" s="10">
        <v>-56</v>
      </c>
      <c r="CS87" s="10">
        <v>56</v>
      </c>
      <c r="CT87" s="10">
        <v>-17</v>
      </c>
      <c r="CU87" s="10"/>
      <c r="CV87" s="10">
        <v>-8</v>
      </c>
      <c r="CW87" s="10"/>
      <c r="CX87" s="10"/>
      <c r="CY87" s="10"/>
      <c r="CZ87" s="10"/>
      <c r="DA87" s="10"/>
      <c r="DB87" s="10">
        <v>-73</v>
      </c>
      <c r="DC87" s="10">
        <f>56+25</f>
        <v>81</v>
      </c>
      <c r="DD87" s="10">
        <v>-27</v>
      </c>
      <c r="DE87" s="10"/>
      <c r="DF87" s="10">
        <v>-20</v>
      </c>
      <c r="DG87" s="10"/>
      <c r="DH87" s="10">
        <v>-2</v>
      </c>
      <c r="DI87" s="10"/>
      <c r="DJ87" s="10"/>
      <c r="DK87" s="10"/>
      <c r="DL87" s="10">
        <v>-30</v>
      </c>
      <c r="DM87" s="10"/>
      <c r="DN87" s="10"/>
      <c r="DO87" s="10"/>
      <c r="DP87" s="10"/>
      <c r="DQ87" s="10">
        <f>56+51</f>
        <v>107</v>
      </c>
      <c r="DR87" s="10"/>
      <c r="DS87" s="10"/>
      <c r="DT87" s="10"/>
      <c r="DU87" s="10"/>
      <c r="DV87" s="10">
        <v>-6</v>
      </c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>
        <v>-2</v>
      </c>
      <c r="EM87" s="10"/>
      <c r="EN87" s="10">
        <v>-2</v>
      </c>
      <c r="EO87" s="10"/>
      <c r="EP87" s="10"/>
      <c r="EQ87" s="10"/>
      <c r="ER87" s="10"/>
      <c r="ES87" s="10"/>
      <c r="ET87" s="10">
        <v>-7</v>
      </c>
      <c r="EU87" s="10"/>
      <c r="EV87" s="10"/>
      <c r="EW87" s="10"/>
      <c r="EX87" s="10">
        <v>-3</v>
      </c>
      <c r="EY87" s="10"/>
      <c r="EZ87" s="10"/>
      <c r="FA87" s="10"/>
      <c r="FB87" s="10"/>
      <c r="FC87" s="10"/>
      <c r="FD87" s="10"/>
      <c r="FE87" s="10"/>
      <c r="FF87" s="10"/>
      <c r="FG87" s="10"/>
      <c r="FH87" s="10">
        <v>-5</v>
      </c>
      <c r="FI87" s="10"/>
      <c r="FJ87" s="10">
        <v>-2</v>
      </c>
      <c r="FK87" s="10"/>
      <c r="FL87" s="10"/>
      <c r="FM87" s="10"/>
      <c r="FN87" s="10">
        <v>-7</v>
      </c>
      <c r="FO87" s="10"/>
      <c r="FP87" s="10"/>
      <c r="FQ87" s="10"/>
      <c r="FR87" s="10"/>
      <c r="FS87" s="10"/>
      <c r="FT87" s="10"/>
      <c r="FU87" s="10"/>
      <c r="FV87" s="10"/>
      <c r="FW87" s="10"/>
      <c r="FX87" s="10">
        <v>-5</v>
      </c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>
        <v>-40</v>
      </c>
      <c r="GO87" s="10"/>
      <c r="GP87" s="10"/>
      <c r="GQ87" s="10"/>
      <c r="GR87" s="10"/>
      <c r="GS87" s="10"/>
      <c r="GT87" s="10">
        <v>-66</v>
      </c>
      <c r="GU87" s="10"/>
      <c r="GV87" s="10"/>
      <c r="GW87" s="10">
        <v>64</v>
      </c>
      <c r="GX87" s="10">
        <v>-57</v>
      </c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>
        <v>-3</v>
      </c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>
        <v>46</v>
      </c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1">
        <f t="shared" si="4"/>
        <v>61</v>
      </c>
      <c r="TH87" s="9">
        <f t="shared" si="5"/>
        <v>0</v>
      </c>
    </row>
    <row r="88" spans="1:528" ht="15.6" thickBot="1" x14ac:dyDescent="0.3">
      <c r="A88" s="25" t="s">
        <v>557</v>
      </c>
      <c r="B88" s="18" t="s">
        <v>968</v>
      </c>
      <c r="C88" s="3">
        <f>AGOSTO!D88</f>
        <v>0</v>
      </c>
      <c r="D88" s="55">
        <f t="shared" si="3"/>
        <v>7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>
        <f>56+11</f>
        <v>67</v>
      </c>
      <c r="AX88" s="10"/>
      <c r="AY88" s="10"/>
      <c r="AZ88" s="10"/>
      <c r="BA88" s="10">
        <v>56</v>
      </c>
      <c r="BB88" s="10"/>
      <c r="BC88" s="10"/>
      <c r="BD88" s="10"/>
      <c r="BE88" s="10"/>
      <c r="BF88" s="10"/>
      <c r="BG88" s="10"/>
      <c r="BH88" s="10">
        <v>-46</v>
      </c>
      <c r="BI88" s="10"/>
      <c r="BJ88" s="10"/>
      <c r="BK88" s="10">
        <f>56*5+40</f>
        <v>320</v>
      </c>
      <c r="BL88" s="10">
        <v>-40</v>
      </c>
      <c r="BM88" s="10">
        <f>56*3</f>
        <v>168</v>
      </c>
      <c r="BN88" s="10">
        <v>-24</v>
      </c>
      <c r="BO88" s="10"/>
      <c r="BP88" s="10">
        <f>-3-392-56</f>
        <v>-451</v>
      </c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>
        <v>-8</v>
      </c>
      <c r="CG88" s="10"/>
      <c r="CH88" s="10">
        <v>-11</v>
      </c>
      <c r="CI88" s="10"/>
      <c r="CJ88" s="10"/>
      <c r="CK88" s="10"/>
      <c r="CL88" s="10"/>
      <c r="CM88" s="10">
        <f>56+32+55</f>
        <v>143</v>
      </c>
      <c r="CN88" s="10">
        <v>-30</v>
      </c>
      <c r="CO88" s="10"/>
      <c r="CP88" s="10"/>
      <c r="CQ88" s="10"/>
      <c r="CR88" s="10">
        <v>-60</v>
      </c>
      <c r="CS88" s="10"/>
      <c r="CT88" s="10">
        <v>-7</v>
      </c>
      <c r="CU88" s="10"/>
      <c r="CV88" s="10"/>
      <c r="CW88" s="10"/>
      <c r="CX88" s="10"/>
      <c r="CY88" s="10"/>
      <c r="CZ88" s="10"/>
      <c r="DA88" s="10">
        <v>112</v>
      </c>
      <c r="DB88" s="10">
        <v>-29</v>
      </c>
      <c r="DC88" s="10"/>
      <c r="DD88" s="10">
        <v>-27</v>
      </c>
      <c r="DE88" s="10"/>
      <c r="DF88" s="10">
        <v>-22</v>
      </c>
      <c r="DG88" s="10"/>
      <c r="DH88" s="10">
        <v>-2</v>
      </c>
      <c r="DI88" s="10"/>
      <c r="DJ88" s="10"/>
      <c r="DK88" s="10"/>
      <c r="DL88" s="10">
        <v>-30</v>
      </c>
      <c r="DM88" s="10"/>
      <c r="DN88" s="10"/>
      <c r="DO88" s="10"/>
      <c r="DP88" s="10">
        <v>-2</v>
      </c>
      <c r="DQ88" s="10">
        <f>56+36</f>
        <v>92</v>
      </c>
      <c r="DR88" s="10">
        <v>-31</v>
      </c>
      <c r="DS88" s="10"/>
      <c r="DT88" s="10">
        <v>-18</v>
      </c>
      <c r="DU88" s="10"/>
      <c r="DV88" s="10">
        <v>-8</v>
      </c>
      <c r="DW88" s="10">
        <f>64+27</f>
        <v>91</v>
      </c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>
        <v>-5</v>
      </c>
      <c r="EM88" s="10"/>
      <c r="EN88" s="10">
        <v>-2</v>
      </c>
      <c r="EO88" s="10"/>
      <c r="EP88" s="10"/>
      <c r="EQ88" s="10"/>
      <c r="ER88" s="10"/>
      <c r="ES88" s="10"/>
      <c r="ET88" s="10">
        <v>-3</v>
      </c>
      <c r="EU88" s="10"/>
      <c r="EV88" s="10">
        <v>-15</v>
      </c>
      <c r="EW88" s="10"/>
      <c r="EX88" s="10">
        <v>-3</v>
      </c>
      <c r="EY88" s="10"/>
      <c r="EZ88" s="10">
        <v>-8</v>
      </c>
      <c r="FA88" s="10"/>
      <c r="FB88" s="10">
        <v>-168</v>
      </c>
      <c r="FC88" s="10"/>
      <c r="FD88" s="10"/>
      <c r="FE88" s="14">
        <v>1</v>
      </c>
      <c r="FF88" s="10"/>
      <c r="FG88" s="10">
        <f>56+25</f>
        <v>81</v>
      </c>
      <c r="FH88" s="10">
        <v>-5</v>
      </c>
      <c r="FI88" s="10"/>
      <c r="FJ88" s="10">
        <v>-10</v>
      </c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>
        <v>-19</v>
      </c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>
        <v>52</v>
      </c>
      <c r="GX88" s="10">
        <v>-1</v>
      </c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>
        <v>-10</v>
      </c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>
        <v>56</v>
      </c>
      <c r="JP88" s="10"/>
      <c r="JQ88" s="10">
        <f>56*5</f>
        <v>280</v>
      </c>
      <c r="JR88" s="10"/>
      <c r="JS88" s="10"/>
      <c r="JT88" s="10">
        <v>-336</v>
      </c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>
        <v>-72</v>
      </c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>
        <v>-9</v>
      </c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>
        <f>64*5+16</f>
        <v>336</v>
      </c>
      <c r="SR88" s="10"/>
      <c r="SS88" s="10"/>
      <c r="ST88" s="10">
        <v>-336</v>
      </c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1">
        <f t="shared" si="4"/>
        <v>123</v>
      </c>
      <c r="TH88" s="9">
        <f t="shared" si="5"/>
        <v>-46</v>
      </c>
    </row>
    <row r="89" spans="1:528" ht="16.2" thickBot="1" x14ac:dyDescent="0.35">
      <c r="A89" s="25"/>
      <c r="B89" s="23" t="s">
        <v>969</v>
      </c>
      <c r="C89" s="3">
        <f>AGOSTO!D89</f>
        <v>0</v>
      </c>
      <c r="D89" s="21">
        <f t="shared" si="3"/>
        <v>0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1">
        <f t="shared" si="4"/>
        <v>0</v>
      </c>
      <c r="TH89" s="9">
        <f t="shared" si="5"/>
        <v>0</v>
      </c>
    </row>
    <row r="90" spans="1:528" ht="15.6" thickBot="1" x14ac:dyDescent="0.3">
      <c r="A90" s="25" t="s">
        <v>862</v>
      </c>
      <c r="B90" s="18" t="s">
        <v>863</v>
      </c>
      <c r="C90" s="3">
        <f>AGOSTO!D90</f>
        <v>1620</v>
      </c>
      <c r="D90" s="55">
        <f t="shared" si="3"/>
        <v>32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>
        <v>-1404</v>
      </c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>
        <f>11*54</f>
        <v>594</v>
      </c>
      <c r="BP90" s="10"/>
      <c r="BQ90" s="10">
        <f>11*54+11*54</f>
        <v>1188</v>
      </c>
      <c r="BR90" s="10"/>
      <c r="BS90" s="10">
        <f>7*54+54</f>
        <v>432</v>
      </c>
      <c r="BT90" s="10">
        <f>-1674-54-54</f>
        <v>-1782</v>
      </c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>
        <v>54</v>
      </c>
      <c r="CF90" s="10"/>
      <c r="CG90" s="10">
        <f>54*4</f>
        <v>216</v>
      </c>
      <c r="CH90" s="10"/>
      <c r="CI90" s="10">
        <v>54</v>
      </c>
      <c r="CJ90" s="10"/>
      <c r="CK90" s="10"/>
      <c r="CL90" s="10"/>
      <c r="CM90" s="10"/>
      <c r="CN90" s="10">
        <v>-918</v>
      </c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>
        <f>54*8</f>
        <v>432</v>
      </c>
      <c r="DD90" s="10"/>
      <c r="DE90" s="10">
        <f>540</f>
        <v>540</v>
      </c>
      <c r="DF90" s="10"/>
      <c r="DG90" s="10">
        <f>11*54</f>
        <v>594</v>
      </c>
      <c r="DH90" s="10"/>
      <c r="DI90" s="10">
        <f>54*4</f>
        <v>216</v>
      </c>
      <c r="DJ90" s="10"/>
      <c r="DK90" s="10"/>
      <c r="DL90" s="10">
        <v>-1782</v>
      </c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4">
        <v>-54</v>
      </c>
      <c r="EE90" s="10">
        <f>7*54</f>
        <v>378</v>
      </c>
      <c r="EF90" s="10"/>
      <c r="EG90" s="10">
        <f>10*54</f>
        <v>540</v>
      </c>
      <c r="EH90" s="10">
        <v>-108</v>
      </c>
      <c r="EI90" s="10">
        <f>54*6</f>
        <v>324</v>
      </c>
      <c r="EJ90" s="10">
        <v>-1134</v>
      </c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>
        <v>32</v>
      </c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1">
        <f t="shared" si="4"/>
        <v>0</v>
      </c>
      <c r="TH90" s="9">
        <f t="shared" si="5"/>
        <v>-1404</v>
      </c>
    </row>
    <row r="91" spans="1:528" ht="15.6" thickBot="1" x14ac:dyDescent="0.3">
      <c r="A91" s="25" t="s">
        <v>864</v>
      </c>
      <c r="B91" s="18" t="s">
        <v>865</v>
      </c>
      <c r="C91" s="3">
        <f>AGOSTO!D91</f>
        <v>0</v>
      </c>
      <c r="D91" s="21">
        <f t="shared" si="3"/>
        <v>0</v>
      </c>
      <c r="E91" s="10"/>
      <c r="F91" s="10"/>
      <c r="G91" s="10">
        <f>54*5+54</f>
        <v>324</v>
      </c>
      <c r="H91" s="10"/>
      <c r="I91" s="10">
        <f>6*54+19</f>
        <v>343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>
        <v>-378</v>
      </c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>
        <v>-162</v>
      </c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>
        <v>43</v>
      </c>
      <c r="EJ91" s="10">
        <v>-170</v>
      </c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1">
        <f t="shared" si="4"/>
        <v>667</v>
      </c>
      <c r="TH91" s="9">
        <f t="shared" si="5"/>
        <v>-378</v>
      </c>
    </row>
    <row r="92" spans="1:528" ht="16.2" thickBot="1" x14ac:dyDescent="0.35">
      <c r="A92" s="25"/>
      <c r="B92" s="23" t="s">
        <v>167</v>
      </c>
      <c r="C92" s="3">
        <f>AGOSTO!D92</f>
        <v>0</v>
      </c>
      <c r="D92" s="21">
        <f t="shared" si="3"/>
        <v>0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1">
        <f t="shared" si="4"/>
        <v>0</v>
      </c>
      <c r="TH92" s="9">
        <f t="shared" si="5"/>
        <v>0</v>
      </c>
    </row>
    <row r="93" spans="1:528" ht="15.6" thickBot="1" x14ac:dyDescent="0.3">
      <c r="A93" s="25" t="s">
        <v>168</v>
      </c>
      <c r="B93" s="18" t="s">
        <v>107</v>
      </c>
      <c r="C93" s="3">
        <f>AGOSTO!D93</f>
        <v>0</v>
      </c>
      <c r="D93" s="21">
        <f t="shared" si="3"/>
        <v>0</v>
      </c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>
        <v>75</v>
      </c>
      <c r="BH93" s="10"/>
      <c r="BI93" s="10"/>
      <c r="BJ93" s="10"/>
      <c r="BK93" s="10"/>
      <c r="BL93" s="10"/>
      <c r="BM93" s="10"/>
      <c r="BN93" s="10">
        <v>-75</v>
      </c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>
        <v>56</v>
      </c>
      <c r="DJ93" s="10"/>
      <c r="DK93" s="10"/>
      <c r="DL93" s="10"/>
      <c r="DM93" s="10"/>
      <c r="DN93" s="10"/>
      <c r="DO93" s="10"/>
      <c r="DP93" s="10"/>
      <c r="DQ93" s="10"/>
      <c r="DR93" s="10">
        <v>-56</v>
      </c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>
        <v>56</v>
      </c>
      <c r="GZ93" s="10"/>
      <c r="HA93" s="10"/>
      <c r="HB93" s="10">
        <v>-56</v>
      </c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1">
        <f t="shared" si="4"/>
        <v>75</v>
      </c>
      <c r="TH93" s="9">
        <f t="shared" si="5"/>
        <v>0</v>
      </c>
    </row>
    <row r="94" spans="1:528" ht="15.6" thickBot="1" x14ac:dyDescent="0.3">
      <c r="A94" s="25" t="s">
        <v>169</v>
      </c>
      <c r="B94" s="18" t="s">
        <v>11</v>
      </c>
      <c r="C94" s="3">
        <f>AGOSTO!D94</f>
        <v>0</v>
      </c>
      <c r="D94" s="21">
        <f t="shared" si="3"/>
        <v>0</v>
      </c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>
        <v>75</v>
      </c>
      <c r="BF94" s="10"/>
      <c r="BG94" s="10"/>
      <c r="BH94" s="10"/>
      <c r="BI94" s="10"/>
      <c r="BJ94" s="10"/>
      <c r="BK94" s="10"/>
      <c r="BL94" s="10"/>
      <c r="BM94" s="10"/>
      <c r="BN94" s="10">
        <v>-75</v>
      </c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>
        <v>56</v>
      </c>
      <c r="DJ94" s="10"/>
      <c r="DK94" s="10"/>
      <c r="DL94" s="10"/>
      <c r="DM94" s="10"/>
      <c r="DN94" s="10"/>
      <c r="DO94" s="10"/>
      <c r="DP94" s="10"/>
      <c r="DQ94" s="10"/>
      <c r="DR94" s="10">
        <v>-56</v>
      </c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>
        <v>56</v>
      </c>
      <c r="GZ94" s="10"/>
      <c r="HA94" s="10"/>
      <c r="HB94" s="10">
        <v>-56</v>
      </c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1">
        <f t="shared" si="4"/>
        <v>75</v>
      </c>
      <c r="TH94" s="9">
        <f t="shared" si="5"/>
        <v>0</v>
      </c>
    </row>
    <row r="95" spans="1:528" ht="15.6" thickBot="1" x14ac:dyDescent="0.3">
      <c r="A95" s="25" t="s">
        <v>170</v>
      </c>
      <c r="B95" s="18" t="s">
        <v>42</v>
      </c>
      <c r="C95" s="3">
        <f>AGOSTO!D95</f>
        <v>0</v>
      </c>
      <c r="D95" s="21">
        <f t="shared" si="3"/>
        <v>0</v>
      </c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>
        <v>56</v>
      </c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>
        <v>-56</v>
      </c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1">
        <f t="shared" si="4"/>
        <v>0</v>
      </c>
      <c r="TH95" s="9">
        <f t="shared" si="5"/>
        <v>0</v>
      </c>
    </row>
    <row r="96" spans="1:528" ht="15.6" thickBot="1" x14ac:dyDescent="0.3">
      <c r="A96" s="25" t="s">
        <v>171</v>
      </c>
      <c r="B96" s="18" t="s">
        <v>43</v>
      </c>
      <c r="C96" s="3">
        <f>AGOSTO!D96</f>
        <v>475</v>
      </c>
      <c r="D96" s="21">
        <f t="shared" si="3"/>
        <v>0</v>
      </c>
      <c r="E96" s="10"/>
      <c r="F96" s="10"/>
      <c r="G96" s="10"/>
      <c r="H96" s="10"/>
      <c r="I96" s="10"/>
      <c r="J96" s="10"/>
      <c r="K96" s="10"/>
      <c r="L96" s="10">
        <v>-475</v>
      </c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>
        <v>75</v>
      </c>
      <c r="BH96" s="10"/>
      <c r="BI96" s="10"/>
      <c r="BJ96" s="10"/>
      <c r="BK96" s="10"/>
      <c r="BL96" s="10"/>
      <c r="BM96" s="10"/>
      <c r="BN96" s="10">
        <v>-75</v>
      </c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>
        <v>56</v>
      </c>
      <c r="DJ96" s="10"/>
      <c r="DK96" s="10"/>
      <c r="DL96" s="10"/>
      <c r="DM96" s="10"/>
      <c r="DN96" s="10"/>
      <c r="DO96" s="10"/>
      <c r="DP96" s="10"/>
      <c r="DQ96" s="10"/>
      <c r="DR96" s="10">
        <v>-56</v>
      </c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>
        <v>128</v>
      </c>
      <c r="FN96" s="10"/>
      <c r="FO96" s="10"/>
      <c r="FP96" s="10"/>
      <c r="FQ96" s="10"/>
      <c r="FR96" s="10"/>
      <c r="FS96" s="10"/>
      <c r="FT96" s="10"/>
      <c r="FU96" s="10"/>
      <c r="FV96" s="10">
        <v>-128</v>
      </c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>
        <v>56</v>
      </c>
      <c r="GL96" s="10"/>
      <c r="GM96" s="10"/>
      <c r="GN96" s="10">
        <v>-56</v>
      </c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>
        <v>46</v>
      </c>
      <c r="GZ96" s="10"/>
      <c r="HA96" s="10"/>
      <c r="HB96" s="10">
        <v>-46</v>
      </c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1">
        <f t="shared" si="4"/>
        <v>75</v>
      </c>
      <c r="TH96" s="9">
        <f t="shared" si="5"/>
        <v>-475</v>
      </c>
    </row>
    <row r="97" spans="1:528" ht="15.6" thickBot="1" x14ac:dyDescent="0.3">
      <c r="A97" s="25" t="s">
        <v>172</v>
      </c>
      <c r="B97" s="18" t="s">
        <v>44</v>
      </c>
      <c r="C97" s="3">
        <f>AGOSTO!D97</f>
        <v>0</v>
      </c>
      <c r="D97" s="21">
        <f t="shared" si="3"/>
        <v>0</v>
      </c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1">
        <f t="shared" si="4"/>
        <v>0</v>
      </c>
      <c r="TH97" s="9">
        <f t="shared" si="5"/>
        <v>0</v>
      </c>
    </row>
    <row r="98" spans="1:528" ht="15.6" thickBot="1" x14ac:dyDescent="0.3">
      <c r="A98" s="25" t="s">
        <v>173</v>
      </c>
      <c r="B98" s="18" t="s">
        <v>45</v>
      </c>
      <c r="C98" s="3">
        <f>AGOSTO!D98</f>
        <v>0</v>
      </c>
      <c r="D98" s="21">
        <f t="shared" si="3"/>
        <v>0</v>
      </c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>
        <v>56</v>
      </c>
      <c r="GN98" s="10">
        <v>-56</v>
      </c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1">
        <f t="shared" si="4"/>
        <v>0</v>
      </c>
      <c r="TH98" s="9">
        <f t="shared" si="5"/>
        <v>0</v>
      </c>
    </row>
    <row r="99" spans="1:528" ht="15.6" thickBot="1" x14ac:dyDescent="0.3">
      <c r="A99" s="25" t="s">
        <v>970</v>
      </c>
      <c r="B99" s="18" t="s">
        <v>117</v>
      </c>
      <c r="C99" s="3">
        <f>AGOSTO!D99</f>
        <v>0</v>
      </c>
      <c r="D99" s="21">
        <f t="shared" si="3"/>
        <v>0</v>
      </c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1">
        <f t="shared" si="4"/>
        <v>0</v>
      </c>
      <c r="TH99" s="9">
        <f t="shared" si="5"/>
        <v>0</v>
      </c>
    </row>
    <row r="100" spans="1:528" ht="15.6" thickBot="1" x14ac:dyDescent="0.3">
      <c r="A100" s="25" t="s">
        <v>270</v>
      </c>
      <c r="B100" s="18" t="s">
        <v>76</v>
      </c>
      <c r="C100" s="3">
        <f>AGOSTO!D100</f>
        <v>0</v>
      </c>
      <c r="D100" s="21">
        <f t="shared" si="3"/>
        <v>0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1">
        <f t="shared" si="4"/>
        <v>0</v>
      </c>
      <c r="TH100" s="9">
        <f t="shared" si="5"/>
        <v>0</v>
      </c>
    </row>
    <row r="101" spans="1:528" ht="15.6" thickBot="1" x14ac:dyDescent="0.3">
      <c r="A101" s="25" t="s">
        <v>271</v>
      </c>
      <c r="B101" s="18" t="s">
        <v>272</v>
      </c>
      <c r="C101" s="3">
        <f>AGOSTO!D101</f>
        <v>0</v>
      </c>
      <c r="D101" s="21">
        <f t="shared" si="3"/>
        <v>0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>
        <v>75</v>
      </c>
      <c r="BL101" s="10"/>
      <c r="BM101" s="10"/>
      <c r="BN101" s="10">
        <v>-75</v>
      </c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>
        <v>56</v>
      </c>
      <c r="DJ101" s="10"/>
      <c r="DK101" s="10"/>
      <c r="DL101" s="10"/>
      <c r="DM101" s="10"/>
      <c r="DN101" s="10"/>
      <c r="DO101" s="10"/>
      <c r="DP101" s="10"/>
      <c r="DQ101" s="10"/>
      <c r="DR101" s="10">
        <v>-56</v>
      </c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>
        <v>56</v>
      </c>
      <c r="GZ101" s="10"/>
      <c r="HA101" s="10"/>
      <c r="HB101" s="10">
        <v>-56</v>
      </c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1">
        <f t="shared" si="4"/>
        <v>0</v>
      </c>
      <c r="TH101" s="9">
        <f t="shared" si="5"/>
        <v>0</v>
      </c>
    </row>
    <row r="102" spans="1:528" ht="15.6" thickBot="1" x14ac:dyDescent="0.3">
      <c r="A102" s="25" t="s">
        <v>265</v>
      </c>
      <c r="B102" s="18" t="s">
        <v>268</v>
      </c>
      <c r="C102" s="3">
        <f>AGOSTO!D102</f>
        <v>0</v>
      </c>
      <c r="D102" s="21">
        <f t="shared" si="3"/>
        <v>0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1">
        <f t="shared" si="4"/>
        <v>0</v>
      </c>
      <c r="TH102" s="9">
        <f t="shared" si="5"/>
        <v>0</v>
      </c>
    </row>
    <row r="103" spans="1:528" ht="15.6" thickBot="1" x14ac:dyDescent="0.3">
      <c r="A103" s="25" t="s">
        <v>266</v>
      </c>
      <c r="B103" s="18" t="s">
        <v>269</v>
      </c>
      <c r="C103" s="3">
        <f>AGOSTO!D103</f>
        <v>250</v>
      </c>
      <c r="D103" s="21">
        <f t="shared" si="3"/>
        <v>0</v>
      </c>
      <c r="E103" s="10"/>
      <c r="F103" s="10"/>
      <c r="G103" s="10"/>
      <c r="H103" s="10"/>
      <c r="I103" s="10"/>
      <c r="J103" s="10"/>
      <c r="K103" s="10"/>
      <c r="L103" s="10">
        <v>-250</v>
      </c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>
        <v>150</v>
      </c>
      <c r="FN103" s="10"/>
      <c r="FO103" s="10"/>
      <c r="FP103" s="10"/>
      <c r="FQ103" s="10"/>
      <c r="FR103" s="10"/>
      <c r="FS103" s="10"/>
      <c r="FT103" s="10"/>
      <c r="FU103" s="10"/>
      <c r="FV103" s="10">
        <v>-150</v>
      </c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1">
        <f t="shared" si="4"/>
        <v>0</v>
      </c>
      <c r="TH103" s="9">
        <f t="shared" si="5"/>
        <v>-250</v>
      </c>
    </row>
    <row r="104" spans="1:528" ht="15.6" thickBot="1" x14ac:dyDescent="0.3">
      <c r="A104" s="25" t="s">
        <v>901</v>
      </c>
      <c r="B104" s="18" t="s">
        <v>116</v>
      </c>
      <c r="C104" s="3">
        <f>AGOSTO!D104</f>
        <v>0</v>
      </c>
      <c r="D104" s="21">
        <f t="shared" si="3"/>
        <v>0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>
        <v>75</v>
      </c>
      <c r="BH104" s="10"/>
      <c r="BI104" s="10"/>
      <c r="BJ104" s="10"/>
      <c r="BK104" s="10"/>
      <c r="BL104" s="10"/>
      <c r="BM104" s="10"/>
      <c r="BN104" s="10">
        <v>-75</v>
      </c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>
        <v>56</v>
      </c>
      <c r="DJ104" s="10"/>
      <c r="DK104" s="10"/>
      <c r="DL104" s="10"/>
      <c r="DM104" s="10"/>
      <c r="DN104" s="10"/>
      <c r="DO104" s="10"/>
      <c r="DP104" s="10"/>
      <c r="DQ104" s="10"/>
      <c r="DR104" s="10">
        <v>-56</v>
      </c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>
        <v>56</v>
      </c>
      <c r="GL104" s="10"/>
      <c r="GM104" s="10"/>
      <c r="GN104" s="10">
        <v>-56</v>
      </c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>
        <v>56</v>
      </c>
      <c r="GZ104" s="10"/>
      <c r="HA104" s="10"/>
      <c r="HB104" s="10">
        <v>-56</v>
      </c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1">
        <f t="shared" si="4"/>
        <v>75</v>
      </c>
      <c r="TH104" s="9">
        <f t="shared" si="5"/>
        <v>0</v>
      </c>
    </row>
    <row r="105" spans="1:528" ht="15.6" thickBot="1" x14ac:dyDescent="0.3">
      <c r="A105" s="25" t="s">
        <v>174</v>
      </c>
      <c r="B105" s="18" t="s">
        <v>77</v>
      </c>
      <c r="C105" s="3">
        <f>AGOSTO!D105</f>
        <v>0</v>
      </c>
      <c r="D105" s="21">
        <f t="shared" si="3"/>
        <v>0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>
        <v>56</v>
      </c>
      <c r="DL105" s="10"/>
      <c r="DM105" s="10"/>
      <c r="DN105" s="10"/>
      <c r="DO105" s="10"/>
      <c r="DP105" s="10"/>
      <c r="DQ105" s="10"/>
      <c r="DR105" s="10">
        <v>-56</v>
      </c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>
        <f>64*15</f>
        <v>960</v>
      </c>
      <c r="FF105" s="10"/>
      <c r="FG105" s="10">
        <f>64*5</f>
        <v>320</v>
      </c>
      <c r="FH105" s="10"/>
      <c r="FI105" s="10"/>
      <c r="FJ105" s="10">
        <v>-1280</v>
      </c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>
        <v>25</v>
      </c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>
        <v>-25</v>
      </c>
      <c r="GW105" s="10"/>
      <c r="GX105" s="10"/>
      <c r="GY105" s="10">
        <v>64</v>
      </c>
      <c r="GZ105" s="10"/>
      <c r="HA105" s="10"/>
      <c r="HB105" s="10">
        <v>-64</v>
      </c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1">
        <f t="shared" si="4"/>
        <v>0</v>
      </c>
      <c r="TH105" s="9">
        <f t="shared" si="5"/>
        <v>0</v>
      </c>
    </row>
    <row r="106" spans="1:528" ht="15.6" thickBot="1" x14ac:dyDescent="0.3">
      <c r="A106" s="25"/>
      <c r="B106" s="18" t="s">
        <v>176</v>
      </c>
      <c r="C106" s="3">
        <f>AGOSTO!D106</f>
        <v>0</v>
      </c>
      <c r="D106" s="21">
        <f t="shared" si="3"/>
        <v>0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>
        <v>150</v>
      </c>
      <c r="BF106" s="10"/>
      <c r="BG106" s="10"/>
      <c r="BH106" s="10"/>
      <c r="BI106" s="10"/>
      <c r="BJ106" s="10"/>
      <c r="BK106" s="10"/>
      <c r="BL106" s="10"/>
      <c r="BM106" s="10"/>
      <c r="BN106" s="10">
        <v>-150</v>
      </c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>
        <v>59</v>
      </c>
      <c r="DL106" s="10"/>
      <c r="DM106" s="10"/>
      <c r="DN106" s="10"/>
      <c r="DO106" s="10"/>
      <c r="DP106" s="10"/>
      <c r="DQ106" s="10"/>
      <c r="DR106" s="10">
        <v>-56</v>
      </c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>
        <v>-3</v>
      </c>
      <c r="FU106" s="10">
        <v>22</v>
      </c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>
        <v>3</v>
      </c>
      <c r="GV106" s="10">
        <v>-25</v>
      </c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1">
        <f t="shared" si="4"/>
        <v>150</v>
      </c>
      <c r="TH106" s="9">
        <f t="shared" si="5"/>
        <v>0</v>
      </c>
    </row>
    <row r="107" spans="1:528" ht="15.6" thickBot="1" x14ac:dyDescent="0.3">
      <c r="A107" s="25" t="s">
        <v>587</v>
      </c>
      <c r="B107" s="18" t="s">
        <v>488</v>
      </c>
      <c r="C107" s="3">
        <f>AGOSTO!D107</f>
        <v>0</v>
      </c>
      <c r="D107" s="21">
        <f t="shared" si="3"/>
        <v>0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>
        <v>59</v>
      </c>
      <c r="DL107" s="10"/>
      <c r="DM107" s="10"/>
      <c r="DN107" s="10"/>
      <c r="DO107" s="10"/>
      <c r="DP107" s="10"/>
      <c r="DQ107" s="10"/>
      <c r="DR107" s="10">
        <v>-56</v>
      </c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>
        <v>56</v>
      </c>
      <c r="GZ107" s="10"/>
      <c r="HA107" s="10"/>
      <c r="HB107" s="10">
        <v>-59</v>
      </c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1">
        <f t="shared" si="4"/>
        <v>0</v>
      </c>
      <c r="TH107" s="9">
        <f t="shared" si="5"/>
        <v>0</v>
      </c>
    </row>
    <row r="108" spans="1:528" ht="15.6" thickBot="1" x14ac:dyDescent="0.3">
      <c r="A108" s="25" t="s">
        <v>588</v>
      </c>
      <c r="B108" s="18" t="s">
        <v>971</v>
      </c>
      <c r="C108" s="3">
        <f>AGOSTO!D108</f>
        <v>0</v>
      </c>
      <c r="D108" s="21">
        <f t="shared" si="3"/>
        <v>0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>
        <f>72+72+6</f>
        <v>150</v>
      </c>
      <c r="BL108" s="10"/>
      <c r="BM108" s="10"/>
      <c r="BN108" s="10">
        <v>-150</v>
      </c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>
        <v>59</v>
      </c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>
        <v>-59</v>
      </c>
      <c r="GY108" s="10">
        <v>56</v>
      </c>
      <c r="GZ108" s="10"/>
      <c r="HA108" s="10"/>
      <c r="HB108" s="10">
        <v>-56</v>
      </c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1">
        <f t="shared" si="4"/>
        <v>0</v>
      </c>
      <c r="TH108" s="9">
        <f t="shared" si="5"/>
        <v>0</v>
      </c>
    </row>
    <row r="109" spans="1:528" ht="15.6" thickBot="1" x14ac:dyDescent="0.3">
      <c r="A109" s="25"/>
      <c r="B109" s="18" t="s">
        <v>224</v>
      </c>
      <c r="C109" s="3">
        <f>AGOSTO!D109</f>
        <v>0</v>
      </c>
      <c r="D109" s="21">
        <f t="shared" si="3"/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>
        <v>150</v>
      </c>
      <c r="BH109" s="10"/>
      <c r="BI109" s="10"/>
      <c r="BJ109" s="10"/>
      <c r="BK109" s="10"/>
      <c r="BL109" s="10"/>
      <c r="BM109" s="10"/>
      <c r="BN109" s="10">
        <v>-150</v>
      </c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>
        <v>3</v>
      </c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1">
        <f t="shared" si="4"/>
        <v>150</v>
      </c>
      <c r="TH109" s="9">
        <f t="shared" si="5"/>
        <v>0</v>
      </c>
    </row>
    <row r="110" spans="1:528" ht="16.2" thickBot="1" x14ac:dyDescent="0.35">
      <c r="A110" s="25"/>
      <c r="B110" s="23" t="s">
        <v>455</v>
      </c>
      <c r="C110" s="3">
        <f>AGOSTO!D110</f>
        <v>0</v>
      </c>
      <c r="D110" s="21">
        <f t="shared" si="3"/>
        <v>0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1">
        <f t="shared" si="4"/>
        <v>0</v>
      </c>
      <c r="TH110" s="9">
        <f t="shared" si="5"/>
        <v>0</v>
      </c>
    </row>
    <row r="111" spans="1:528" ht="15.6" thickBot="1" x14ac:dyDescent="0.3">
      <c r="A111" s="25" t="s">
        <v>179</v>
      </c>
      <c r="B111" s="26" t="s">
        <v>46</v>
      </c>
      <c r="C111" s="3">
        <f>AGOSTO!D115</f>
        <v>0</v>
      </c>
      <c r="D111" s="21">
        <f t="shared" si="3"/>
        <v>0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>
        <v>168</v>
      </c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>
        <v>-2</v>
      </c>
      <c r="AY111" s="10"/>
      <c r="AZ111" s="10">
        <v>-16</v>
      </c>
      <c r="BA111" s="10">
        <v>280</v>
      </c>
      <c r="BB111" s="10"/>
      <c r="BC111" s="10"/>
      <c r="BD111" s="10"/>
      <c r="BE111" s="10"/>
      <c r="BF111" s="10"/>
      <c r="BG111" s="10"/>
      <c r="BH111" s="10"/>
      <c r="BI111" s="10"/>
      <c r="BJ111" s="10"/>
      <c r="BK111" s="10">
        <f>224+112+224</f>
        <v>560</v>
      </c>
      <c r="BL111" s="10">
        <v>-56</v>
      </c>
      <c r="BM111" s="10"/>
      <c r="BN111" s="10">
        <v>-16</v>
      </c>
      <c r="BO111" s="10"/>
      <c r="BP111" s="10">
        <v>-56</v>
      </c>
      <c r="BQ111" s="10"/>
      <c r="BR111" s="10">
        <f>-7-32</f>
        <v>-39</v>
      </c>
      <c r="BS111" s="10">
        <v>112</v>
      </c>
      <c r="BT111" s="10">
        <f>-29-56-56-112-112-9-20-56</f>
        <v>-450</v>
      </c>
      <c r="BU111" s="10"/>
      <c r="BV111" s="10">
        <f>-18-24</f>
        <v>-42</v>
      </c>
      <c r="BW111" s="10"/>
      <c r="BX111" s="10"/>
      <c r="BY111" s="10"/>
      <c r="BZ111" s="10"/>
      <c r="CA111" s="10"/>
      <c r="CB111" s="10">
        <f>-48-33-60-23-2</f>
        <v>-166</v>
      </c>
      <c r="CC111" s="10"/>
      <c r="CD111" s="10">
        <v>-13</v>
      </c>
      <c r="CE111" s="10"/>
      <c r="CF111" s="10">
        <v>-8</v>
      </c>
      <c r="CG111" s="10"/>
      <c r="CH111" s="10">
        <v>-11</v>
      </c>
      <c r="CI111" s="10"/>
      <c r="CJ111" s="10"/>
      <c r="CK111" s="10"/>
      <c r="CL111" s="10"/>
      <c r="CM111" s="10"/>
      <c r="CN111" s="10">
        <v>-40</v>
      </c>
      <c r="CO111" s="10"/>
      <c r="CP111" s="10">
        <v>-5</v>
      </c>
      <c r="CQ111" s="10">
        <v>168</v>
      </c>
      <c r="CR111" s="10">
        <v>-12</v>
      </c>
      <c r="CS111" s="10"/>
      <c r="CT111" s="10">
        <v>-40</v>
      </c>
      <c r="CU111" s="10"/>
      <c r="CV111" s="10">
        <v>-7</v>
      </c>
      <c r="CW111" s="10"/>
      <c r="CX111" s="10"/>
      <c r="CY111" s="10"/>
      <c r="CZ111" s="10"/>
      <c r="DA111" s="10"/>
      <c r="DB111" s="10">
        <v>-1</v>
      </c>
      <c r="DC111" s="10"/>
      <c r="DD111" s="10">
        <v>-8</v>
      </c>
      <c r="DE111" s="10"/>
      <c r="DF111" s="10">
        <v>-56</v>
      </c>
      <c r="DG111" s="10"/>
      <c r="DH111" s="10">
        <v>-7</v>
      </c>
      <c r="DI111" s="10"/>
      <c r="DJ111" s="10"/>
      <c r="DK111" s="10"/>
      <c r="DL111" s="10">
        <v>-16</v>
      </c>
      <c r="DM111" s="10"/>
      <c r="DN111" s="10"/>
      <c r="DO111" s="10"/>
      <c r="DP111" s="10">
        <v>-50</v>
      </c>
      <c r="DQ111" s="10"/>
      <c r="DR111" s="10"/>
      <c r="DS111" s="10"/>
      <c r="DT111" s="10">
        <v>-39</v>
      </c>
      <c r="DU111" s="10"/>
      <c r="DV111" s="10">
        <f>-5-2</f>
        <v>-7</v>
      </c>
      <c r="DW111" s="10"/>
      <c r="DX111" s="10"/>
      <c r="DY111" s="10"/>
      <c r="DZ111" s="10"/>
      <c r="EA111" s="10"/>
      <c r="EB111" s="10"/>
      <c r="EC111" s="10"/>
      <c r="ED111" s="10">
        <v>-21</v>
      </c>
      <c r="EE111" s="10"/>
      <c r="EF111" s="10"/>
      <c r="EG111" s="10"/>
      <c r="EH111" s="10">
        <v>-4</v>
      </c>
      <c r="EI111" s="10"/>
      <c r="EJ111" s="10">
        <v>-2</v>
      </c>
      <c r="EK111" s="10"/>
      <c r="EL111" s="10"/>
      <c r="EM111" s="10"/>
      <c r="EN111" s="10">
        <v>-3</v>
      </c>
      <c r="EO111" s="10"/>
      <c r="EP111" s="10"/>
      <c r="EQ111" s="10"/>
      <c r="ER111" s="10"/>
      <c r="ES111" s="10"/>
      <c r="ET111" s="10">
        <v>-15</v>
      </c>
      <c r="EU111" s="10"/>
      <c r="EV111" s="10">
        <v>-2</v>
      </c>
      <c r="EW111" s="10"/>
      <c r="EX111" s="10">
        <v>-1</v>
      </c>
      <c r="EY111" s="10"/>
      <c r="EZ111" s="10">
        <v>-35</v>
      </c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>
        <v>-16</v>
      </c>
      <c r="FO111" s="10"/>
      <c r="FP111" s="10"/>
      <c r="FQ111" s="10"/>
      <c r="FR111" s="10"/>
      <c r="FS111" s="10"/>
      <c r="FT111" s="10">
        <v>-1</v>
      </c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>
        <f>-2-2</f>
        <v>-4</v>
      </c>
      <c r="HA111" s="10"/>
      <c r="HB111" s="10">
        <f>-2-2</f>
        <v>-4</v>
      </c>
      <c r="HC111" s="10"/>
      <c r="HD111" s="10"/>
      <c r="HE111" s="10"/>
      <c r="HF111" s="10">
        <v>-5</v>
      </c>
      <c r="HG111" s="10"/>
      <c r="HH111" s="10"/>
      <c r="HI111" s="10"/>
      <c r="HJ111" s="10"/>
      <c r="HK111" s="10"/>
      <c r="HL111" s="10">
        <v>-5</v>
      </c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>
        <v>-10</v>
      </c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4">
        <v>3</v>
      </c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1">
        <f t="shared" si="4"/>
        <v>448</v>
      </c>
      <c r="TH111" s="9">
        <f t="shared" si="5"/>
        <v>-18</v>
      </c>
    </row>
    <row r="112" spans="1:528" ht="15.6" thickBot="1" x14ac:dyDescent="0.3">
      <c r="A112" s="25" t="s">
        <v>180</v>
      </c>
      <c r="B112" s="26" t="s">
        <v>47</v>
      </c>
      <c r="C112" s="3">
        <f>AGOSTO!D116</f>
        <v>0</v>
      </c>
      <c r="D112" s="55">
        <f t="shared" si="3"/>
        <v>46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>
        <f>56</f>
        <v>56</v>
      </c>
      <c r="AL112" s="10"/>
      <c r="AM112" s="10">
        <f>43+13+56</f>
        <v>112</v>
      </c>
      <c r="AN112" s="10"/>
      <c r="AO112" s="10">
        <f>31+25</f>
        <v>56</v>
      </c>
      <c r="AP112" s="10"/>
      <c r="AQ112" s="10"/>
      <c r="AR112" s="10"/>
      <c r="AS112" s="10"/>
      <c r="AT112" s="10"/>
      <c r="AU112" s="10"/>
      <c r="AV112" s="10"/>
      <c r="AW112" s="10"/>
      <c r="AX112" s="10">
        <v>-1</v>
      </c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>
        <f>56+23</f>
        <v>79</v>
      </c>
      <c r="BL112" s="10">
        <v>-40</v>
      </c>
      <c r="BM112" s="10"/>
      <c r="BN112" s="10">
        <v>-12</v>
      </c>
      <c r="BO112" s="10"/>
      <c r="BP112" s="10">
        <f>-2-3-2</f>
        <v>-7</v>
      </c>
      <c r="BQ112" s="10"/>
      <c r="BR112" s="10">
        <v>-56</v>
      </c>
      <c r="BS112" s="10">
        <v>10</v>
      </c>
      <c r="BT112" s="10">
        <f>-23-2-31-56-10-2-56</f>
        <v>-180</v>
      </c>
      <c r="BU112" s="10"/>
      <c r="BV112" s="10">
        <v>-12</v>
      </c>
      <c r="BW112" s="10"/>
      <c r="BX112" s="10"/>
      <c r="BY112" s="10"/>
      <c r="BZ112" s="10"/>
      <c r="CA112" s="10"/>
      <c r="CB112" s="10"/>
      <c r="CC112" s="10">
        <f>56+37+19+56</f>
        <v>168</v>
      </c>
      <c r="CD112" s="10">
        <f>-5-6</f>
        <v>-11</v>
      </c>
      <c r="CE112" s="10">
        <f>43+13</f>
        <v>56</v>
      </c>
      <c r="CF112" s="10">
        <v>-1</v>
      </c>
      <c r="CG112" s="10">
        <f>56</f>
        <v>56</v>
      </c>
      <c r="CH112" s="10">
        <v>-17</v>
      </c>
      <c r="CI112" s="10">
        <v>20</v>
      </c>
      <c r="CJ112" s="10"/>
      <c r="CK112" s="10"/>
      <c r="CL112" s="10"/>
      <c r="CM112" s="10"/>
      <c r="CN112" s="10">
        <v>-48</v>
      </c>
      <c r="CO112" s="10"/>
      <c r="CP112" s="10">
        <v>-83</v>
      </c>
      <c r="CQ112" s="10"/>
      <c r="CR112" s="10"/>
      <c r="CS112" s="10"/>
      <c r="CT112" s="10">
        <v>-13</v>
      </c>
      <c r="CU112" s="10"/>
      <c r="CV112" s="10"/>
      <c r="CW112" s="10"/>
      <c r="CX112" s="10"/>
      <c r="CY112" s="10"/>
      <c r="CZ112" s="10"/>
      <c r="DA112" s="10"/>
      <c r="DB112" s="10">
        <v>-59</v>
      </c>
      <c r="DC112" s="10">
        <v>60</v>
      </c>
      <c r="DD112" s="10">
        <v>-12</v>
      </c>
      <c r="DE112" s="10"/>
      <c r="DF112" s="10">
        <v>-47</v>
      </c>
      <c r="DG112" s="10">
        <v>50</v>
      </c>
      <c r="DH112" s="10">
        <v>-2</v>
      </c>
      <c r="DI112" s="10"/>
      <c r="DJ112" s="10"/>
      <c r="DK112" s="10"/>
      <c r="DL112" s="10">
        <v>-20</v>
      </c>
      <c r="DM112" s="10"/>
      <c r="DN112" s="10"/>
      <c r="DO112" s="10">
        <f>56+56</f>
        <v>112</v>
      </c>
      <c r="DP112" s="10">
        <v>-1</v>
      </c>
      <c r="DQ112" s="10"/>
      <c r="DR112" s="10"/>
      <c r="DS112" s="10">
        <v>52</v>
      </c>
      <c r="DT112" s="10">
        <v>-40</v>
      </c>
      <c r="DU112" s="10"/>
      <c r="DV112" s="10">
        <v>-6</v>
      </c>
      <c r="DW112" s="10"/>
      <c r="DX112" s="10"/>
      <c r="DY112" s="10"/>
      <c r="DZ112" s="10"/>
      <c r="EA112" s="10"/>
      <c r="EB112" s="10"/>
      <c r="EC112" s="10"/>
      <c r="ED112" s="10">
        <v>-45</v>
      </c>
      <c r="EE112" s="10"/>
      <c r="EF112" s="10"/>
      <c r="EG112" s="10"/>
      <c r="EH112" s="10">
        <v>-2</v>
      </c>
      <c r="EI112" s="10"/>
      <c r="EJ112" s="10"/>
      <c r="EK112" s="10"/>
      <c r="EL112" s="10">
        <v>-1</v>
      </c>
      <c r="EM112" s="10"/>
      <c r="EN112" s="10">
        <v>-2</v>
      </c>
      <c r="EO112" s="10"/>
      <c r="EP112" s="10"/>
      <c r="EQ112" s="10"/>
      <c r="ER112" s="10">
        <v>-27</v>
      </c>
      <c r="ES112" s="10"/>
      <c r="ET112" s="10">
        <v>-15</v>
      </c>
      <c r="EU112" s="10"/>
      <c r="EV112" s="10">
        <v>-35</v>
      </c>
      <c r="EW112" s="10"/>
      <c r="EX112" s="10">
        <v>-2</v>
      </c>
      <c r="EY112" s="10"/>
      <c r="EZ112" s="10">
        <v>-26</v>
      </c>
      <c r="FA112" s="10"/>
      <c r="FB112" s="10"/>
      <c r="FC112" s="10"/>
      <c r="FD112" s="10"/>
      <c r="FE112" s="10"/>
      <c r="FF112" s="10"/>
      <c r="FG112" s="10">
        <v>59</v>
      </c>
      <c r="FH112" s="10"/>
      <c r="FI112" s="10"/>
      <c r="FJ112" s="10"/>
      <c r="FK112" s="10"/>
      <c r="FL112" s="10"/>
      <c r="FM112" s="10"/>
      <c r="FN112" s="10">
        <v>-2</v>
      </c>
      <c r="FO112" s="10"/>
      <c r="FP112" s="10"/>
      <c r="FQ112" s="10"/>
      <c r="FR112" s="10"/>
      <c r="FS112" s="10"/>
      <c r="FT112" s="10">
        <f>-45-1</f>
        <v>-46</v>
      </c>
      <c r="FU112" s="10"/>
      <c r="FV112" s="10">
        <v>-2</v>
      </c>
      <c r="FW112" s="10">
        <v>56</v>
      </c>
      <c r="FX112" s="10"/>
      <c r="FY112" s="10"/>
      <c r="FZ112" s="10"/>
      <c r="GA112" s="10"/>
      <c r="GB112" s="10"/>
      <c r="GC112" s="10"/>
      <c r="GD112" s="10">
        <v>-5</v>
      </c>
      <c r="GE112" s="10"/>
      <c r="GF112" s="10"/>
      <c r="GG112" s="10"/>
      <c r="GH112" s="10"/>
      <c r="GI112" s="10"/>
      <c r="GJ112" s="10">
        <v>-2</v>
      </c>
      <c r="GK112" s="10"/>
      <c r="GL112" s="10">
        <v>-20</v>
      </c>
      <c r="GM112" s="10"/>
      <c r="GN112" s="10"/>
      <c r="GO112" s="10">
        <v>24</v>
      </c>
      <c r="GP112" s="10"/>
      <c r="GQ112" s="10"/>
      <c r="GR112" s="10"/>
      <c r="GS112" s="10"/>
      <c r="GT112" s="10"/>
      <c r="GU112" s="10"/>
      <c r="GV112" s="10">
        <v>-32</v>
      </c>
      <c r="GW112" s="10"/>
      <c r="GX112" s="10">
        <v>-3</v>
      </c>
      <c r="GY112" s="10"/>
      <c r="GZ112" s="10">
        <f>-2-3</f>
        <v>-5</v>
      </c>
      <c r="HA112" s="10"/>
      <c r="HB112" s="10">
        <f>-1-2-3</f>
        <v>-6</v>
      </c>
      <c r="HC112" s="10"/>
      <c r="HD112" s="10"/>
      <c r="HE112" s="10"/>
      <c r="HF112" s="10">
        <v>-10</v>
      </c>
      <c r="HG112" s="10"/>
      <c r="HH112" s="10"/>
      <c r="HI112" s="10"/>
      <c r="HJ112" s="10"/>
      <c r="HK112" s="10"/>
      <c r="HL112" s="14">
        <f>-8-5</f>
        <v>-13</v>
      </c>
      <c r="HM112" s="10"/>
      <c r="HN112" s="10"/>
      <c r="HO112" s="10"/>
      <c r="HP112" s="10">
        <v>-5</v>
      </c>
      <c r="HQ112" s="10"/>
      <c r="HR112" s="10"/>
      <c r="HS112" s="10"/>
      <c r="HT112" s="10">
        <v>-4</v>
      </c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>
        <v>-5</v>
      </c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>
        <v>-5</v>
      </c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>
        <v>-10</v>
      </c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>
        <v>18</v>
      </c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1">
        <f t="shared" si="4"/>
        <v>224</v>
      </c>
      <c r="TH112" s="9">
        <f t="shared" si="5"/>
        <v>-1</v>
      </c>
    </row>
    <row r="113" spans="1:528" ht="15.6" thickBot="1" x14ac:dyDescent="0.3">
      <c r="A113" s="25" t="s">
        <v>740</v>
      </c>
      <c r="B113" s="26" t="s">
        <v>437</v>
      </c>
      <c r="C113" s="3">
        <f>AGOSTO!D117</f>
        <v>0</v>
      </c>
      <c r="D113" s="21">
        <f t="shared" si="3"/>
        <v>2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>
        <v>112</v>
      </c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>
        <v>-1</v>
      </c>
      <c r="AY113" s="10"/>
      <c r="AZ113" s="10">
        <v>-16</v>
      </c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>
        <v>112</v>
      </c>
      <c r="BL113" s="10"/>
      <c r="BM113" s="10"/>
      <c r="BN113" s="10">
        <f>-16-10</f>
        <v>-26</v>
      </c>
      <c r="BO113" s="10"/>
      <c r="BP113" s="10">
        <f>-2-2-56</f>
        <v>-60</v>
      </c>
      <c r="BQ113" s="10"/>
      <c r="BR113" s="10">
        <f>-11-32</f>
        <v>-43</v>
      </c>
      <c r="BS113" s="10">
        <v>400</v>
      </c>
      <c r="BT113" s="10">
        <f>-25-4-56</f>
        <v>-85</v>
      </c>
      <c r="BU113" s="10"/>
      <c r="BV113" s="10">
        <v>-5</v>
      </c>
      <c r="BW113" s="10"/>
      <c r="BX113" s="10"/>
      <c r="BY113" s="10"/>
      <c r="BZ113" s="10"/>
      <c r="CA113" s="10"/>
      <c r="CB113" s="10">
        <f>-327-4</f>
        <v>-331</v>
      </c>
      <c r="CC113" s="10"/>
      <c r="CD113" s="10">
        <v>-2</v>
      </c>
      <c r="CE113" s="10"/>
      <c r="CF113" s="10">
        <v>-2</v>
      </c>
      <c r="CG113" s="10"/>
      <c r="CH113" s="10">
        <v>-10</v>
      </c>
      <c r="CI113" s="10"/>
      <c r="CJ113" s="10"/>
      <c r="CK113" s="10"/>
      <c r="CL113" s="10"/>
      <c r="CM113" s="10"/>
      <c r="CN113" s="10"/>
      <c r="CO113" s="10"/>
      <c r="CP113" s="10">
        <v>-43</v>
      </c>
      <c r="CQ113" s="10">
        <v>56</v>
      </c>
      <c r="CR113" s="10"/>
      <c r="CS113" s="10"/>
      <c r="CT113" s="10">
        <v>-31</v>
      </c>
      <c r="CU113" s="10"/>
      <c r="CV113" s="10"/>
      <c r="CW113" s="10"/>
      <c r="CX113" s="10"/>
      <c r="CY113" s="10"/>
      <c r="CZ113" s="10"/>
      <c r="DA113" s="10"/>
      <c r="DB113" s="10">
        <v>-1</v>
      </c>
      <c r="DC113" s="10"/>
      <c r="DD113" s="10">
        <v>-8</v>
      </c>
      <c r="DE113" s="10"/>
      <c r="DF113" s="10"/>
      <c r="DG113" s="10">
        <v>56</v>
      </c>
      <c r="DH113" s="10">
        <v>-10</v>
      </c>
      <c r="DI113" s="10"/>
      <c r="DJ113" s="10"/>
      <c r="DK113" s="10"/>
      <c r="DL113" s="10">
        <v>-16</v>
      </c>
      <c r="DM113" s="10"/>
      <c r="DN113" s="10"/>
      <c r="DO113" s="10"/>
      <c r="DP113" s="10">
        <v>-15</v>
      </c>
      <c r="DQ113" s="10"/>
      <c r="DR113" s="10"/>
      <c r="DS113" s="10"/>
      <c r="DT113" s="10">
        <v>-1</v>
      </c>
      <c r="DU113" s="10"/>
      <c r="DV113" s="10">
        <f>-1-2</f>
        <v>-3</v>
      </c>
      <c r="DW113" s="10"/>
      <c r="DX113" s="10"/>
      <c r="DY113" s="10"/>
      <c r="DZ113" s="10"/>
      <c r="EA113" s="10"/>
      <c r="EB113" s="10"/>
      <c r="EC113" s="10"/>
      <c r="ED113" s="10">
        <v>-15</v>
      </c>
      <c r="EE113" s="10"/>
      <c r="EF113" s="10"/>
      <c r="EG113" s="10"/>
      <c r="EH113" s="10"/>
      <c r="EI113" s="10"/>
      <c r="EJ113" s="10"/>
      <c r="EK113" s="10"/>
      <c r="EL113" s="10">
        <v>-1</v>
      </c>
      <c r="EM113" s="10"/>
      <c r="EN113" s="10">
        <v>-3</v>
      </c>
      <c r="EO113" s="10"/>
      <c r="EP113" s="10"/>
      <c r="EQ113" s="10"/>
      <c r="ER113" s="10"/>
      <c r="ES113" s="14">
        <v>23</v>
      </c>
      <c r="ET113" s="10">
        <f>-13+5</f>
        <v>-8</v>
      </c>
      <c r="EU113" s="10">
        <v>56</v>
      </c>
      <c r="EV113" s="10"/>
      <c r="EW113" s="10"/>
      <c r="EX113" s="10">
        <v>-1</v>
      </c>
      <c r="EY113" s="10"/>
      <c r="EZ113" s="10">
        <v>-27</v>
      </c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>
        <v>-1</v>
      </c>
      <c r="FM113" s="10"/>
      <c r="FN113" s="10">
        <v>-20</v>
      </c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>
        <v>-3</v>
      </c>
      <c r="GY113" s="10"/>
      <c r="GZ113" s="10"/>
      <c r="HA113" s="10"/>
      <c r="HB113" s="10"/>
      <c r="HC113" s="10"/>
      <c r="HD113" s="10"/>
      <c r="HE113" s="10"/>
      <c r="HF113" s="10">
        <v>-5</v>
      </c>
      <c r="HG113" s="10"/>
      <c r="HH113" s="10"/>
      <c r="HI113" s="10"/>
      <c r="HJ113" s="10"/>
      <c r="HK113" s="10"/>
      <c r="HL113" s="10"/>
      <c r="HM113" s="10"/>
      <c r="HN113" s="10"/>
      <c r="HO113" s="10"/>
      <c r="HP113" s="10">
        <v>-10</v>
      </c>
      <c r="HQ113" s="10"/>
      <c r="HR113" s="10"/>
      <c r="HS113" s="10"/>
      <c r="HT113" s="10">
        <v>-10</v>
      </c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>
        <f t="shared" si="4"/>
        <v>112</v>
      </c>
      <c r="TH113" s="9">
        <f t="shared" si="5"/>
        <v>-17</v>
      </c>
    </row>
    <row r="114" spans="1:528" ht="15.6" thickBot="1" x14ac:dyDescent="0.3">
      <c r="A114" s="25"/>
      <c r="B114" s="26" t="s">
        <v>177</v>
      </c>
      <c r="C114" s="3">
        <f>AGOSTO!D118</f>
        <v>0</v>
      </c>
      <c r="D114" s="21">
        <f t="shared" si="3"/>
        <v>0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1">
        <f t="shared" si="4"/>
        <v>0</v>
      </c>
      <c r="TH114" s="9">
        <f t="shared" si="5"/>
        <v>0</v>
      </c>
    </row>
    <row r="115" spans="1:528" ht="15.6" thickBot="1" x14ac:dyDescent="0.3">
      <c r="A115" s="25" t="s">
        <v>869</v>
      </c>
      <c r="B115" s="26" t="s">
        <v>261</v>
      </c>
      <c r="C115" s="3">
        <f>AGOSTO!D119</f>
        <v>0</v>
      </c>
      <c r="D115" s="55">
        <f t="shared" si="3"/>
        <v>20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>
        <f>56+56</f>
        <v>112</v>
      </c>
      <c r="AR115" s="10"/>
      <c r="AS115" s="10"/>
      <c r="AT115" s="10"/>
      <c r="AU115" s="10"/>
      <c r="AV115" s="10"/>
      <c r="AW115" s="10"/>
      <c r="AX115" s="10">
        <v>-1</v>
      </c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>
        <v>-40</v>
      </c>
      <c r="BM115" s="10"/>
      <c r="BN115" s="10"/>
      <c r="BO115" s="10"/>
      <c r="BP115" s="10">
        <f>-2-3-2</f>
        <v>-7</v>
      </c>
      <c r="BQ115" s="10"/>
      <c r="BR115" s="10"/>
      <c r="BS115" s="10">
        <f>56+29</f>
        <v>85</v>
      </c>
      <c r="BT115" s="10">
        <f>-1-8-10-55-56</f>
        <v>-130</v>
      </c>
      <c r="BU115" s="10"/>
      <c r="BV115" s="10">
        <v>-8</v>
      </c>
      <c r="BW115" s="10"/>
      <c r="BX115" s="10"/>
      <c r="BY115" s="10"/>
      <c r="BZ115" s="10"/>
      <c r="CA115" s="10">
        <v>56</v>
      </c>
      <c r="CB115" s="10"/>
      <c r="CC115" s="10">
        <v>14</v>
      </c>
      <c r="CD115" s="10"/>
      <c r="CE115" s="10"/>
      <c r="CF115" s="10">
        <v>-2</v>
      </c>
      <c r="CG115" s="10"/>
      <c r="CH115" s="10">
        <v>-3</v>
      </c>
      <c r="CI115" s="10"/>
      <c r="CJ115" s="10"/>
      <c r="CK115" s="10"/>
      <c r="CL115" s="10"/>
      <c r="CM115" s="10"/>
      <c r="CN115" s="10">
        <v>-16</v>
      </c>
      <c r="CO115" s="10"/>
      <c r="CP115" s="10"/>
      <c r="CQ115" s="10"/>
      <c r="CR115" s="10"/>
      <c r="CS115" s="10"/>
      <c r="CT115" s="10">
        <v>-2</v>
      </c>
      <c r="CU115" s="10"/>
      <c r="CV115" s="10">
        <v>-6</v>
      </c>
      <c r="CW115" s="10"/>
      <c r="CX115" s="10"/>
      <c r="CY115" s="10"/>
      <c r="CZ115" s="10"/>
      <c r="DA115" s="10"/>
      <c r="DB115" s="10">
        <v>-2</v>
      </c>
      <c r="DC115" s="10">
        <v>56</v>
      </c>
      <c r="DD115" s="10">
        <v>-10</v>
      </c>
      <c r="DE115" s="10">
        <v>53</v>
      </c>
      <c r="DF115" s="10">
        <v>-44</v>
      </c>
      <c r="DG115" s="10"/>
      <c r="DH115" s="10">
        <v>-1</v>
      </c>
      <c r="DI115" s="10"/>
      <c r="DJ115" s="10"/>
      <c r="DK115" s="10"/>
      <c r="DL115" s="10">
        <v>-20</v>
      </c>
      <c r="DM115" s="10"/>
      <c r="DN115" s="10"/>
      <c r="DO115" s="10"/>
      <c r="DP115" s="10"/>
      <c r="DQ115" s="10"/>
      <c r="DR115" s="10"/>
      <c r="DS115" s="10"/>
      <c r="DT115" s="10">
        <v>-6</v>
      </c>
      <c r="DU115" s="10"/>
      <c r="DV115" s="10">
        <v>-3</v>
      </c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>
        <v>-2</v>
      </c>
      <c r="EI115" s="10"/>
      <c r="EJ115" s="10"/>
      <c r="EK115" s="10"/>
      <c r="EL115" s="10">
        <v>-1</v>
      </c>
      <c r="EM115" s="10"/>
      <c r="EN115" s="10"/>
      <c r="EO115" s="10"/>
      <c r="EP115" s="10"/>
      <c r="EQ115" s="10"/>
      <c r="ER115" s="10"/>
      <c r="ES115" s="10"/>
      <c r="ET115" s="10">
        <v>-2</v>
      </c>
      <c r="EU115" s="10"/>
      <c r="EV115" s="10">
        <v>-31</v>
      </c>
      <c r="EW115" s="10"/>
      <c r="EX115" s="10">
        <v>-2</v>
      </c>
      <c r="EY115" s="10"/>
      <c r="EZ115" s="10"/>
      <c r="FA115" s="10"/>
      <c r="FB115" s="10"/>
      <c r="FC115" s="10"/>
      <c r="FD115" s="10"/>
      <c r="FE115" s="10"/>
      <c r="FF115" s="10"/>
      <c r="FG115" s="10">
        <v>24</v>
      </c>
      <c r="FH115" s="10"/>
      <c r="FI115" s="10"/>
      <c r="FJ115" s="10"/>
      <c r="FK115" s="10"/>
      <c r="FL115" s="10"/>
      <c r="FM115" s="10"/>
      <c r="FN115" s="10">
        <v>-12</v>
      </c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>
        <v>-2</v>
      </c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>
        <v>-1</v>
      </c>
      <c r="GY115" s="10"/>
      <c r="GZ115" s="10"/>
      <c r="HA115" s="10"/>
      <c r="HB115" s="10"/>
      <c r="HC115" s="10"/>
      <c r="HD115" s="10"/>
      <c r="HE115" s="10"/>
      <c r="HF115" s="10">
        <v>-5</v>
      </c>
      <c r="HG115" s="10"/>
      <c r="HH115" s="10"/>
      <c r="HI115" s="10"/>
      <c r="HJ115" s="10"/>
      <c r="HK115" s="10"/>
      <c r="HL115" s="14">
        <v>-15</v>
      </c>
      <c r="HM115" s="10"/>
      <c r="HN115" s="10"/>
      <c r="HO115" s="10"/>
      <c r="HP115" s="10">
        <v>-10</v>
      </c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>
        <v>-5</v>
      </c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>
        <v>9</v>
      </c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1">
        <f t="shared" si="4"/>
        <v>112</v>
      </c>
      <c r="TH115" s="9">
        <f t="shared" si="5"/>
        <v>-1</v>
      </c>
    </row>
    <row r="116" spans="1:528" ht="16.2" thickBot="1" x14ac:dyDescent="0.35">
      <c r="A116" s="25"/>
      <c r="B116" s="20" t="s">
        <v>744</v>
      </c>
      <c r="C116" s="3">
        <f>AGOSTO!D120</f>
        <v>0</v>
      </c>
      <c r="D116" s="21">
        <f t="shared" si="3"/>
        <v>0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1">
        <f t="shared" si="4"/>
        <v>0</v>
      </c>
      <c r="TH116" s="9">
        <f t="shared" si="5"/>
        <v>0</v>
      </c>
    </row>
    <row r="117" spans="1:528" ht="15.6" thickBot="1" x14ac:dyDescent="0.3">
      <c r="A117" s="25" t="s">
        <v>745</v>
      </c>
      <c r="B117" s="26" t="s">
        <v>972</v>
      </c>
      <c r="C117" s="3">
        <f>AGOSTO!D121</f>
        <v>0</v>
      </c>
      <c r="D117" s="21">
        <f t="shared" si="3"/>
        <v>0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>
        <v>400</v>
      </c>
      <c r="GV117" s="10"/>
      <c r="GW117" s="10"/>
      <c r="GX117" s="10">
        <v>-400</v>
      </c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1">
        <f t="shared" si="4"/>
        <v>0</v>
      </c>
      <c r="TH117" s="9">
        <f t="shared" si="5"/>
        <v>0</v>
      </c>
    </row>
    <row r="118" spans="1:528" ht="15.6" thickBot="1" x14ac:dyDescent="0.3">
      <c r="A118" s="25" t="s">
        <v>746</v>
      </c>
      <c r="B118" s="26" t="s">
        <v>973</v>
      </c>
      <c r="C118" s="3">
        <f>AGOSTO!D122</f>
        <v>0</v>
      </c>
      <c r="D118" s="21">
        <f t="shared" si="3"/>
        <v>0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>
        <v>400</v>
      </c>
      <c r="GV118" s="10"/>
      <c r="GW118" s="10"/>
      <c r="GX118" s="10">
        <v>-400</v>
      </c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1">
        <f t="shared" si="4"/>
        <v>0</v>
      </c>
      <c r="TH118" s="9">
        <f t="shared" si="5"/>
        <v>0</v>
      </c>
    </row>
    <row r="119" spans="1:528" ht="15.6" thickBot="1" x14ac:dyDescent="0.3">
      <c r="A119" s="25" t="s">
        <v>747</v>
      </c>
      <c r="B119" s="26" t="s">
        <v>748</v>
      </c>
      <c r="C119" s="3">
        <f>AGOSTO!D123</f>
        <v>0</v>
      </c>
      <c r="D119" s="21">
        <f t="shared" si="3"/>
        <v>0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>
        <v>400</v>
      </c>
      <c r="GV119" s="10"/>
      <c r="GW119" s="10"/>
      <c r="GX119" s="10">
        <v>-400</v>
      </c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1">
        <f t="shared" si="4"/>
        <v>0</v>
      </c>
      <c r="TH119" s="9">
        <f t="shared" si="5"/>
        <v>0</v>
      </c>
    </row>
    <row r="120" spans="1:528" ht="15.6" thickBot="1" x14ac:dyDescent="0.3">
      <c r="A120" s="25" t="s">
        <v>511</v>
      </c>
      <c r="B120" s="26" t="s">
        <v>754</v>
      </c>
      <c r="C120" s="3">
        <f>AGOSTO!D124</f>
        <v>0</v>
      </c>
      <c r="D120" s="21">
        <f t="shared" si="3"/>
        <v>0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1">
        <f t="shared" si="4"/>
        <v>0</v>
      </c>
      <c r="TH120" s="9">
        <f t="shared" si="5"/>
        <v>0</v>
      </c>
    </row>
    <row r="121" spans="1:528" ht="15.6" thickBot="1" x14ac:dyDescent="0.3">
      <c r="A121" s="25" t="s">
        <v>783</v>
      </c>
      <c r="B121" s="26" t="s">
        <v>974</v>
      </c>
      <c r="C121" s="3">
        <f>AGOSTO!D125</f>
        <v>0</v>
      </c>
      <c r="D121" s="21">
        <f t="shared" si="3"/>
        <v>0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1">
        <f t="shared" si="4"/>
        <v>0</v>
      </c>
      <c r="TH121" s="9">
        <f t="shared" si="5"/>
        <v>0</v>
      </c>
    </row>
    <row r="122" spans="1:528" ht="15.6" thickBot="1" x14ac:dyDescent="0.3">
      <c r="A122" s="25" t="s">
        <v>780</v>
      </c>
      <c r="B122" s="26" t="s">
        <v>975</v>
      </c>
      <c r="C122" s="3">
        <f>AGOSTO!D126</f>
        <v>0</v>
      </c>
      <c r="D122" s="21">
        <f t="shared" si="3"/>
        <v>0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1">
        <f t="shared" si="4"/>
        <v>0</v>
      </c>
      <c r="TH122" s="9">
        <f t="shared" si="5"/>
        <v>0</v>
      </c>
    </row>
    <row r="123" spans="1:528" ht="15.6" thickBot="1" x14ac:dyDescent="0.3">
      <c r="A123" s="25" t="s">
        <v>782</v>
      </c>
      <c r="B123" s="26" t="s">
        <v>976</v>
      </c>
      <c r="C123" s="3">
        <f>AGOSTO!D127</f>
        <v>0</v>
      </c>
      <c r="D123" s="21">
        <f t="shared" si="3"/>
        <v>0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1">
        <f t="shared" si="4"/>
        <v>0</v>
      </c>
      <c r="TH123" s="9">
        <f t="shared" si="5"/>
        <v>0</v>
      </c>
    </row>
    <row r="124" spans="1:528" ht="15.6" thickBot="1" x14ac:dyDescent="0.3">
      <c r="A124" s="25"/>
      <c r="B124" s="26"/>
      <c r="C124" s="3">
        <f>AGOSTO!D128</f>
        <v>0</v>
      </c>
      <c r="D124" s="21">
        <f t="shared" si="3"/>
        <v>0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1">
        <f t="shared" si="4"/>
        <v>0</v>
      </c>
      <c r="TH124" s="9">
        <f t="shared" si="5"/>
        <v>0</v>
      </c>
    </row>
    <row r="125" spans="1:528" ht="16.2" thickBot="1" x14ac:dyDescent="0.35">
      <c r="A125" s="25"/>
      <c r="B125" s="23" t="s">
        <v>458</v>
      </c>
      <c r="C125" s="3">
        <f>AGOSTO!D129</f>
        <v>0</v>
      </c>
      <c r="D125" s="21">
        <f t="shared" si="3"/>
        <v>0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1">
        <f t="shared" si="4"/>
        <v>0</v>
      </c>
      <c r="TH125" s="9">
        <f t="shared" si="5"/>
        <v>0</v>
      </c>
    </row>
    <row r="126" spans="1:528" ht="15.6" thickBot="1" x14ac:dyDescent="0.3">
      <c r="A126" s="25" t="s">
        <v>598</v>
      </c>
      <c r="B126" s="26" t="s">
        <v>459</v>
      </c>
      <c r="C126" s="3">
        <f>AGOSTO!D130</f>
        <v>0</v>
      </c>
      <c r="D126" s="21">
        <f t="shared" si="3"/>
        <v>0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>
        <v>98</v>
      </c>
      <c r="BL126" s="10">
        <v>-98</v>
      </c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>
        <f>98*3</f>
        <v>294</v>
      </c>
      <c r="CH126" s="10"/>
      <c r="CI126" s="10"/>
      <c r="CJ126" s="10"/>
      <c r="CK126" s="10"/>
      <c r="CL126" s="10"/>
      <c r="CM126" s="10">
        <f>98</f>
        <v>98</v>
      </c>
      <c r="CN126" s="10">
        <v>-294</v>
      </c>
      <c r="CO126" s="10">
        <f>98+98+98+98</f>
        <v>392</v>
      </c>
      <c r="CP126" s="10">
        <v>-490</v>
      </c>
      <c r="CQ126" s="10"/>
      <c r="CR126" s="10"/>
      <c r="CS126" s="10"/>
      <c r="CT126" s="10"/>
      <c r="CU126" s="10">
        <f>98*2</f>
        <v>196</v>
      </c>
      <c r="CV126" s="10"/>
      <c r="CW126" s="10"/>
      <c r="CX126" s="10"/>
      <c r="CY126" s="10"/>
      <c r="CZ126" s="10"/>
      <c r="DA126" s="10">
        <v>98</v>
      </c>
      <c r="DB126" s="10"/>
      <c r="DC126" s="10"/>
      <c r="DD126" s="10"/>
      <c r="DE126" s="10"/>
      <c r="DF126" s="10">
        <v>-294</v>
      </c>
      <c r="DG126" s="10"/>
      <c r="DH126" s="10"/>
      <c r="DI126" s="10"/>
      <c r="DJ126" s="10"/>
      <c r="DK126" s="10">
        <v>98</v>
      </c>
      <c r="DL126" s="10"/>
      <c r="DM126" s="10"/>
      <c r="DN126" s="10"/>
      <c r="DO126" s="10">
        <f>98*3</f>
        <v>294</v>
      </c>
      <c r="DP126" s="10"/>
      <c r="DQ126" s="10"/>
      <c r="DR126" s="10">
        <v>-98</v>
      </c>
      <c r="DS126" s="10">
        <v>105</v>
      </c>
      <c r="DT126" s="10">
        <v>-98</v>
      </c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>
        <v>-294</v>
      </c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>
        <v>98</v>
      </c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>
        <v>-98</v>
      </c>
      <c r="FW126" s="10">
        <f>70+98+98</f>
        <v>266</v>
      </c>
      <c r="FX126" s="10"/>
      <c r="FY126" s="10">
        <f>98+21</f>
        <v>119</v>
      </c>
      <c r="FZ126" s="10"/>
      <c r="GA126" s="10"/>
      <c r="GB126" s="10">
        <v>-294</v>
      </c>
      <c r="GC126" s="10"/>
      <c r="GD126" s="10">
        <v>-98</v>
      </c>
      <c r="GE126" s="10"/>
      <c r="GF126" s="10"/>
      <c r="GG126" s="10"/>
      <c r="GH126" s="10"/>
      <c r="GI126" s="10"/>
      <c r="GJ126" s="10"/>
      <c r="GK126" s="10"/>
      <c r="GL126" s="10"/>
      <c r="GM126" s="10">
        <f>98*2</f>
        <v>196</v>
      </c>
      <c r="GN126" s="10"/>
      <c r="GO126" s="10"/>
      <c r="GP126" s="10">
        <v>-196</v>
      </c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>
        <f t="shared" si="4"/>
        <v>0</v>
      </c>
      <c r="TH126" s="9">
        <f t="shared" si="5"/>
        <v>0</v>
      </c>
    </row>
    <row r="127" spans="1:528" ht="15.6" thickBot="1" x14ac:dyDescent="0.3">
      <c r="A127" s="25" t="s">
        <v>597</v>
      </c>
      <c r="B127" s="26" t="s">
        <v>176</v>
      </c>
      <c r="C127" s="3">
        <f>AGOSTO!D131</f>
        <v>0</v>
      </c>
      <c r="D127" s="21">
        <f t="shared" si="3"/>
        <v>0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>
        <f>98+98</f>
        <v>196</v>
      </c>
      <c r="BZ127" s="10">
        <v>-196</v>
      </c>
      <c r="CA127" s="10"/>
      <c r="CB127" s="10"/>
      <c r="CC127" s="10"/>
      <c r="CD127" s="10"/>
      <c r="CE127" s="10">
        <v>98</v>
      </c>
      <c r="CF127" s="10"/>
      <c r="CG127" s="10"/>
      <c r="CH127" s="10"/>
      <c r="CI127" s="10"/>
      <c r="CJ127" s="10"/>
      <c r="CK127" s="10"/>
      <c r="CL127" s="10"/>
      <c r="CM127" s="10">
        <f>98+98</f>
        <v>196</v>
      </c>
      <c r="CN127" s="10">
        <v>-98</v>
      </c>
      <c r="CO127" s="10">
        <v>98</v>
      </c>
      <c r="CP127" s="10">
        <v>-196</v>
      </c>
      <c r="CQ127" s="10">
        <f>98+98</f>
        <v>196</v>
      </c>
      <c r="CR127" s="10"/>
      <c r="CS127" s="10"/>
      <c r="CT127" s="10">
        <v>-294</v>
      </c>
      <c r="CU127" s="10">
        <v>98</v>
      </c>
      <c r="CV127" s="10"/>
      <c r="CW127" s="10">
        <v>98</v>
      </c>
      <c r="CX127" s="10"/>
      <c r="CY127" s="10"/>
      <c r="CZ127" s="10"/>
      <c r="DA127" s="10"/>
      <c r="DB127" s="10"/>
      <c r="DC127" s="10"/>
      <c r="DD127" s="10"/>
      <c r="DE127" s="10">
        <f>98*3</f>
        <v>294</v>
      </c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>
        <v>-294</v>
      </c>
      <c r="DS127" s="10"/>
      <c r="DT127" s="10"/>
      <c r="DU127" s="10">
        <v>98</v>
      </c>
      <c r="DV127" s="10"/>
      <c r="DW127" s="10"/>
      <c r="DX127" s="10"/>
      <c r="DY127" s="10"/>
      <c r="DZ127" s="10"/>
      <c r="EA127" s="10"/>
      <c r="EB127" s="10"/>
      <c r="EC127" s="10">
        <v>98</v>
      </c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>
        <v>-196</v>
      </c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>
        <v>-98</v>
      </c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>
        <v>-98</v>
      </c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>
        <v>98</v>
      </c>
      <c r="GV127" s="10"/>
      <c r="GW127" s="10"/>
      <c r="GX127" s="10">
        <v>-98</v>
      </c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>
        <f t="shared" si="4"/>
        <v>0</v>
      </c>
      <c r="TH127" s="9">
        <f t="shared" si="5"/>
        <v>0</v>
      </c>
    </row>
    <row r="128" spans="1:528" ht="15.6" thickBot="1" x14ac:dyDescent="0.3">
      <c r="A128" s="25" t="s">
        <v>620</v>
      </c>
      <c r="B128" s="26" t="s">
        <v>977</v>
      </c>
      <c r="C128" s="3">
        <f>AGOSTO!D132</f>
        <v>0</v>
      </c>
      <c r="D128" s="21">
        <f t="shared" si="3"/>
        <v>46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>
        <f>64*8</f>
        <v>512</v>
      </c>
      <c r="AX128" s="10"/>
      <c r="AY128" s="10">
        <f>8*64</f>
        <v>512</v>
      </c>
      <c r="AZ128" s="10"/>
      <c r="BA128" s="10"/>
      <c r="BB128" s="10"/>
      <c r="BC128" s="10"/>
      <c r="BD128" s="10"/>
      <c r="BE128" s="10"/>
      <c r="BF128" s="10"/>
      <c r="BG128" s="10"/>
      <c r="BH128" s="10">
        <f>-384-384</f>
        <v>-768</v>
      </c>
      <c r="BI128" s="10"/>
      <c r="BJ128" s="10"/>
      <c r="BK128" s="10"/>
      <c r="BL128" s="10">
        <v>-256</v>
      </c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>
        <f>64*4</f>
        <v>256</v>
      </c>
      <c r="CD128" s="10"/>
      <c r="CE128" s="10">
        <f>12*64</f>
        <v>768</v>
      </c>
      <c r="CF128" s="10"/>
      <c r="CG128" s="10">
        <f>64*14</f>
        <v>896</v>
      </c>
      <c r="CH128" s="10"/>
      <c r="CI128" s="10">
        <v>640</v>
      </c>
      <c r="CJ128" s="10"/>
      <c r="CK128" s="10"/>
      <c r="CL128" s="10"/>
      <c r="CM128" s="10">
        <f>64*6</f>
        <v>384</v>
      </c>
      <c r="CN128" s="10">
        <v>-64</v>
      </c>
      <c r="CO128" s="10"/>
      <c r="CP128" s="10">
        <v>-384</v>
      </c>
      <c r="CQ128" s="10"/>
      <c r="CR128" s="10"/>
      <c r="CS128" s="10"/>
      <c r="CT128" s="10"/>
      <c r="CU128" s="10"/>
      <c r="CV128" s="10">
        <v>-2496</v>
      </c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>
        <v>128</v>
      </c>
      <c r="DJ128" s="10"/>
      <c r="DK128" s="10"/>
      <c r="DL128" s="10"/>
      <c r="DM128" s="10"/>
      <c r="DN128" s="10"/>
      <c r="DO128" s="10"/>
      <c r="DP128" s="10"/>
      <c r="DQ128" s="10">
        <v>64</v>
      </c>
      <c r="DR128" s="10">
        <v>-128</v>
      </c>
      <c r="DS128" s="10">
        <f>22*64</f>
        <v>1408</v>
      </c>
      <c r="DT128" s="10">
        <v>-704</v>
      </c>
      <c r="DU128" s="10">
        <f>6*64+7</f>
        <v>391</v>
      </c>
      <c r="DV128" s="10">
        <v>-1152</v>
      </c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>
        <f>64*5+54</f>
        <v>374</v>
      </c>
      <c r="EN128" s="10"/>
      <c r="EO128" s="10"/>
      <c r="EP128" s="10"/>
      <c r="EQ128" s="10"/>
      <c r="ER128" s="10"/>
      <c r="ES128" s="10">
        <f>64+64+3</f>
        <v>131</v>
      </c>
      <c r="ET128" s="10"/>
      <c r="EU128" s="10"/>
      <c r="EV128" s="10">
        <v>-384</v>
      </c>
      <c r="EW128" s="10"/>
      <c r="EX128" s="10"/>
      <c r="EY128" s="10"/>
      <c r="EZ128" s="10">
        <v>-128</v>
      </c>
      <c r="FA128" s="10"/>
      <c r="FB128" s="10"/>
      <c r="FC128" s="10"/>
      <c r="FD128" s="10"/>
      <c r="FE128" s="10"/>
      <c r="FF128" s="10"/>
      <c r="FG128" s="10">
        <v>128</v>
      </c>
      <c r="FH128" s="10">
        <v>-128</v>
      </c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>
        <v>128</v>
      </c>
      <c r="FT128" s="10"/>
      <c r="FU128" s="10">
        <f>15*64+11</f>
        <v>971</v>
      </c>
      <c r="FV128" s="10">
        <v>-1088</v>
      </c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>
        <v>35</v>
      </c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1">
        <f t="shared" si="4"/>
        <v>1024</v>
      </c>
      <c r="TH128" s="9">
        <f t="shared" si="5"/>
        <v>-768</v>
      </c>
    </row>
    <row r="129" spans="1:528" ht="16.2" thickBot="1" x14ac:dyDescent="0.35">
      <c r="A129" s="25"/>
      <c r="B129" s="23" t="s">
        <v>634</v>
      </c>
      <c r="C129" s="3">
        <f>AGOSTO!D133</f>
        <v>0</v>
      </c>
      <c r="D129" s="21">
        <f t="shared" si="3"/>
        <v>0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1">
        <f t="shared" si="4"/>
        <v>0</v>
      </c>
      <c r="TH129" s="9">
        <f t="shared" si="5"/>
        <v>0</v>
      </c>
    </row>
    <row r="130" spans="1:528" ht="15.6" thickBot="1" x14ac:dyDescent="0.3">
      <c r="A130" s="25" t="s">
        <v>631</v>
      </c>
      <c r="B130" s="26" t="s">
        <v>48</v>
      </c>
      <c r="C130" s="3">
        <f>AGOSTO!D134</f>
        <v>0</v>
      </c>
      <c r="D130" s="21">
        <f t="shared" si="3"/>
        <v>0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>
        <v>115</v>
      </c>
      <c r="BR130" s="10">
        <v>-8</v>
      </c>
      <c r="BS130" s="10"/>
      <c r="BT130" s="10"/>
      <c r="BU130" s="10"/>
      <c r="BV130" s="10"/>
      <c r="BW130" s="10"/>
      <c r="BX130" s="10"/>
      <c r="BY130" s="10"/>
      <c r="BZ130" s="10"/>
      <c r="CA130" s="10"/>
      <c r="CB130" s="10">
        <v>-107</v>
      </c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1">
        <f t="shared" si="4"/>
        <v>0</v>
      </c>
      <c r="TH130" s="9">
        <f t="shared" si="5"/>
        <v>0</v>
      </c>
    </row>
    <row r="131" spans="1:528" ht="15.6" thickBot="1" x14ac:dyDescent="0.3">
      <c r="A131" s="25" t="s">
        <v>633</v>
      </c>
      <c r="B131" s="26" t="s">
        <v>49</v>
      </c>
      <c r="C131" s="3">
        <f>AGOSTO!D135</f>
        <v>0</v>
      </c>
      <c r="D131" s="21">
        <f t="shared" si="3"/>
        <v>0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>
        <v>110</v>
      </c>
      <c r="BR131" s="10">
        <v>-9</v>
      </c>
      <c r="BS131" s="10"/>
      <c r="BT131" s="10"/>
      <c r="BU131" s="10"/>
      <c r="BV131" s="10"/>
      <c r="BW131" s="10"/>
      <c r="BX131" s="10"/>
      <c r="BY131" s="10"/>
      <c r="BZ131" s="10"/>
      <c r="CA131" s="10"/>
      <c r="CB131" s="10">
        <v>-101</v>
      </c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1">
        <f t="shared" si="4"/>
        <v>0</v>
      </c>
      <c r="TH131" s="9">
        <f t="shared" si="5"/>
        <v>0</v>
      </c>
    </row>
    <row r="132" spans="1:528" ht="15.6" thickBot="1" x14ac:dyDescent="0.3">
      <c r="A132" s="25" t="s">
        <v>632</v>
      </c>
      <c r="B132" s="26" t="s">
        <v>50</v>
      </c>
      <c r="C132" s="3">
        <f>AGOSTO!D136</f>
        <v>0</v>
      </c>
      <c r="D132" s="21">
        <f t="shared" si="3"/>
        <v>0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>
        <v>136</v>
      </c>
      <c r="BR132" s="10">
        <v>-7</v>
      </c>
      <c r="BS132" s="10"/>
      <c r="BT132" s="10"/>
      <c r="BU132" s="10"/>
      <c r="BV132" s="10"/>
      <c r="BW132" s="10"/>
      <c r="BX132" s="10"/>
      <c r="BY132" s="10"/>
      <c r="BZ132" s="10"/>
      <c r="CA132" s="10"/>
      <c r="CB132" s="10">
        <v>-129</v>
      </c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1">
        <f t="shared" si="4"/>
        <v>0</v>
      </c>
      <c r="TH132" s="9">
        <f t="shared" si="5"/>
        <v>0</v>
      </c>
    </row>
    <row r="133" spans="1:528" ht="16.2" thickBot="1" x14ac:dyDescent="0.35">
      <c r="A133" s="25"/>
      <c r="B133" s="20" t="s">
        <v>453</v>
      </c>
      <c r="C133" s="3">
        <f>AGOSTO!D137</f>
        <v>0</v>
      </c>
      <c r="D133" s="21">
        <f t="shared" si="3"/>
        <v>0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1">
        <f t="shared" si="4"/>
        <v>0</v>
      </c>
      <c r="TH133" s="9">
        <f t="shared" si="5"/>
        <v>0</v>
      </c>
    </row>
    <row r="134" spans="1:528" ht="15.6" thickBot="1" x14ac:dyDescent="0.3">
      <c r="A134" s="25" t="s">
        <v>285</v>
      </c>
      <c r="B134" s="26" t="s">
        <v>51</v>
      </c>
      <c r="C134" s="3">
        <f>AGOSTO!D138</f>
        <v>0</v>
      </c>
      <c r="D134" s="55">
        <f t="shared" ref="D134:D197" si="6">C134+SUM(E134:TF134)</f>
        <v>70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>
        <v>231</v>
      </c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>
        <f>231+231</f>
        <v>462</v>
      </c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>
        <f>127+62+42</f>
        <v>231</v>
      </c>
      <c r="AX134" s="10"/>
      <c r="AY134" s="10">
        <f>231+231</f>
        <v>462</v>
      </c>
      <c r="AZ134" s="10"/>
      <c r="BA134" s="10">
        <f>145+86+223+8</f>
        <v>462</v>
      </c>
      <c r="BB134" s="10"/>
      <c r="BC134" s="10">
        <f>231</f>
        <v>231</v>
      </c>
      <c r="BD134" s="10"/>
      <c r="BE134" s="10"/>
      <c r="BF134" s="10"/>
      <c r="BG134" s="10"/>
      <c r="BH134" s="10">
        <f>-231-86-145</f>
        <v>-462</v>
      </c>
      <c r="BI134" s="10"/>
      <c r="BJ134" s="10"/>
      <c r="BK134" s="10"/>
      <c r="BL134" s="10">
        <f>-231-231-231</f>
        <v>-693</v>
      </c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>
        <v>-231</v>
      </c>
      <c r="CW134" s="10"/>
      <c r="CX134" s="10">
        <v>-462</v>
      </c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>
        <v>178</v>
      </c>
      <c r="DT134" s="10">
        <v>-409</v>
      </c>
      <c r="DU134" s="10">
        <v>86</v>
      </c>
      <c r="DV134" s="10">
        <v>-53</v>
      </c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>
        <v>231</v>
      </c>
      <c r="FL134" s="10"/>
      <c r="FM134" s="10"/>
      <c r="FN134" s="10"/>
      <c r="FO134" s="10"/>
      <c r="FP134" s="10"/>
      <c r="FQ134" s="10"/>
      <c r="FR134" s="10"/>
      <c r="FS134" s="10">
        <v>231</v>
      </c>
      <c r="FT134" s="10"/>
      <c r="FU134" s="10">
        <v>40</v>
      </c>
      <c r="FV134" s="10">
        <v>-231</v>
      </c>
      <c r="FW134" s="10"/>
      <c r="FX134" s="10"/>
      <c r="FY134" s="10"/>
      <c r="FZ134" s="10">
        <v>-231</v>
      </c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>
        <v>-3</v>
      </c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1">
        <f t="shared" ref="TG134:TG197" si="7">TE134+BG134+BE134+BC134+BA134+AY134+AW134+AU134+AS134+AQ134+AO134+AM134+AK134+AI134+AG134+AE134+AC134+AA134+Y134+W134+U134+S134+Q134+O134+M134+K134+I134+G134+E134</f>
        <v>2079</v>
      </c>
      <c r="TH134" s="9">
        <f t="shared" ref="TH134:TH197" si="8">TF134+BH134+BF134+BD134+BB134+AZ134+AX134+AV134+AT134+AR134+AP134+AN134+AL134+AJ134+AH134+AF134+AD134+AB134+Z134+X134+V134+T134+R134+P134+N134+L134+J134+H134+F134</f>
        <v>-462</v>
      </c>
    </row>
    <row r="135" spans="1:528" ht="15.6" thickBot="1" x14ac:dyDescent="0.3">
      <c r="A135" s="25" t="s">
        <v>286</v>
      </c>
      <c r="B135" s="26" t="s">
        <v>52</v>
      </c>
      <c r="C135" s="3">
        <f>AGOSTO!D139</f>
        <v>0</v>
      </c>
      <c r="D135" s="21">
        <f t="shared" si="6"/>
        <v>2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>
        <v>231</v>
      </c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>
        <f>89+118+24+8+70+153</f>
        <v>462</v>
      </c>
      <c r="AJ135" s="10"/>
      <c r="AK135" s="10">
        <f>92+73+66</f>
        <v>231</v>
      </c>
      <c r="AL135" s="10"/>
      <c r="AM135" s="10"/>
      <c r="AN135" s="10"/>
      <c r="AO135" s="10"/>
      <c r="AP135" s="10"/>
      <c r="AQ135" s="10">
        <f>52+119+60</f>
        <v>231</v>
      </c>
      <c r="AR135" s="10"/>
      <c r="AS135" s="10">
        <f>54+117+60</f>
        <v>231</v>
      </c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>
        <f>58+115+58</f>
        <v>231</v>
      </c>
      <c r="BH135" s="10">
        <f>-120-111-54-117-60-8-70-153</f>
        <v>-693</v>
      </c>
      <c r="BI135" s="10"/>
      <c r="BJ135" s="10"/>
      <c r="BK135" s="10"/>
      <c r="BL135" s="10">
        <f>-60-52-231-119-58-115-58</f>
        <v>-693</v>
      </c>
      <c r="BM135" s="10">
        <f>63+72+96</f>
        <v>231</v>
      </c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>
        <f>21+118+92</f>
        <v>231</v>
      </c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>
        <v>-231</v>
      </c>
      <c r="CW135" s="10">
        <f>28+59+58+86+66+33</f>
        <v>330</v>
      </c>
      <c r="CX135" s="10">
        <v>-792</v>
      </c>
      <c r="CY135" s="10"/>
      <c r="CZ135" s="10"/>
      <c r="DA135" s="10"/>
      <c r="DB135" s="10"/>
      <c r="DC135" s="10">
        <f>51+118+62</f>
        <v>231</v>
      </c>
      <c r="DD135" s="10"/>
      <c r="DE135" s="10"/>
      <c r="DF135" s="10">
        <v>-231</v>
      </c>
      <c r="DG135" s="10">
        <v>57</v>
      </c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>
        <v>9</v>
      </c>
      <c r="DT135" s="10">
        <v>-66</v>
      </c>
      <c r="DU135" s="10"/>
      <c r="DV135" s="10"/>
      <c r="DW135" s="10">
        <f>51+131+49</f>
        <v>231</v>
      </c>
      <c r="DX135" s="10"/>
      <c r="DY135" s="10"/>
      <c r="DZ135" s="10"/>
      <c r="EA135" s="10"/>
      <c r="EB135" s="10"/>
      <c r="EC135" s="10">
        <f>7+144</f>
        <v>151</v>
      </c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>
        <v>-115</v>
      </c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>
        <v>202</v>
      </c>
      <c r="FN135" s="10"/>
      <c r="FO135" s="10"/>
      <c r="FP135" s="10"/>
      <c r="FQ135" s="10"/>
      <c r="FR135" s="10"/>
      <c r="FS135" s="10"/>
      <c r="FT135" s="10"/>
      <c r="FU135" s="10"/>
      <c r="FV135" s="10">
        <v>-462</v>
      </c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>
        <f>86+48</f>
        <v>134</v>
      </c>
      <c r="GP135" s="10"/>
      <c r="GQ135" s="10"/>
      <c r="GR135" s="10"/>
      <c r="GS135" s="10"/>
      <c r="GT135" s="10"/>
      <c r="GU135" s="10">
        <v>83</v>
      </c>
      <c r="GV135" s="10"/>
      <c r="GW135" s="10">
        <v>9</v>
      </c>
      <c r="GX135" s="10">
        <v>-231</v>
      </c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1">
        <f t="shared" si="7"/>
        <v>1617</v>
      </c>
      <c r="TH135" s="9">
        <f t="shared" si="8"/>
        <v>-693</v>
      </c>
    </row>
    <row r="136" spans="1:528" ht="15.6" thickBot="1" x14ac:dyDescent="0.3">
      <c r="A136" s="25" t="s">
        <v>287</v>
      </c>
      <c r="B136" s="26" t="s">
        <v>53</v>
      </c>
      <c r="C136" s="3">
        <f>AGOSTO!D140</f>
        <v>0</v>
      </c>
      <c r="D136" s="55">
        <f t="shared" si="6"/>
        <v>81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>
        <f>231</f>
        <v>231</v>
      </c>
      <c r="P136" s="10"/>
      <c r="Q136" s="10">
        <v>231</v>
      </c>
      <c r="R136" s="10"/>
      <c r="S136" s="10"/>
      <c r="T136" s="10"/>
      <c r="U136" s="10"/>
      <c r="V136" s="10"/>
      <c r="W136" s="10">
        <v>231</v>
      </c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>
        <f>108+6+117+231</f>
        <v>462</v>
      </c>
      <c r="AT136" s="10"/>
      <c r="AU136" s="10"/>
      <c r="AV136" s="10"/>
      <c r="AW136" s="10"/>
      <c r="AX136" s="10"/>
      <c r="AY136" s="10"/>
      <c r="AZ136" s="10"/>
      <c r="BA136" s="10">
        <f>12+219+231</f>
        <v>462</v>
      </c>
      <c r="BB136" s="10"/>
      <c r="BC136" s="10">
        <f>231</f>
        <v>231</v>
      </c>
      <c r="BD136" s="10"/>
      <c r="BE136" s="10">
        <f>231</f>
        <v>231</v>
      </c>
      <c r="BF136" s="10"/>
      <c r="BG136" s="10">
        <f>37+194</f>
        <v>231</v>
      </c>
      <c r="BH136" s="10">
        <f>-108-6-117-231</f>
        <v>-462</v>
      </c>
      <c r="BI136" s="10"/>
      <c r="BJ136" s="10"/>
      <c r="BK136" s="10"/>
      <c r="BL136" s="10">
        <f>-231-37-194</f>
        <v>-462</v>
      </c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>
        <f>77+154</f>
        <v>231</v>
      </c>
      <c r="CT136" s="10"/>
      <c r="CU136" s="10"/>
      <c r="CV136" s="10">
        <v>-231</v>
      </c>
      <c r="CW136" s="10"/>
      <c r="CX136" s="10">
        <v>-693</v>
      </c>
      <c r="CY136" s="10"/>
      <c r="CZ136" s="10"/>
      <c r="DA136" s="10"/>
      <c r="DB136" s="10"/>
      <c r="DC136" s="10"/>
      <c r="DD136" s="10"/>
      <c r="DE136" s="10"/>
      <c r="DF136" s="10"/>
      <c r="DG136" s="10">
        <v>85</v>
      </c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>
        <v>-462</v>
      </c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>
        <v>-99</v>
      </c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>
        <f>92+171+60</f>
        <v>323</v>
      </c>
      <c r="FV136" s="10">
        <v>-231</v>
      </c>
      <c r="FW136" s="10"/>
      <c r="FX136" s="10"/>
      <c r="FY136" s="10"/>
      <c r="FZ136" s="10">
        <v>-231</v>
      </c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>
        <v>241</v>
      </c>
      <c r="GP136" s="10">
        <v>-231</v>
      </c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>
        <v>-7</v>
      </c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1">
        <f t="shared" si="7"/>
        <v>2310</v>
      </c>
      <c r="TH136" s="9">
        <f t="shared" si="8"/>
        <v>-462</v>
      </c>
    </row>
    <row r="137" spans="1:528" ht="15.6" thickBot="1" x14ac:dyDescent="0.3">
      <c r="A137" s="25" t="s">
        <v>288</v>
      </c>
      <c r="B137" s="26" t="s">
        <v>54</v>
      </c>
      <c r="C137" s="3">
        <f>AGOSTO!D141</f>
        <v>0</v>
      </c>
      <c r="D137" s="21">
        <f t="shared" si="6"/>
        <v>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>
        <f>231+231</f>
        <v>462</v>
      </c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>
        <f>139+78+14</f>
        <v>231</v>
      </c>
      <c r="AF137" s="10"/>
      <c r="AG137" s="10"/>
      <c r="AH137" s="10"/>
      <c r="AI137" s="10">
        <f>231+231</f>
        <v>462</v>
      </c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f>227+4</f>
        <v>231</v>
      </c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>
        <f>19+212</f>
        <v>231</v>
      </c>
      <c r="BH137" s="10">
        <f>-370-78-14-231</f>
        <v>-693</v>
      </c>
      <c r="BI137" s="10"/>
      <c r="BJ137" s="10"/>
      <c r="BK137" s="10">
        <f>121+110</f>
        <v>231</v>
      </c>
      <c r="BL137" s="10">
        <f>-227-4-19-231-212</f>
        <v>-693</v>
      </c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>
        <f>118+113+231</f>
        <v>462</v>
      </c>
      <c r="CT137" s="10"/>
      <c r="CU137" s="10"/>
      <c r="CV137" s="10"/>
      <c r="CW137" s="10"/>
      <c r="CX137" s="10">
        <v>-693</v>
      </c>
      <c r="CY137" s="10"/>
      <c r="CZ137" s="10"/>
      <c r="DA137" s="10">
        <v>231</v>
      </c>
      <c r="DB137" s="10"/>
      <c r="DC137" s="10"/>
      <c r="DD137" s="10"/>
      <c r="DE137" s="10"/>
      <c r="DF137" s="10"/>
      <c r="DG137" s="10">
        <v>140</v>
      </c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>
        <v>-462</v>
      </c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>
        <v>108</v>
      </c>
      <c r="ER137" s="10"/>
      <c r="ES137" s="10"/>
      <c r="ET137" s="10"/>
      <c r="EU137" s="10"/>
      <c r="EV137" s="10">
        <v>-231</v>
      </c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>
        <f>181+30+20+231</f>
        <v>462</v>
      </c>
      <c r="FT137" s="10"/>
      <c r="FU137" s="10">
        <f>145+36</f>
        <v>181</v>
      </c>
      <c r="FV137" s="10">
        <v>-231</v>
      </c>
      <c r="FW137" s="10"/>
      <c r="FX137" s="10"/>
      <c r="FY137" s="10"/>
      <c r="FZ137" s="10">
        <v>-231</v>
      </c>
      <c r="GA137" s="10"/>
      <c r="GB137" s="10">
        <v>-99</v>
      </c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>
        <v>-99</v>
      </c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1">
        <f t="shared" si="7"/>
        <v>1617</v>
      </c>
      <c r="TH137" s="9">
        <f t="shared" si="8"/>
        <v>-693</v>
      </c>
    </row>
    <row r="138" spans="1:528" ht="15.6" thickBot="1" x14ac:dyDescent="0.3">
      <c r="A138" s="25" t="s">
        <v>550</v>
      </c>
      <c r="B138" s="26" t="s">
        <v>551</v>
      </c>
      <c r="C138" s="3">
        <f>AGOSTO!D142</f>
        <v>0</v>
      </c>
      <c r="D138" s="21">
        <f t="shared" si="6"/>
        <v>10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>
        <f>94+137</f>
        <v>231</v>
      </c>
      <c r="AZ138" s="10"/>
      <c r="BA138" s="10"/>
      <c r="BB138" s="10"/>
      <c r="BC138" s="10">
        <f>135+96</f>
        <v>231</v>
      </c>
      <c r="BD138" s="10"/>
      <c r="BE138" s="10">
        <f>129+102</f>
        <v>231</v>
      </c>
      <c r="BF138" s="10"/>
      <c r="BG138" s="10"/>
      <c r="BH138" s="10">
        <f>-137-94</f>
        <v>-231</v>
      </c>
      <c r="BI138" s="10"/>
      <c r="BJ138" s="10"/>
      <c r="BK138" s="10"/>
      <c r="BL138" s="10">
        <f>-231-135-96</f>
        <v>-462</v>
      </c>
      <c r="BM138" s="10">
        <f>134</f>
        <v>134</v>
      </c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>
        <f>231</f>
        <v>231</v>
      </c>
      <c r="CR138" s="10"/>
      <c r="CS138" s="10"/>
      <c r="CT138" s="10"/>
      <c r="CU138" s="10">
        <v>118</v>
      </c>
      <c r="CV138" s="10"/>
      <c r="CW138" s="10"/>
      <c r="CX138" s="10">
        <v>-231</v>
      </c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>
        <v>-99</v>
      </c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>
        <v>119</v>
      </c>
      <c r="FN138" s="10"/>
      <c r="FO138" s="10"/>
      <c r="FP138" s="10"/>
      <c r="FQ138" s="10"/>
      <c r="FR138" s="10"/>
      <c r="FS138" s="10"/>
      <c r="FT138" s="10"/>
      <c r="FU138" s="10">
        <v>233</v>
      </c>
      <c r="FV138" s="10">
        <v>-264</v>
      </c>
      <c r="FW138" s="10"/>
      <c r="FX138" s="10"/>
      <c r="FY138" s="10"/>
      <c r="FZ138" s="10">
        <v>-231</v>
      </c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1">
        <f t="shared" si="7"/>
        <v>693</v>
      </c>
      <c r="TH138" s="9">
        <f t="shared" si="8"/>
        <v>-231</v>
      </c>
    </row>
    <row r="139" spans="1:528" ht="16.2" thickBot="1" x14ac:dyDescent="0.35">
      <c r="A139" s="25"/>
      <c r="B139" s="20" t="s">
        <v>452</v>
      </c>
      <c r="C139" s="3">
        <f>AGOSTO!D143</f>
        <v>0</v>
      </c>
      <c r="D139" s="21">
        <f t="shared" si="6"/>
        <v>0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1">
        <f t="shared" si="7"/>
        <v>0</v>
      </c>
      <c r="TH139" s="9">
        <f t="shared" si="8"/>
        <v>0</v>
      </c>
    </row>
    <row r="140" spans="1:528" ht="15.6" thickBot="1" x14ac:dyDescent="0.3">
      <c r="A140" s="25" t="s">
        <v>289</v>
      </c>
      <c r="B140" s="26" t="s">
        <v>55</v>
      </c>
      <c r="C140" s="3">
        <f>AGOSTO!D144</f>
        <v>0</v>
      </c>
      <c r="D140" s="21">
        <f t="shared" si="6"/>
        <v>3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>
        <f>144+144</f>
        <v>288</v>
      </c>
      <c r="AL140" s="10"/>
      <c r="AM140" s="10">
        <f>81+63</f>
        <v>144</v>
      </c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>
        <f>-81-63-144</f>
        <v>-288</v>
      </c>
      <c r="BI140" s="10"/>
      <c r="BJ140" s="10"/>
      <c r="BK140" s="10">
        <v>98</v>
      </c>
      <c r="BL140" s="10">
        <f>-144-72</f>
        <v>-216</v>
      </c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>
        <f>79+65</f>
        <v>144</v>
      </c>
      <c r="BZ140" s="10"/>
      <c r="CA140" s="10"/>
      <c r="CB140" s="10"/>
      <c r="CC140" s="10">
        <f>144+144</f>
        <v>288</v>
      </c>
      <c r="CD140" s="10">
        <v>-72</v>
      </c>
      <c r="CE140" s="10">
        <f>144</f>
        <v>144</v>
      </c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>
        <f>63+81</f>
        <v>144</v>
      </c>
      <c r="CT140" s="10"/>
      <c r="CU140" s="10">
        <v>144</v>
      </c>
      <c r="CV140" s="10">
        <v>-144</v>
      </c>
      <c r="CW140" s="10"/>
      <c r="CX140" s="10">
        <v>-288</v>
      </c>
      <c r="CY140" s="10"/>
      <c r="CZ140" s="10"/>
      <c r="DA140" s="10">
        <f>108+36+19+125</f>
        <v>288</v>
      </c>
      <c r="DB140" s="10"/>
      <c r="DC140" s="10">
        <f>131+13</f>
        <v>144</v>
      </c>
      <c r="DD140" s="10"/>
      <c r="DE140" s="10">
        <v>144</v>
      </c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>
        <v>-36</v>
      </c>
      <c r="DS140" s="10"/>
      <c r="DT140" s="10">
        <v>-144</v>
      </c>
      <c r="DU140" s="10"/>
      <c r="DV140" s="10"/>
      <c r="DW140" s="10"/>
      <c r="DX140" s="10"/>
      <c r="DY140" s="10"/>
      <c r="DZ140" s="10"/>
      <c r="EA140" s="10"/>
      <c r="EB140" s="10"/>
      <c r="EC140" s="10">
        <v>124</v>
      </c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>
        <v>-144</v>
      </c>
      <c r="EW140" s="10"/>
      <c r="EX140" s="10"/>
      <c r="EY140" s="10"/>
      <c r="EZ140" s="10">
        <v>-144</v>
      </c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>
        <v>95</v>
      </c>
      <c r="FT140" s="10"/>
      <c r="FU140" s="10">
        <v>20</v>
      </c>
      <c r="FV140" s="10">
        <v>-144</v>
      </c>
      <c r="FW140" s="10"/>
      <c r="FX140" s="10"/>
      <c r="FY140" s="10"/>
      <c r="FZ140" s="10">
        <v>-432</v>
      </c>
      <c r="GA140" s="10"/>
      <c r="GB140" s="10">
        <v>-144</v>
      </c>
      <c r="GC140" s="10"/>
      <c r="GD140" s="10"/>
      <c r="GE140" s="10"/>
      <c r="GF140" s="10"/>
      <c r="GG140" s="10"/>
      <c r="GH140" s="10"/>
      <c r="GI140" s="10">
        <v>138</v>
      </c>
      <c r="GJ140" s="10"/>
      <c r="GK140" s="10"/>
      <c r="GL140" s="10"/>
      <c r="GM140" s="10"/>
      <c r="GN140" s="10"/>
      <c r="GO140" s="10"/>
      <c r="GP140" s="10">
        <v>-144</v>
      </c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>
        <f>-1-3</f>
        <v>-4</v>
      </c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1">
        <f t="shared" si="7"/>
        <v>432</v>
      </c>
      <c r="TH140" s="9">
        <f t="shared" si="8"/>
        <v>-288</v>
      </c>
    </row>
    <row r="141" spans="1:528" ht="15.6" thickBot="1" x14ac:dyDescent="0.3">
      <c r="A141" s="25" t="s">
        <v>290</v>
      </c>
      <c r="B141" s="26" t="s">
        <v>9</v>
      </c>
      <c r="C141" s="3">
        <f>AGOSTO!D145</f>
        <v>0</v>
      </c>
      <c r="D141" s="55">
        <f t="shared" si="6"/>
        <v>5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>
        <v>144</v>
      </c>
      <c r="AB141" s="10"/>
      <c r="AC141" s="10">
        <v>144</v>
      </c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>
        <f>83+61</f>
        <v>144</v>
      </c>
      <c r="AP141" s="10"/>
      <c r="AQ141" s="10">
        <f>144+144</f>
        <v>288</v>
      </c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>
        <f>-144-144</f>
        <v>-288</v>
      </c>
      <c r="BI141" s="10"/>
      <c r="BJ141" s="10"/>
      <c r="BK141" s="10"/>
      <c r="BL141" s="10">
        <f>-83-61-144</f>
        <v>-288</v>
      </c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>
        <f>60+84</f>
        <v>144</v>
      </c>
      <c r="CN141" s="10"/>
      <c r="CO141" s="10">
        <v>144</v>
      </c>
      <c r="CP141" s="10">
        <v>-144</v>
      </c>
      <c r="CQ141" s="10">
        <f>131+13+144</f>
        <v>288</v>
      </c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>
        <v>-72</v>
      </c>
      <c r="DS141" s="10"/>
      <c r="DT141" s="10">
        <v>-144</v>
      </c>
      <c r="DU141" s="10"/>
      <c r="DV141" s="10"/>
      <c r="DW141" s="10"/>
      <c r="DX141" s="10"/>
      <c r="DY141" s="10"/>
      <c r="DZ141" s="10"/>
      <c r="EA141" s="10"/>
      <c r="EB141" s="10"/>
      <c r="EC141" s="10">
        <f>9+96+39+68</f>
        <v>212</v>
      </c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>
        <v>-432</v>
      </c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>
        <v>85</v>
      </c>
      <c r="FT141" s="10"/>
      <c r="FU141" s="10">
        <v>21</v>
      </c>
      <c r="FV141" s="10"/>
      <c r="FW141" s="10"/>
      <c r="FX141" s="10"/>
      <c r="FY141" s="10"/>
      <c r="FZ141" s="10">
        <v>-144</v>
      </c>
      <c r="GA141" s="10"/>
      <c r="GB141" s="10"/>
      <c r="GC141" s="10"/>
      <c r="GD141" s="10"/>
      <c r="GE141" s="10"/>
      <c r="GF141" s="10"/>
      <c r="GG141" s="10">
        <v>53</v>
      </c>
      <c r="GH141" s="10"/>
      <c r="GI141" s="10"/>
      <c r="GJ141" s="10"/>
      <c r="GK141" s="10"/>
      <c r="GL141" s="10"/>
      <c r="GM141" s="10"/>
      <c r="GN141" s="10"/>
      <c r="GO141" s="10"/>
      <c r="GP141" s="10">
        <v>-144</v>
      </c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>
        <v>-6</v>
      </c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1">
        <f t="shared" si="7"/>
        <v>720</v>
      </c>
      <c r="TH141" s="9">
        <f t="shared" si="8"/>
        <v>-288</v>
      </c>
    </row>
    <row r="142" spans="1:528" ht="15.6" thickBot="1" x14ac:dyDescent="0.3">
      <c r="A142" s="25" t="s">
        <v>291</v>
      </c>
      <c r="B142" s="26" t="s">
        <v>56</v>
      </c>
      <c r="C142" s="3">
        <f>AGOSTO!D146</f>
        <v>0</v>
      </c>
      <c r="D142" s="55">
        <f t="shared" si="6"/>
        <v>10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>
        <v>144</v>
      </c>
      <c r="AD142" s="10"/>
      <c r="AE142" s="10">
        <f>144</f>
        <v>144</v>
      </c>
      <c r="AF142" s="10"/>
      <c r="AG142" s="10"/>
      <c r="AH142" s="10"/>
      <c r="AI142" s="10"/>
      <c r="AJ142" s="10"/>
      <c r="AK142" s="10">
        <f>41+103</f>
        <v>144</v>
      </c>
      <c r="AL142" s="10"/>
      <c r="AM142" s="10">
        <f>98+46</f>
        <v>144</v>
      </c>
      <c r="AN142" s="10"/>
      <c r="AO142" s="10">
        <f>144+144</f>
        <v>288</v>
      </c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>
        <f>-144-144</f>
        <v>-288</v>
      </c>
      <c r="BI142" s="10"/>
      <c r="BJ142" s="10"/>
      <c r="BK142" s="10"/>
      <c r="BL142" s="10">
        <f>-144-41-103</f>
        <v>-288</v>
      </c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>
        <v>53</v>
      </c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>
        <v>-72</v>
      </c>
      <c r="DS142" s="10"/>
      <c r="DT142" s="10">
        <v>-108</v>
      </c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>
        <v>-144</v>
      </c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>
        <f>121+23+138</f>
        <v>282</v>
      </c>
      <c r="FP142" s="10"/>
      <c r="FQ142" s="10"/>
      <c r="FR142" s="10"/>
      <c r="FS142" s="10"/>
      <c r="FT142" s="10"/>
      <c r="FU142" s="10"/>
      <c r="FV142" s="10">
        <v>-144</v>
      </c>
      <c r="FW142" s="10"/>
      <c r="FX142" s="10"/>
      <c r="FY142" s="10"/>
      <c r="FZ142" s="10">
        <v>-144</v>
      </c>
      <c r="GA142" s="10"/>
      <c r="GB142" s="10"/>
      <c r="GC142" s="10"/>
      <c r="GD142" s="10"/>
      <c r="GE142" s="10"/>
      <c r="GF142" s="10"/>
      <c r="GG142" s="10"/>
      <c r="GH142" s="10"/>
      <c r="GI142" s="10">
        <v>144</v>
      </c>
      <c r="GJ142" s="10"/>
      <c r="GK142" s="10">
        <f>29+43</f>
        <v>72</v>
      </c>
      <c r="GL142" s="10"/>
      <c r="GM142" s="10"/>
      <c r="GN142" s="10"/>
      <c r="GO142" s="10"/>
      <c r="GP142" s="10">
        <v>-216</v>
      </c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>
        <v>-1</v>
      </c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1">
        <f t="shared" si="7"/>
        <v>864</v>
      </c>
      <c r="TH142" s="9">
        <f t="shared" si="8"/>
        <v>-288</v>
      </c>
    </row>
    <row r="143" spans="1:528" ht="16.2" thickBot="1" x14ac:dyDescent="0.35">
      <c r="A143" s="25"/>
      <c r="B143" s="20" t="s">
        <v>978</v>
      </c>
      <c r="C143" s="3">
        <f>AGOSTO!D147</f>
        <v>0</v>
      </c>
      <c r="D143" s="21">
        <f t="shared" si="6"/>
        <v>0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1">
        <f t="shared" si="7"/>
        <v>0</v>
      </c>
      <c r="TH143" s="9">
        <f t="shared" si="8"/>
        <v>0</v>
      </c>
    </row>
    <row r="144" spans="1:528" ht="15.6" thickBot="1" x14ac:dyDescent="0.3">
      <c r="A144" s="25" t="s">
        <v>674</v>
      </c>
      <c r="B144" s="26" t="s">
        <v>979</v>
      </c>
      <c r="C144" s="3">
        <f>AGOSTO!D148</f>
        <v>0</v>
      </c>
      <c r="D144" s="21">
        <f t="shared" si="6"/>
        <v>0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1">
        <f t="shared" si="7"/>
        <v>0</v>
      </c>
      <c r="TH144" s="9">
        <f t="shared" si="8"/>
        <v>0</v>
      </c>
    </row>
    <row r="145" spans="1:528" ht="15.6" thickBot="1" x14ac:dyDescent="0.3">
      <c r="A145" s="25" t="s">
        <v>675</v>
      </c>
      <c r="B145" s="26" t="s">
        <v>9</v>
      </c>
      <c r="C145" s="3">
        <f>AGOSTO!D149</f>
        <v>0</v>
      </c>
      <c r="D145" s="21">
        <f t="shared" si="6"/>
        <v>0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1">
        <f t="shared" si="7"/>
        <v>0</v>
      </c>
      <c r="TH145" s="9">
        <f t="shared" si="8"/>
        <v>0</v>
      </c>
    </row>
    <row r="146" spans="1:528" ht="16.2" thickBot="1" x14ac:dyDescent="0.35">
      <c r="A146" s="25"/>
      <c r="B146" s="20" t="s">
        <v>463</v>
      </c>
      <c r="C146" s="3">
        <f>AGOSTO!D150</f>
        <v>0</v>
      </c>
      <c r="D146" s="21">
        <f t="shared" si="6"/>
        <v>0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1">
        <f t="shared" si="7"/>
        <v>0</v>
      </c>
      <c r="TH146" s="9">
        <f t="shared" si="8"/>
        <v>0</v>
      </c>
    </row>
    <row r="147" spans="1:528" ht="15.6" thickBot="1" x14ac:dyDescent="0.3">
      <c r="A147" s="25" t="s">
        <v>545</v>
      </c>
      <c r="B147" s="26" t="s">
        <v>464</v>
      </c>
      <c r="C147" s="3">
        <f>AGOSTO!D151</f>
        <v>0</v>
      </c>
      <c r="D147" s="21">
        <f t="shared" si="6"/>
        <v>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>
        <f>83+15+71+27</f>
        <v>196</v>
      </c>
      <c r="AF147" s="10"/>
      <c r="AG147" s="10"/>
      <c r="AH147" s="10"/>
      <c r="AI147" s="10">
        <f>59+39+59+39</f>
        <v>196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>
        <f>26+56+16+56</f>
        <v>154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>
        <f>-59-39-14-26-56-30</f>
        <v>-224</v>
      </c>
      <c r="BI147" s="10"/>
      <c r="BJ147" s="10"/>
      <c r="BK147" s="10"/>
      <c r="BL147" s="10">
        <f>-83-27-14-86-39-59-14</f>
        <v>-322</v>
      </c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>
        <f>16+82</f>
        <v>98</v>
      </c>
      <c r="CT147" s="10"/>
      <c r="CU147" s="10">
        <v>98</v>
      </c>
      <c r="CV147" s="10">
        <v>-56</v>
      </c>
      <c r="CW147" s="10"/>
      <c r="CX147" s="10"/>
      <c r="CY147" s="10"/>
      <c r="CZ147" s="10"/>
      <c r="DA147" s="10">
        <f>98+98</f>
        <v>196</v>
      </c>
      <c r="DB147" s="10"/>
      <c r="DC147" s="10">
        <f>98+98</f>
        <v>196</v>
      </c>
      <c r="DD147" s="10"/>
      <c r="DE147" s="10">
        <v>98</v>
      </c>
      <c r="DF147" s="10"/>
      <c r="DG147" s="10"/>
      <c r="DH147" s="10"/>
      <c r="DI147" s="10">
        <f>98+42</f>
        <v>140</v>
      </c>
      <c r="DJ147" s="10"/>
      <c r="DK147" s="10"/>
      <c r="DL147" s="10"/>
      <c r="DM147" s="10"/>
      <c r="DN147" s="10"/>
      <c r="DO147" s="10"/>
      <c r="DP147" s="10"/>
      <c r="DQ147" s="10"/>
      <c r="DR147" s="10">
        <v>-280</v>
      </c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>
        <v>-112</v>
      </c>
      <c r="EW147" s="10"/>
      <c r="EX147" s="10"/>
      <c r="EY147" s="10"/>
      <c r="EZ147" s="10">
        <v>-112</v>
      </c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>
        <v>-112</v>
      </c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>
        <v>14</v>
      </c>
      <c r="GP147" s="10">
        <v>-168</v>
      </c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1">
        <f t="shared" si="7"/>
        <v>546</v>
      </c>
      <c r="TH147" s="9">
        <f t="shared" si="8"/>
        <v>-224</v>
      </c>
    </row>
    <row r="148" spans="1:528" ht="15.6" thickBot="1" x14ac:dyDescent="0.3">
      <c r="A148" s="25" t="s">
        <v>562</v>
      </c>
      <c r="B148" s="26" t="s">
        <v>465</v>
      </c>
      <c r="C148" s="3">
        <f>AGOSTO!D152</f>
        <v>0</v>
      </c>
      <c r="D148" s="21">
        <f t="shared" si="6"/>
        <v>2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>
        <v>98</v>
      </c>
      <c r="AL148" s="10"/>
      <c r="AM148" s="10">
        <f>67+31</f>
        <v>98</v>
      </c>
      <c r="AN148" s="10"/>
      <c r="AO148" s="10"/>
      <c r="AP148" s="10"/>
      <c r="AQ148" s="10">
        <f>52+46</f>
        <v>98</v>
      </c>
      <c r="AR148" s="10"/>
      <c r="AS148" s="10">
        <f>30+68</f>
        <v>98</v>
      </c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>
        <f>15+56+27+46+10</f>
        <v>154</v>
      </c>
      <c r="BF148" s="10"/>
      <c r="BG148" s="10"/>
      <c r="BH148" s="10">
        <f>-60-83-52-15-15-27-56-14</f>
        <v>-322</v>
      </c>
      <c r="BI148" s="10"/>
      <c r="BJ148" s="10"/>
      <c r="BK148" s="10"/>
      <c r="BL148" s="10">
        <f>-67-3-42-30-68-14</f>
        <v>-224</v>
      </c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>
        <v>98</v>
      </c>
      <c r="CR148" s="10"/>
      <c r="CS148" s="10">
        <f>98+52</f>
        <v>150</v>
      </c>
      <c r="CT148" s="10"/>
      <c r="CU148" s="10"/>
      <c r="CV148" s="10">
        <v>-56</v>
      </c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>
        <v>98</v>
      </c>
      <c r="DJ148" s="10"/>
      <c r="DK148" s="10">
        <f>98</f>
        <v>98</v>
      </c>
      <c r="DL148" s="10"/>
      <c r="DM148" s="10"/>
      <c r="DN148" s="10"/>
      <c r="DO148" s="10"/>
      <c r="DP148" s="10"/>
      <c r="DQ148" s="10">
        <f>30+68+16+82</f>
        <v>196</v>
      </c>
      <c r="DR148" s="10">
        <v>-224</v>
      </c>
      <c r="DS148" s="10">
        <v>98</v>
      </c>
      <c r="DT148" s="10">
        <v>-112</v>
      </c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>
        <v>-112</v>
      </c>
      <c r="EW148" s="10"/>
      <c r="EX148" s="10"/>
      <c r="EY148" s="10"/>
      <c r="EZ148" s="10">
        <v>-112</v>
      </c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>
        <f>98+102</f>
        <v>200</v>
      </c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>
        <v>-210</v>
      </c>
      <c r="GA148" s="10"/>
      <c r="GB148" s="10">
        <v>-112</v>
      </c>
      <c r="GC148" s="10"/>
      <c r="GD148" s="10"/>
      <c r="GE148" s="10"/>
      <c r="GF148" s="10"/>
      <c r="GG148" s="10"/>
      <c r="GH148" s="10"/>
      <c r="GI148" s="10">
        <v>114</v>
      </c>
      <c r="GJ148" s="10">
        <v>-112</v>
      </c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1">
        <f t="shared" si="7"/>
        <v>546</v>
      </c>
      <c r="TH148" s="9">
        <f t="shared" si="8"/>
        <v>-322</v>
      </c>
    </row>
    <row r="149" spans="1:528" ht="16.2" thickBot="1" x14ac:dyDescent="0.35">
      <c r="A149" s="25"/>
      <c r="B149" s="23" t="s">
        <v>980</v>
      </c>
      <c r="C149" s="3">
        <f>AGOSTO!D153</f>
        <v>0</v>
      </c>
      <c r="D149" s="21">
        <f t="shared" si="6"/>
        <v>0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1">
        <f t="shared" si="7"/>
        <v>0</v>
      </c>
      <c r="TH149" s="9">
        <f t="shared" si="8"/>
        <v>0</v>
      </c>
    </row>
    <row r="150" spans="1:528" ht="15.6" thickBot="1" x14ac:dyDescent="0.3">
      <c r="A150" s="25" t="s">
        <v>599</v>
      </c>
      <c r="B150" s="26" t="s">
        <v>981</v>
      </c>
      <c r="C150" s="3">
        <f>AGOSTO!D154</f>
        <v>0</v>
      </c>
      <c r="D150" s="55">
        <f t="shared" si="6"/>
        <v>130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>
        <v>100</v>
      </c>
      <c r="AR150" s="10"/>
      <c r="AS150" s="10">
        <f>100</f>
        <v>100</v>
      </c>
      <c r="AT150" s="10"/>
      <c r="AU150" s="10"/>
      <c r="AV150" s="10"/>
      <c r="AW150" s="10">
        <v>40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>
        <v>40</v>
      </c>
      <c r="BT150" s="10"/>
      <c r="BU150" s="10"/>
      <c r="BV150" s="10"/>
      <c r="BW150" s="10"/>
      <c r="BX150" s="10"/>
      <c r="BY150" s="10"/>
      <c r="BZ150" s="10">
        <v>-280</v>
      </c>
      <c r="CA150" s="10"/>
      <c r="CB150" s="10"/>
      <c r="CC150" s="10"/>
      <c r="CD150" s="10"/>
      <c r="CE150" s="10">
        <v>140</v>
      </c>
      <c r="CF150" s="10"/>
      <c r="CG150" s="10"/>
      <c r="CH150" s="10"/>
      <c r="CI150" s="10"/>
      <c r="CJ150" s="10"/>
      <c r="CK150" s="10"/>
      <c r="CL150" s="10"/>
      <c r="CM150" s="10">
        <f>140</f>
        <v>140</v>
      </c>
      <c r="CN150" s="10">
        <v>-140</v>
      </c>
      <c r="CO150" s="10">
        <f>100+100</f>
        <v>200</v>
      </c>
      <c r="CP150" s="10">
        <v>-140</v>
      </c>
      <c r="CQ150" s="10">
        <f>80</f>
        <v>80</v>
      </c>
      <c r="CR150" s="10"/>
      <c r="CS150" s="10">
        <f>200</f>
        <v>200</v>
      </c>
      <c r="CT150" s="10">
        <v>-280</v>
      </c>
      <c r="CU150" s="10"/>
      <c r="CV150" s="10"/>
      <c r="CW150" s="10"/>
      <c r="CX150" s="10"/>
      <c r="CY150" s="10"/>
      <c r="CZ150" s="10"/>
      <c r="DA150" s="10">
        <v>200</v>
      </c>
      <c r="DB150" s="10"/>
      <c r="DC150" s="10">
        <f>300+51</f>
        <v>351</v>
      </c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>
        <v>-100</v>
      </c>
      <c r="FU150" s="10"/>
      <c r="FV150" s="10"/>
      <c r="FW150" s="10"/>
      <c r="FX150" s="10"/>
      <c r="FY150" s="10"/>
      <c r="FZ150" s="10"/>
      <c r="GA150" s="10"/>
      <c r="GB150" s="10"/>
      <c r="GC150" s="10">
        <v>59</v>
      </c>
      <c r="GD150" s="10">
        <v>-140</v>
      </c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>
        <v>-140</v>
      </c>
      <c r="GQ150" s="10"/>
      <c r="GR150" s="10">
        <v>-10</v>
      </c>
      <c r="GS150" s="10"/>
      <c r="GT150" s="10"/>
      <c r="GU150" s="10"/>
      <c r="GV150" s="10">
        <v>-10</v>
      </c>
      <c r="GW150" s="10"/>
      <c r="GX150" s="10"/>
      <c r="GY150" s="10"/>
      <c r="GZ150" s="10"/>
      <c r="HA150" s="10"/>
      <c r="HB150" s="10">
        <v>-10</v>
      </c>
      <c r="HC150" s="10"/>
      <c r="HD150" s="10">
        <f>-1-2</f>
        <v>-3</v>
      </c>
      <c r="HE150" s="10"/>
      <c r="HF150" s="10"/>
      <c r="HG150" s="10"/>
      <c r="HH150" s="10"/>
      <c r="HI150" s="10"/>
      <c r="HJ150" s="10"/>
      <c r="HK150" s="10"/>
      <c r="HL150" s="10">
        <f>-15-15</f>
        <v>-30</v>
      </c>
      <c r="HM150" s="10"/>
      <c r="HN150" s="10"/>
      <c r="HO150" s="10"/>
      <c r="HP150" s="10">
        <v>-20</v>
      </c>
      <c r="HQ150" s="10"/>
      <c r="HR150" s="10"/>
      <c r="HS150" s="10"/>
      <c r="HT150" s="10">
        <v>-15</v>
      </c>
      <c r="HU150" s="10"/>
      <c r="HV150" s="10"/>
      <c r="HW150" s="10"/>
      <c r="HX150" s="10">
        <v>-10</v>
      </c>
      <c r="HY150" s="10"/>
      <c r="HZ150" s="10"/>
      <c r="IA150" s="10"/>
      <c r="IB150" s="10"/>
      <c r="IC150" s="10"/>
      <c r="ID150" s="10"/>
      <c r="IE150" s="10"/>
      <c r="IF150" s="10"/>
      <c r="IG150" s="10"/>
      <c r="IH150" s="10">
        <v>-10</v>
      </c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>
        <v>-182</v>
      </c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1">
        <f t="shared" si="7"/>
        <v>240</v>
      </c>
      <c r="TH150" s="9">
        <f t="shared" si="8"/>
        <v>0</v>
      </c>
    </row>
    <row r="151" spans="1:528" ht="15.6" thickBot="1" x14ac:dyDescent="0.3">
      <c r="A151" s="25"/>
      <c r="B151" s="26" t="s">
        <v>1105</v>
      </c>
      <c r="C151" s="3">
        <f>AGOSTO!D155</f>
        <v>0</v>
      </c>
      <c r="D151" s="55">
        <f t="shared" si="6"/>
        <v>168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>
        <f>100</f>
        <v>100</v>
      </c>
      <c r="BT151" s="10"/>
      <c r="BU151" s="10">
        <f>100+80</f>
        <v>180</v>
      </c>
      <c r="BV151" s="10"/>
      <c r="BW151" s="10"/>
      <c r="BX151" s="10"/>
      <c r="BY151" s="10"/>
      <c r="BZ151" s="10">
        <v>-280</v>
      </c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>
        <f>100+69+31+80</f>
        <v>280</v>
      </c>
      <c r="CR151" s="10"/>
      <c r="CS151" s="10">
        <v>100</v>
      </c>
      <c r="CT151" s="10">
        <v>-280</v>
      </c>
      <c r="CU151" s="10">
        <f>93</f>
        <v>93</v>
      </c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>
        <f>200+100</f>
        <v>300</v>
      </c>
      <c r="DJ151" s="10"/>
      <c r="DK151" s="10">
        <v>93</v>
      </c>
      <c r="DL151" s="10"/>
      <c r="DM151" s="10"/>
      <c r="DN151" s="10"/>
      <c r="DO151" s="10"/>
      <c r="DP151" s="10"/>
      <c r="DQ151" s="10"/>
      <c r="DR151" s="10"/>
      <c r="DS151" s="10"/>
      <c r="DT151" s="10">
        <v>-140</v>
      </c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>
        <v>-280</v>
      </c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>
        <v>2</v>
      </c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1">
        <f t="shared" si="7"/>
        <v>0</v>
      </c>
      <c r="TH151" s="9">
        <f t="shared" si="8"/>
        <v>0</v>
      </c>
    </row>
    <row r="152" spans="1:528" ht="15.6" thickBot="1" x14ac:dyDescent="0.3">
      <c r="A152" s="25" t="s">
        <v>614</v>
      </c>
      <c r="B152" s="26" t="s">
        <v>462</v>
      </c>
      <c r="C152" s="3">
        <f>AGOSTO!D156</f>
        <v>0</v>
      </c>
      <c r="D152" s="21">
        <f t="shared" si="6"/>
        <v>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>
        <f>300+100</f>
        <v>400</v>
      </c>
      <c r="BT152" s="10"/>
      <c r="BU152" s="10">
        <v>20</v>
      </c>
      <c r="BV152" s="10"/>
      <c r="BW152" s="10"/>
      <c r="BX152" s="10"/>
      <c r="BY152" s="10"/>
      <c r="BZ152" s="10">
        <v>-420</v>
      </c>
      <c r="CA152" s="10"/>
      <c r="CB152" s="10"/>
      <c r="CC152" s="10">
        <v>200</v>
      </c>
      <c r="CD152" s="10"/>
      <c r="CE152" s="10"/>
      <c r="CF152" s="10"/>
      <c r="CG152" s="10"/>
      <c r="CH152" s="10"/>
      <c r="CI152" s="10">
        <f>300</f>
        <v>300</v>
      </c>
      <c r="CJ152" s="10"/>
      <c r="CK152" s="10"/>
      <c r="CL152" s="10"/>
      <c r="CM152" s="10">
        <f>200</f>
        <v>200</v>
      </c>
      <c r="CN152" s="10">
        <v>-300</v>
      </c>
      <c r="CO152" s="10"/>
      <c r="CP152" s="10">
        <v>-400</v>
      </c>
      <c r="CQ152" s="10"/>
      <c r="CR152" s="10"/>
      <c r="CS152" s="10">
        <v>200</v>
      </c>
      <c r="CT152" s="10">
        <v>-200</v>
      </c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>
        <v>100</v>
      </c>
      <c r="DF152" s="10"/>
      <c r="DG152" s="10">
        <f>200+300</f>
        <v>500</v>
      </c>
      <c r="DH152" s="10"/>
      <c r="DI152" s="10">
        <v>61</v>
      </c>
      <c r="DJ152" s="10"/>
      <c r="DK152" s="10"/>
      <c r="DL152" s="10"/>
      <c r="DM152" s="10"/>
      <c r="DN152" s="10"/>
      <c r="DO152" s="10"/>
      <c r="DP152" s="10"/>
      <c r="DQ152" s="14">
        <v>200</v>
      </c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>
        <v>-198</v>
      </c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>
        <v>-400</v>
      </c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>
        <v>-100</v>
      </c>
      <c r="FW152" s="10"/>
      <c r="FX152" s="10"/>
      <c r="FY152" s="10"/>
      <c r="FZ152" s="10"/>
      <c r="GA152" s="10"/>
      <c r="GB152" s="10"/>
      <c r="GC152" s="10"/>
      <c r="GD152" s="10">
        <v>-100</v>
      </c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>
        <f>200+50</f>
        <v>250</v>
      </c>
      <c r="GR152" s="10"/>
      <c r="GS152" s="10"/>
      <c r="GT152" s="10"/>
      <c r="GU152" s="10"/>
      <c r="GV152" s="10">
        <v>-4</v>
      </c>
      <c r="GW152" s="10"/>
      <c r="GX152" s="10">
        <v>-300</v>
      </c>
      <c r="GY152" s="10"/>
      <c r="GZ152" s="10"/>
      <c r="HA152" s="10"/>
      <c r="HB152" s="10"/>
      <c r="HC152" s="10"/>
      <c r="HD152" s="10">
        <f>-4-3</f>
        <v>-7</v>
      </c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>
        <v>-2</v>
      </c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1">
        <f t="shared" si="7"/>
        <v>0</v>
      </c>
      <c r="TH152" s="9">
        <f t="shared" si="8"/>
        <v>0</v>
      </c>
    </row>
    <row r="153" spans="1:528" ht="15.6" thickBot="1" x14ac:dyDescent="0.3">
      <c r="A153" s="25" t="s">
        <v>761</v>
      </c>
      <c r="B153" s="26" t="s">
        <v>436</v>
      </c>
      <c r="C153" s="3">
        <f>AGOSTO!D157</f>
        <v>0</v>
      </c>
      <c r="D153" s="21">
        <f t="shared" si="6"/>
        <v>0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1">
        <f t="shared" si="7"/>
        <v>0</v>
      </c>
      <c r="TH153" s="9">
        <f t="shared" si="8"/>
        <v>0</v>
      </c>
    </row>
    <row r="154" spans="1:528" ht="15.6" thickBot="1" x14ac:dyDescent="0.3">
      <c r="A154" s="25" t="s">
        <v>604</v>
      </c>
      <c r="B154" s="18" t="s">
        <v>57</v>
      </c>
      <c r="C154" s="3">
        <f>AGOSTO!D158</f>
        <v>0</v>
      </c>
      <c r="D154" s="55">
        <f t="shared" si="6"/>
        <v>41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>
        <f>200</f>
        <v>200</v>
      </c>
      <c r="AP154" s="10"/>
      <c r="AQ154" s="10">
        <v>20</v>
      </c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>
        <f>100+80</f>
        <v>180</v>
      </c>
      <c r="BT154" s="10"/>
      <c r="BU154" s="10"/>
      <c r="BV154" s="10"/>
      <c r="BW154" s="10"/>
      <c r="BX154" s="10"/>
      <c r="BY154" s="10">
        <f>20</f>
        <v>20</v>
      </c>
      <c r="BZ154" s="10">
        <v>-420</v>
      </c>
      <c r="CA154" s="10">
        <f>400</f>
        <v>400</v>
      </c>
      <c r="CB154" s="10"/>
      <c r="CC154" s="10">
        <v>200</v>
      </c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>
        <v>-100</v>
      </c>
      <c r="CO154" s="10"/>
      <c r="CP154" s="10"/>
      <c r="CQ154" s="10"/>
      <c r="CR154" s="10"/>
      <c r="CS154" s="10"/>
      <c r="CT154" s="10">
        <v>-200</v>
      </c>
      <c r="CU154" s="10"/>
      <c r="CV154" s="10"/>
      <c r="CW154" s="10"/>
      <c r="CX154" s="10"/>
      <c r="CY154" s="10"/>
      <c r="CZ154" s="10"/>
      <c r="DA154" s="10">
        <v>100</v>
      </c>
      <c r="DB154" s="10"/>
      <c r="DC154" s="10">
        <v>68</v>
      </c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>
        <v>-196</v>
      </c>
      <c r="DS154" s="10">
        <v>28</v>
      </c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>
        <v>-100</v>
      </c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>
        <v>-100</v>
      </c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>
        <v>-100</v>
      </c>
      <c r="FW154" s="10"/>
      <c r="FX154" s="10"/>
      <c r="FY154" s="10"/>
      <c r="FZ154" s="10"/>
      <c r="GA154" s="10">
        <v>125</v>
      </c>
      <c r="GB154" s="10">
        <v>-100</v>
      </c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>
        <v>200</v>
      </c>
      <c r="GN154" s="10"/>
      <c r="GO154" s="10"/>
      <c r="GP154" s="10">
        <v>-200</v>
      </c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>
        <v>-2</v>
      </c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>
        <v>18</v>
      </c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1">
        <f t="shared" si="7"/>
        <v>220</v>
      </c>
      <c r="TH154" s="9">
        <f t="shared" si="8"/>
        <v>0</v>
      </c>
    </row>
    <row r="155" spans="1:528" ht="16.2" thickBot="1" x14ac:dyDescent="0.35">
      <c r="A155" s="25"/>
      <c r="B155" s="23" t="s">
        <v>982</v>
      </c>
      <c r="C155" s="3">
        <f>AGOSTO!D159</f>
        <v>0</v>
      </c>
      <c r="D155" s="21">
        <f t="shared" si="6"/>
        <v>0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1">
        <f t="shared" si="7"/>
        <v>0</v>
      </c>
      <c r="TH155" s="9">
        <f t="shared" si="8"/>
        <v>0</v>
      </c>
    </row>
    <row r="156" spans="1:528" ht="15.6" thickBot="1" x14ac:dyDescent="0.3">
      <c r="A156" s="25" t="s">
        <v>676</v>
      </c>
      <c r="B156" s="26" t="s">
        <v>503</v>
      </c>
      <c r="C156" s="3">
        <f>AGOSTO!D160</f>
        <v>220</v>
      </c>
      <c r="D156" s="21">
        <f t="shared" si="6"/>
        <v>0</v>
      </c>
      <c r="E156" s="10"/>
      <c r="F156" s="10"/>
      <c r="G156" s="10"/>
      <c r="H156" s="10">
        <v>-220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1">
        <f t="shared" si="7"/>
        <v>0</v>
      </c>
      <c r="TH156" s="9">
        <f t="shared" si="8"/>
        <v>-220</v>
      </c>
    </row>
    <row r="157" spans="1:528" ht="16.2" thickBot="1" x14ac:dyDescent="0.35">
      <c r="A157" s="25"/>
      <c r="B157" s="20" t="s">
        <v>487</v>
      </c>
      <c r="C157" s="3">
        <f>AGOSTO!D161</f>
        <v>0</v>
      </c>
      <c r="D157" s="21">
        <f t="shared" si="6"/>
        <v>0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1">
        <f t="shared" si="7"/>
        <v>0</v>
      </c>
      <c r="TH157" s="9">
        <f t="shared" si="8"/>
        <v>0</v>
      </c>
    </row>
    <row r="158" spans="1:528" ht="15.6" thickBot="1" x14ac:dyDescent="0.3">
      <c r="A158" s="25" t="s">
        <v>874</v>
      </c>
      <c r="B158" s="18" t="s">
        <v>875</v>
      </c>
      <c r="C158" s="3">
        <f>AGOSTO!D162</f>
        <v>540</v>
      </c>
      <c r="D158" s="21">
        <f t="shared" si="6"/>
        <v>1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>
        <v>-540</v>
      </c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>
        <f>54*3</f>
        <v>162</v>
      </c>
      <c r="AP158" s="10"/>
      <c r="AQ158" s="10">
        <f>7*54</f>
        <v>378</v>
      </c>
      <c r="AR158" s="10"/>
      <c r="AS158" s="10">
        <f>54*5</f>
        <v>270</v>
      </c>
      <c r="AT158" s="10"/>
      <c r="AU158" s="10"/>
      <c r="AV158" s="10"/>
      <c r="AW158" s="10">
        <f>54*8</f>
        <v>432</v>
      </c>
      <c r="AX158" s="10"/>
      <c r="AY158" s="10">
        <f>54*8</f>
        <v>432</v>
      </c>
      <c r="AZ158" s="10"/>
      <c r="BA158" s="10">
        <f>54*6</f>
        <v>324</v>
      </c>
      <c r="BB158" s="10"/>
      <c r="BC158" s="10"/>
      <c r="BD158" s="10">
        <v>-108</v>
      </c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>
        <f>-972-270</f>
        <v>-1242</v>
      </c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>
        <f>54+21</f>
        <v>75</v>
      </c>
      <c r="CF158" s="10"/>
      <c r="CG158" s="10"/>
      <c r="CH158" s="10"/>
      <c r="CI158" s="10"/>
      <c r="CJ158" s="10"/>
      <c r="CK158" s="10"/>
      <c r="CL158" s="10"/>
      <c r="CM158" s="10"/>
      <c r="CN158" s="10">
        <v>-615</v>
      </c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>
        <f>5*54</f>
        <v>270</v>
      </c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>
        <v>-378</v>
      </c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>
        <v>17</v>
      </c>
      <c r="ER158" s="10">
        <v>-17</v>
      </c>
      <c r="ES158" s="10"/>
      <c r="ET158" s="10"/>
      <c r="EU158" s="10"/>
      <c r="EV158" s="10"/>
      <c r="EW158" s="10">
        <v>27</v>
      </c>
      <c r="EX158" s="10">
        <v>-26</v>
      </c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1">
        <f t="shared" si="7"/>
        <v>1998</v>
      </c>
      <c r="TH158" s="9">
        <f t="shared" si="8"/>
        <v>-648</v>
      </c>
    </row>
    <row r="159" spans="1:528" ht="15.6" thickBot="1" x14ac:dyDescent="0.3">
      <c r="A159" s="25" t="s">
        <v>876</v>
      </c>
      <c r="B159" s="18" t="s">
        <v>877</v>
      </c>
      <c r="C159" s="3">
        <f>AGOSTO!D163</f>
        <v>2646</v>
      </c>
      <c r="D159" s="55">
        <f t="shared" si="6"/>
        <v>54</v>
      </c>
      <c r="E159" s="10"/>
      <c r="F159" s="10"/>
      <c r="G159" s="10"/>
      <c r="H159" s="10"/>
      <c r="I159" s="10"/>
      <c r="J159" s="10"/>
      <c r="K159" s="10"/>
      <c r="L159" s="10">
        <v>-1728</v>
      </c>
      <c r="M159" s="10"/>
      <c r="N159" s="10">
        <v>-810</v>
      </c>
      <c r="O159" s="10"/>
      <c r="P159" s="10"/>
      <c r="Q159" s="10"/>
      <c r="R159" s="10"/>
      <c r="S159" s="10"/>
      <c r="T159" s="10"/>
      <c r="U159" s="10"/>
      <c r="V159" s="10">
        <v>-108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>
        <f>54*3</f>
        <v>162</v>
      </c>
      <c r="DR159" s="10"/>
      <c r="DS159" s="10"/>
      <c r="DT159" s="10"/>
      <c r="DU159" s="10">
        <v>54</v>
      </c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>
        <v>-216</v>
      </c>
      <c r="EG159" s="10"/>
      <c r="EH159" s="10"/>
      <c r="EI159" s="10"/>
      <c r="EJ159" s="10"/>
      <c r="EK159" s="10">
        <v>54</v>
      </c>
      <c r="EL159" s="10"/>
      <c r="EM159" s="10">
        <f>54*5</f>
        <v>270</v>
      </c>
      <c r="EN159" s="10"/>
      <c r="EO159" s="10"/>
      <c r="EP159" s="10"/>
      <c r="EQ159" s="10">
        <f>54*3+34</f>
        <v>196</v>
      </c>
      <c r="ER159" s="10">
        <v>-520</v>
      </c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>
        <v>54</v>
      </c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1">
        <f t="shared" si="7"/>
        <v>0</v>
      </c>
      <c r="TH159" s="9">
        <f t="shared" si="8"/>
        <v>-2646</v>
      </c>
    </row>
    <row r="160" spans="1:528" ht="15.6" thickBot="1" x14ac:dyDescent="0.3">
      <c r="A160" s="25" t="s">
        <v>878</v>
      </c>
      <c r="B160" s="18" t="s">
        <v>879</v>
      </c>
      <c r="C160" s="3">
        <f>AGOSTO!D164</f>
        <v>2057</v>
      </c>
      <c r="D160" s="55">
        <f t="shared" si="6"/>
        <v>171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>
        <f>-336-212-12</f>
        <v>-560</v>
      </c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>
        <f>-112-112-224-112-224</f>
        <v>-784</v>
      </c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>
        <v>-224</v>
      </c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>
        <v>-310</v>
      </c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>
        <v>-1</v>
      </c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>
        <v>-7</v>
      </c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1">
        <f t="shared" si="7"/>
        <v>0</v>
      </c>
      <c r="TH160" s="9">
        <f t="shared" si="8"/>
        <v>-560</v>
      </c>
    </row>
    <row r="161" spans="1:528" ht="15.6" thickBot="1" x14ac:dyDescent="0.3">
      <c r="A161" s="25" t="s">
        <v>243</v>
      </c>
      <c r="B161" s="18" t="s">
        <v>58</v>
      </c>
      <c r="C161" s="3">
        <f>AGOSTO!D165</f>
        <v>191</v>
      </c>
      <c r="D161" s="21">
        <f t="shared" si="6"/>
        <v>0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>
        <v>-112</v>
      </c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>
        <v>-50</v>
      </c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>
        <v>-20</v>
      </c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>
        <v>-9</v>
      </c>
      <c r="ES161" s="10"/>
      <c r="ET161" s="10"/>
      <c r="EU161" s="10"/>
      <c r="EV161" s="10"/>
      <c r="EW161" s="10">
        <v>18</v>
      </c>
      <c r="EX161" s="10"/>
      <c r="EY161" s="10"/>
      <c r="EZ161" s="10">
        <v>-6</v>
      </c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>
        <v>-12</v>
      </c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1">
        <f t="shared" si="7"/>
        <v>0</v>
      </c>
      <c r="TH161" s="9">
        <f t="shared" si="8"/>
        <v>-112</v>
      </c>
    </row>
    <row r="162" spans="1:528" ht="15.6" thickBot="1" x14ac:dyDescent="0.3">
      <c r="A162" s="25"/>
      <c r="B162" s="18"/>
      <c r="C162" s="3">
        <f>AGOSTO!D166</f>
        <v>0</v>
      </c>
      <c r="D162" s="21">
        <f t="shared" si="6"/>
        <v>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1">
        <f t="shared" si="7"/>
        <v>0</v>
      </c>
      <c r="TH162" s="9">
        <f t="shared" si="8"/>
        <v>0</v>
      </c>
    </row>
    <row r="163" spans="1:528" ht="15.6" thickBot="1" x14ac:dyDescent="0.3">
      <c r="A163" s="25" t="s">
        <v>244</v>
      </c>
      <c r="B163" s="18" t="s">
        <v>183</v>
      </c>
      <c r="C163" s="3">
        <f>AGOSTO!D167</f>
        <v>1970</v>
      </c>
      <c r="D163" s="55">
        <f t="shared" si="6"/>
        <v>4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>
        <v>-1904</v>
      </c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>
        <f>112*3+112</f>
        <v>448</v>
      </c>
      <c r="CH163" s="10"/>
      <c r="CI163" s="10">
        <f>112+20</f>
        <v>132</v>
      </c>
      <c r="CJ163" s="10"/>
      <c r="CK163" s="10"/>
      <c r="CL163" s="10"/>
      <c r="CM163" s="10"/>
      <c r="CN163" s="10">
        <v>-336</v>
      </c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>
        <v>-285</v>
      </c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>
        <v>-25</v>
      </c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>
        <v>4</v>
      </c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1">
        <f t="shared" si="7"/>
        <v>0</v>
      </c>
      <c r="TH163" s="9">
        <f t="shared" si="8"/>
        <v>-1904</v>
      </c>
    </row>
    <row r="164" spans="1:528" ht="15.6" thickBot="1" x14ac:dyDescent="0.3">
      <c r="A164" s="25" t="s">
        <v>880</v>
      </c>
      <c r="B164" s="18" t="s">
        <v>935</v>
      </c>
      <c r="C164" s="3">
        <f>AGOSTO!D168</f>
        <v>432</v>
      </c>
      <c r="D164" s="55">
        <f t="shared" si="6"/>
        <v>41</v>
      </c>
      <c r="E164" s="10"/>
      <c r="F164" s="10"/>
      <c r="G164" s="10">
        <f>54*6</f>
        <v>324</v>
      </c>
      <c r="H164" s="10"/>
      <c r="I164" s="10">
        <f>6*54</f>
        <v>324</v>
      </c>
      <c r="J164" s="10"/>
      <c r="K164" s="10">
        <f>4*54</f>
        <v>216</v>
      </c>
      <c r="L164" s="10"/>
      <c r="M164" s="10">
        <f>6*54</f>
        <v>324</v>
      </c>
      <c r="N164" s="10"/>
      <c r="O164" s="10">
        <f>54*6</f>
        <v>324</v>
      </c>
      <c r="P164" s="10"/>
      <c r="Q164" s="10">
        <f>54*4</f>
        <v>216</v>
      </c>
      <c r="R164" s="10"/>
      <c r="S164" s="10"/>
      <c r="T164" s="10"/>
      <c r="U164" s="10">
        <f>54*5</f>
        <v>270</v>
      </c>
      <c r="V164" s="10">
        <v>-1782</v>
      </c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>
        <f>-486-54</f>
        <v>-540</v>
      </c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>
        <f>54*3</f>
        <v>162</v>
      </c>
      <c r="DP164" s="10"/>
      <c r="DQ164" s="10">
        <f>54*4</f>
        <v>216</v>
      </c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>
        <v>54</v>
      </c>
      <c r="ED164" s="10"/>
      <c r="EE164" s="10">
        <v>54</v>
      </c>
      <c r="EF164" s="10">
        <v>-556</v>
      </c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>
        <v>3</v>
      </c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1">
        <f t="shared" si="7"/>
        <v>1998</v>
      </c>
      <c r="TH164" s="9">
        <f t="shared" si="8"/>
        <v>-2322</v>
      </c>
    </row>
    <row r="165" spans="1:528" ht="16.2" thickBot="1" x14ac:dyDescent="0.35">
      <c r="A165" s="25"/>
      <c r="B165" s="20" t="s">
        <v>59</v>
      </c>
      <c r="C165" s="3">
        <f>AGOSTO!D169</f>
        <v>0</v>
      </c>
      <c r="D165" s="21">
        <f t="shared" si="6"/>
        <v>0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1">
        <f t="shared" si="7"/>
        <v>0</v>
      </c>
      <c r="TH165" s="9">
        <f t="shared" si="8"/>
        <v>0</v>
      </c>
    </row>
    <row r="166" spans="1:528" ht="15.6" thickBot="1" x14ac:dyDescent="0.3">
      <c r="A166" s="25" t="s">
        <v>762</v>
      </c>
      <c r="B166" s="18" t="s">
        <v>451</v>
      </c>
      <c r="C166" s="3">
        <f>AGOSTO!D170</f>
        <v>0</v>
      </c>
      <c r="D166" s="21">
        <f t="shared" si="6"/>
        <v>0</v>
      </c>
      <c r="E166" s="10"/>
      <c r="F166" s="10"/>
      <c r="G166" s="10">
        <f>40</f>
        <v>40</v>
      </c>
      <c r="H166" s="10"/>
      <c r="I166" s="10"/>
      <c r="J166" s="10">
        <v>-40</v>
      </c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1">
        <f t="shared" si="7"/>
        <v>40</v>
      </c>
      <c r="TH166" s="9">
        <f t="shared" si="8"/>
        <v>-40</v>
      </c>
    </row>
    <row r="167" spans="1:528" ht="16.2" thickBot="1" x14ac:dyDescent="0.35">
      <c r="A167" s="25"/>
      <c r="B167" s="20" t="s">
        <v>60</v>
      </c>
      <c r="C167" s="3">
        <f>AGOSTO!D171</f>
        <v>0</v>
      </c>
      <c r="D167" s="21">
        <f t="shared" si="6"/>
        <v>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1">
        <f t="shared" si="7"/>
        <v>0</v>
      </c>
      <c r="TH167" s="9">
        <f t="shared" si="8"/>
        <v>0</v>
      </c>
    </row>
    <row r="168" spans="1:528" ht="15.6" thickBot="1" x14ac:dyDescent="0.3">
      <c r="A168" s="25" t="s">
        <v>983</v>
      </c>
      <c r="B168" s="18" t="s">
        <v>132</v>
      </c>
      <c r="C168" s="3">
        <f>AGOSTO!D172</f>
        <v>0</v>
      </c>
      <c r="D168" s="21">
        <f t="shared" si="6"/>
        <v>0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>
        <f>192+31</f>
        <v>223</v>
      </c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>
        <v>-223</v>
      </c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1">
        <f t="shared" si="7"/>
        <v>0</v>
      </c>
      <c r="TH168" s="9">
        <f t="shared" si="8"/>
        <v>0</v>
      </c>
    </row>
    <row r="169" spans="1:528" ht="15.6" thickBot="1" x14ac:dyDescent="0.3">
      <c r="A169" s="25" t="s">
        <v>984</v>
      </c>
      <c r="B169" s="18" t="s">
        <v>61</v>
      </c>
      <c r="C169" s="3">
        <f>AGOSTO!D173</f>
        <v>0</v>
      </c>
      <c r="D169" s="21">
        <f t="shared" si="6"/>
        <v>0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>
        <v>195</v>
      </c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>
        <v>-195</v>
      </c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1">
        <f t="shared" si="7"/>
        <v>0</v>
      </c>
      <c r="TH169" s="9">
        <f t="shared" si="8"/>
        <v>0</v>
      </c>
    </row>
    <row r="170" spans="1:528" ht="15.6" thickBot="1" x14ac:dyDescent="0.3">
      <c r="A170" s="25" t="s">
        <v>407</v>
      </c>
      <c r="B170" s="18" t="s">
        <v>137</v>
      </c>
      <c r="C170" s="3">
        <f>AGOSTO!D174</f>
        <v>0</v>
      </c>
      <c r="D170" s="21">
        <f t="shared" si="6"/>
        <v>0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1">
        <f t="shared" si="7"/>
        <v>0</v>
      </c>
      <c r="TH170" s="9">
        <f t="shared" si="8"/>
        <v>0</v>
      </c>
    </row>
    <row r="171" spans="1:528" ht="15.6" thickBot="1" x14ac:dyDescent="0.3">
      <c r="A171" s="25" t="s">
        <v>398</v>
      </c>
      <c r="B171" s="18" t="s">
        <v>133</v>
      </c>
      <c r="C171" s="3">
        <f>AGOSTO!D175</f>
        <v>0</v>
      </c>
      <c r="D171" s="21">
        <f t="shared" si="6"/>
        <v>0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>
        <v>230</v>
      </c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>
        <v>-230</v>
      </c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1">
        <f t="shared" si="7"/>
        <v>0</v>
      </c>
      <c r="TH171" s="9">
        <f t="shared" si="8"/>
        <v>0</v>
      </c>
    </row>
    <row r="172" spans="1:528" ht="15.6" thickBot="1" x14ac:dyDescent="0.3">
      <c r="A172" s="25" t="s">
        <v>985</v>
      </c>
      <c r="B172" s="18" t="s">
        <v>134</v>
      </c>
      <c r="C172" s="3">
        <f>AGOSTO!D176</f>
        <v>0</v>
      </c>
      <c r="D172" s="21">
        <f t="shared" si="6"/>
        <v>0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>
        <v>247</v>
      </c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>
        <v>-247</v>
      </c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1">
        <f t="shared" si="7"/>
        <v>0</v>
      </c>
      <c r="TH172" s="9">
        <f t="shared" si="8"/>
        <v>0</v>
      </c>
    </row>
    <row r="173" spans="1:528" ht="15.6" thickBot="1" x14ac:dyDescent="0.3">
      <c r="A173" s="25" t="s">
        <v>986</v>
      </c>
      <c r="B173" s="18" t="s">
        <v>135</v>
      </c>
      <c r="C173" s="3">
        <f>AGOSTO!D177</f>
        <v>0</v>
      </c>
      <c r="D173" s="21">
        <f t="shared" si="6"/>
        <v>0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>
        <v>247</v>
      </c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>
        <v>-247</v>
      </c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1">
        <f t="shared" si="7"/>
        <v>0</v>
      </c>
      <c r="TH173" s="9">
        <f t="shared" si="8"/>
        <v>0</v>
      </c>
    </row>
    <row r="174" spans="1:528" ht="15.6" thickBot="1" x14ac:dyDescent="0.3">
      <c r="A174" s="25" t="s">
        <v>245</v>
      </c>
      <c r="B174" s="18" t="s">
        <v>257</v>
      </c>
      <c r="C174" s="3">
        <f>AGOSTO!D178</f>
        <v>0</v>
      </c>
      <c r="D174" s="21">
        <f t="shared" si="6"/>
        <v>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>
        <v>192</v>
      </c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>
        <v>-192</v>
      </c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1">
        <f t="shared" si="7"/>
        <v>0</v>
      </c>
      <c r="TH174" s="9">
        <f t="shared" si="8"/>
        <v>0</v>
      </c>
    </row>
    <row r="175" spans="1:528" ht="15.6" thickBot="1" x14ac:dyDescent="0.3">
      <c r="A175" s="25" t="s">
        <v>246</v>
      </c>
      <c r="B175" s="18" t="s">
        <v>136</v>
      </c>
      <c r="C175" s="3">
        <f>AGOSTO!D179</f>
        <v>0</v>
      </c>
      <c r="D175" s="21">
        <f t="shared" si="6"/>
        <v>0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1">
        <f t="shared" si="7"/>
        <v>0</v>
      </c>
      <c r="TH175" s="9">
        <f t="shared" si="8"/>
        <v>0</v>
      </c>
    </row>
    <row r="176" spans="1:528" ht="15.6" thickBot="1" x14ac:dyDescent="0.3">
      <c r="A176" s="25" t="s">
        <v>404</v>
      </c>
      <c r="B176" s="18" t="s">
        <v>449</v>
      </c>
      <c r="C176" s="3">
        <f>AGOSTO!D180</f>
        <v>0</v>
      </c>
      <c r="D176" s="21">
        <f t="shared" si="6"/>
        <v>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>
        <v>44</v>
      </c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>
        <v>-44</v>
      </c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1">
        <f t="shared" si="7"/>
        <v>0</v>
      </c>
      <c r="TH176" s="9">
        <f t="shared" si="8"/>
        <v>0</v>
      </c>
    </row>
    <row r="177" spans="1:528" ht="15.6" thickBot="1" x14ac:dyDescent="0.3">
      <c r="A177" s="25" t="s">
        <v>411</v>
      </c>
      <c r="B177" s="18" t="s">
        <v>138</v>
      </c>
      <c r="C177" s="3">
        <f>AGOSTO!D181</f>
        <v>0</v>
      </c>
      <c r="D177" s="21">
        <f t="shared" si="6"/>
        <v>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1">
        <f t="shared" si="7"/>
        <v>0</v>
      </c>
      <c r="TH177" s="9">
        <f t="shared" si="8"/>
        <v>0</v>
      </c>
    </row>
    <row r="178" spans="1:528" ht="15.6" thickBot="1" x14ac:dyDescent="0.3">
      <c r="A178" s="25" t="s">
        <v>405</v>
      </c>
      <c r="B178" s="18" t="s">
        <v>139</v>
      </c>
      <c r="C178" s="3">
        <f>AGOSTO!D182</f>
        <v>0</v>
      </c>
      <c r="D178" s="21">
        <f t="shared" si="6"/>
        <v>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1">
        <f t="shared" si="7"/>
        <v>0</v>
      </c>
      <c r="TH178" s="9">
        <f t="shared" si="8"/>
        <v>0</v>
      </c>
    </row>
    <row r="179" spans="1:528" ht="15.6" thickBot="1" x14ac:dyDescent="0.3">
      <c r="A179" s="25" t="s">
        <v>247</v>
      </c>
      <c r="B179" s="18" t="s">
        <v>248</v>
      </c>
      <c r="C179" s="3">
        <f>AGOSTO!D183</f>
        <v>0</v>
      </c>
      <c r="D179" s="21">
        <f t="shared" si="6"/>
        <v>0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>
        <f>56+56+28</f>
        <v>140</v>
      </c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>
        <v>-140</v>
      </c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1">
        <f t="shared" si="7"/>
        <v>0</v>
      </c>
      <c r="TH179" s="9">
        <f t="shared" si="8"/>
        <v>0</v>
      </c>
    </row>
    <row r="180" spans="1:528" ht="15.6" thickBot="1" x14ac:dyDescent="0.3">
      <c r="A180" s="25" t="s">
        <v>249</v>
      </c>
      <c r="B180" s="18" t="s">
        <v>250</v>
      </c>
      <c r="C180" s="3">
        <f>AGOSTO!D184</f>
        <v>0</v>
      </c>
      <c r="D180" s="21">
        <f t="shared" si="6"/>
        <v>0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>
        <f>56+56+28</f>
        <v>140</v>
      </c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>
        <v>-140</v>
      </c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1">
        <f t="shared" si="7"/>
        <v>0</v>
      </c>
      <c r="TH180" s="9">
        <f t="shared" si="8"/>
        <v>0</v>
      </c>
    </row>
    <row r="181" spans="1:528" ht="15.6" thickBot="1" x14ac:dyDescent="0.3">
      <c r="A181" s="25" t="s">
        <v>251</v>
      </c>
      <c r="B181" s="18" t="s">
        <v>252</v>
      </c>
      <c r="C181" s="3">
        <f>AGOSTO!D185</f>
        <v>0</v>
      </c>
      <c r="D181" s="21">
        <f t="shared" si="6"/>
        <v>0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>
        <f>56+56+28</f>
        <v>140</v>
      </c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>
        <v>-140</v>
      </c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1">
        <f t="shared" si="7"/>
        <v>0</v>
      </c>
      <c r="TH181" s="9">
        <f t="shared" si="8"/>
        <v>0</v>
      </c>
    </row>
    <row r="182" spans="1:528" ht="15.6" thickBot="1" x14ac:dyDescent="0.3">
      <c r="A182" s="25" t="s">
        <v>253</v>
      </c>
      <c r="B182" s="18" t="s">
        <v>254</v>
      </c>
      <c r="C182" s="3">
        <f>AGOSTO!D186</f>
        <v>0</v>
      </c>
      <c r="D182" s="21">
        <f t="shared" si="6"/>
        <v>0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>
        <f>56+56+28</f>
        <v>140</v>
      </c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>
        <v>-140</v>
      </c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1">
        <f t="shared" si="7"/>
        <v>0</v>
      </c>
      <c r="TH182" s="9">
        <f t="shared" si="8"/>
        <v>0</v>
      </c>
    </row>
    <row r="183" spans="1:528" ht="15.6" thickBot="1" x14ac:dyDescent="0.3">
      <c r="A183" s="25" t="s">
        <v>412</v>
      </c>
      <c r="B183" s="18" t="s">
        <v>161</v>
      </c>
      <c r="C183" s="3">
        <f>AGOSTO!D187</f>
        <v>0</v>
      </c>
      <c r="D183" s="21">
        <f t="shared" si="6"/>
        <v>0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1">
        <f t="shared" si="7"/>
        <v>0</v>
      </c>
      <c r="TH183" s="9">
        <f t="shared" si="8"/>
        <v>0</v>
      </c>
    </row>
    <row r="184" spans="1:528" ht="15.6" thickBot="1" x14ac:dyDescent="0.3">
      <c r="A184" s="25" t="s">
        <v>413</v>
      </c>
      <c r="B184" s="26" t="s">
        <v>403</v>
      </c>
      <c r="C184" s="3">
        <f>AGOSTO!D188</f>
        <v>0</v>
      </c>
      <c r="D184" s="21">
        <f t="shared" si="6"/>
        <v>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1">
        <f t="shared" si="7"/>
        <v>0</v>
      </c>
      <c r="TH184" s="9">
        <f t="shared" si="8"/>
        <v>0</v>
      </c>
    </row>
    <row r="185" spans="1:528" ht="15.6" thickBot="1" x14ac:dyDescent="0.3">
      <c r="A185" s="25" t="s">
        <v>415</v>
      </c>
      <c r="B185" s="18" t="s">
        <v>416</v>
      </c>
      <c r="C185" s="3">
        <f>AGOSTO!D189</f>
        <v>0</v>
      </c>
      <c r="D185" s="21">
        <f t="shared" si="6"/>
        <v>0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>
        <v>194</v>
      </c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>
        <v>-194</v>
      </c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1">
        <f t="shared" si="7"/>
        <v>0</v>
      </c>
      <c r="TH185" s="9">
        <f t="shared" si="8"/>
        <v>0</v>
      </c>
    </row>
    <row r="186" spans="1:528" ht="15.6" thickBot="1" x14ac:dyDescent="0.3">
      <c r="A186" s="25" t="s">
        <v>414</v>
      </c>
      <c r="B186" s="18" t="s">
        <v>497</v>
      </c>
      <c r="C186" s="3">
        <f>AGOSTO!D190</f>
        <v>0</v>
      </c>
      <c r="D186" s="21">
        <f t="shared" si="6"/>
        <v>0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>
        <v>36</v>
      </c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>
        <v>-36</v>
      </c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1">
        <f t="shared" si="7"/>
        <v>0</v>
      </c>
      <c r="TH186" s="9">
        <f t="shared" si="8"/>
        <v>0</v>
      </c>
    </row>
    <row r="187" spans="1:528" ht="15.6" thickBot="1" x14ac:dyDescent="0.3">
      <c r="A187" s="25" t="s">
        <v>412</v>
      </c>
      <c r="B187" s="26" t="s">
        <v>417</v>
      </c>
      <c r="C187" s="3">
        <f>AGOSTO!D191</f>
        <v>0</v>
      </c>
      <c r="D187" s="21">
        <f t="shared" si="6"/>
        <v>0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>
        <f>56+56+32</f>
        <v>144</v>
      </c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>
        <v>-144</v>
      </c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>
        <f>72*4+70</f>
        <v>358</v>
      </c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>
        <v>-358</v>
      </c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1">
        <f t="shared" si="7"/>
        <v>0</v>
      </c>
      <c r="TH187" s="9">
        <f t="shared" si="8"/>
        <v>0</v>
      </c>
    </row>
    <row r="188" spans="1:528" ht="15.6" thickBot="1" x14ac:dyDescent="0.3">
      <c r="A188" s="25" t="s">
        <v>418</v>
      </c>
      <c r="B188" s="26" t="s">
        <v>419</v>
      </c>
      <c r="C188" s="3">
        <f>AGOSTO!D192</f>
        <v>0</v>
      </c>
      <c r="D188" s="21">
        <f t="shared" si="6"/>
        <v>0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>
        <f>56+56+32</f>
        <v>144</v>
      </c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>
        <v>-144</v>
      </c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>
        <f>72*3+67</f>
        <v>283</v>
      </c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>
        <v>-283</v>
      </c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1">
        <f t="shared" si="7"/>
        <v>0</v>
      </c>
      <c r="TH188" s="9">
        <f t="shared" si="8"/>
        <v>0</v>
      </c>
    </row>
    <row r="189" spans="1:528" ht="15.6" thickBot="1" x14ac:dyDescent="0.3">
      <c r="A189" s="25" t="s">
        <v>420</v>
      </c>
      <c r="B189" s="26" t="s">
        <v>421</v>
      </c>
      <c r="C189" s="3">
        <f>AGOSTO!D193</f>
        <v>0</v>
      </c>
      <c r="D189" s="21">
        <f t="shared" si="6"/>
        <v>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>
        <v>144</v>
      </c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>
        <v>-144</v>
      </c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>
        <v>73</v>
      </c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>
        <v>-65</v>
      </c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1">
        <f t="shared" si="7"/>
        <v>0</v>
      </c>
      <c r="TH189" s="9">
        <f t="shared" si="8"/>
        <v>0</v>
      </c>
    </row>
    <row r="190" spans="1:528" ht="15.6" thickBot="1" x14ac:dyDescent="0.3">
      <c r="A190" s="25" t="s">
        <v>422</v>
      </c>
      <c r="B190" s="18" t="s">
        <v>987</v>
      </c>
      <c r="C190" s="3">
        <f>AGOSTO!D194</f>
        <v>0</v>
      </c>
      <c r="D190" s="21">
        <f t="shared" si="6"/>
        <v>0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>
        <v>53</v>
      </c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>
        <v>-53</v>
      </c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1">
        <f t="shared" si="7"/>
        <v>0</v>
      </c>
      <c r="TH190" s="9">
        <f t="shared" si="8"/>
        <v>0</v>
      </c>
    </row>
    <row r="191" spans="1:528" ht="16.2" thickBot="1" x14ac:dyDescent="0.35">
      <c r="A191" s="25"/>
      <c r="B191" s="20" t="s">
        <v>62</v>
      </c>
      <c r="C191" s="3">
        <f>AGOSTO!D195</f>
        <v>0</v>
      </c>
      <c r="D191" s="21">
        <f t="shared" si="6"/>
        <v>0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1">
        <f t="shared" si="7"/>
        <v>0</v>
      </c>
      <c r="TH191" s="9">
        <f t="shared" si="8"/>
        <v>0</v>
      </c>
    </row>
    <row r="192" spans="1:528" ht="15.6" thickBot="1" x14ac:dyDescent="0.3">
      <c r="A192" s="25" t="s">
        <v>653</v>
      </c>
      <c r="B192" s="18" t="s">
        <v>648</v>
      </c>
      <c r="C192" s="3">
        <f>AGOSTO!D196</f>
        <v>0</v>
      </c>
      <c r="D192" s="21">
        <f t="shared" si="6"/>
        <v>8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>
        <v>51</v>
      </c>
      <c r="CJ192" s="10">
        <v>-50</v>
      </c>
      <c r="CK192" s="10"/>
      <c r="CL192" s="10"/>
      <c r="CM192" s="10"/>
      <c r="CN192" s="10"/>
      <c r="CO192" s="10"/>
      <c r="CP192" s="10"/>
      <c r="CQ192" s="10"/>
      <c r="CR192" s="10"/>
      <c r="CS192" s="10">
        <f>168+56</f>
        <v>224</v>
      </c>
      <c r="CT192" s="10"/>
      <c r="CU192" s="10"/>
      <c r="CV192" s="10"/>
      <c r="CW192" s="10"/>
      <c r="CX192" s="10">
        <v>-100</v>
      </c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>
        <v>-100</v>
      </c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>
        <v>83</v>
      </c>
      <c r="ER192" s="10">
        <v>-100</v>
      </c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1">
        <f t="shared" si="7"/>
        <v>0</v>
      </c>
      <c r="TH192" s="9">
        <f t="shared" si="8"/>
        <v>0</v>
      </c>
    </row>
    <row r="193" spans="1:528" ht="15.6" thickBot="1" x14ac:dyDescent="0.3">
      <c r="A193" s="25" t="s">
        <v>654</v>
      </c>
      <c r="B193" s="18" t="s">
        <v>649</v>
      </c>
      <c r="C193" s="3">
        <f>AGOSTO!D197</f>
        <v>0</v>
      </c>
      <c r="D193" s="21">
        <f t="shared" si="6"/>
        <v>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>
        <f>168+88</f>
        <v>256</v>
      </c>
      <c r="CJ193" s="10">
        <v>-165</v>
      </c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>
        <v>-82</v>
      </c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1">
        <f t="shared" si="7"/>
        <v>0</v>
      </c>
      <c r="TH193" s="9">
        <f t="shared" si="8"/>
        <v>0</v>
      </c>
    </row>
    <row r="194" spans="1:528" ht="15.6" thickBot="1" x14ac:dyDescent="0.3">
      <c r="A194" s="25" t="s">
        <v>655</v>
      </c>
      <c r="B194" s="18" t="s">
        <v>367</v>
      </c>
      <c r="C194" s="3">
        <f>AGOSTO!D198</f>
        <v>0</v>
      </c>
      <c r="D194" s="21">
        <f t="shared" si="6"/>
        <v>0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1">
        <f t="shared" si="7"/>
        <v>0</v>
      </c>
      <c r="TH194" s="9">
        <f t="shared" si="8"/>
        <v>0</v>
      </c>
    </row>
    <row r="195" spans="1:528" ht="15.6" thickBot="1" x14ac:dyDescent="0.3">
      <c r="A195" s="25" t="s">
        <v>809</v>
      </c>
      <c r="B195" s="18" t="s">
        <v>63</v>
      </c>
      <c r="C195" s="3">
        <f>AGOSTO!D199</f>
        <v>0</v>
      </c>
      <c r="D195" s="21">
        <f t="shared" si="6"/>
        <v>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>
        <f>156+28</f>
        <v>184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>
        <v>58</v>
      </c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>
        <f>-156-44</f>
        <v>-200</v>
      </c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4">
        <v>-42</v>
      </c>
      <c r="ES195" s="10"/>
      <c r="ET195" s="10"/>
      <c r="EU195" s="10"/>
      <c r="EV195" s="10"/>
      <c r="EW195" s="10">
        <v>13</v>
      </c>
      <c r="EX195" s="10">
        <v>-13</v>
      </c>
      <c r="EY195" s="10"/>
      <c r="EZ195" s="10"/>
      <c r="FA195" s="10"/>
      <c r="FB195" s="10"/>
      <c r="FC195" s="10"/>
      <c r="FD195" s="10"/>
      <c r="FE195" s="10"/>
      <c r="FF195" s="10"/>
      <c r="FG195" s="10">
        <v>21</v>
      </c>
      <c r="FH195" s="10">
        <v>-21</v>
      </c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>
        <v>31</v>
      </c>
      <c r="GH195" s="10">
        <v>-31</v>
      </c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>
        <v>37</v>
      </c>
      <c r="GX195" s="10">
        <v>-37</v>
      </c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1">
        <f t="shared" si="7"/>
        <v>242</v>
      </c>
      <c r="TH195" s="9">
        <f t="shared" si="8"/>
        <v>0</v>
      </c>
    </row>
    <row r="196" spans="1:528" ht="15.6" thickBot="1" x14ac:dyDescent="0.3">
      <c r="A196" s="25" t="s">
        <v>656</v>
      </c>
      <c r="B196" s="18" t="s">
        <v>184</v>
      </c>
      <c r="C196" s="3">
        <f>AGOSTO!D200</f>
        <v>0</v>
      </c>
      <c r="D196" s="21">
        <f t="shared" si="6"/>
        <v>0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1">
        <f t="shared" si="7"/>
        <v>0</v>
      </c>
      <c r="TH196" s="9">
        <f t="shared" si="8"/>
        <v>0</v>
      </c>
    </row>
    <row r="197" spans="1:528" ht="15.6" thickBot="1" x14ac:dyDescent="0.3">
      <c r="A197" s="25" t="s">
        <v>657</v>
      </c>
      <c r="B197" s="18" t="s">
        <v>650</v>
      </c>
      <c r="C197" s="3">
        <f>AGOSTO!D201</f>
        <v>0</v>
      </c>
      <c r="D197" s="21">
        <f t="shared" si="6"/>
        <v>0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1">
        <f t="shared" si="7"/>
        <v>0</v>
      </c>
      <c r="TH197" s="9">
        <f t="shared" si="8"/>
        <v>0</v>
      </c>
    </row>
    <row r="198" spans="1:528" ht="15.6" thickBot="1" x14ac:dyDescent="0.3">
      <c r="A198" s="25" t="s">
        <v>658</v>
      </c>
      <c r="B198" s="18" t="s">
        <v>651</v>
      </c>
      <c r="C198" s="3">
        <f>AGOSTO!D202</f>
        <v>0</v>
      </c>
      <c r="D198" s="21">
        <f t="shared" ref="D198:D246" si="9">C198+SUM(E198:TF198)</f>
        <v>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1">
        <f t="shared" ref="TG198:TG246" si="10">TE198+BG198+BE198+BC198+BA198+AY198+AW198+AU198+AS198+AQ198+AO198+AM198+AK198+AI198+AG198+AE198+AC198+AA198+Y198+W198+U198+S198+Q198+O198+M198+K198+I198+G198+E198</f>
        <v>0</v>
      </c>
      <c r="TH198" s="9">
        <f t="shared" ref="TH198:TH246" si="11">TF198+BH198+BF198+BD198+BB198+AZ198+AX198+AV198+AT198+AR198+AP198+AN198+AL198+AJ198+AH198+AF198+AD198+AB198+Z198+X198+V198+T198+R198+P198+N198+L198+J198+H198+F198</f>
        <v>0</v>
      </c>
    </row>
    <row r="199" spans="1:528" ht="15.6" thickBot="1" x14ac:dyDescent="0.3">
      <c r="A199" s="25" t="s">
        <v>659</v>
      </c>
      <c r="B199" s="18" t="s">
        <v>652</v>
      </c>
      <c r="C199" s="3">
        <f>AGOSTO!D203</f>
        <v>0</v>
      </c>
      <c r="D199" s="21">
        <f t="shared" si="9"/>
        <v>0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1">
        <f t="shared" si="10"/>
        <v>0</v>
      </c>
      <c r="TH199" s="9">
        <f t="shared" si="11"/>
        <v>0</v>
      </c>
    </row>
    <row r="200" spans="1:528" ht="15.6" thickBot="1" x14ac:dyDescent="0.3">
      <c r="A200" s="25" t="s">
        <v>660</v>
      </c>
      <c r="B200" s="18" t="s">
        <v>64</v>
      </c>
      <c r="C200" s="3">
        <f>AGOSTO!D204</f>
        <v>0</v>
      </c>
      <c r="D200" s="21">
        <f t="shared" si="9"/>
        <v>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1">
        <f t="shared" si="10"/>
        <v>0</v>
      </c>
      <c r="TH200" s="9">
        <f t="shared" si="11"/>
        <v>0</v>
      </c>
    </row>
    <row r="201" spans="1:528" ht="16.2" thickBot="1" x14ac:dyDescent="0.35">
      <c r="A201" s="25"/>
      <c r="B201" s="20" t="s">
        <v>65</v>
      </c>
      <c r="C201" s="3">
        <f>AGOSTO!D205</f>
        <v>0</v>
      </c>
      <c r="D201" s="21">
        <f t="shared" si="9"/>
        <v>0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1">
        <f t="shared" si="10"/>
        <v>0</v>
      </c>
      <c r="TH201" s="9">
        <f t="shared" si="11"/>
        <v>0</v>
      </c>
    </row>
    <row r="202" spans="1:528" ht="15.6" thickBot="1" x14ac:dyDescent="0.3">
      <c r="A202" s="25" t="s">
        <v>988</v>
      </c>
      <c r="B202" s="18" t="s">
        <v>325</v>
      </c>
      <c r="C202" s="3">
        <f>AGOSTO!D206</f>
        <v>717</v>
      </c>
      <c r="D202" s="55">
        <f t="shared" si="9"/>
        <v>12</v>
      </c>
      <c r="E202" s="10"/>
      <c r="F202" s="10"/>
      <c r="G202" s="10">
        <f>138+54+192+52</f>
        <v>436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>
        <v>-192</v>
      </c>
      <c r="BI202" s="10"/>
      <c r="BJ202" s="10"/>
      <c r="BK202" s="10"/>
      <c r="BL202" s="10">
        <f>-192-192</f>
        <v>-384</v>
      </c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>
        <v>-9</v>
      </c>
      <c r="CK202" s="10"/>
      <c r="CL202" s="10"/>
      <c r="CM202" s="10"/>
      <c r="CN202" s="10">
        <v>-192</v>
      </c>
      <c r="CO202" s="10"/>
      <c r="CP202" s="10">
        <v>-96</v>
      </c>
      <c r="CQ202" s="10"/>
      <c r="CR202" s="10"/>
      <c r="CS202" s="10">
        <f>192+41</f>
        <v>233</v>
      </c>
      <c r="CT202" s="10"/>
      <c r="CU202" s="10">
        <f>192+82</f>
        <v>274</v>
      </c>
      <c r="CV202" s="10">
        <v>-96</v>
      </c>
      <c r="CW202" s="10"/>
      <c r="CX202" s="10">
        <v>-384</v>
      </c>
      <c r="CY202" s="10"/>
      <c r="CZ202" s="10"/>
      <c r="DA202" s="10"/>
      <c r="DB202" s="10"/>
      <c r="DC202" s="10"/>
      <c r="DD202" s="10"/>
      <c r="DE202" s="10"/>
      <c r="DF202" s="10"/>
      <c r="DG202" s="10">
        <v>5</v>
      </c>
      <c r="DH202" s="10"/>
      <c r="DI202" s="10"/>
      <c r="DJ202" s="10">
        <v>-15</v>
      </c>
      <c r="DK202" s="10"/>
      <c r="DL202" s="10"/>
      <c r="DM202" s="10"/>
      <c r="DN202" s="10"/>
      <c r="DO202" s="10"/>
      <c r="DP202" s="10">
        <v>-48</v>
      </c>
      <c r="DQ202" s="10"/>
      <c r="DR202" s="10">
        <v>-160</v>
      </c>
      <c r="DS202" s="10">
        <v>5</v>
      </c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>
        <v>47</v>
      </c>
      <c r="EH202" s="10">
        <v>-141</v>
      </c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>
        <f>96+77</f>
        <v>173</v>
      </c>
      <c r="EV202" s="10">
        <v>-154</v>
      </c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3">
        <v>86</v>
      </c>
      <c r="FT202" s="10"/>
      <c r="FU202" s="10"/>
      <c r="FV202" s="10">
        <v>-96</v>
      </c>
      <c r="FW202" s="10"/>
      <c r="FX202" s="10"/>
      <c r="FY202" s="10"/>
      <c r="FZ202" s="10"/>
      <c r="GA202" s="13">
        <f>87+198</f>
        <v>285</v>
      </c>
      <c r="GB202" s="13">
        <v>-288</v>
      </c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>
        <v>170</v>
      </c>
      <c r="GP202" s="10">
        <v>-176</v>
      </c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>
        <v>35</v>
      </c>
      <c r="HN202" s="10"/>
      <c r="HO202" s="10"/>
      <c r="HP202" s="10">
        <v>-20</v>
      </c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>
        <v>-3</v>
      </c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1">
        <f t="shared" si="10"/>
        <v>436</v>
      </c>
      <c r="TH202" s="9">
        <f t="shared" si="11"/>
        <v>-192</v>
      </c>
    </row>
    <row r="203" spans="1:528" ht="15.6" thickBot="1" x14ac:dyDescent="0.3">
      <c r="A203" s="25" t="s">
        <v>989</v>
      </c>
      <c r="B203" s="18" t="s">
        <v>121</v>
      </c>
      <c r="C203" s="3">
        <f>AGOSTO!D207</f>
        <v>476</v>
      </c>
      <c r="D203" s="55">
        <f t="shared" si="9"/>
        <v>115</v>
      </c>
      <c r="E203" s="10"/>
      <c r="F203" s="10"/>
      <c r="G203" s="10"/>
      <c r="H203" s="10">
        <v>-150</v>
      </c>
      <c r="I203" s="10"/>
      <c r="J203" s="10"/>
      <c r="K203" s="10"/>
      <c r="L203" s="10"/>
      <c r="M203" s="10">
        <v>192</v>
      </c>
      <c r="N203" s="10"/>
      <c r="O203" s="10">
        <f>178+14+192+192+192+26</f>
        <v>794</v>
      </c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>
        <v>-192</v>
      </c>
      <c r="BI203" s="10"/>
      <c r="BJ203" s="10"/>
      <c r="BK203" s="10"/>
      <c r="BL203" s="10">
        <f>-192-178-14</f>
        <v>-384</v>
      </c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>
        <v>-192</v>
      </c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>
        <v>-192</v>
      </c>
      <c r="DQ203" s="10"/>
      <c r="DR203" s="10"/>
      <c r="DS203" s="10"/>
      <c r="DT203" s="10">
        <v>-192</v>
      </c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>
        <v>115</v>
      </c>
      <c r="EV203" s="10"/>
      <c r="EW203" s="10">
        <v>73</v>
      </c>
      <c r="EX203" s="10"/>
      <c r="EY203" s="10"/>
      <c r="EZ203" s="10">
        <v>-320</v>
      </c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>
        <f>192+192+90</f>
        <v>474</v>
      </c>
      <c r="GB203" s="10">
        <v>-384</v>
      </c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>
        <f>-2-1</f>
        <v>-3</v>
      </c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1">
        <f t="shared" si="10"/>
        <v>986</v>
      </c>
      <c r="TH203" s="9">
        <f t="shared" si="11"/>
        <v>-342</v>
      </c>
    </row>
    <row r="204" spans="1:528" ht="15.6" thickBot="1" x14ac:dyDescent="0.3">
      <c r="A204" s="28" t="s">
        <v>990</v>
      </c>
      <c r="B204" s="18" t="s">
        <v>263</v>
      </c>
      <c r="C204" s="3">
        <f>AGOSTO!D208</f>
        <v>118</v>
      </c>
      <c r="D204" s="21">
        <f t="shared" si="9"/>
        <v>5</v>
      </c>
      <c r="E204" s="10"/>
      <c r="F204" s="10"/>
      <c r="G204" s="10">
        <f>32</f>
        <v>32</v>
      </c>
      <c r="H204" s="10">
        <v>-118</v>
      </c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>
        <v>13</v>
      </c>
      <c r="DH204" s="10"/>
      <c r="DI204" s="10"/>
      <c r="DJ204" s="10"/>
      <c r="DK204" s="10"/>
      <c r="DL204" s="10"/>
      <c r="DM204" s="10"/>
      <c r="DN204" s="10"/>
      <c r="DO204" s="10"/>
      <c r="DP204" s="10">
        <v>-40</v>
      </c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1">
        <f t="shared" si="10"/>
        <v>32</v>
      </c>
      <c r="TH204" s="9">
        <f t="shared" si="11"/>
        <v>-118</v>
      </c>
    </row>
    <row r="205" spans="1:528" ht="15.6" thickBot="1" x14ac:dyDescent="0.3">
      <c r="A205" s="28" t="s">
        <v>991</v>
      </c>
      <c r="B205" s="18" t="s">
        <v>354</v>
      </c>
      <c r="C205" s="3">
        <f>AGOSTO!D209</f>
        <v>0</v>
      </c>
      <c r="D205" s="21">
        <f t="shared" si="9"/>
        <v>0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1">
        <f t="shared" si="10"/>
        <v>0</v>
      </c>
      <c r="TH205" s="9">
        <f t="shared" si="11"/>
        <v>0</v>
      </c>
    </row>
    <row r="206" spans="1:528" ht="15.6" thickBot="1" x14ac:dyDescent="0.3">
      <c r="A206" s="25" t="s">
        <v>992</v>
      </c>
      <c r="B206" s="18" t="s">
        <v>122</v>
      </c>
      <c r="C206" s="3">
        <f>AGOSTO!D210</f>
        <v>463</v>
      </c>
      <c r="D206" s="21">
        <f t="shared" si="9"/>
        <v>0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>
        <f>192+192</f>
        <v>384</v>
      </c>
      <c r="R206" s="10"/>
      <c r="S206" s="10"/>
      <c r="T206" s="10"/>
      <c r="U206" s="10">
        <f>192+60</f>
        <v>252</v>
      </c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>
        <f>192*3</f>
        <v>576</v>
      </c>
      <c r="AR206" s="10"/>
      <c r="AS206" s="10">
        <v>192</v>
      </c>
      <c r="AT206" s="10"/>
      <c r="AU206" s="10"/>
      <c r="AV206" s="10"/>
      <c r="AW206" s="10">
        <v>60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>
        <f>-192-192</f>
        <v>-384</v>
      </c>
      <c r="BI206" s="10"/>
      <c r="BJ206" s="10"/>
      <c r="BK206" s="10"/>
      <c r="BL206" s="10">
        <f>-192-192</f>
        <v>-384</v>
      </c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>
        <f>-96-122</f>
        <v>-218</v>
      </c>
      <c r="DQ206" s="10">
        <v>105</v>
      </c>
      <c r="DR206" s="10"/>
      <c r="DS206" s="10"/>
      <c r="DT206" s="10">
        <v>-192</v>
      </c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>
        <v>-192</v>
      </c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>
        <v>-80</v>
      </c>
      <c r="EW206" s="10"/>
      <c r="EX206" s="10"/>
      <c r="EY206" s="10"/>
      <c r="EZ206" s="10">
        <v>-320</v>
      </c>
      <c r="FA206" s="10"/>
      <c r="FB206" s="10"/>
      <c r="FC206" s="10"/>
      <c r="FD206" s="10"/>
      <c r="FE206" s="10">
        <v>21</v>
      </c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>
        <v>133</v>
      </c>
      <c r="FT206" s="10"/>
      <c r="FU206" s="10"/>
      <c r="FV206" s="10">
        <v>-297</v>
      </c>
      <c r="FW206" s="10"/>
      <c r="FX206" s="14">
        <v>-119</v>
      </c>
      <c r="FY206" s="10"/>
      <c r="FZ206" s="10"/>
      <c r="GA206" s="10">
        <f>87+192</f>
        <v>279</v>
      </c>
      <c r="GB206" s="10">
        <v>-87</v>
      </c>
      <c r="GC206" s="10"/>
      <c r="GD206" s="10"/>
      <c r="GE206" s="10"/>
      <c r="GF206" s="10"/>
      <c r="GG206" s="10"/>
      <c r="GH206" s="10"/>
      <c r="GI206" s="10"/>
      <c r="GJ206" s="10">
        <v>-192</v>
      </c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>
        <f>192+144</f>
        <v>336</v>
      </c>
      <c r="GX206" s="10">
        <v>-336</v>
      </c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1">
        <f t="shared" si="10"/>
        <v>1464</v>
      </c>
      <c r="TH206" s="9">
        <f t="shared" si="11"/>
        <v>-384</v>
      </c>
    </row>
    <row r="207" spans="1:528" ht="15.6" thickBot="1" x14ac:dyDescent="0.3">
      <c r="A207" s="25" t="s">
        <v>993</v>
      </c>
      <c r="B207" s="18" t="s">
        <v>264</v>
      </c>
      <c r="C207" s="3">
        <f>AGOSTO!D211</f>
        <v>319</v>
      </c>
      <c r="D207" s="55">
        <f t="shared" si="9"/>
        <v>65</v>
      </c>
      <c r="E207" s="10"/>
      <c r="F207" s="10"/>
      <c r="G207" s="10"/>
      <c r="H207" s="10">
        <v>-267</v>
      </c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>
        <f>192*4</f>
        <v>768</v>
      </c>
      <c r="AR207" s="10"/>
      <c r="AS207" s="10">
        <f>192+192+34</f>
        <v>418</v>
      </c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>
        <f>-192-192</f>
        <v>-384</v>
      </c>
      <c r="BI207" s="10"/>
      <c r="BJ207" s="10"/>
      <c r="BK207" s="10"/>
      <c r="BL207" s="10">
        <f>-192-192</f>
        <v>-384</v>
      </c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>
        <v>-192</v>
      </c>
      <c r="DS207" s="10">
        <v>55</v>
      </c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>
        <v>-112</v>
      </c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>
        <v>-192</v>
      </c>
      <c r="GA207" s="10">
        <f>192+191</f>
        <v>383</v>
      </c>
      <c r="GB207" s="10"/>
      <c r="GC207" s="10"/>
      <c r="GD207" s="10">
        <v>-384</v>
      </c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>
        <f>96+139</f>
        <v>235</v>
      </c>
      <c r="GP207" s="10">
        <v>-192</v>
      </c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>
        <f>-2-2</f>
        <v>-4</v>
      </c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>
        <v>-2</v>
      </c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1">
        <f t="shared" si="10"/>
        <v>1186</v>
      </c>
      <c r="TH207" s="9">
        <f t="shared" si="11"/>
        <v>-651</v>
      </c>
    </row>
    <row r="208" spans="1:528" ht="15.6" thickBot="1" x14ac:dyDescent="0.3">
      <c r="A208" s="25" t="s">
        <v>994</v>
      </c>
      <c r="B208" s="18" t="s">
        <v>326</v>
      </c>
      <c r="C208" s="3">
        <f>AGOSTO!D212</f>
        <v>0</v>
      </c>
      <c r="D208" s="21">
        <f t="shared" si="9"/>
        <v>0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>
        <f>192</f>
        <v>192</v>
      </c>
      <c r="P208" s="10"/>
      <c r="Q208" s="10">
        <v>192</v>
      </c>
      <c r="R208" s="10"/>
      <c r="S208" s="10"/>
      <c r="T208" s="10"/>
      <c r="U208" s="10">
        <f>192*2+192</f>
        <v>576</v>
      </c>
      <c r="V208" s="10"/>
      <c r="W208" s="10">
        <f>192*3+192+192</f>
        <v>960</v>
      </c>
      <c r="X208" s="10">
        <v>61</v>
      </c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>
        <v>-1</v>
      </c>
      <c r="AY208" s="10"/>
      <c r="AZ208" s="10"/>
      <c r="BA208" s="10"/>
      <c r="BB208" s="10"/>
      <c r="BC208" s="10"/>
      <c r="BD208" s="10"/>
      <c r="BE208" s="10"/>
      <c r="BF208" s="10"/>
      <c r="BG208" s="10"/>
      <c r="BH208" s="10">
        <f>-36-156-192</f>
        <v>-384</v>
      </c>
      <c r="BI208" s="10"/>
      <c r="BJ208" s="10"/>
      <c r="BK208" s="10"/>
      <c r="BL208" s="10">
        <f>-192-192-192-384-192</f>
        <v>-1152</v>
      </c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>
        <v>-192</v>
      </c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>
        <v>132</v>
      </c>
      <c r="DR208" s="10">
        <v>-192</v>
      </c>
      <c r="DS208" s="10"/>
      <c r="DT208" s="10"/>
      <c r="DU208" s="10">
        <v>157</v>
      </c>
      <c r="DV208" s="10"/>
      <c r="DW208" s="10">
        <v>8</v>
      </c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>
        <v>-192</v>
      </c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>
        <f>192+36</f>
        <v>228</v>
      </c>
      <c r="FZ208" s="10">
        <v>-384</v>
      </c>
      <c r="GA208" s="10"/>
      <c r="GB208" s="10"/>
      <c r="GC208" s="10"/>
      <c r="GD208" s="10"/>
      <c r="GE208" s="10"/>
      <c r="GF208" s="10"/>
      <c r="GG208" s="10">
        <f>184</f>
        <v>184</v>
      </c>
      <c r="GH208" s="10"/>
      <c r="GI208" s="10"/>
      <c r="GJ208" s="10">
        <v>-193</v>
      </c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>
        <f>192+48+192</f>
        <v>432</v>
      </c>
      <c r="GX208" s="10">
        <v>-432</v>
      </c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1">
        <f t="shared" si="10"/>
        <v>1920</v>
      </c>
      <c r="TH208" s="9">
        <f t="shared" si="11"/>
        <v>-324</v>
      </c>
    </row>
    <row r="209" spans="1:528" ht="15.6" thickBot="1" x14ac:dyDescent="0.3">
      <c r="A209" s="25" t="s">
        <v>995</v>
      </c>
      <c r="B209" s="18" t="s">
        <v>327</v>
      </c>
      <c r="C209" s="3">
        <f>AGOSTO!D213</f>
        <v>0</v>
      </c>
      <c r="D209" s="21">
        <f t="shared" si="9"/>
        <v>0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f>160+32+192</f>
        <v>384</v>
      </c>
      <c r="AT209" s="10"/>
      <c r="AU209" s="10"/>
      <c r="AV209" s="10"/>
      <c r="AW209" s="10">
        <f>192+44+148+16</f>
        <v>400</v>
      </c>
      <c r="AX209" s="10">
        <v>-1</v>
      </c>
      <c r="AY209" s="10"/>
      <c r="AZ209" s="10"/>
      <c r="BA209" s="10"/>
      <c r="BB209" s="10"/>
      <c r="BC209" s="10"/>
      <c r="BD209" s="10"/>
      <c r="BE209" s="10"/>
      <c r="BF209" s="10"/>
      <c r="BG209" s="10"/>
      <c r="BH209" s="10">
        <f>-160-32-192</f>
        <v>-384</v>
      </c>
      <c r="BI209" s="10"/>
      <c r="BJ209" s="10"/>
      <c r="BK209" s="10"/>
      <c r="BL209" s="10">
        <f>-191-1-44-148</f>
        <v>-384</v>
      </c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>
        <v>188</v>
      </c>
      <c r="CJ209" s="10"/>
      <c r="CK209" s="10"/>
      <c r="CL209" s="10"/>
      <c r="CM209" s="10"/>
      <c r="CN209" s="10"/>
      <c r="CO209" s="10"/>
      <c r="CP209" s="10">
        <v>-192</v>
      </c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>
        <f>96+192+192+181</f>
        <v>661</v>
      </c>
      <c r="DP209" s="10">
        <v>-288</v>
      </c>
      <c r="DQ209" s="10"/>
      <c r="DR209" s="10">
        <v>-192</v>
      </c>
      <c r="DS209" s="10"/>
      <c r="DT209" s="10"/>
      <c r="DU209" s="10">
        <f>192+63</f>
        <v>255</v>
      </c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>
        <v>-192</v>
      </c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>
        <v>-192</v>
      </c>
      <c r="GA209" s="10"/>
      <c r="GB209" s="10"/>
      <c r="GC209" s="10">
        <v>95</v>
      </c>
      <c r="GD209" s="10"/>
      <c r="GE209" s="10"/>
      <c r="GF209" s="10"/>
      <c r="GG209" s="10">
        <v>120</v>
      </c>
      <c r="GH209" s="10"/>
      <c r="GI209" s="10">
        <v>66</v>
      </c>
      <c r="GJ209" s="14">
        <v>-344</v>
      </c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>
        <f>192+192</f>
        <v>384</v>
      </c>
      <c r="GX209" s="10">
        <v>-384</v>
      </c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1">
        <f t="shared" si="10"/>
        <v>784</v>
      </c>
      <c r="TH209" s="9">
        <f t="shared" si="11"/>
        <v>-385</v>
      </c>
    </row>
    <row r="210" spans="1:528" ht="15.6" thickBot="1" x14ac:dyDescent="0.3">
      <c r="A210" s="25"/>
      <c r="B210" s="18" t="s">
        <v>457</v>
      </c>
      <c r="C210" s="3">
        <f>AGOSTO!D214</f>
        <v>0</v>
      </c>
      <c r="D210" s="21">
        <f t="shared" si="9"/>
        <v>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1">
        <f t="shared" si="10"/>
        <v>0</v>
      </c>
      <c r="TH210" s="9">
        <f t="shared" si="11"/>
        <v>0</v>
      </c>
    </row>
    <row r="211" spans="1:528" ht="15.6" thickBot="1" x14ac:dyDescent="0.3">
      <c r="A211" s="25" t="s">
        <v>1125</v>
      </c>
      <c r="B211" s="18" t="s">
        <v>946</v>
      </c>
      <c r="C211" s="3">
        <f>AGOSTO!D215</f>
        <v>0</v>
      </c>
      <c r="D211" s="21">
        <f t="shared" si="9"/>
        <v>1552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4">
        <v>204</v>
      </c>
      <c r="AL211" s="10"/>
      <c r="AM211" s="10">
        <f>59+295</f>
        <v>354</v>
      </c>
      <c r="AN211" s="10"/>
      <c r="AO211" s="10">
        <f>315+10+107+135+247</f>
        <v>814</v>
      </c>
      <c r="AP211" s="10">
        <v>-1080</v>
      </c>
      <c r="AQ211" s="10">
        <f>23+310</f>
        <v>333</v>
      </c>
      <c r="AR211" s="10"/>
      <c r="AS211" s="10"/>
      <c r="AT211" s="10"/>
      <c r="AU211" s="10"/>
      <c r="AV211" s="10"/>
      <c r="AW211" s="10"/>
      <c r="AX211" s="10">
        <v>-432</v>
      </c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>
        <v>299</v>
      </c>
      <c r="CB211" s="10">
        <f>-300-132</f>
        <v>-432</v>
      </c>
      <c r="CC211" s="10">
        <v>315</v>
      </c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>
        <v>-216</v>
      </c>
      <c r="CO211" s="10"/>
      <c r="CP211" s="10"/>
      <c r="CQ211" s="10"/>
      <c r="CR211" s="10"/>
      <c r="CS211" s="10"/>
      <c r="CT211" s="10"/>
      <c r="CU211" s="10">
        <f>315+76</f>
        <v>391</v>
      </c>
      <c r="CV211" s="10">
        <v>-231</v>
      </c>
      <c r="CW211" s="10"/>
      <c r="CX211" s="10">
        <v>-231</v>
      </c>
      <c r="CY211" s="10"/>
      <c r="CZ211" s="10"/>
      <c r="DA211" s="10">
        <v>176</v>
      </c>
      <c r="DB211" s="10"/>
      <c r="DC211" s="10">
        <f>315*2</f>
        <v>630</v>
      </c>
      <c r="DD211" s="10">
        <v>-630</v>
      </c>
      <c r="DE211" s="10">
        <f>315+51</f>
        <v>366</v>
      </c>
      <c r="DF211" s="10">
        <v>-630</v>
      </c>
      <c r="DG211" s="10">
        <f>315</f>
        <v>315</v>
      </c>
      <c r="DH211" s="10"/>
      <c r="DI211" s="44">
        <f>315</f>
        <v>315</v>
      </c>
      <c r="DJ211" s="10"/>
      <c r="DK211" s="44">
        <f>315*2+94</f>
        <v>724</v>
      </c>
      <c r="DL211" s="10"/>
      <c r="DM211" s="10"/>
      <c r="DN211" s="10"/>
      <c r="DO211" s="10"/>
      <c r="DP211" s="10">
        <v>-450</v>
      </c>
      <c r="DQ211" s="10"/>
      <c r="DR211" s="10"/>
      <c r="DS211" s="10"/>
      <c r="DT211" s="10">
        <v>-432</v>
      </c>
      <c r="DU211" s="44">
        <f>315+118</f>
        <v>433</v>
      </c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>
        <v>-231</v>
      </c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>
        <v>-216</v>
      </c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>
        <v>289</v>
      </c>
      <c r="HD211" s="10"/>
      <c r="HE211" s="10"/>
      <c r="HF211" s="10"/>
      <c r="HG211" s="10"/>
      <c r="HH211" s="10"/>
      <c r="HI211" s="10">
        <v>315</v>
      </c>
      <c r="HJ211" s="10">
        <v>-777</v>
      </c>
      <c r="HK211" s="10"/>
      <c r="HL211" s="10"/>
      <c r="HM211" s="10"/>
      <c r="HN211" s="10"/>
      <c r="HO211" s="10">
        <f>31+48</f>
        <v>79</v>
      </c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4">
        <v>251</v>
      </c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>
        <v>250</v>
      </c>
      <c r="JB211" s="10"/>
      <c r="JC211" s="10"/>
      <c r="JD211" s="10"/>
      <c r="JE211" s="10">
        <v>11</v>
      </c>
      <c r="JF211" s="10">
        <v>-876</v>
      </c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>
        <f>286+29+315</f>
        <v>630</v>
      </c>
      <c r="KJ211" s="10"/>
      <c r="KK211" s="10">
        <f>315+102</f>
        <v>417</v>
      </c>
      <c r="KL211" s="10"/>
      <c r="KM211" s="10"/>
      <c r="KN211" s="10"/>
      <c r="KO211" s="10"/>
      <c r="KP211" s="10"/>
      <c r="KQ211" s="10"/>
      <c r="KR211" s="10">
        <f>-596-286</f>
        <v>-882</v>
      </c>
      <c r="KS211" s="10">
        <v>301</v>
      </c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>
        <v>-231</v>
      </c>
      <c r="MG211" s="10"/>
      <c r="MH211" s="10"/>
      <c r="MI211" s="10"/>
      <c r="MJ211" s="10"/>
      <c r="MK211" s="10"/>
      <c r="ML211" s="10"/>
      <c r="MM211" s="10">
        <v>210</v>
      </c>
      <c r="MN211" s="10"/>
      <c r="MO211" s="10"/>
      <c r="MP211" s="10">
        <v>-441</v>
      </c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>
        <v>126</v>
      </c>
      <c r="NH211" s="10">
        <v>-126</v>
      </c>
      <c r="NI211" s="10">
        <v>315</v>
      </c>
      <c r="NJ211" s="10"/>
      <c r="NK211" s="10"/>
      <c r="NL211" s="10"/>
      <c r="NM211" s="10"/>
      <c r="NN211" s="10">
        <v>-315</v>
      </c>
      <c r="NO211" s="10">
        <f>315+196</f>
        <v>511</v>
      </c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>
        <f>315+315</f>
        <v>630</v>
      </c>
      <c r="OD211" s="10"/>
      <c r="OE211" s="10">
        <v>215</v>
      </c>
      <c r="OF211" s="10">
        <v>-651</v>
      </c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>
        <v>212</v>
      </c>
      <c r="PN211" s="10"/>
      <c r="PO211" s="10">
        <f>315+212</f>
        <v>527</v>
      </c>
      <c r="PP211" s="10"/>
      <c r="PQ211" s="10"/>
      <c r="PR211" s="10">
        <v>-1302</v>
      </c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>
        <f>315+315+35</f>
        <v>665</v>
      </c>
      <c r="QH211" s="10"/>
      <c r="QI211" s="10"/>
      <c r="QJ211" s="10"/>
      <c r="QK211" s="10"/>
      <c r="QL211" s="10"/>
      <c r="QM211" s="14">
        <f>315-19</f>
        <v>296</v>
      </c>
      <c r="QN211" s="10"/>
      <c r="QO211" s="10">
        <f>189+26</f>
        <v>215</v>
      </c>
      <c r="QP211" s="10">
        <v>-1296</v>
      </c>
      <c r="QQ211" s="10"/>
      <c r="QR211" s="10"/>
      <c r="QS211" s="10"/>
      <c r="QT211" s="10"/>
      <c r="QU211" s="10"/>
      <c r="QV211" s="10"/>
      <c r="QW211" s="10"/>
      <c r="QX211" s="10"/>
      <c r="QY211" s="10"/>
      <c r="QZ211" s="14">
        <v>23</v>
      </c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>
        <f>315+336</f>
        <v>651</v>
      </c>
      <c r="RP211" s="10"/>
      <c r="RQ211" s="10"/>
      <c r="RR211" s="10"/>
      <c r="RS211" s="10"/>
      <c r="RT211" s="10">
        <v>-651</v>
      </c>
      <c r="RU211" s="10">
        <f>148+167+315</f>
        <v>630</v>
      </c>
      <c r="RV211" s="10"/>
      <c r="RW211" s="10">
        <f>315+315+172+143</f>
        <v>945</v>
      </c>
      <c r="RX211" s="10"/>
      <c r="RY211" s="10"/>
      <c r="RZ211" s="10"/>
      <c r="SA211" s="10"/>
      <c r="SB211" s="10"/>
      <c r="SC211" s="10">
        <f>315+54</f>
        <v>369</v>
      </c>
      <c r="SD211" s="10"/>
      <c r="SE211" s="10"/>
      <c r="SF211" s="10"/>
      <c r="SG211" s="10"/>
      <c r="SH211" s="10"/>
      <c r="SI211" s="10"/>
      <c r="SJ211" s="10"/>
      <c r="SK211" s="10"/>
      <c r="SL211" s="10">
        <v>-441</v>
      </c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34">
        <f t="shared" si="10"/>
        <v>1705</v>
      </c>
      <c r="TH211" s="7">
        <f t="shared" si="11"/>
        <v>-1512</v>
      </c>
    </row>
    <row r="212" spans="1:528" ht="15.6" thickBot="1" x14ac:dyDescent="0.3">
      <c r="A212" s="25" t="s">
        <v>1126</v>
      </c>
      <c r="B212" s="18" t="s">
        <v>947</v>
      </c>
      <c r="C212" s="3">
        <f>AGOSTO!D216</f>
        <v>0</v>
      </c>
      <c r="D212" s="21">
        <f t="shared" si="9"/>
        <v>678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>
        <f>315*3</f>
        <v>945</v>
      </c>
      <c r="AJ212" s="10"/>
      <c r="AK212" s="10">
        <f>315+252+315</f>
        <v>882</v>
      </c>
      <c r="AL212" s="10"/>
      <c r="AM212" s="10">
        <f>331+228</f>
        <v>559</v>
      </c>
      <c r="AN212" s="10"/>
      <c r="AO212" s="14">
        <v>78</v>
      </c>
      <c r="AP212" s="10">
        <v>-1512</v>
      </c>
      <c r="AQ212" s="10"/>
      <c r="AR212" s="10"/>
      <c r="AS212" s="10"/>
      <c r="AT212" s="10"/>
      <c r="AU212" s="10"/>
      <c r="AV212" s="10"/>
      <c r="AW212" s="10"/>
      <c r="AX212" s="10">
        <v>-864</v>
      </c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>
        <v>266</v>
      </c>
      <c r="BV212" s="10"/>
      <c r="BW212" s="10"/>
      <c r="BX212" s="10"/>
      <c r="BY212" s="10">
        <f>49+315+170</f>
        <v>534</v>
      </c>
      <c r="BZ212" s="10"/>
      <c r="CA212" s="10"/>
      <c r="CB212" s="10">
        <f>-800-64</f>
        <v>-864</v>
      </c>
      <c r="CC212" s="10">
        <v>315</v>
      </c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>
        <v>-315</v>
      </c>
      <c r="CO212" s="10"/>
      <c r="CP212" s="10"/>
      <c r="CQ212" s="10"/>
      <c r="CR212" s="10"/>
      <c r="CS212" s="10">
        <f>315+315</f>
        <v>630</v>
      </c>
      <c r="CT212" s="10"/>
      <c r="CU212" s="10"/>
      <c r="CV212" s="10">
        <v>-315</v>
      </c>
      <c r="CW212" s="10">
        <v>291</v>
      </c>
      <c r="CX212" s="10">
        <v>-630</v>
      </c>
      <c r="CY212" s="10"/>
      <c r="CZ212" s="10"/>
      <c r="DA212" s="10"/>
      <c r="DB212" s="10"/>
      <c r="DC212" s="10">
        <f>315+210</f>
        <v>525</v>
      </c>
      <c r="DD212" s="10">
        <v>-525</v>
      </c>
      <c r="DE212" s="10">
        <v>278</v>
      </c>
      <c r="DF212" s="10">
        <v>-278</v>
      </c>
      <c r="DG212" s="10"/>
      <c r="DH212" s="10"/>
      <c r="DI212" s="44">
        <f>4*315+3</f>
        <v>1263</v>
      </c>
      <c r="DJ212" s="10"/>
      <c r="DK212" s="44">
        <v>315</v>
      </c>
      <c r="DL212" s="10"/>
      <c r="DM212" s="10"/>
      <c r="DN212" s="10"/>
      <c r="DO212" s="44">
        <f>315+98</f>
        <v>413</v>
      </c>
      <c r="DP212" s="10">
        <v>-1365</v>
      </c>
      <c r="DQ212" s="44">
        <v>315</v>
      </c>
      <c r="DR212" s="10">
        <v>-310</v>
      </c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>
        <v>-105</v>
      </c>
      <c r="EI212" s="10"/>
      <c r="EJ212" s="10">
        <v>-1</v>
      </c>
      <c r="EK212" s="10"/>
      <c r="EL212" s="10"/>
      <c r="EM212" s="10">
        <v>150</v>
      </c>
      <c r="EN212" s="10"/>
      <c r="EO212" s="10"/>
      <c r="EP212" s="10"/>
      <c r="EQ212" s="10"/>
      <c r="ER212" s="10"/>
      <c r="ES212" s="10"/>
      <c r="ET212" s="10"/>
      <c r="EU212" s="10"/>
      <c r="EV212" s="10">
        <v>-315</v>
      </c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>
        <v>39</v>
      </c>
      <c r="FH212" s="10">
        <v>-399</v>
      </c>
      <c r="FI212" s="10">
        <f>315+46</f>
        <v>361</v>
      </c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>
        <v>315</v>
      </c>
      <c r="GB212" s="10"/>
      <c r="GC212" s="10">
        <v>91</v>
      </c>
      <c r="GD212" s="10">
        <v>-630</v>
      </c>
      <c r="GE212" s="10"/>
      <c r="GF212" s="10"/>
      <c r="GG212" s="10"/>
      <c r="GH212" s="10"/>
      <c r="GI212" s="10"/>
      <c r="GJ212" s="10"/>
      <c r="GK212" s="10"/>
      <c r="GL212" s="10"/>
      <c r="GM212" s="10">
        <v>315</v>
      </c>
      <c r="GN212" s="10"/>
      <c r="GO212" s="10">
        <v>185</v>
      </c>
      <c r="GP212" s="10">
        <v>-630</v>
      </c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>
        <f>315*2</f>
        <v>630</v>
      </c>
      <c r="HF212" s="10"/>
      <c r="HG212" s="10"/>
      <c r="HH212" s="10"/>
      <c r="HI212" s="10">
        <v>315</v>
      </c>
      <c r="HJ212" s="10">
        <v>-588</v>
      </c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>
        <v>192</v>
      </c>
      <c r="IH212" s="10"/>
      <c r="II212" s="10"/>
      <c r="IJ212" s="10"/>
      <c r="IK212" s="10">
        <f>315*2</f>
        <v>630</v>
      </c>
      <c r="IL212" s="10"/>
      <c r="IM212" s="10"/>
      <c r="IN212" s="10"/>
      <c r="IO212" s="10"/>
      <c r="IP212" s="10"/>
      <c r="IQ212" s="10"/>
      <c r="IR212" s="10"/>
      <c r="IS212" s="10"/>
      <c r="IT212" s="10"/>
      <c r="IU212" s="10">
        <f>315+315</f>
        <v>630</v>
      </c>
      <c r="IV212" s="10"/>
      <c r="IW212" s="10"/>
      <c r="IX212" s="10"/>
      <c r="IY212" s="10"/>
      <c r="IZ212" s="10"/>
      <c r="JA212" s="10">
        <f>315+75</f>
        <v>390</v>
      </c>
      <c r="JB212" s="10"/>
      <c r="JC212" s="10"/>
      <c r="JD212" s="10"/>
      <c r="JE212" s="10"/>
      <c r="JF212" s="10">
        <v>-2205</v>
      </c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>
        <f>315+315+49</f>
        <v>679</v>
      </c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>
        <v>-630</v>
      </c>
      <c r="KS212" s="10"/>
      <c r="KT212" s="10"/>
      <c r="KU212" s="10">
        <v>329</v>
      </c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>
        <f>315+296</f>
        <v>611</v>
      </c>
      <c r="LT212" s="10">
        <v>-945</v>
      </c>
      <c r="LU212" s="10"/>
      <c r="LV212" s="10"/>
      <c r="LW212" s="10"/>
      <c r="LX212" s="10"/>
      <c r="LY212" s="10"/>
      <c r="LZ212" s="10"/>
      <c r="MA212" s="10">
        <v>315</v>
      </c>
      <c r="MB212" s="10"/>
      <c r="MC212" s="10"/>
      <c r="MD212" s="10"/>
      <c r="ME212" s="10"/>
      <c r="MF212" s="10">
        <v>-315</v>
      </c>
      <c r="MG212" s="10"/>
      <c r="MH212" s="10"/>
      <c r="MI212" s="10"/>
      <c r="MJ212" s="10"/>
      <c r="MK212" s="10"/>
      <c r="ML212" s="10"/>
      <c r="MM212" s="10">
        <v>315</v>
      </c>
      <c r="MN212" s="10"/>
      <c r="MO212" s="10">
        <f>315+273</f>
        <v>588</v>
      </c>
      <c r="MP212" s="10">
        <v>-945</v>
      </c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>
        <v>315</v>
      </c>
      <c r="NH212" s="10">
        <v>-315</v>
      </c>
      <c r="NI212" s="10">
        <v>315</v>
      </c>
      <c r="NJ212" s="10"/>
      <c r="NK212" s="10">
        <v>315</v>
      </c>
      <c r="NL212" s="10"/>
      <c r="NM212" s="10"/>
      <c r="NN212" s="10">
        <v>-630</v>
      </c>
      <c r="NO212" s="10">
        <v>130</v>
      </c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>
        <f>315+315+315</f>
        <v>945</v>
      </c>
      <c r="OB212" s="10"/>
      <c r="OC212" s="10">
        <v>315</v>
      </c>
      <c r="OD212" s="10"/>
      <c r="OE212" s="10">
        <v>55</v>
      </c>
      <c r="OF212" s="10">
        <v>-1260</v>
      </c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>
        <v>630</v>
      </c>
      <c r="PN212" s="10"/>
      <c r="PO212" s="10">
        <v>315</v>
      </c>
      <c r="PP212" s="10"/>
      <c r="PQ212" s="10">
        <f>147+315+315</f>
        <v>777</v>
      </c>
      <c r="PR212" s="10">
        <v>-1890</v>
      </c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>
        <v>315</v>
      </c>
      <c r="QJ212" s="10"/>
      <c r="QK212" s="10"/>
      <c r="QL212" s="10"/>
      <c r="QM212" s="10">
        <v>630</v>
      </c>
      <c r="QN212" s="10"/>
      <c r="QO212" s="10">
        <f>315+168</f>
        <v>483</v>
      </c>
      <c r="QP212" s="10">
        <v>-1428</v>
      </c>
      <c r="QQ212" s="10">
        <v>88</v>
      </c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>
        <f>315+315</f>
        <v>630</v>
      </c>
      <c r="RD212" s="10"/>
      <c r="RE212" s="10">
        <f>315*3</f>
        <v>945</v>
      </c>
      <c r="RF212" s="10"/>
      <c r="RG212" s="10"/>
      <c r="RH212" s="10"/>
      <c r="RI212" s="10"/>
      <c r="RJ212" s="10"/>
      <c r="RK212" s="10"/>
      <c r="RL212" s="10"/>
      <c r="RM212" s="10"/>
      <c r="RN212" s="10"/>
      <c r="RO212" s="10">
        <v>315</v>
      </c>
      <c r="RP212" s="10"/>
      <c r="RQ212" s="10">
        <f>315+147+315+306</f>
        <v>1083</v>
      </c>
      <c r="RR212" s="10"/>
      <c r="RS212" s="10"/>
      <c r="RT212" s="10">
        <v>-2352</v>
      </c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>
        <f>315+181</f>
        <v>496</v>
      </c>
      <c r="SF212" s="10"/>
      <c r="SG212" s="10">
        <f>134+264</f>
        <v>398</v>
      </c>
      <c r="SH212" s="10"/>
      <c r="SI212" s="10"/>
      <c r="SJ212" s="10"/>
      <c r="SK212" s="10"/>
      <c r="SL212" s="10">
        <v>-1260</v>
      </c>
      <c r="SM212" s="10"/>
      <c r="SN212" s="10"/>
      <c r="SO212" s="10"/>
      <c r="SP212" s="10"/>
      <c r="SQ212" s="10"/>
      <c r="SR212" s="10"/>
      <c r="SS212" s="10">
        <v>315</v>
      </c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34">
        <f t="shared" si="10"/>
        <v>2464</v>
      </c>
      <c r="TH212" s="7">
        <f t="shared" si="11"/>
        <v>-2376</v>
      </c>
    </row>
    <row r="213" spans="1:528" ht="15.6" thickBot="1" x14ac:dyDescent="0.3">
      <c r="A213" s="25" t="s">
        <v>954</v>
      </c>
      <c r="B213" s="18" t="s">
        <v>948</v>
      </c>
      <c r="C213" s="3">
        <f>AGOSTO!D217</f>
        <v>0</v>
      </c>
      <c r="D213" s="21">
        <f t="shared" si="9"/>
        <v>809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>
        <f>315+108</f>
        <v>423</v>
      </c>
      <c r="AJ213" s="10"/>
      <c r="AK213" s="10">
        <v>135</v>
      </c>
      <c r="AL213" s="10"/>
      <c r="AM213" s="10">
        <f>108+136+72</f>
        <v>316</v>
      </c>
      <c r="AN213" s="10"/>
      <c r="AO213" s="10">
        <f>315+90-247</f>
        <v>158</v>
      </c>
      <c r="AP213" s="10">
        <v>-972</v>
      </c>
      <c r="AQ213" s="10">
        <f>98+315+2</f>
        <v>415</v>
      </c>
      <c r="AR213" s="10"/>
      <c r="AS213" s="10"/>
      <c r="AT213" s="10"/>
      <c r="AU213" s="10"/>
      <c r="AV213" s="10"/>
      <c r="AW213" s="10">
        <v>65</v>
      </c>
      <c r="AX213" s="10">
        <v>-540</v>
      </c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>
        <v>600</v>
      </c>
      <c r="CB213" s="10">
        <f>-365-175</f>
        <v>-540</v>
      </c>
      <c r="CC213" s="10">
        <f>60+137</f>
        <v>197</v>
      </c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>
        <v>118</v>
      </c>
      <c r="CV213" s="10">
        <v>-315</v>
      </c>
      <c r="CW213" s="10">
        <v>290</v>
      </c>
      <c r="CX213" s="10">
        <f>-290-60</f>
        <v>-350</v>
      </c>
      <c r="CY213" s="10"/>
      <c r="CZ213" s="10"/>
      <c r="DA213" s="10">
        <f>315+315</f>
        <v>630</v>
      </c>
      <c r="DB213" s="10"/>
      <c r="DC213" s="10"/>
      <c r="DD213" s="10">
        <v>-630</v>
      </c>
      <c r="DE213" s="10">
        <f>189+26</f>
        <v>215</v>
      </c>
      <c r="DF213" s="10">
        <v>-215</v>
      </c>
      <c r="DG213" s="10">
        <f>315*3+146</f>
        <v>1091</v>
      </c>
      <c r="DH213" s="10"/>
      <c r="DI213" s="10"/>
      <c r="DJ213" s="10"/>
      <c r="DK213" s="10"/>
      <c r="DL213" s="10"/>
      <c r="DM213" s="10"/>
      <c r="DN213" s="10"/>
      <c r="DO213" s="10"/>
      <c r="DP213" s="10">
        <v>-630</v>
      </c>
      <c r="DQ213" s="10"/>
      <c r="DR213" s="10"/>
      <c r="DS213" s="44">
        <v>173</v>
      </c>
      <c r="DT213" s="10">
        <v>-315</v>
      </c>
      <c r="DU213" s="10"/>
      <c r="DV213" s="10"/>
      <c r="DW213" s="10"/>
      <c r="DX213" s="10"/>
      <c r="DY213" s="10"/>
      <c r="DZ213" s="10"/>
      <c r="EA213" s="10"/>
      <c r="EB213" s="10"/>
      <c r="EC213" s="10"/>
      <c r="ED213" s="10">
        <v>-16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>
        <v>12</v>
      </c>
      <c r="FH213" s="10">
        <v>-315</v>
      </c>
      <c r="FI213" s="10">
        <f>315*2+214</f>
        <v>844</v>
      </c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>
        <v>-315</v>
      </c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>
        <v>-126</v>
      </c>
      <c r="HK213" s="10"/>
      <c r="HL213" s="10"/>
      <c r="HM213" s="10"/>
      <c r="HN213" s="10"/>
      <c r="HO213" s="10">
        <v>28</v>
      </c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4">
        <v>335</v>
      </c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>
        <v>-630</v>
      </c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>
        <f>315+315+189</f>
        <v>819</v>
      </c>
      <c r="KR213" s="10">
        <f>-819-25-28-73</f>
        <v>-945</v>
      </c>
      <c r="KS213" s="10">
        <v>225</v>
      </c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>
        <v>-235</v>
      </c>
      <c r="MG213" s="10"/>
      <c r="MH213" s="10"/>
      <c r="MI213" s="10"/>
      <c r="MJ213" s="10"/>
      <c r="MK213" s="10"/>
      <c r="ML213" s="10"/>
      <c r="MM213" s="10"/>
      <c r="MN213" s="10"/>
      <c r="MO213" s="10">
        <f>315+78</f>
        <v>393</v>
      </c>
      <c r="MP213" s="10">
        <v>-393</v>
      </c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>
        <v>52</v>
      </c>
      <c r="NP213" s="10"/>
      <c r="NQ213" s="10"/>
      <c r="NR213" s="10"/>
      <c r="NS213" s="10"/>
      <c r="NT213" s="10"/>
      <c r="NU213" s="10"/>
      <c r="NV213" s="10"/>
      <c r="NW213" s="10"/>
      <c r="NX213" s="10"/>
      <c r="NY213" s="10">
        <f>315+315+45</f>
        <v>675</v>
      </c>
      <c r="NZ213" s="10"/>
      <c r="OA213" s="10"/>
      <c r="OB213" s="10"/>
      <c r="OC213" s="10"/>
      <c r="OD213" s="10"/>
      <c r="OE213" s="10"/>
      <c r="OF213" s="10">
        <v>-315</v>
      </c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>
        <v>287</v>
      </c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>
        <v>-630</v>
      </c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>
        <v>315</v>
      </c>
      <c r="QP213" s="10">
        <v>-315</v>
      </c>
      <c r="QQ213" s="10"/>
      <c r="QR213" s="10"/>
      <c r="QS213" s="10"/>
      <c r="QT213" s="10"/>
      <c r="QU213" s="10"/>
      <c r="QV213" s="10"/>
      <c r="QW213" s="10"/>
      <c r="QX213" s="10"/>
      <c r="QY213" s="10"/>
      <c r="QZ213" s="14">
        <v>-21</v>
      </c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>
        <v>128</v>
      </c>
      <c r="RR213" s="10"/>
      <c r="RS213" s="10">
        <f>315+177+315+315</f>
        <v>1122</v>
      </c>
      <c r="RT213" s="10">
        <v>-630</v>
      </c>
      <c r="RU213" s="10">
        <v>247</v>
      </c>
      <c r="RV213" s="10"/>
      <c r="RW213" s="10"/>
      <c r="RX213" s="10"/>
      <c r="RY213" s="10"/>
      <c r="RZ213" s="10"/>
      <c r="SA213" s="10"/>
      <c r="SB213" s="10"/>
      <c r="SC213" s="10">
        <f>315+170</f>
        <v>485</v>
      </c>
      <c r="SD213" s="10"/>
      <c r="SE213" s="10">
        <f>145+209</f>
        <v>354</v>
      </c>
      <c r="SF213" s="10"/>
      <c r="SG213" s="10"/>
      <c r="SH213" s="10"/>
      <c r="SI213" s="10"/>
      <c r="SJ213" s="10"/>
      <c r="SK213" s="10"/>
      <c r="SL213" s="10">
        <v>-945</v>
      </c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34">
        <f t="shared" si="10"/>
        <v>1512</v>
      </c>
      <c r="TH213" s="7">
        <f t="shared" si="11"/>
        <v>-1512</v>
      </c>
    </row>
    <row r="214" spans="1:528" ht="15.6" thickBot="1" x14ac:dyDescent="0.3">
      <c r="A214" s="25"/>
      <c r="B214" s="18" t="s">
        <v>1106</v>
      </c>
      <c r="C214" s="3">
        <f>AGOSTO!D218</f>
        <v>0</v>
      </c>
      <c r="D214" s="55">
        <f t="shared" si="9"/>
        <v>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>
        <v>80</v>
      </c>
      <c r="CN214" s="10">
        <v>-80</v>
      </c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>
        <v>60</v>
      </c>
      <c r="EH214" s="10">
        <v>-60</v>
      </c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>
        <v>192</v>
      </c>
      <c r="EV214" s="10"/>
      <c r="EW214" s="10"/>
      <c r="EX214" s="10"/>
      <c r="EY214" s="10">
        <v>107</v>
      </c>
      <c r="EZ214" s="10">
        <v>-299</v>
      </c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>
        <v>92</v>
      </c>
      <c r="FZ214" s="10"/>
      <c r="GA214" s="10"/>
      <c r="GB214" s="10">
        <v>-85</v>
      </c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1">
        <f t="shared" si="10"/>
        <v>0</v>
      </c>
      <c r="TH214" s="9">
        <f t="shared" si="11"/>
        <v>0</v>
      </c>
    </row>
    <row r="215" spans="1:528" ht="15.6" thickBot="1" x14ac:dyDescent="0.3">
      <c r="A215" s="25" t="s">
        <v>996</v>
      </c>
      <c r="B215" s="18" t="s">
        <v>601</v>
      </c>
      <c r="C215" s="3">
        <f>AGOSTO!D219</f>
        <v>0</v>
      </c>
      <c r="D215" s="21">
        <f t="shared" si="9"/>
        <v>0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>
        <f>80</f>
        <v>80</v>
      </c>
      <c r="CH215" s="10"/>
      <c r="CI215" s="10"/>
      <c r="CJ215" s="10"/>
      <c r="CK215" s="10"/>
      <c r="CL215" s="10"/>
      <c r="CM215" s="10"/>
      <c r="CN215" s="10">
        <v>-80</v>
      </c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>
        <v>32</v>
      </c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>
        <v>-32</v>
      </c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1">
        <f t="shared" si="10"/>
        <v>0</v>
      </c>
      <c r="TH215" s="9">
        <f t="shared" si="11"/>
        <v>0</v>
      </c>
    </row>
    <row r="216" spans="1:528" ht="15.6" thickBot="1" x14ac:dyDescent="0.3">
      <c r="A216" s="25" t="s">
        <v>645</v>
      </c>
      <c r="B216" s="10" t="s">
        <v>644</v>
      </c>
      <c r="C216" s="3">
        <f>AGOSTO!D220</f>
        <v>0</v>
      </c>
      <c r="D216" s="21">
        <f t="shared" si="9"/>
        <v>0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1">
        <f t="shared" si="10"/>
        <v>0</v>
      </c>
      <c r="TH216" s="9">
        <f t="shared" si="11"/>
        <v>0</v>
      </c>
    </row>
    <row r="217" spans="1:528" ht="15.6" thickBot="1" x14ac:dyDescent="0.3">
      <c r="A217" s="25" t="s">
        <v>646</v>
      </c>
      <c r="B217" s="10" t="s">
        <v>647</v>
      </c>
      <c r="C217" s="3">
        <f>AGOSTO!D221</f>
        <v>0</v>
      </c>
      <c r="D217" s="21">
        <f t="shared" si="9"/>
        <v>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1">
        <f t="shared" si="10"/>
        <v>0</v>
      </c>
      <c r="TH217" s="9">
        <f t="shared" si="11"/>
        <v>0</v>
      </c>
    </row>
    <row r="218" spans="1:528" ht="15.6" thickBot="1" x14ac:dyDescent="0.3">
      <c r="A218" s="25" t="s">
        <v>784</v>
      </c>
      <c r="B218" s="18" t="s">
        <v>785</v>
      </c>
      <c r="C218" s="3">
        <f>AGOSTO!D222</f>
        <v>0</v>
      </c>
      <c r="D218" s="21">
        <f t="shared" si="9"/>
        <v>0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1">
        <f t="shared" si="10"/>
        <v>0</v>
      </c>
      <c r="TH218" s="9">
        <f t="shared" si="11"/>
        <v>0</v>
      </c>
    </row>
    <row r="219" spans="1:528" ht="15.6" thickBot="1" x14ac:dyDescent="0.3">
      <c r="A219" s="25" t="s">
        <v>610</v>
      </c>
      <c r="B219" s="18" t="s">
        <v>997</v>
      </c>
      <c r="C219" s="3">
        <f>AGOSTO!D223</f>
        <v>0</v>
      </c>
      <c r="D219" s="21">
        <f t="shared" si="9"/>
        <v>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1">
        <f t="shared" si="10"/>
        <v>0</v>
      </c>
      <c r="TH219" s="9">
        <f t="shared" si="11"/>
        <v>0</v>
      </c>
    </row>
    <row r="220" spans="1:528" ht="15.6" thickBot="1" x14ac:dyDescent="0.3">
      <c r="A220" s="25" t="s">
        <v>544</v>
      </c>
      <c r="B220" s="18" t="s">
        <v>482</v>
      </c>
      <c r="C220" s="3">
        <f>AGOSTO!D224</f>
        <v>768</v>
      </c>
      <c r="D220" s="55">
        <f t="shared" si="9"/>
        <v>105</v>
      </c>
      <c r="E220" s="10"/>
      <c r="F220" s="10"/>
      <c r="G220" s="10"/>
      <c r="H220" s="10">
        <v>-768</v>
      </c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>
        <f>6*112+96</f>
        <v>768</v>
      </c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>
        <v>-768</v>
      </c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>
        <f>112+112+64</f>
        <v>288</v>
      </c>
      <c r="BN220" s="10"/>
      <c r="BO220" s="10"/>
      <c r="BP220" s="10">
        <v>-288</v>
      </c>
      <c r="BQ220" s="10"/>
      <c r="BR220" s="10"/>
      <c r="BS220" s="10"/>
      <c r="BT220" s="10"/>
      <c r="BU220" s="10">
        <f>112*6</f>
        <v>672</v>
      </c>
      <c r="BV220" s="10"/>
      <c r="BW220" s="10"/>
      <c r="BX220" s="10"/>
      <c r="BY220" s="10"/>
      <c r="BZ220" s="10">
        <v>-672</v>
      </c>
      <c r="CA220" s="10"/>
      <c r="CB220" s="10"/>
      <c r="CC220" s="10"/>
      <c r="CD220" s="10"/>
      <c r="CE220" s="10"/>
      <c r="CF220" s="10"/>
      <c r="CG220" s="10">
        <f>192</f>
        <v>192</v>
      </c>
      <c r="CH220" s="10"/>
      <c r="CI220" s="10"/>
      <c r="CJ220" s="10"/>
      <c r="CK220" s="10"/>
      <c r="CL220" s="10"/>
      <c r="CM220" s="10"/>
      <c r="CN220" s="10">
        <v>-192</v>
      </c>
      <c r="CO220" s="10"/>
      <c r="CP220" s="10"/>
      <c r="CQ220" s="10"/>
      <c r="CR220" s="10"/>
      <c r="CS220" s="10"/>
      <c r="CT220" s="10"/>
      <c r="CU220" s="10">
        <f>112*3+45</f>
        <v>381</v>
      </c>
      <c r="CV220" s="10">
        <v>-133</v>
      </c>
      <c r="CW220" s="10"/>
      <c r="CX220" s="10">
        <f>-224</f>
        <v>-224</v>
      </c>
      <c r="CY220" s="10"/>
      <c r="CZ220" s="10"/>
      <c r="DA220" s="10">
        <f>(112*4)+99</f>
        <v>547</v>
      </c>
      <c r="DB220" s="10"/>
      <c r="DC220" s="10"/>
      <c r="DD220" s="10">
        <v>-288</v>
      </c>
      <c r="DE220" s="10"/>
      <c r="DF220" s="10">
        <v>-256</v>
      </c>
      <c r="DG220" s="10"/>
      <c r="DH220" s="10"/>
      <c r="DI220" s="10"/>
      <c r="DJ220" s="10"/>
      <c r="DK220" s="10"/>
      <c r="DL220" s="10"/>
      <c r="DM220" s="10"/>
      <c r="DN220" s="10"/>
      <c r="DO220" s="10">
        <f>112+112+5</f>
        <v>229</v>
      </c>
      <c r="DP220" s="10">
        <v>-112</v>
      </c>
      <c r="DQ220" s="10"/>
      <c r="DR220" s="10">
        <v>-112</v>
      </c>
      <c r="DS220" s="10">
        <f>224+29</f>
        <v>253</v>
      </c>
      <c r="DT220" s="10">
        <v>-224</v>
      </c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>
        <f>7*112+72</f>
        <v>856</v>
      </c>
      <c r="EF220" s="10"/>
      <c r="EG220" s="10"/>
      <c r="EH220" s="10">
        <v>-784</v>
      </c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>
        <v>-56</v>
      </c>
      <c r="FA220" s="10">
        <f>112*5+7</f>
        <v>567</v>
      </c>
      <c r="FB220" s="10"/>
      <c r="FC220" s="10"/>
      <c r="FD220" s="10"/>
      <c r="FE220" s="10"/>
      <c r="FF220" s="10"/>
      <c r="FG220" s="10"/>
      <c r="FH220" s="10">
        <v>-616</v>
      </c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>
        <f>112+112+3</f>
        <v>227</v>
      </c>
      <c r="FV220" s="10"/>
      <c r="FW220" s="10"/>
      <c r="FX220" s="10"/>
      <c r="FY220" s="10"/>
      <c r="FZ220" s="10"/>
      <c r="GA220" s="10"/>
      <c r="GB220" s="10"/>
      <c r="GC220" s="10"/>
      <c r="GD220" s="10">
        <v>-224</v>
      </c>
      <c r="GE220" s="10"/>
      <c r="GF220" s="10"/>
      <c r="GG220" s="10"/>
      <c r="GH220" s="10"/>
      <c r="GI220" s="10"/>
      <c r="GJ220" s="10"/>
      <c r="GK220" s="10">
        <f>112*7+56</f>
        <v>840</v>
      </c>
      <c r="GL220" s="10"/>
      <c r="GM220" s="10"/>
      <c r="GN220" s="10"/>
      <c r="GO220" s="10"/>
      <c r="GP220" s="10">
        <v>-840</v>
      </c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>
        <v>224</v>
      </c>
      <c r="HD220" s="10"/>
      <c r="HE220" s="10">
        <f>112*8</f>
        <v>896</v>
      </c>
      <c r="HF220" s="10"/>
      <c r="HG220" s="10"/>
      <c r="HH220" s="10"/>
      <c r="HI220" s="10">
        <f>336+78</f>
        <v>414</v>
      </c>
      <c r="HJ220" s="10">
        <v>-1008</v>
      </c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>
        <v>3</v>
      </c>
      <c r="IV220" s="10"/>
      <c r="IW220" s="10"/>
      <c r="IX220" s="10"/>
      <c r="IY220" s="10"/>
      <c r="IZ220" s="10"/>
      <c r="JA220" s="10">
        <f>112+14</f>
        <v>126</v>
      </c>
      <c r="JB220" s="10"/>
      <c r="JC220" s="10">
        <f>112*7</f>
        <v>784</v>
      </c>
      <c r="JD220" s="10"/>
      <c r="JE220" s="10">
        <f>224+80</f>
        <v>304</v>
      </c>
      <c r="JF220" s="10">
        <v>-1736</v>
      </c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>
        <f>80+32+560+76</f>
        <v>748</v>
      </c>
      <c r="LR220" s="10"/>
      <c r="LS220" s="10"/>
      <c r="LT220" s="10">
        <v>-784</v>
      </c>
      <c r="LU220" s="10"/>
      <c r="LV220" s="10"/>
      <c r="LW220" s="10"/>
      <c r="LX220" s="10"/>
      <c r="LY220" s="10">
        <v>110</v>
      </c>
      <c r="LZ220" s="10"/>
      <c r="MA220" s="10">
        <f>7*112+41</f>
        <v>825</v>
      </c>
      <c r="MB220" s="10"/>
      <c r="MC220" s="10"/>
      <c r="MD220" s="10"/>
      <c r="ME220" s="10"/>
      <c r="MF220" s="10">
        <v>-728</v>
      </c>
      <c r="MG220" s="10"/>
      <c r="MH220" s="10"/>
      <c r="MI220" s="10"/>
      <c r="MJ220" s="10"/>
      <c r="MK220" s="10"/>
      <c r="ML220" s="10"/>
      <c r="MM220" s="10"/>
      <c r="MN220" s="10"/>
      <c r="MO220" s="10">
        <f>112+112+16</f>
        <v>240</v>
      </c>
      <c r="MP220" s="10">
        <v>-448</v>
      </c>
      <c r="MQ220" s="10"/>
      <c r="MR220" s="10"/>
      <c r="MS220" s="10"/>
      <c r="MT220" s="10"/>
      <c r="MU220" s="10"/>
      <c r="MV220" s="10"/>
      <c r="MW220" s="10">
        <f>112*6</f>
        <v>672</v>
      </c>
      <c r="MX220" s="10"/>
      <c r="MY220" s="10">
        <v>224</v>
      </c>
      <c r="MZ220" s="10"/>
      <c r="NA220" s="10"/>
      <c r="NB220" s="10"/>
      <c r="NC220" s="10"/>
      <c r="ND220" s="10"/>
      <c r="NE220" s="10"/>
      <c r="NF220" s="10"/>
      <c r="NG220" s="10"/>
      <c r="NH220" s="10">
        <v>-560</v>
      </c>
      <c r="NI220" s="10"/>
      <c r="NJ220" s="10"/>
      <c r="NK220" s="10"/>
      <c r="NL220" s="10"/>
      <c r="NM220" s="10"/>
      <c r="NN220" s="10"/>
      <c r="NO220" s="10"/>
      <c r="NP220" s="10"/>
      <c r="NQ220" s="10">
        <f>6*112</f>
        <v>672</v>
      </c>
      <c r="NR220" s="10"/>
      <c r="NS220" s="10"/>
      <c r="NT220" s="10"/>
      <c r="NU220" s="10">
        <f>112+23</f>
        <v>135</v>
      </c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>
        <v>-784</v>
      </c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>
        <f>6*112+32</f>
        <v>704</v>
      </c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>
        <v>-1064</v>
      </c>
      <c r="PS220" s="10"/>
      <c r="PT220" s="10"/>
      <c r="PU220" s="10"/>
      <c r="PV220" s="10"/>
      <c r="PW220" s="10"/>
      <c r="PX220" s="10"/>
      <c r="PY220" s="10"/>
      <c r="PZ220" s="10"/>
      <c r="QA220" s="10">
        <f>112*4</f>
        <v>448</v>
      </c>
      <c r="QB220" s="10"/>
      <c r="QC220" s="10">
        <f>8*112</f>
        <v>896</v>
      </c>
      <c r="QD220" s="10"/>
      <c r="QE220" s="10">
        <f>112+59</f>
        <v>171</v>
      </c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>
        <v>-1064</v>
      </c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4">
        <f>53</f>
        <v>53</v>
      </c>
      <c r="RB220" s="10"/>
      <c r="RC220" s="10"/>
      <c r="RD220" s="10"/>
      <c r="RE220" s="10">
        <f>112*6</f>
        <v>672</v>
      </c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>
        <v>49</v>
      </c>
      <c r="RR220" s="10"/>
      <c r="RS220" s="10"/>
      <c r="RT220" s="10">
        <v>-1176</v>
      </c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>
        <v>224</v>
      </c>
      <c r="SJ220" s="10"/>
      <c r="SK220" s="10">
        <f>112*4</f>
        <v>448</v>
      </c>
      <c r="SL220" s="10">
        <v>-616</v>
      </c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1">
        <f t="shared" si="10"/>
        <v>768</v>
      </c>
      <c r="TH220" s="9">
        <f t="shared" si="11"/>
        <v>-1536</v>
      </c>
    </row>
    <row r="221" spans="1:528" ht="15.6" thickBot="1" x14ac:dyDescent="0.3">
      <c r="A221" s="25" t="s">
        <v>677</v>
      </c>
      <c r="B221" s="18" t="s">
        <v>998</v>
      </c>
      <c r="C221" s="3">
        <f>AGOSTO!D225</f>
        <v>0</v>
      </c>
      <c r="D221" s="21">
        <f t="shared" si="9"/>
        <v>0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>
        <v>294</v>
      </c>
      <c r="BF221" s="10"/>
      <c r="BG221" s="10"/>
      <c r="BH221" s="10">
        <f>-196-98</f>
        <v>-294</v>
      </c>
      <c r="BI221" s="10"/>
      <c r="BJ221" s="10"/>
      <c r="BK221" s="10">
        <v>392</v>
      </c>
      <c r="BL221" s="10">
        <f>-196-196</f>
        <v>-392</v>
      </c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>
        <f>98</f>
        <v>98</v>
      </c>
      <c r="CV221" s="10">
        <v>-98</v>
      </c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>
        <v>98</v>
      </c>
      <c r="DH221" s="10"/>
      <c r="DI221" s="10"/>
      <c r="DJ221" s="10"/>
      <c r="DK221" s="10"/>
      <c r="DL221" s="10"/>
      <c r="DM221" s="10"/>
      <c r="DN221" s="10"/>
      <c r="DO221" s="10"/>
      <c r="DP221" s="10">
        <v>-98</v>
      </c>
      <c r="DQ221" s="10">
        <v>98</v>
      </c>
      <c r="DR221" s="10"/>
      <c r="DS221" s="10"/>
      <c r="DT221" s="10">
        <v>-98</v>
      </c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>
        <v>294</v>
      </c>
      <c r="EF221" s="10"/>
      <c r="EG221" s="10"/>
      <c r="EH221" s="10">
        <v>-294</v>
      </c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>
        <v>98</v>
      </c>
      <c r="EZ221" s="10">
        <v>-98</v>
      </c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>
        <v>294</v>
      </c>
      <c r="FZ221" s="10">
        <v>-294</v>
      </c>
      <c r="GA221" s="10"/>
      <c r="GB221" s="10"/>
      <c r="GC221" s="10"/>
      <c r="GD221" s="10"/>
      <c r="GE221" s="10"/>
      <c r="GF221" s="10"/>
      <c r="GG221" s="10"/>
      <c r="GH221" s="10"/>
      <c r="GI221" s="10">
        <v>196</v>
      </c>
      <c r="GJ221" s="10">
        <v>-196</v>
      </c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1">
        <f t="shared" si="10"/>
        <v>294</v>
      </c>
      <c r="TH221" s="9">
        <f t="shared" si="11"/>
        <v>-294</v>
      </c>
    </row>
    <row r="222" spans="1:528" ht="15.6" thickBot="1" x14ac:dyDescent="0.3">
      <c r="A222" s="25" t="s">
        <v>678</v>
      </c>
      <c r="B222" s="18" t="s">
        <v>999</v>
      </c>
      <c r="C222" s="3">
        <f>AGOSTO!D226</f>
        <v>0</v>
      </c>
      <c r="D222" s="21">
        <f t="shared" si="9"/>
        <v>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>
        <v>294</v>
      </c>
      <c r="BF222" s="10"/>
      <c r="BG222" s="10"/>
      <c r="BH222" s="10">
        <f>-98-196</f>
        <v>-294</v>
      </c>
      <c r="BI222" s="10"/>
      <c r="BJ222" s="10"/>
      <c r="BK222" s="10">
        <v>294</v>
      </c>
      <c r="BL222" s="10">
        <f>-98-98</f>
        <v>-196</v>
      </c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>
        <v>294</v>
      </c>
      <c r="CV222" s="10"/>
      <c r="CW222" s="10"/>
      <c r="CX222" s="10">
        <v>-392</v>
      </c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>
        <v>98</v>
      </c>
      <c r="DR222" s="10"/>
      <c r="DS222" s="10"/>
      <c r="DT222" s="10">
        <v>-98</v>
      </c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>
        <v>98</v>
      </c>
      <c r="EF222" s="10"/>
      <c r="EG222" s="10"/>
      <c r="EH222" s="10">
        <v>-98</v>
      </c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>
        <f>35+64</f>
        <v>99</v>
      </c>
      <c r="EZ222" s="10">
        <v>-98</v>
      </c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>
        <v>196</v>
      </c>
      <c r="GB222" s="10">
        <v>-98</v>
      </c>
      <c r="GC222" s="10"/>
      <c r="GD222" s="10"/>
      <c r="GE222" s="10"/>
      <c r="GF222" s="10"/>
      <c r="GG222" s="10"/>
      <c r="GH222" s="10"/>
      <c r="GI222" s="10">
        <v>98</v>
      </c>
      <c r="GJ222" s="10">
        <v>-196</v>
      </c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0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  <c r="SB222" s="10"/>
      <c r="SC222" s="10"/>
      <c r="SD222" s="10"/>
      <c r="SE222" s="10"/>
      <c r="SF222" s="10"/>
      <c r="SG222" s="10"/>
      <c r="SH222" s="10"/>
      <c r="SI222" s="10"/>
      <c r="SJ222" s="10"/>
      <c r="SK222" s="10"/>
      <c r="SL222" s="10"/>
      <c r="SM222" s="10"/>
      <c r="SN222" s="10"/>
      <c r="SO222" s="10"/>
      <c r="SP222" s="10"/>
      <c r="SQ222" s="10"/>
      <c r="SR222" s="10"/>
      <c r="SS222" s="10"/>
      <c r="ST222" s="10"/>
      <c r="SU222" s="10"/>
      <c r="SV222" s="10"/>
      <c r="SW222" s="10"/>
      <c r="SX222" s="10"/>
      <c r="SY222" s="10"/>
      <c r="SZ222" s="10"/>
      <c r="TA222" s="10"/>
      <c r="TB222" s="10"/>
      <c r="TC222" s="10"/>
      <c r="TD222" s="10"/>
      <c r="TE222" s="10"/>
      <c r="TF222" s="10"/>
      <c r="TG222" s="11">
        <f t="shared" si="10"/>
        <v>294</v>
      </c>
      <c r="TH222" s="9">
        <f t="shared" si="11"/>
        <v>-294</v>
      </c>
    </row>
    <row r="223" spans="1:528" ht="15.6" thickBot="1" x14ac:dyDescent="0.3">
      <c r="A223" s="25" t="s">
        <v>679</v>
      </c>
      <c r="B223" s="18" t="s">
        <v>1000</v>
      </c>
      <c r="C223" s="3">
        <f>AGOSTO!D227</f>
        <v>0</v>
      </c>
      <c r="D223" s="21">
        <f t="shared" si="9"/>
        <v>0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>
        <v>392</v>
      </c>
      <c r="BF223" s="10"/>
      <c r="BG223" s="10"/>
      <c r="BH223" s="10">
        <f>-196-196</f>
        <v>-392</v>
      </c>
      <c r="BI223" s="10"/>
      <c r="BJ223" s="10"/>
      <c r="BK223" s="10">
        <v>392</v>
      </c>
      <c r="BL223" s="10">
        <f>-196-196</f>
        <v>-392</v>
      </c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>
        <f>196+98</f>
        <v>294</v>
      </c>
      <c r="CV223" s="10">
        <v>-196</v>
      </c>
      <c r="CW223" s="10"/>
      <c r="CX223" s="10">
        <v>-98</v>
      </c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>
        <v>196</v>
      </c>
      <c r="DP223" s="10">
        <v>-196</v>
      </c>
      <c r="DQ223" s="10">
        <v>196</v>
      </c>
      <c r="DR223" s="10"/>
      <c r="DS223" s="10"/>
      <c r="DT223" s="10">
        <v>-196</v>
      </c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>
        <v>294</v>
      </c>
      <c r="EZ223" s="10">
        <v>-294</v>
      </c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>
        <v>196</v>
      </c>
      <c r="FZ223" s="10">
        <v>-196</v>
      </c>
      <c r="GA223" s="10"/>
      <c r="GB223" s="10"/>
      <c r="GC223" s="10"/>
      <c r="GD223" s="10"/>
      <c r="GE223" s="10"/>
      <c r="GF223" s="10"/>
      <c r="GG223" s="10"/>
      <c r="GH223" s="10"/>
      <c r="GI223" s="10">
        <v>196</v>
      </c>
      <c r="GJ223" s="10">
        <v>-196</v>
      </c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/>
      <c r="PV223" s="10"/>
      <c r="PW223" s="10"/>
      <c r="PX223" s="10"/>
      <c r="PY223" s="10"/>
      <c r="PZ223" s="10"/>
      <c r="QA223" s="10"/>
      <c r="QB223" s="10"/>
      <c r="QC223" s="10"/>
      <c r="QD223" s="10"/>
      <c r="QE223" s="10"/>
      <c r="QF223" s="10"/>
      <c r="QG223" s="10"/>
      <c r="QH223" s="10"/>
      <c r="QI223" s="10"/>
      <c r="QJ223" s="10"/>
      <c r="QK223" s="10"/>
      <c r="QL223" s="10"/>
      <c r="QM223" s="10"/>
      <c r="QN223" s="10"/>
      <c r="QO223" s="10"/>
      <c r="QP223" s="10"/>
      <c r="QQ223" s="10"/>
      <c r="QR223" s="10"/>
      <c r="QS223" s="10"/>
      <c r="QT223" s="10"/>
      <c r="QU223" s="10"/>
      <c r="QV223" s="10"/>
      <c r="QW223" s="10"/>
      <c r="QX223" s="10"/>
      <c r="QY223" s="10"/>
      <c r="QZ223" s="10"/>
      <c r="RA223" s="10"/>
      <c r="RB223" s="10"/>
      <c r="RC223" s="10"/>
      <c r="RD223" s="10"/>
      <c r="RE223" s="10"/>
      <c r="RF223" s="10"/>
      <c r="RG223" s="10"/>
      <c r="RH223" s="10"/>
      <c r="RI223" s="10"/>
      <c r="RJ223" s="10"/>
      <c r="RK223" s="10"/>
      <c r="RL223" s="10"/>
      <c r="RM223" s="10"/>
      <c r="RN223" s="10"/>
      <c r="RO223" s="10"/>
      <c r="RP223" s="10"/>
      <c r="RQ223" s="10"/>
      <c r="RR223" s="10"/>
      <c r="RS223" s="10"/>
      <c r="RT223" s="10"/>
      <c r="RU223" s="10"/>
      <c r="RV223" s="10"/>
      <c r="RW223" s="10"/>
      <c r="RX223" s="10"/>
      <c r="RY223" s="10"/>
      <c r="RZ223" s="10"/>
      <c r="SA223" s="10"/>
      <c r="SB223" s="10"/>
      <c r="SC223" s="10"/>
      <c r="SD223" s="10"/>
      <c r="SE223" s="10"/>
      <c r="SF223" s="10"/>
      <c r="SG223" s="10"/>
      <c r="SH223" s="10"/>
      <c r="SI223" s="10"/>
      <c r="SJ223" s="10"/>
      <c r="SK223" s="10"/>
      <c r="SL223" s="10"/>
      <c r="SM223" s="10"/>
      <c r="SN223" s="10"/>
      <c r="SO223" s="10"/>
      <c r="SP223" s="10"/>
      <c r="SQ223" s="10"/>
      <c r="SR223" s="10"/>
      <c r="SS223" s="10"/>
      <c r="ST223" s="10"/>
      <c r="SU223" s="10"/>
      <c r="SV223" s="10"/>
      <c r="SW223" s="10"/>
      <c r="SX223" s="10"/>
      <c r="SY223" s="10"/>
      <c r="SZ223" s="10"/>
      <c r="TA223" s="10"/>
      <c r="TB223" s="10"/>
      <c r="TC223" s="10"/>
      <c r="TD223" s="10"/>
      <c r="TE223" s="10"/>
      <c r="TF223" s="10"/>
      <c r="TG223" s="11">
        <f t="shared" si="10"/>
        <v>392</v>
      </c>
      <c r="TH223" s="9">
        <f t="shared" si="11"/>
        <v>-392</v>
      </c>
    </row>
    <row r="224" spans="1:528" ht="15.6" thickBot="1" x14ac:dyDescent="0.3">
      <c r="A224" s="25" t="s">
        <v>680</v>
      </c>
      <c r="B224" s="18" t="s">
        <v>615</v>
      </c>
      <c r="C224" s="3">
        <f>AGOSTO!D228</f>
        <v>0</v>
      </c>
      <c r="D224" s="21">
        <f t="shared" si="9"/>
        <v>0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>
        <v>200</v>
      </c>
      <c r="BF224" s="10"/>
      <c r="BG224" s="10"/>
      <c r="BH224" s="10">
        <f>-100-100</f>
        <v>-200</v>
      </c>
      <c r="BI224" s="10"/>
      <c r="BJ224" s="10"/>
      <c r="BK224" s="10">
        <v>300</v>
      </c>
      <c r="BL224" s="10">
        <f>-100-100</f>
        <v>-200</v>
      </c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>
        <f>100+300</f>
        <v>400</v>
      </c>
      <c r="CV224" s="10">
        <v>-200</v>
      </c>
      <c r="CW224" s="10"/>
      <c r="CX224" s="10">
        <v>-240</v>
      </c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>
        <v>200</v>
      </c>
      <c r="DR224" s="10"/>
      <c r="DS224" s="10"/>
      <c r="DT224" s="10">
        <v>-260</v>
      </c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>
        <v>300</v>
      </c>
      <c r="ET224" s="10"/>
      <c r="EU224" s="10"/>
      <c r="EV224" s="10">
        <v>-300</v>
      </c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>
        <v>40</v>
      </c>
      <c r="FT224" s="10"/>
      <c r="FU224" s="10"/>
      <c r="FV224" s="10"/>
      <c r="FW224" s="10">
        <v>100</v>
      </c>
      <c r="FX224" s="10"/>
      <c r="FY224" s="10">
        <f>200+60</f>
        <v>260</v>
      </c>
      <c r="FZ224" s="10">
        <v>-300</v>
      </c>
      <c r="GA224" s="10">
        <v>33</v>
      </c>
      <c r="GB224" s="10">
        <v>-100</v>
      </c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>
        <v>67</v>
      </c>
      <c r="GP224" s="10">
        <v>-100</v>
      </c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0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  <c r="SB224" s="10"/>
      <c r="SC224" s="10"/>
      <c r="SD224" s="10"/>
      <c r="SE224" s="10"/>
      <c r="SF224" s="10"/>
      <c r="SG224" s="10"/>
      <c r="SH224" s="10"/>
      <c r="SI224" s="10"/>
      <c r="SJ224" s="10"/>
      <c r="SK224" s="10"/>
      <c r="SL224" s="10"/>
      <c r="SM224" s="10"/>
      <c r="SN224" s="10"/>
      <c r="SO224" s="10"/>
      <c r="SP224" s="10"/>
      <c r="SQ224" s="10"/>
      <c r="SR224" s="10"/>
      <c r="SS224" s="10"/>
      <c r="ST224" s="10"/>
      <c r="SU224" s="10"/>
      <c r="SV224" s="10"/>
      <c r="SW224" s="10"/>
      <c r="SX224" s="10"/>
      <c r="SY224" s="10"/>
      <c r="SZ224" s="10"/>
      <c r="TA224" s="10"/>
      <c r="TB224" s="10"/>
      <c r="TC224" s="10"/>
      <c r="TD224" s="10"/>
      <c r="TE224" s="10"/>
      <c r="TF224" s="10"/>
      <c r="TG224" s="11">
        <f t="shared" si="10"/>
        <v>200</v>
      </c>
      <c r="TH224" s="9">
        <f t="shared" si="11"/>
        <v>-200</v>
      </c>
    </row>
    <row r="225" spans="1:528" ht="15.6" thickBot="1" x14ac:dyDescent="0.3">
      <c r="A225" s="25" t="s">
        <v>681</v>
      </c>
      <c r="B225" s="18" t="s">
        <v>616</v>
      </c>
      <c r="C225" s="3">
        <f>AGOSTO!D229</f>
        <v>0</v>
      </c>
      <c r="D225" s="21">
        <f t="shared" si="9"/>
        <v>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>
        <v>100</v>
      </c>
      <c r="BF225" s="10"/>
      <c r="BG225" s="10"/>
      <c r="BH225" s="10">
        <v>-100</v>
      </c>
      <c r="BI225" s="10"/>
      <c r="BJ225" s="10"/>
      <c r="BK225" s="10">
        <v>400</v>
      </c>
      <c r="BL225" s="10">
        <f>-100-100</f>
        <v>-200</v>
      </c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>
        <v>-100</v>
      </c>
      <c r="CQ225" s="10"/>
      <c r="CR225" s="10"/>
      <c r="CS225" s="10"/>
      <c r="CT225" s="10"/>
      <c r="CU225" s="10">
        <v>200</v>
      </c>
      <c r="CV225" s="10"/>
      <c r="CW225" s="10"/>
      <c r="CX225" s="10">
        <v>-300</v>
      </c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>
        <v>100</v>
      </c>
      <c r="DR225" s="10"/>
      <c r="DS225" s="10"/>
      <c r="DT225" s="10">
        <v>-100</v>
      </c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>
        <v>400</v>
      </c>
      <c r="FZ225" s="10">
        <v>-300</v>
      </c>
      <c r="GA225" s="10"/>
      <c r="GB225" s="10">
        <v>-100</v>
      </c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>
        <v>58</v>
      </c>
      <c r="GP225" s="10">
        <v>-58</v>
      </c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1">
        <f t="shared" si="10"/>
        <v>100</v>
      </c>
      <c r="TH225" s="9">
        <f t="shared" si="11"/>
        <v>-100</v>
      </c>
    </row>
    <row r="226" spans="1:528" ht="15.6" thickBot="1" x14ac:dyDescent="0.3">
      <c r="A226" s="25" t="s">
        <v>682</v>
      </c>
      <c r="B226" s="18" t="s">
        <v>617</v>
      </c>
      <c r="C226" s="3">
        <f>AGOSTO!D230</f>
        <v>0</v>
      </c>
      <c r="D226" s="21">
        <f t="shared" si="9"/>
        <v>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>
        <v>200</v>
      </c>
      <c r="BF226" s="10"/>
      <c r="BG226" s="10"/>
      <c r="BH226" s="10">
        <f>-100-100</f>
        <v>-200</v>
      </c>
      <c r="BI226" s="10"/>
      <c r="BJ226" s="10"/>
      <c r="BK226" s="10">
        <v>400</v>
      </c>
      <c r="BL226" s="10">
        <f>-200-200</f>
        <v>-400</v>
      </c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>
        <f>100+200</f>
        <v>300</v>
      </c>
      <c r="CV226" s="10">
        <v>-100</v>
      </c>
      <c r="CW226" s="10"/>
      <c r="CX226" s="10">
        <v>-200</v>
      </c>
      <c r="CY226" s="10"/>
      <c r="CZ226" s="10"/>
      <c r="DA226" s="10"/>
      <c r="DB226" s="10"/>
      <c r="DC226" s="10"/>
      <c r="DD226" s="10"/>
      <c r="DE226" s="10"/>
      <c r="DF226" s="10"/>
      <c r="DG226" s="10">
        <v>300</v>
      </c>
      <c r="DH226" s="10"/>
      <c r="DI226" s="10"/>
      <c r="DJ226" s="10"/>
      <c r="DK226" s="10"/>
      <c r="DL226" s="10"/>
      <c r="DM226" s="10"/>
      <c r="DN226" s="10"/>
      <c r="DO226" s="10">
        <v>300</v>
      </c>
      <c r="DP226" s="10"/>
      <c r="DQ226" s="10">
        <v>300</v>
      </c>
      <c r="DR226" s="10">
        <v>-300</v>
      </c>
      <c r="DS226" s="10"/>
      <c r="DT226" s="10">
        <f>-300-300</f>
        <v>-600</v>
      </c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>
        <v>100</v>
      </c>
      <c r="ET226" s="10"/>
      <c r="EU226" s="10"/>
      <c r="EV226" s="10">
        <v>-100</v>
      </c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4">
        <v>300</v>
      </c>
      <c r="FJ226" s="10"/>
      <c r="FK226" s="10"/>
      <c r="FL226" s="10"/>
      <c r="FM226" s="10"/>
      <c r="FN226" s="10"/>
      <c r="FO226" s="10"/>
      <c r="FP226" s="10"/>
      <c r="FQ226" s="10"/>
      <c r="FR226" s="10"/>
      <c r="FS226" s="10">
        <v>51</v>
      </c>
      <c r="FT226" s="10"/>
      <c r="FU226" s="10"/>
      <c r="FV226" s="10">
        <v>-200</v>
      </c>
      <c r="FW226" s="10">
        <v>49</v>
      </c>
      <c r="FX226" s="10"/>
      <c r="FY226" s="10"/>
      <c r="FZ226" s="10">
        <v>-200</v>
      </c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>
        <f>100+80</f>
        <v>180</v>
      </c>
      <c r="GP226" s="10">
        <v>-180</v>
      </c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1">
        <f t="shared" si="10"/>
        <v>200</v>
      </c>
      <c r="TH226" s="9">
        <f t="shared" si="11"/>
        <v>-200</v>
      </c>
    </row>
    <row r="227" spans="1:528" ht="16.2" thickBot="1" x14ac:dyDescent="0.35">
      <c r="A227" s="25"/>
      <c r="B227" s="20" t="s">
        <v>66</v>
      </c>
      <c r="C227" s="3">
        <f>AGOSTO!D231</f>
        <v>0</v>
      </c>
      <c r="D227" s="21">
        <f t="shared" si="9"/>
        <v>0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0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  <c r="SB227" s="10"/>
      <c r="SC227" s="10"/>
      <c r="SD227" s="10"/>
      <c r="SE227" s="10"/>
      <c r="SF227" s="10"/>
      <c r="SG227" s="10"/>
      <c r="SH227" s="10"/>
      <c r="SI227" s="10"/>
      <c r="SJ227" s="10"/>
      <c r="SK227" s="10"/>
      <c r="SL227" s="10"/>
      <c r="SM227" s="10"/>
      <c r="SN227" s="10"/>
      <c r="SO227" s="10"/>
      <c r="SP227" s="10"/>
      <c r="SQ227" s="10"/>
      <c r="SR227" s="10"/>
      <c r="SS227" s="10"/>
      <c r="ST227" s="10"/>
      <c r="SU227" s="10"/>
      <c r="SV227" s="10"/>
      <c r="SW227" s="10"/>
      <c r="SX227" s="10"/>
      <c r="SY227" s="10"/>
      <c r="SZ227" s="10"/>
      <c r="TA227" s="10"/>
      <c r="TB227" s="10"/>
      <c r="TC227" s="10"/>
      <c r="TD227" s="10"/>
      <c r="TE227" s="10"/>
      <c r="TF227" s="10"/>
      <c r="TG227" s="11">
        <f t="shared" si="10"/>
        <v>0</v>
      </c>
      <c r="TH227" s="9">
        <f t="shared" si="11"/>
        <v>0</v>
      </c>
    </row>
    <row r="228" spans="1:528" ht="15.6" thickBot="1" x14ac:dyDescent="0.3">
      <c r="A228" s="25" t="s">
        <v>683</v>
      </c>
      <c r="B228" s="18" t="s">
        <v>67</v>
      </c>
      <c r="C228" s="3">
        <f>AGOSTO!D232</f>
        <v>0</v>
      </c>
      <c r="D228" s="21">
        <f t="shared" si="9"/>
        <v>0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>
        <f>72+72+60</f>
        <v>204</v>
      </c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>
        <v>-204</v>
      </c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1">
        <f t="shared" si="10"/>
        <v>0</v>
      </c>
      <c r="TH228" s="9">
        <f t="shared" si="11"/>
        <v>0</v>
      </c>
    </row>
    <row r="229" spans="1:528" ht="15.6" thickBot="1" x14ac:dyDescent="0.3">
      <c r="A229" s="25" t="s">
        <v>684</v>
      </c>
      <c r="B229" s="18" t="s">
        <v>68</v>
      </c>
      <c r="C229" s="3">
        <f>AGOSTO!D233</f>
        <v>0</v>
      </c>
      <c r="D229" s="21">
        <f t="shared" si="9"/>
        <v>0</v>
      </c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>
        <f>72+39</f>
        <v>111</v>
      </c>
      <c r="FJ229" s="10"/>
      <c r="FK229" s="10"/>
      <c r="FL229" s="10"/>
      <c r="FM229" s="10"/>
      <c r="FN229" s="10"/>
      <c r="FO229" s="10">
        <f>72+17</f>
        <v>89</v>
      </c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>
        <v>-200</v>
      </c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0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  <c r="SB229" s="10"/>
      <c r="SC229" s="10"/>
      <c r="SD229" s="10"/>
      <c r="SE229" s="10"/>
      <c r="SF229" s="10"/>
      <c r="SG229" s="10"/>
      <c r="SH229" s="10"/>
      <c r="SI229" s="10"/>
      <c r="SJ229" s="10"/>
      <c r="SK229" s="10"/>
      <c r="SL229" s="10"/>
      <c r="SM229" s="10"/>
      <c r="SN229" s="10"/>
      <c r="SO229" s="10"/>
      <c r="SP229" s="10"/>
      <c r="SQ229" s="10"/>
      <c r="SR229" s="10"/>
      <c r="SS229" s="10"/>
      <c r="ST229" s="10"/>
      <c r="SU229" s="10"/>
      <c r="SV229" s="10"/>
      <c r="SW229" s="10"/>
      <c r="SX229" s="10"/>
      <c r="SY229" s="10"/>
      <c r="SZ229" s="10"/>
      <c r="TA229" s="10"/>
      <c r="TB229" s="10"/>
      <c r="TC229" s="10"/>
      <c r="TD229" s="10"/>
      <c r="TE229" s="10"/>
      <c r="TF229" s="10"/>
      <c r="TG229" s="11">
        <f t="shared" si="10"/>
        <v>0</v>
      </c>
      <c r="TH229" s="9">
        <f t="shared" si="11"/>
        <v>0</v>
      </c>
    </row>
    <row r="230" spans="1:528" ht="15.6" thickBot="1" x14ac:dyDescent="0.3">
      <c r="A230" s="25" t="s">
        <v>685</v>
      </c>
      <c r="B230" s="18" t="s">
        <v>69</v>
      </c>
      <c r="C230" s="3">
        <f>AGOSTO!D234</f>
        <v>0</v>
      </c>
      <c r="D230" s="21">
        <f t="shared" si="9"/>
        <v>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>
        <f>72+72+70</f>
        <v>214</v>
      </c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>
        <v>-214</v>
      </c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1">
        <f t="shared" si="10"/>
        <v>0</v>
      </c>
      <c r="TH230" s="9">
        <f t="shared" si="11"/>
        <v>0</v>
      </c>
    </row>
    <row r="231" spans="1:528" ht="15.6" thickBot="1" x14ac:dyDescent="0.3">
      <c r="A231" s="25" t="s">
        <v>686</v>
      </c>
      <c r="B231" s="18" t="s">
        <v>70</v>
      </c>
      <c r="C231" s="3">
        <f>AGOSTO!D235</f>
        <v>0</v>
      </c>
      <c r="D231" s="21">
        <f t="shared" si="9"/>
        <v>0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>
        <v>144</v>
      </c>
      <c r="FH231" s="10"/>
      <c r="FI231" s="10">
        <v>58</v>
      </c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>
        <v>-202</v>
      </c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0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  <c r="SB231" s="10"/>
      <c r="SC231" s="10"/>
      <c r="SD231" s="10"/>
      <c r="SE231" s="10"/>
      <c r="SF231" s="10"/>
      <c r="SG231" s="10"/>
      <c r="SH231" s="10"/>
      <c r="SI231" s="10"/>
      <c r="SJ231" s="10"/>
      <c r="SK231" s="10"/>
      <c r="SL231" s="10"/>
      <c r="SM231" s="10"/>
      <c r="SN231" s="10"/>
      <c r="SO231" s="10"/>
      <c r="SP231" s="10"/>
      <c r="SQ231" s="10"/>
      <c r="SR231" s="10"/>
      <c r="SS231" s="10"/>
      <c r="ST231" s="10"/>
      <c r="SU231" s="10"/>
      <c r="SV231" s="10"/>
      <c r="SW231" s="10"/>
      <c r="SX231" s="10"/>
      <c r="SY231" s="10"/>
      <c r="SZ231" s="10"/>
      <c r="TA231" s="10"/>
      <c r="TB231" s="10"/>
      <c r="TC231" s="10"/>
      <c r="TD231" s="10"/>
      <c r="TE231" s="10"/>
      <c r="TF231" s="10"/>
      <c r="TG231" s="11">
        <f t="shared" si="10"/>
        <v>0</v>
      </c>
      <c r="TH231" s="9">
        <f t="shared" si="11"/>
        <v>0</v>
      </c>
    </row>
    <row r="232" spans="1:528" ht="15.6" thickBot="1" x14ac:dyDescent="0.3">
      <c r="A232" s="25" t="s">
        <v>687</v>
      </c>
      <c r="B232" s="18" t="s">
        <v>71</v>
      </c>
      <c r="C232" s="3">
        <f>AGOSTO!D236</f>
        <v>0</v>
      </c>
      <c r="D232" s="21">
        <f t="shared" si="9"/>
        <v>0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>
        <f>72+37</f>
        <v>109</v>
      </c>
      <c r="FJ232" s="10"/>
      <c r="FK232" s="10"/>
      <c r="FL232" s="10"/>
      <c r="FM232" s="10"/>
      <c r="FN232" s="10"/>
      <c r="FO232" s="10">
        <v>72</v>
      </c>
      <c r="FP232" s="10"/>
      <c r="FQ232" s="10"/>
      <c r="FR232" s="10"/>
      <c r="FS232" s="10">
        <v>19</v>
      </c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>
        <v>-200</v>
      </c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0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  <c r="SB232" s="10"/>
      <c r="SC232" s="10"/>
      <c r="SD232" s="10"/>
      <c r="SE232" s="10"/>
      <c r="SF232" s="10"/>
      <c r="SG232" s="10"/>
      <c r="SH232" s="10"/>
      <c r="SI232" s="10"/>
      <c r="SJ232" s="10"/>
      <c r="SK232" s="10"/>
      <c r="SL232" s="10"/>
      <c r="SM232" s="10"/>
      <c r="SN232" s="10"/>
      <c r="SO232" s="10"/>
      <c r="SP232" s="10"/>
      <c r="SQ232" s="10"/>
      <c r="SR232" s="10"/>
      <c r="SS232" s="10"/>
      <c r="ST232" s="10"/>
      <c r="SU232" s="10"/>
      <c r="SV232" s="10"/>
      <c r="SW232" s="10"/>
      <c r="SX232" s="10"/>
      <c r="SY232" s="10"/>
      <c r="SZ232" s="10"/>
      <c r="TA232" s="10"/>
      <c r="TB232" s="10"/>
      <c r="TC232" s="10"/>
      <c r="TD232" s="10"/>
      <c r="TE232" s="10"/>
      <c r="TF232" s="10"/>
      <c r="TG232" s="11">
        <f t="shared" si="10"/>
        <v>0</v>
      </c>
      <c r="TH232" s="9">
        <f t="shared" si="11"/>
        <v>0</v>
      </c>
    </row>
    <row r="233" spans="1:528" ht="15.6" thickBot="1" x14ac:dyDescent="0.3">
      <c r="A233" s="25" t="s">
        <v>688</v>
      </c>
      <c r="B233" s="18" t="s">
        <v>872</v>
      </c>
      <c r="C233" s="3">
        <f>AGOSTO!D237</f>
        <v>0</v>
      </c>
      <c r="D233" s="21">
        <f t="shared" si="9"/>
        <v>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>
        <f>72+43</f>
        <v>115</v>
      </c>
      <c r="FJ233" s="10"/>
      <c r="FK233" s="10"/>
      <c r="FL233" s="10"/>
      <c r="FM233" s="10"/>
      <c r="FN233" s="10"/>
      <c r="FO233" s="10">
        <f>72+13</f>
        <v>85</v>
      </c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>
        <v>-200</v>
      </c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0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  <c r="SB233" s="10"/>
      <c r="SC233" s="10"/>
      <c r="SD233" s="10"/>
      <c r="SE233" s="10"/>
      <c r="SF233" s="10"/>
      <c r="SG233" s="10"/>
      <c r="SH233" s="10"/>
      <c r="SI233" s="10"/>
      <c r="SJ233" s="10"/>
      <c r="SK233" s="10"/>
      <c r="SL233" s="10"/>
      <c r="SM233" s="10"/>
      <c r="SN233" s="10"/>
      <c r="SO233" s="10"/>
      <c r="SP233" s="10"/>
      <c r="SQ233" s="10"/>
      <c r="SR233" s="10"/>
      <c r="SS233" s="10"/>
      <c r="ST233" s="10"/>
      <c r="SU233" s="10"/>
      <c r="SV233" s="10"/>
      <c r="SW233" s="10"/>
      <c r="SX233" s="10"/>
      <c r="SY233" s="10"/>
      <c r="SZ233" s="10"/>
      <c r="TA233" s="10"/>
      <c r="TB233" s="10"/>
      <c r="TC233" s="10"/>
      <c r="TD233" s="10"/>
      <c r="TE233" s="10"/>
      <c r="TF233" s="10"/>
      <c r="TG233" s="11">
        <f t="shared" si="10"/>
        <v>0</v>
      </c>
      <c r="TH233" s="9">
        <f t="shared" si="11"/>
        <v>0</v>
      </c>
    </row>
    <row r="234" spans="1:528" ht="15.6" thickBot="1" x14ac:dyDescent="0.3">
      <c r="A234" s="25" t="s">
        <v>689</v>
      </c>
      <c r="B234" s="18" t="s">
        <v>125</v>
      </c>
      <c r="C234" s="3">
        <f>AGOSTO!D238</f>
        <v>0</v>
      </c>
      <c r="D234" s="21">
        <f t="shared" si="9"/>
        <v>0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1">
        <f t="shared" si="10"/>
        <v>0</v>
      </c>
      <c r="TH234" s="9">
        <f t="shared" si="11"/>
        <v>0</v>
      </c>
    </row>
    <row r="235" spans="1:528" ht="15.6" thickBot="1" x14ac:dyDescent="0.3">
      <c r="A235" s="25" t="s">
        <v>690</v>
      </c>
      <c r="B235" s="18" t="s">
        <v>126</v>
      </c>
      <c r="C235" s="3">
        <f>AGOSTO!D239</f>
        <v>0</v>
      </c>
      <c r="D235" s="21">
        <f t="shared" si="9"/>
        <v>0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0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  <c r="SB235" s="10"/>
      <c r="SC235" s="10"/>
      <c r="SD235" s="10"/>
      <c r="SE235" s="10"/>
      <c r="SF235" s="10"/>
      <c r="SG235" s="10"/>
      <c r="SH235" s="10"/>
      <c r="SI235" s="10"/>
      <c r="SJ235" s="10"/>
      <c r="SK235" s="10"/>
      <c r="SL235" s="10"/>
      <c r="SM235" s="10"/>
      <c r="SN235" s="10"/>
      <c r="SO235" s="10"/>
      <c r="SP235" s="10"/>
      <c r="SQ235" s="10"/>
      <c r="SR235" s="10"/>
      <c r="SS235" s="10"/>
      <c r="ST235" s="10"/>
      <c r="SU235" s="10"/>
      <c r="SV235" s="10"/>
      <c r="SW235" s="10"/>
      <c r="SX235" s="10"/>
      <c r="SY235" s="10"/>
      <c r="SZ235" s="10"/>
      <c r="TA235" s="10"/>
      <c r="TB235" s="10"/>
      <c r="TC235" s="10"/>
      <c r="TD235" s="10"/>
      <c r="TE235" s="10"/>
      <c r="TF235" s="10"/>
      <c r="TG235" s="11">
        <f t="shared" si="10"/>
        <v>0</v>
      </c>
      <c r="TH235" s="9">
        <f t="shared" si="11"/>
        <v>0</v>
      </c>
    </row>
    <row r="236" spans="1:528" ht="15.6" thickBot="1" x14ac:dyDescent="0.3">
      <c r="A236" s="25" t="s">
        <v>800</v>
      </c>
      <c r="B236" s="18" t="s">
        <v>127</v>
      </c>
      <c r="C236" s="3">
        <f>AGOSTO!D240</f>
        <v>0</v>
      </c>
      <c r="D236" s="21">
        <f t="shared" si="9"/>
        <v>0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>
        <v>112</v>
      </c>
      <c r="FJ236" s="10"/>
      <c r="FK236" s="10">
        <f>112+13+88</f>
        <v>213</v>
      </c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>
        <v>-325</v>
      </c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1">
        <f t="shared" si="10"/>
        <v>0</v>
      </c>
      <c r="TH236" s="9">
        <f t="shared" si="11"/>
        <v>0</v>
      </c>
    </row>
    <row r="237" spans="1:528" ht="15.6" thickBot="1" x14ac:dyDescent="0.3">
      <c r="A237" s="25" t="s">
        <v>873</v>
      </c>
      <c r="B237" s="18" t="s">
        <v>327</v>
      </c>
      <c r="C237" s="3">
        <f>AGOSTO!D241</f>
        <v>0</v>
      </c>
      <c r="D237" s="21">
        <f t="shared" si="9"/>
        <v>0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>
        <v>224</v>
      </c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>
        <v>23</v>
      </c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>
        <v>-247</v>
      </c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1">
        <f t="shared" si="10"/>
        <v>0</v>
      </c>
      <c r="TH237" s="9">
        <f t="shared" si="11"/>
        <v>0</v>
      </c>
    </row>
    <row r="238" spans="1:528" ht="15.6" thickBot="1" x14ac:dyDescent="0.3">
      <c r="A238" s="25" t="s">
        <v>801</v>
      </c>
      <c r="B238" s="18" t="s">
        <v>128</v>
      </c>
      <c r="C238" s="3">
        <f>AGOSTO!D242</f>
        <v>0</v>
      </c>
      <c r="D238" s="21">
        <f t="shared" si="9"/>
        <v>0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>
        <v>102</v>
      </c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>
        <v>-102</v>
      </c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1">
        <f t="shared" si="10"/>
        <v>0</v>
      </c>
      <c r="TH238" s="9">
        <f t="shared" si="11"/>
        <v>0</v>
      </c>
    </row>
    <row r="239" spans="1:528" ht="15.6" thickBot="1" x14ac:dyDescent="0.3">
      <c r="A239" s="25" t="s">
        <v>802</v>
      </c>
      <c r="B239" s="18" t="s">
        <v>129</v>
      </c>
      <c r="C239" s="3">
        <f>AGOSTO!D243</f>
        <v>0</v>
      </c>
      <c r="D239" s="21">
        <f t="shared" si="9"/>
        <v>0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>
        <v>100</v>
      </c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>
        <v>-100</v>
      </c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0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  <c r="SB239" s="10"/>
      <c r="SC239" s="10"/>
      <c r="SD239" s="10"/>
      <c r="SE239" s="10"/>
      <c r="SF239" s="10"/>
      <c r="SG239" s="10"/>
      <c r="SH239" s="10"/>
      <c r="SI239" s="10"/>
      <c r="SJ239" s="10"/>
      <c r="SK239" s="10"/>
      <c r="SL239" s="10"/>
      <c r="SM239" s="10"/>
      <c r="SN239" s="10"/>
      <c r="SO239" s="10"/>
      <c r="SP239" s="10"/>
      <c r="SQ239" s="10"/>
      <c r="SR239" s="10"/>
      <c r="SS239" s="10"/>
      <c r="ST239" s="10"/>
      <c r="SU239" s="10"/>
      <c r="SV239" s="10"/>
      <c r="SW239" s="10"/>
      <c r="SX239" s="10"/>
      <c r="SY239" s="10"/>
      <c r="SZ239" s="10"/>
      <c r="TA239" s="10"/>
      <c r="TB239" s="10"/>
      <c r="TC239" s="10"/>
      <c r="TD239" s="10"/>
      <c r="TE239" s="10"/>
      <c r="TF239" s="10"/>
      <c r="TG239" s="11">
        <f t="shared" si="10"/>
        <v>0</v>
      </c>
      <c r="TH239" s="9">
        <f t="shared" si="11"/>
        <v>0</v>
      </c>
    </row>
    <row r="240" spans="1:528" ht="15.6" thickBot="1" x14ac:dyDescent="0.3">
      <c r="A240" s="25" t="s">
        <v>803</v>
      </c>
      <c r="B240" s="18" t="s">
        <v>130</v>
      </c>
      <c r="C240" s="3">
        <f>AGOSTO!D244</f>
        <v>0</v>
      </c>
      <c r="D240" s="21">
        <f t="shared" si="9"/>
        <v>0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>
        <f>112+91</f>
        <v>203</v>
      </c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>
        <v>-203</v>
      </c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1">
        <f t="shared" si="10"/>
        <v>0</v>
      </c>
      <c r="TH240" s="9">
        <f t="shared" si="11"/>
        <v>0</v>
      </c>
    </row>
    <row r="241" spans="1:528" ht="15.6" thickBot="1" x14ac:dyDescent="0.3">
      <c r="A241" s="25"/>
      <c r="B241" s="18"/>
      <c r="C241" s="3">
        <f>AGOSTO!D245</f>
        <v>0</v>
      </c>
      <c r="D241" s="21">
        <f t="shared" si="9"/>
        <v>0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1">
        <f t="shared" si="10"/>
        <v>0</v>
      </c>
      <c r="TH241" s="9">
        <f t="shared" si="11"/>
        <v>0</v>
      </c>
    </row>
    <row r="242" spans="1:528" ht="15.6" thickBot="1" x14ac:dyDescent="0.3">
      <c r="A242" s="25" t="s">
        <v>691</v>
      </c>
      <c r="B242" s="18" t="s">
        <v>151</v>
      </c>
      <c r="C242" s="3">
        <f>AGOSTO!D246</f>
        <v>0</v>
      </c>
      <c r="D242" s="21">
        <f t="shared" si="9"/>
        <v>0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>
        <f>112+92</f>
        <v>204</v>
      </c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>
        <v>-204</v>
      </c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1">
        <f t="shared" si="10"/>
        <v>0</v>
      </c>
      <c r="TH242" s="9">
        <f t="shared" si="11"/>
        <v>0</v>
      </c>
    </row>
    <row r="243" spans="1:528" ht="15.6" thickBot="1" x14ac:dyDescent="0.3">
      <c r="A243" s="25" t="s">
        <v>692</v>
      </c>
      <c r="B243" s="18" t="s">
        <v>131</v>
      </c>
      <c r="C243" s="3">
        <f>AGOSTO!D247</f>
        <v>0</v>
      </c>
      <c r="D243" s="21">
        <f t="shared" si="9"/>
        <v>0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>
        <f>112+62</f>
        <v>174</v>
      </c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>
        <v>-174</v>
      </c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1">
        <f t="shared" si="10"/>
        <v>0</v>
      </c>
      <c r="TH243" s="9">
        <f t="shared" si="11"/>
        <v>0</v>
      </c>
    </row>
    <row r="244" spans="1:528" ht="15.6" thickBot="1" x14ac:dyDescent="0.3">
      <c r="A244" s="25" t="s">
        <v>693</v>
      </c>
      <c r="B244" s="18" t="s">
        <v>152</v>
      </c>
      <c r="C244" s="3">
        <f>AGOSTO!D248</f>
        <v>0</v>
      </c>
      <c r="D244" s="21">
        <f t="shared" si="9"/>
        <v>0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>
        <v>120</v>
      </c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>
        <v>-120</v>
      </c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0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  <c r="SB244" s="10"/>
      <c r="SC244" s="10"/>
      <c r="SD244" s="10"/>
      <c r="SE244" s="10"/>
      <c r="SF244" s="10"/>
      <c r="SG244" s="10"/>
      <c r="SH244" s="10"/>
      <c r="SI244" s="10"/>
      <c r="SJ244" s="10"/>
      <c r="SK244" s="10"/>
      <c r="SL244" s="10"/>
      <c r="SM244" s="10"/>
      <c r="SN244" s="10"/>
      <c r="SO244" s="10"/>
      <c r="SP244" s="10"/>
      <c r="SQ244" s="10"/>
      <c r="SR244" s="10"/>
      <c r="SS244" s="10"/>
      <c r="ST244" s="10"/>
      <c r="SU244" s="10"/>
      <c r="SV244" s="10"/>
      <c r="SW244" s="10"/>
      <c r="SX244" s="10"/>
      <c r="SY244" s="10"/>
      <c r="SZ244" s="10"/>
      <c r="TA244" s="10"/>
      <c r="TB244" s="10"/>
      <c r="TC244" s="10"/>
      <c r="TD244" s="10"/>
      <c r="TE244" s="10"/>
      <c r="TF244" s="10"/>
      <c r="TG244" s="11">
        <f t="shared" si="10"/>
        <v>0</v>
      </c>
      <c r="TH244" s="9">
        <f t="shared" si="11"/>
        <v>0</v>
      </c>
    </row>
    <row r="245" spans="1:528" ht="15.6" thickBot="1" x14ac:dyDescent="0.3">
      <c r="A245" s="25" t="s">
        <v>694</v>
      </c>
      <c r="B245" s="18" t="s">
        <v>153</v>
      </c>
      <c r="C245" s="3">
        <f>AGOSTO!D249</f>
        <v>0</v>
      </c>
      <c r="D245" s="21">
        <f t="shared" si="9"/>
        <v>0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1">
        <f t="shared" si="10"/>
        <v>0</v>
      </c>
      <c r="TH245" s="9">
        <f t="shared" si="11"/>
        <v>0</v>
      </c>
    </row>
    <row r="246" spans="1:528" ht="15.6" thickBot="1" x14ac:dyDescent="0.3">
      <c r="A246" s="25" t="s">
        <v>695</v>
      </c>
      <c r="B246" s="18" t="s">
        <v>142</v>
      </c>
      <c r="C246" s="3">
        <f>AGOSTO!D250</f>
        <v>0</v>
      </c>
      <c r="D246" s="21">
        <f t="shared" si="9"/>
        <v>0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0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  <c r="SB246" s="10"/>
      <c r="SC246" s="10"/>
      <c r="SD246" s="10"/>
      <c r="SE246" s="10"/>
      <c r="SF246" s="10"/>
      <c r="SG246" s="10"/>
      <c r="SH246" s="10"/>
      <c r="SI246" s="10"/>
      <c r="SJ246" s="10"/>
      <c r="SK246" s="10"/>
      <c r="SL246" s="10"/>
      <c r="SM246" s="10"/>
      <c r="SN246" s="10"/>
      <c r="SO246" s="10"/>
      <c r="SP246" s="10"/>
      <c r="SQ246" s="10"/>
      <c r="SR246" s="10"/>
      <c r="SS246" s="10"/>
      <c r="ST246" s="10"/>
      <c r="SU246" s="10"/>
      <c r="SV246" s="10"/>
      <c r="SW246" s="10"/>
      <c r="SX246" s="10"/>
      <c r="SY246" s="10"/>
      <c r="SZ246" s="10"/>
      <c r="TA246" s="10"/>
      <c r="TB246" s="10"/>
      <c r="TC246" s="10"/>
      <c r="TD246" s="10"/>
      <c r="TE246" s="10"/>
      <c r="TF246" s="10"/>
      <c r="TG246" s="11">
        <f t="shared" si="10"/>
        <v>0</v>
      </c>
      <c r="TH246" s="9">
        <f t="shared" si="11"/>
        <v>0</v>
      </c>
    </row>
    <row r="247" spans="1:528" ht="15.6" thickBot="1" x14ac:dyDescent="0.3">
      <c r="A247" s="25" t="s">
        <v>696</v>
      </c>
      <c r="B247" s="18" t="s">
        <v>143</v>
      </c>
      <c r="C247" s="3">
        <f>AGOSTO!D251</f>
        <v>0</v>
      </c>
      <c r="D247" s="21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1"/>
      <c r="TH247" s="9"/>
    </row>
    <row r="248" spans="1:528" ht="16.2" thickBot="1" x14ac:dyDescent="0.35">
      <c r="A248" s="25"/>
      <c r="B248" s="20" t="s">
        <v>1001</v>
      </c>
      <c r="C248" s="3">
        <f>AGOSTO!D252</f>
        <v>0</v>
      </c>
      <c r="D248" s="21">
        <f t="shared" ref="D248:D311" si="12">C248+SUM(E248:TF248)</f>
        <v>0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1">
        <f t="shared" ref="TG248:TG279" si="13">TE248+BG248+BE248+BC248+BA248+AY248+AW248+AU248+AS248+AQ248+AO248+AM248+AK248+AI248+AG248+AE248+AC248+AA248+Y248+W248+U248+S248+Q248+O248+M248+K248+I248+G248+E248</f>
        <v>0</v>
      </c>
      <c r="TH248" s="9">
        <f t="shared" ref="TH248:TH279" si="14">TF248+BH248+BF248+BD248+BB248+AZ248+AX248+AV248+AT248+AR248+AP248+AN248+AL248+AJ248+AH248+AF248+AD248+AB248+Z248+X248+V248+T248+R248+P248+N248+L248+J248+H248+F248</f>
        <v>0</v>
      </c>
    </row>
    <row r="249" spans="1:528" ht="15.6" thickBot="1" x14ac:dyDescent="0.3">
      <c r="A249" s="25" t="s">
        <v>1002</v>
      </c>
      <c r="B249" s="18" t="s">
        <v>1003</v>
      </c>
      <c r="C249" s="3">
        <f>AGOSTO!D253</f>
        <v>0</v>
      </c>
      <c r="D249" s="21">
        <f t="shared" si="12"/>
        <v>0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1">
        <f t="shared" si="13"/>
        <v>0</v>
      </c>
      <c r="TH249" s="9">
        <f t="shared" si="14"/>
        <v>0</v>
      </c>
    </row>
    <row r="250" spans="1:528" ht="15.6" thickBot="1" x14ac:dyDescent="0.3">
      <c r="A250" s="25" t="s">
        <v>662</v>
      </c>
      <c r="B250" s="18" t="s">
        <v>256</v>
      </c>
      <c r="C250" s="3">
        <f>AGOSTO!D254</f>
        <v>0</v>
      </c>
      <c r="D250" s="21">
        <f t="shared" si="12"/>
        <v>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1">
        <f t="shared" si="13"/>
        <v>0</v>
      </c>
      <c r="TH250" s="9">
        <f t="shared" si="14"/>
        <v>0</v>
      </c>
    </row>
    <row r="251" spans="1:528" ht="15.6" thickBot="1" x14ac:dyDescent="0.3">
      <c r="A251" s="25" t="s">
        <v>1166</v>
      </c>
      <c r="B251" s="18" t="s">
        <v>1167</v>
      </c>
      <c r="C251" s="3">
        <f>AGOSTO!D255</f>
        <v>0</v>
      </c>
      <c r="D251" s="21">
        <f t="shared" si="12"/>
        <v>0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>
        <v>58</v>
      </c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4">
        <v>-58</v>
      </c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1">
        <f t="shared" si="13"/>
        <v>0</v>
      </c>
      <c r="TH251" s="9">
        <f t="shared" si="14"/>
        <v>0</v>
      </c>
    </row>
    <row r="252" spans="1:528" ht="15.6" thickBot="1" x14ac:dyDescent="0.3">
      <c r="A252" s="25" t="s">
        <v>1168</v>
      </c>
      <c r="B252" s="18" t="s">
        <v>1169</v>
      </c>
      <c r="C252" s="3">
        <f>AGOSTO!D256</f>
        <v>0</v>
      </c>
      <c r="D252" s="21">
        <f t="shared" si="12"/>
        <v>0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0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  <c r="SB252" s="10"/>
      <c r="SC252" s="10"/>
      <c r="SD252" s="10"/>
      <c r="SE252" s="10"/>
      <c r="SF252" s="10"/>
      <c r="SG252" s="10"/>
      <c r="SH252" s="10"/>
      <c r="SI252" s="10"/>
      <c r="SJ252" s="10"/>
      <c r="SK252" s="10"/>
      <c r="SL252" s="10"/>
      <c r="SM252" s="10"/>
      <c r="SN252" s="10"/>
      <c r="SO252" s="10"/>
      <c r="SP252" s="10"/>
      <c r="SQ252" s="10"/>
      <c r="SR252" s="10"/>
      <c r="SS252" s="10"/>
      <c r="ST252" s="10"/>
      <c r="SU252" s="10"/>
      <c r="SV252" s="10"/>
      <c r="SW252" s="10"/>
      <c r="SX252" s="10"/>
      <c r="SY252" s="10"/>
      <c r="SZ252" s="10"/>
      <c r="TA252" s="10"/>
      <c r="TB252" s="10"/>
      <c r="TC252" s="10"/>
      <c r="TD252" s="10"/>
      <c r="TE252" s="10"/>
      <c r="TF252" s="10"/>
      <c r="TG252" s="11">
        <f t="shared" si="13"/>
        <v>0</v>
      </c>
      <c r="TH252" s="9">
        <f t="shared" si="14"/>
        <v>0</v>
      </c>
    </row>
    <row r="253" spans="1:528" ht="15.6" thickBot="1" x14ac:dyDescent="0.3">
      <c r="A253" s="25" t="s">
        <v>806</v>
      </c>
      <c r="B253" s="18" t="s">
        <v>157</v>
      </c>
      <c r="C253" s="3">
        <f>AGOSTO!D257</f>
        <v>0</v>
      </c>
      <c r="D253" s="21">
        <f t="shared" si="12"/>
        <v>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0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  <c r="SB253" s="10"/>
      <c r="SC253" s="10"/>
      <c r="SD253" s="10"/>
      <c r="SE253" s="10"/>
      <c r="SF253" s="10"/>
      <c r="SG253" s="10"/>
      <c r="SH253" s="10"/>
      <c r="SI253" s="10"/>
      <c r="SJ253" s="10"/>
      <c r="SK253" s="10"/>
      <c r="SL253" s="10"/>
      <c r="SM253" s="10"/>
      <c r="SN253" s="10"/>
      <c r="SO253" s="10"/>
      <c r="SP253" s="10"/>
      <c r="SQ253" s="10"/>
      <c r="SR253" s="10"/>
      <c r="SS253" s="10"/>
      <c r="ST253" s="10"/>
      <c r="SU253" s="10"/>
      <c r="SV253" s="10"/>
      <c r="SW253" s="10"/>
      <c r="SX253" s="10"/>
      <c r="SY253" s="10"/>
      <c r="SZ253" s="10"/>
      <c r="TA253" s="10"/>
      <c r="TB253" s="10"/>
      <c r="TC253" s="10"/>
      <c r="TD253" s="10"/>
      <c r="TE253" s="10"/>
      <c r="TF253" s="10"/>
      <c r="TG253" s="11">
        <f t="shared" si="13"/>
        <v>0</v>
      </c>
      <c r="TH253" s="9">
        <f t="shared" si="14"/>
        <v>0</v>
      </c>
    </row>
    <row r="254" spans="1:528" ht="15.6" thickBot="1" x14ac:dyDescent="0.3">
      <c r="A254" s="25" t="s">
        <v>578</v>
      </c>
      <c r="B254" s="18" t="s">
        <v>158</v>
      </c>
      <c r="C254" s="3">
        <f>AGOSTO!D258</f>
        <v>0</v>
      </c>
      <c r="D254" s="21">
        <f t="shared" si="12"/>
        <v>0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>
        <v>64</v>
      </c>
      <c r="DR254" s="10">
        <v>-56</v>
      </c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>
        <f>-8+81+101</f>
        <v>174</v>
      </c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0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  <c r="SB254" s="10"/>
      <c r="SC254" s="10"/>
      <c r="SD254" s="10"/>
      <c r="SE254" s="10"/>
      <c r="SF254" s="10"/>
      <c r="SG254" s="10"/>
      <c r="SH254" s="14">
        <v>-182</v>
      </c>
      <c r="SI254" s="10"/>
      <c r="SJ254" s="10"/>
      <c r="SK254" s="10"/>
      <c r="SL254" s="10"/>
      <c r="SM254" s="10"/>
      <c r="SN254" s="10"/>
      <c r="SO254" s="10"/>
      <c r="SP254" s="10"/>
      <c r="SQ254" s="10"/>
      <c r="SR254" s="10"/>
      <c r="SS254" s="10"/>
      <c r="ST254" s="10"/>
      <c r="SU254" s="10"/>
      <c r="SV254" s="10"/>
      <c r="SW254" s="10"/>
      <c r="SX254" s="10"/>
      <c r="SY254" s="10"/>
      <c r="SZ254" s="10"/>
      <c r="TA254" s="10"/>
      <c r="TB254" s="10"/>
      <c r="TC254" s="10"/>
      <c r="TD254" s="10"/>
      <c r="TE254" s="10"/>
      <c r="TF254" s="10"/>
      <c r="TG254" s="11">
        <f t="shared" si="13"/>
        <v>0</v>
      </c>
      <c r="TH254" s="9">
        <f t="shared" si="14"/>
        <v>0</v>
      </c>
    </row>
    <row r="255" spans="1:528" ht="16.2" thickBot="1" x14ac:dyDescent="0.35">
      <c r="A255" s="25"/>
      <c r="B255" s="23" t="s">
        <v>73</v>
      </c>
      <c r="C255" s="3">
        <f>AGOSTO!D259</f>
        <v>0</v>
      </c>
      <c r="D255" s="21">
        <f t="shared" si="12"/>
        <v>0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1">
        <f t="shared" si="13"/>
        <v>0</v>
      </c>
      <c r="TH255" s="9">
        <f t="shared" si="14"/>
        <v>0</v>
      </c>
    </row>
    <row r="256" spans="1:528" ht="15.6" thickBot="1" x14ac:dyDescent="0.3">
      <c r="A256" s="25" t="s">
        <v>563</v>
      </c>
      <c r="B256" s="18" t="s">
        <v>564</v>
      </c>
      <c r="C256" s="3">
        <f>AGOSTO!D260</f>
        <v>0</v>
      </c>
      <c r="D256" s="21">
        <f t="shared" si="12"/>
        <v>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0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  <c r="SB256" s="10"/>
      <c r="SC256" s="10"/>
      <c r="SD256" s="10"/>
      <c r="SE256" s="10"/>
      <c r="SF256" s="10"/>
      <c r="SG256" s="10"/>
      <c r="SH256" s="10"/>
      <c r="SI256" s="10"/>
      <c r="SJ256" s="10"/>
      <c r="SK256" s="10"/>
      <c r="SL256" s="10"/>
      <c r="SM256" s="10"/>
      <c r="SN256" s="10"/>
      <c r="SO256" s="10"/>
      <c r="SP256" s="10"/>
      <c r="SQ256" s="10"/>
      <c r="SR256" s="10"/>
      <c r="SS256" s="10"/>
      <c r="ST256" s="10"/>
      <c r="SU256" s="10"/>
      <c r="SV256" s="10"/>
      <c r="SW256" s="10"/>
      <c r="SX256" s="10"/>
      <c r="SY256" s="10"/>
      <c r="SZ256" s="10"/>
      <c r="TA256" s="10"/>
      <c r="TB256" s="10"/>
      <c r="TC256" s="10"/>
      <c r="TD256" s="10"/>
      <c r="TE256" s="10"/>
      <c r="TF256" s="10"/>
      <c r="TG256" s="11">
        <f t="shared" si="13"/>
        <v>0</v>
      </c>
      <c r="TH256" s="9">
        <f t="shared" si="14"/>
        <v>0</v>
      </c>
    </row>
    <row r="257" spans="1:528" ht="15.6" thickBot="1" x14ac:dyDescent="0.3">
      <c r="A257" s="25" t="s">
        <v>232</v>
      </c>
      <c r="B257" s="18" t="s">
        <v>1004</v>
      </c>
      <c r="C257" s="3">
        <f>AGOSTO!D261</f>
        <v>0</v>
      </c>
      <c r="D257" s="21">
        <f t="shared" si="12"/>
        <v>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1">
        <f t="shared" si="13"/>
        <v>0</v>
      </c>
      <c r="TH257" s="9">
        <f t="shared" si="14"/>
        <v>0</v>
      </c>
    </row>
    <row r="258" spans="1:528" ht="15.6" thickBot="1" x14ac:dyDescent="0.3">
      <c r="A258" s="25" t="s">
        <v>230</v>
      </c>
      <c r="B258" s="18" t="s">
        <v>1005</v>
      </c>
      <c r="C258" s="3">
        <f>AGOSTO!D262</f>
        <v>0</v>
      </c>
      <c r="D258" s="21">
        <f t="shared" si="12"/>
        <v>0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>
        <v>14</v>
      </c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>
        <v>-14</v>
      </c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1">
        <f t="shared" si="13"/>
        <v>0</v>
      </c>
      <c r="TH258" s="9">
        <f t="shared" si="14"/>
        <v>0</v>
      </c>
    </row>
    <row r="259" spans="1:528" ht="15.6" thickBot="1" x14ac:dyDescent="0.3">
      <c r="A259" s="25" t="s">
        <v>566</v>
      </c>
      <c r="B259" s="18" t="s">
        <v>565</v>
      </c>
      <c r="C259" s="3">
        <f>AGOSTO!D263</f>
        <v>0</v>
      </c>
      <c r="D259" s="21">
        <f t="shared" si="12"/>
        <v>0</v>
      </c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>
        <v>22</v>
      </c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>
        <v>-22</v>
      </c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1">
        <f t="shared" si="13"/>
        <v>0</v>
      </c>
      <c r="TH259" s="9">
        <f t="shared" si="14"/>
        <v>0</v>
      </c>
    </row>
    <row r="260" spans="1:528" ht="15.6" thickBot="1" x14ac:dyDescent="0.3">
      <c r="A260" s="25" t="s">
        <v>234</v>
      </c>
      <c r="B260" s="18" t="s">
        <v>1139</v>
      </c>
      <c r="C260" s="3">
        <f>AGOSTO!D264</f>
        <v>0</v>
      </c>
      <c r="D260" s="21">
        <f t="shared" si="12"/>
        <v>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>
        <v>10</v>
      </c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>
        <v>-10</v>
      </c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1">
        <f t="shared" si="13"/>
        <v>0</v>
      </c>
      <c r="TH260" s="9">
        <f t="shared" si="14"/>
        <v>0</v>
      </c>
    </row>
    <row r="261" spans="1:528" ht="15.6" thickBot="1" x14ac:dyDescent="0.3">
      <c r="A261" s="25" t="s">
        <v>234</v>
      </c>
      <c r="B261" s="18" t="s">
        <v>429</v>
      </c>
      <c r="C261" s="3">
        <f>AGOSTO!D265</f>
        <v>0</v>
      </c>
      <c r="D261" s="21">
        <f t="shared" si="12"/>
        <v>0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>
        <v>21</v>
      </c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>
        <v>-21</v>
      </c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1">
        <f t="shared" si="13"/>
        <v>0</v>
      </c>
      <c r="TH261" s="9">
        <f t="shared" si="14"/>
        <v>0</v>
      </c>
    </row>
    <row r="262" spans="1:528" ht="15.6" thickBot="1" x14ac:dyDescent="0.3">
      <c r="A262" s="25" t="s">
        <v>1006</v>
      </c>
      <c r="B262" s="18" t="s">
        <v>430</v>
      </c>
      <c r="C262" s="3">
        <f>AGOSTO!D266</f>
        <v>0</v>
      </c>
      <c r="D262" s="21">
        <f t="shared" si="12"/>
        <v>0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>
        <v>20</v>
      </c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>
        <v>-20</v>
      </c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0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  <c r="SB262" s="10"/>
      <c r="SC262" s="10"/>
      <c r="SD262" s="10"/>
      <c r="SE262" s="10"/>
      <c r="SF262" s="10"/>
      <c r="SG262" s="10"/>
      <c r="SH262" s="10"/>
      <c r="SI262" s="10"/>
      <c r="SJ262" s="10"/>
      <c r="SK262" s="10"/>
      <c r="SL262" s="10"/>
      <c r="SM262" s="10"/>
      <c r="SN262" s="10"/>
      <c r="SO262" s="10"/>
      <c r="SP262" s="10"/>
      <c r="SQ262" s="10"/>
      <c r="SR262" s="10"/>
      <c r="SS262" s="10"/>
      <c r="ST262" s="10"/>
      <c r="SU262" s="10"/>
      <c r="SV262" s="10"/>
      <c r="SW262" s="10"/>
      <c r="SX262" s="10"/>
      <c r="SY262" s="10"/>
      <c r="SZ262" s="10"/>
      <c r="TA262" s="10"/>
      <c r="TB262" s="10"/>
      <c r="TC262" s="10"/>
      <c r="TD262" s="10"/>
      <c r="TE262" s="10"/>
      <c r="TF262" s="10"/>
      <c r="TG262" s="11">
        <f t="shared" si="13"/>
        <v>0</v>
      </c>
      <c r="TH262" s="9">
        <f t="shared" si="14"/>
        <v>0</v>
      </c>
    </row>
    <row r="263" spans="1:528" ht="15.6" thickBot="1" x14ac:dyDescent="0.3">
      <c r="A263" s="28" t="s">
        <v>589</v>
      </c>
      <c r="B263" s="18" t="s">
        <v>590</v>
      </c>
      <c r="C263" s="3">
        <f>AGOSTO!D267</f>
        <v>0</v>
      </c>
      <c r="D263" s="21">
        <f t="shared" si="12"/>
        <v>0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>
        <v>26</v>
      </c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>
        <v>-26</v>
      </c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1">
        <f t="shared" si="13"/>
        <v>0</v>
      </c>
      <c r="TH263" s="9">
        <f t="shared" si="14"/>
        <v>0</v>
      </c>
    </row>
    <row r="264" spans="1:528" ht="15.6" thickBot="1" x14ac:dyDescent="0.3">
      <c r="A264" s="28" t="s">
        <v>236</v>
      </c>
      <c r="B264" s="18" t="s">
        <v>1007</v>
      </c>
      <c r="C264" s="3">
        <f>AGOSTO!D268</f>
        <v>0</v>
      </c>
      <c r="D264" s="21">
        <f t="shared" si="12"/>
        <v>0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>
        <v>2</v>
      </c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>
        <v>-2</v>
      </c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0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  <c r="SB264" s="10"/>
      <c r="SC264" s="10"/>
      <c r="SD264" s="10"/>
      <c r="SE264" s="10"/>
      <c r="SF264" s="10"/>
      <c r="SG264" s="10"/>
      <c r="SH264" s="10"/>
      <c r="SI264" s="10"/>
      <c r="SJ264" s="10"/>
      <c r="SK264" s="10"/>
      <c r="SL264" s="10"/>
      <c r="SM264" s="10"/>
      <c r="SN264" s="10"/>
      <c r="SO264" s="10"/>
      <c r="SP264" s="10"/>
      <c r="SQ264" s="10"/>
      <c r="SR264" s="10"/>
      <c r="SS264" s="10"/>
      <c r="ST264" s="10"/>
      <c r="SU264" s="10"/>
      <c r="SV264" s="10"/>
      <c r="SW264" s="10"/>
      <c r="SX264" s="10"/>
      <c r="SY264" s="10"/>
      <c r="SZ264" s="10"/>
      <c r="TA264" s="10"/>
      <c r="TB264" s="10"/>
      <c r="TC264" s="10"/>
      <c r="TD264" s="10"/>
      <c r="TE264" s="10"/>
      <c r="TF264" s="10"/>
      <c r="TG264" s="11">
        <f t="shared" si="13"/>
        <v>0</v>
      </c>
      <c r="TH264" s="9">
        <f t="shared" si="14"/>
        <v>0</v>
      </c>
    </row>
    <row r="265" spans="1:528" ht="16.2" thickBot="1" x14ac:dyDescent="0.35">
      <c r="A265" s="25"/>
      <c r="B265" s="20" t="s">
        <v>78</v>
      </c>
      <c r="C265" s="3">
        <f>AGOSTO!D269</f>
        <v>0</v>
      </c>
      <c r="D265" s="21">
        <f t="shared" si="12"/>
        <v>0</v>
      </c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1">
        <f t="shared" si="13"/>
        <v>0</v>
      </c>
      <c r="TH265" s="9">
        <f t="shared" si="14"/>
        <v>0</v>
      </c>
    </row>
    <row r="266" spans="1:528" ht="15.6" thickBot="1" x14ac:dyDescent="0.3">
      <c r="A266" s="25" t="s">
        <v>937</v>
      </c>
      <c r="B266" s="18" t="s">
        <v>938</v>
      </c>
      <c r="C266" s="3">
        <f>AGOSTO!D270</f>
        <v>0</v>
      </c>
      <c r="D266" s="21">
        <f t="shared" si="12"/>
        <v>1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>
        <f>112*3</f>
        <v>336</v>
      </c>
      <c r="BB266" s="10">
        <v>-42</v>
      </c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>
        <v>-42</v>
      </c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>
        <v>-42</v>
      </c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>
        <v>-63</v>
      </c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>
        <v>-146</v>
      </c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1">
        <f t="shared" si="13"/>
        <v>336</v>
      </c>
      <c r="TH266" s="9">
        <f t="shared" si="14"/>
        <v>-42</v>
      </c>
    </row>
    <row r="267" spans="1:528" ht="15.6" thickBot="1" x14ac:dyDescent="0.3">
      <c r="A267" s="25" t="s">
        <v>939</v>
      </c>
      <c r="B267" s="18" t="s">
        <v>940</v>
      </c>
      <c r="C267" s="3">
        <f>AGOSTO!D271</f>
        <v>0</v>
      </c>
      <c r="D267" s="21">
        <f t="shared" si="12"/>
        <v>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>
        <f>112+76</f>
        <v>188</v>
      </c>
      <c r="AX267" s="10"/>
      <c r="AY267" s="10"/>
      <c r="AZ267" s="10"/>
      <c r="BA267" s="10"/>
      <c r="BB267" s="10">
        <f>-42-42</f>
        <v>-84</v>
      </c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>
        <v>-42</v>
      </c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>
        <v>-62</v>
      </c>
      <c r="EG267" s="10">
        <v>100</v>
      </c>
      <c r="EH267" s="10"/>
      <c r="EI267" s="10"/>
      <c r="EJ267" s="10"/>
      <c r="EK267" s="10"/>
      <c r="EL267" s="10"/>
      <c r="EM267" s="10"/>
      <c r="EN267" s="10">
        <v>-43</v>
      </c>
      <c r="EO267" s="10"/>
      <c r="EP267" s="10"/>
      <c r="EQ267" s="10"/>
      <c r="ER267" s="10"/>
      <c r="ES267" s="10"/>
      <c r="ET267" s="10"/>
      <c r="EU267" s="10">
        <f>27+105</f>
        <v>132</v>
      </c>
      <c r="EV267" s="10">
        <v>-84</v>
      </c>
      <c r="EW267" s="10"/>
      <c r="EX267" s="10"/>
      <c r="EY267" s="10"/>
      <c r="EZ267" s="10"/>
      <c r="FA267" s="10"/>
      <c r="FB267" s="10">
        <v>-105</v>
      </c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>
        <v>85</v>
      </c>
      <c r="FZ267" s="10">
        <v>-47</v>
      </c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1">
        <f t="shared" si="13"/>
        <v>188</v>
      </c>
      <c r="TH267" s="9">
        <f t="shared" si="14"/>
        <v>-84</v>
      </c>
    </row>
    <row r="268" spans="1:528" ht="16.2" thickBot="1" x14ac:dyDescent="0.35">
      <c r="A268" s="25"/>
      <c r="B268" s="20"/>
      <c r="C268" s="3">
        <f>AGOSTO!D272</f>
        <v>0</v>
      </c>
      <c r="D268" s="21">
        <f t="shared" si="12"/>
        <v>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1">
        <f t="shared" si="13"/>
        <v>0</v>
      </c>
      <c r="TH268" s="9">
        <f t="shared" si="14"/>
        <v>0</v>
      </c>
    </row>
    <row r="269" spans="1:528" ht="15.6" thickBot="1" x14ac:dyDescent="0.3">
      <c r="A269" s="25" t="s">
        <v>538</v>
      </c>
      <c r="B269" s="18" t="s">
        <v>539</v>
      </c>
      <c r="C269" s="3">
        <f>AGOSTO!D273</f>
        <v>0</v>
      </c>
      <c r="D269" s="21">
        <f t="shared" si="12"/>
        <v>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>
        <v>23</v>
      </c>
      <c r="BP269" s="10">
        <v>-23</v>
      </c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>
        <v>34</v>
      </c>
      <c r="CR269" s="10">
        <v>-34</v>
      </c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>
        <v>17</v>
      </c>
      <c r="FB269" s="10">
        <v>-17</v>
      </c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1">
        <f t="shared" si="13"/>
        <v>0</v>
      </c>
      <c r="TH269" s="9">
        <f t="shared" si="14"/>
        <v>0</v>
      </c>
    </row>
    <row r="270" spans="1:528" ht="15.6" thickBot="1" x14ac:dyDescent="0.3">
      <c r="A270" s="25" t="s">
        <v>560</v>
      </c>
      <c r="B270" s="18" t="s">
        <v>540</v>
      </c>
      <c r="C270" s="3">
        <f>AGOSTO!D274</f>
        <v>0</v>
      </c>
      <c r="D270" s="21">
        <f t="shared" si="12"/>
        <v>34</v>
      </c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>
        <f>42+48+112</f>
        <v>202</v>
      </c>
      <c r="BB270" s="10">
        <v>-42</v>
      </c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>
        <v>-42</v>
      </c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>
        <v>-42</v>
      </c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>
        <v>-42</v>
      </c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1">
        <f t="shared" si="13"/>
        <v>202</v>
      </c>
      <c r="TH270" s="9">
        <f t="shared" si="14"/>
        <v>-42</v>
      </c>
    </row>
    <row r="271" spans="1:528" ht="15.6" thickBot="1" x14ac:dyDescent="0.3">
      <c r="A271" s="25" t="s">
        <v>387</v>
      </c>
      <c r="B271" s="18" t="s">
        <v>278</v>
      </c>
      <c r="C271" s="3">
        <f>AGOSTO!D275</f>
        <v>0</v>
      </c>
      <c r="D271" s="21">
        <f t="shared" si="12"/>
        <v>0</v>
      </c>
      <c r="E271" s="10"/>
      <c r="F271" s="10"/>
      <c r="G271" s="10"/>
      <c r="H271" s="10"/>
      <c r="I271" s="10">
        <v>112</v>
      </c>
      <c r="J271" s="10"/>
      <c r="K271" s="10">
        <f>104</f>
        <v>104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>
        <v>-42</v>
      </c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>
        <v>-42</v>
      </c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>
        <f>116</f>
        <v>116</v>
      </c>
      <c r="CT271" s="10"/>
      <c r="CU271" s="10"/>
      <c r="CV271" s="10"/>
      <c r="CW271" s="10"/>
      <c r="CX271" s="10">
        <v>-248</v>
      </c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>
        <f>224+82</f>
        <v>306</v>
      </c>
      <c r="DP271" s="10"/>
      <c r="DQ271" s="10"/>
      <c r="DR271" s="10">
        <v>-272</v>
      </c>
      <c r="DS271" s="10"/>
      <c r="DT271" s="10"/>
      <c r="DU271" s="10"/>
      <c r="DV271" s="10"/>
      <c r="DW271" s="10">
        <f>111</f>
        <v>111</v>
      </c>
      <c r="DX271" s="10"/>
      <c r="DY271" s="10"/>
      <c r="DZ271" s="10"/>
      <c r="EA271" s="10"/>
      <c r="EB271" s="10"/>
      <c r="EC271" s="10"/>
      <c r="ED271" s="10"/>
      <c r="EE271" s="10"/>
      <c r="EF271" s="10">
        <v>-125</v>
      </c>
      <c r="EG271" s="10">
        <v>60</v>
      </c>
      <c r="EH271" s="10"/>
      <c r="EI271" s="10"/>
      <c r="EJ271" s="10"/>
      <c r="EK271" s="10"/>
      <c r="EL271" s="10"/>
      <c r="EM271" s="10"/>
      <c r="EN271" s="10">
        <v>-63</v>
      </c>
      <c r="EO271" s="10"/>
      <c r="EP271" s="10"/>
      <c r="EQ271" s="10">
        <v>40</v>
      </c>
      <c r="ER271" s="10"/>
      <c r="ES271" s="10"/>
      <c r="ET271" s="10"/>
      <c r="EU271" s="10"/>
      <c r="EV271" s="10">
        <v>-42</v>
      </c>
      <c r="EW271" s="10">
        <v>100</v>
      </c>
      <c r="EX271" s="10"/>
      <c r="EY271" s="10"/>
      <c r="EZ271" s="10"/>
      <c r="FA271" s="10">
        <v>76</v>
      </c>
      <c r="FB271" s="10">
        <v>-188</v>
      </c>
      <c r="FC271" s="10"/>
      <c r="FD271" s="10"/>
      <c r="FE271" s="10">
        <v>18</v>
      </c>
      <c r="FF271" s="10"/>
      <c r="FG271" s="10"/>
      <c r="FH271" s="10"/>
      <c r="FI271" s="10"/>
      <c r="FJ271" s="10"/>
      <c r="FK271" s="10"/>
      <c r="FL271" s="10"/>
      <c r="FM271" s="10"/>
      <c r="FN271" s="10">
        <v>-21</v>
      </c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1">
        <f t="shared" si="13"/>
        <v>216</v>
      </c>
      <c r="TH271" s="9">
        <f t="shared" si="14"/>
        <v>-42</v>
      </c>
    </row>
    <row r="272" spans="1:528" ht="15.6" thickBot="1" x14ac:dyDescent="0.3">
      <c r="A272" s="25" t="s">
        <v>818</v>
      </c>
      <c r="B272" s="18" t="s">
        <v>819</v>
      </c>
      <c r="C272" s="3">
        <f>AGOSTO!D276</f>
        <v>0</v>
      </c>
      <c r="D272" s="21">
        <f t="shared" si="12"/>
        <v>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1">
        <f t="shared" si="13"/>
        <v>0</v>
      </c>
      <c r="TH272" s="9">
        <f t="shared" si="14"/>
        <v>0</v>
      </c>
    </row>
    <row r="273" spans="1:528" ht="15.6" thickBot="1" x14ac:dyDescent="0.3">
      <c r="A273" s="25" t="s">
        <v>541</v>
      </c>
      <c r="B273" s="18" t="s">
        <v>279</v>
      </c>
      <c r="C273" s="3">
        <f>AGOSTO!D277</f>
        <v>0</v>
      </c>
      <c r="D273" s="21">
        <f t="shared" si="12"/>
        <v>100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>
        <v>42</v>
      </c>
      <c r="BP273" s="10">
        <v>-42</v>
      </c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>
        <v>34</v>
      </c>
      <c r="DR273" s="10">
        <v>-34</v>
      </c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>
        <v>47</v>
      </c>
      <c r="ED273" s="10"/>
      <c r="EE273" s="10">
        <v>16</v>
      </c>
      <c r="EF273" s="10">
        <v>-63</v>
      </c>
      <c r="EG273" s="10"/>
      <c r="EH273" s="10"/>
      <c r="EI273" s="10"/>
      <c r="EJ273" s="10"/>
      <c r="EK273" s="10">
        <v>100</v>
      </c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0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  <c r="SB273" s="10"/>
      <c r="SC273" s="10"/>
      <c r="SD273" s="10"/>
      <c r="SE273" s="10"/>
      <c r="SF273" s="10"/>
      <c r="SG273" s="10"/>
      <c r="SH273" s="10"/>
      <c r="SI273" s="10"/>
      <c r="SJ273" s="10"/>
      <c r="SK273" s="10"/>
      <c r="SL273" s="10"/>
      <c r="SM273" s="10"/>
      <c r="SN273" s="10"/>
      <c r="SO273" s="10"/>
      <c r="SP273" s="10"/>
      <c r="SQ273" s="10"/>
      <c r="SR273" s="10"/>
      <c r="SS273" s="10"/>
      <c r="ST273" s="10"/>
      <c r="SU273" s="10"/>
      <c r="SV273" s="10"/>
      <c r="SW273" s="10"/>
      <c r="SX273" s="10"/>
      <c r="SY273" s="10"/>
      <c r="SZ273" s="10"/>
      <c r="TA273" s="10"/>
      <c r="TB273" s="10"/>
      <c r="TC273" s="10"/>
      <c r="TD273" s="10"/>
      <c r="TE273" s="10"/>
      <c r="TF273" s="10"/>
      <c r="TG273" s="11">
        <f t="shared" si="13"/>
        <v>0</v>
      </c>
      <c r="TH273" s="9">
        <f t="shared" si="14"/>
        <v>0</v>
      </c>
    </row>
    <row r="274" spans="1:528" ht="15.6" thickBot="1" x14ac:dyDescent="0.3">
      <c r="A274" s="25" t="s">
        <v>942</v>
      </c>
      <c r="B274" s="18" t="s">
        <v>943</v>
      </c>
      <c r="C274" s="3">
        <f>AGOSTO!D278</f>
        <v>0</v>
      </c>
      <c r="D274" s="21">
        <f t="shared" si="12"/>
        <v>14</v>
      </c>
      <c r="E274" s="10"/>
      <c r="F274" s="10"/>
      <c r="G274" s="10"/>
      <c r="H274" s="10"/>
      <c r="I274" s="10"/>
      <c r="J274" s="10"/>
      <c r="K274" s="10">
        <v>29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>
        <v>-9</v>
      </c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>
        <v>-6</v>
      </c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0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  <c r="SB274" s="10"/>
      <c r="SC274" s="10"/>
      <c r="SD274" s="10"/>
      <c r="SE274" s="10"/>
      <c r="SF274" s="10"/>
      <c r="SG274" s="10"/>
      <c r="SH274" s="10"/>
      <c r="SI274" s="10"/>
      <c r="SJ274" s="10"/>
      <c r="SK274" s="10"/>
      <c r="SL274" s="10"/>
      <c r="SM274" s="10"/>
      <c r="SN274" s="10"/>
      <c r="SO274" s="10"/>
      <c r="SP274" s="10"/>
      <c r="SQ274" s="10"/>
      <c r="SR274" s="10"/>
      <c r="SS274" s="10"/>
      <c r="ST274" s="10"/>
      <c r="SU274" s="10"/>
      <c r="SV274" s="10"/>
      <c r="SW274" s="10"/>
      <c r="SX274" s="10"/>
      <c r="SY274" s="10"/>
      <c r="SZ274" s="10"/>
      <c r="TA274" s="10"/>
      <c r="TB274" s="10"/>
      <c r="TC274" s="10"/>
      <c r="TD274" s="10"/>
      <c r="TE274" s="10"/>
      <c r="TF274" s="10"/>
      <c r="TG274" s="11">
        <f t="shared" si="13"/>
        <v>29</v>
      </c>
      <c r="TH274" s="9">
        <f t="shared" si="14"/>
        <v>-9</v>
      </c>
    </row>
    <row r="275" spans="1:528" ht="15.6" thickBot="1" x14ac:dyDescent="0.3">
      <c r="A275" s="25" t="s">
        <v>1008</v>
      </c>
      <c r="B275" s="18" t="s">
        <v>368</v>
      </c>
      <c r="C275" s="3">
        <f>AGOSTO!D279</f>
        <v>0</v>
      </c>
      <c r="D275" s="21">
        <f t="shared" si="12"/>
        <v>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>
        <v>84</v>
      </c>
      <c r="DP275" s="10"/>
      <c r="DQ275" s="10"/>
      <c r="DR275" s="10">
        <v>-84</v>
      </c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>
        <v>57</v>
      </c>
      <c r="EH275" s="10"/>
      <c r="EI275" s="10"/>
      <c r="EJ275" s="10"/>
      <c r="EK275" s="10"/>
      <c r="EL275" s="10"/>
      <c r="EM275" s="10"/>
      <c r="EN275" s="10">
        <v>-57</v>
      </c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0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  <c r="SB275" s="10"/>
      <c r="SC275" s="10"/>
      <c r="SD275" s="10"/>
      <c r="SE275" s="10"/>
      <c r="SF275" s="10"/>
      <c r="SG275" s="10"/>
      <c r="SH275" s="10"/>
      <c r="SI275" s="10"/>
      <c r="SJ275" s="10"/>
      <c r="SK275" s="10"/>
      <c r="SL275" s="10"/>
      <c r="SM275" s="10"/>
      <c r="SN275" s="10"/>
      <c r="SO275" s="10"/>
      <c r="SP275" s="10"/>
      <c r="SQ275" s="10"/>
      <c r="SR275" s="10"/>
      <c r="SS275" s="10"/>
      <c r="ST275" s="10"/>
      <c r="SU275" s="10"/>
      <c r="SV275" s="10"/>
      <c r="SW275" s="10"/>
      <c r="SX275" s="10"/>
      <c r="SY275" s="10"/>
      <c r="SZ275" s="10"/>
      <c r="TA275" s="10"/>
      <c r="TB275" s="10"/>
      <c r="TC275" s="10"/>
      <c r="TD275" s="10"/>
      <c r="TE275" s="10"/>
      <c r="TF275" s="10"/>
      <c r="TG275" s="11">
        <f t="shared" si="13"/>
        <v>0</v>
      </c>
      <c r="TH275" s="9">
        <f t="shared" si="14"/>
        <v>0</v>
      </c>
    </row>
    <row r="276" spans="1:528" ht="15.6" thickBot="1" x14ac:dyDescent="0.3">
      <c r="A276" s="25" t="s">
        <v>542</v>
      </c>
      <c r="B276" s="18" t="s">
        <v>543</v>
      </c>
      <c r="C276" s="3">
        <f>AGOSTO!D280</f>
        <v>0</v>
      </c>
      <c r="D276" s="21">
        <f t="shared" si="12"/>
        <v>0</v>
      </c>
      <c r="E276" s="10"/>
      <c r="F276" s="10"/>
      <c r="G276" s="10"/>
      <c r="H276" s="10"/>
      <c r="I276" s="10"/>
      <c r="J276" s="10"/>
      <c r="K276" s="10">
        <f>5*64</f>
        <v>320</v>
      </c>
      <c r="L276" s="10"/>
      <c r="M276" s="10">
        <f>5*64+22+50+14</f>
        <v>406</v>
      </c>
      <c r="N276" s="10"/>
      <c r="O276" s="10"/>
      <c r="P276" s="10"/>
      <c r="Q276" s="10"/>
      <c r="R276" s="10"/>
      <c r="S276" s="10"/>
      <c r="T276" s="10"/>
      <c r="U276" s="10"/>
      <c r="V276" s="10">
        <v>-224</v>
      </c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>
        <v>-6</v>
      </c>
      <c r="AY276" s="10"/>
      <c r="AZ276" s="10"/>
      <c r="BA276" s="10"/>
      <c r="BB276" s="10">
        <f>-64-48</f>
        <v>-112</v>
      </c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>
        <v>-16</v>
      </c>
      <c r="CE276" s="10"/>
      <c r="CF276" s="10"/>
      <c r="CG276" s="10"/>
      <c r="CH276" s="10">
        <v>-40</v>
      </c>
      <c r="CI276" s="10"/>
      <c r="CJ276" s="10"/>
      <c r="CK276" s="10"/>
      <c r="CL276" s="10"/>
      <c r="CM276" s="10"/>
      <c r="CN276" s="10">
        <v>-112</v>
      </c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>
        <v>-7</v>
      </c>
      <c r="DC276" s="10"/>
      <c r="DD276" s="10"/>
      <c r="DE276" s="10"/>
      <c r="DF276" s="10"/>
      <c r="DG276" s="10"/>
      <c r="DH276" s="10"/>
      <c r="DI276" s="10"/>
      <c r="DJ276" s="10"/>
      <c r="DK276" s="10"/>
      <c r="DL276" s="10">
        <v>-25</v>
      </c>
      <c r="DM276" s="10"/>
      <c r="DN276" s="10"/>
      <c r="DO276" s="10"/>
      <c r="DP276" s="10"/>
      <c r="DQ276" s="10"/>
      <c r="DR276" s="10">
        <v>-112</v>
      </c>
      <c r="DS276" s="10"/>
      <c r="DT276" s="10"/>
      <c r="DU276" s="10"/>
      <c r="DV276" s="10"/>
      <c r="DW276" s="10">
        <f>64*3+52</f>
        <v>244</v>
      </c>
      <c r="DX276" s="10"/>
      <c r="DY276" s="10"/>
      <c r="DZ276" s="10"/>
      <c r="EA276" s="10"/>
      <c r="EB276" s="10"/>
      <c r="EC276" s="10"/>
      <c r="ED276" s="10"/>
      <c r="EE276" s="10"/>
      <c r="EF276" s="10">
        <v>-223</v>
      </c>
      <c r="EG276" s="10"/>
      <c r="EH276" s="10"/>
      <c r="EI276" s="10"/>
      <c r="EJ276" s="10"/>
      <c r="EK276" s="10"/>
      <c r="EL276" s="10"/>
      <c r="EM276" s="10"/>
      <c r="EN276" s="10">
        <v>-56</v>
      </c>
      <c r="EO276" s="10"/>
      <c r="EP276" s="10"/>
      <c r="EQ276" s="10">
        <f>64+51</f>
        <v>115</v>
      </c>
      <c r="ER276" s="10"/>
      <c r="ES276" s="10"/>
      <c r="ET276" s="10"/>
      <c r="EU276" s="10"/>
      <c r="EV276" s="10">
        <v>-112</v>
      </c>
      <c r="EW276" s="10">
        <f>64+40</f>
        <v>104</v>
      </c>
      <c r="EX276" s="10"/>
      <c r="EY276" s="10"/>
      <c r="EZ276" s="10"/>
      <c r="FA276" s="10"/>
      <c r="FB276" s="10">
        <v>-134</v>
      </c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>
        <v>-10</v>
      </c>
      <c r="FY276" s="10">
        <v>23</v>
      </c>
      <c r="FZ276" s="10">
        <v>-23</v>
      </c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>
        <v>23</v>
      </c>
      <c r="GN276" s="10">
        <v>-23</v>
      </c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1">
        <f t="shared" si="13"/>
        <v>726</v>
      </c>
      <c r="TH276" s="9">
        <f t="shared" si="14"/>
        <v>-342</v>
      </c>
    </row>
    <row r="277" spans="1:528" ht="15.6" thickBot="1" x14ac:dyDescent="0.3">
      <c r="A277" s="25" t="s">
        <v>755</v>
      </c>
      <c r="B277" s="18" t="s">
        <v>450</v>
      </c>
      <c r="C277" s="3">
        <f>AGOSTO!D281</f>
        <v>0</v>
      </c>
      <c r="D277" s="21">
        <f t="shared" si="12"/>
        <v>47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>
        <v>64</v>
      </c>
      <c r="P277" s="10"/>
      <c r="Q277" s="10">
        <v>56</v>
      </c>
      <c r="R277" s="10"/>
      <c r="S277" s="10"/>
      <c r="T277" s="10"/>
      <c r="U277" s="10">
        <f>64+22+64</f>
        <v>150</v>
      </c>
      <c r="V277" s="10">
        <v>-34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>
        <v>-1</v>
      </c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>
        <v>-23</v>
      </c>
      <c r="BQ277" s="10"/>
      <c r="BR277" s="10"/>
      <c r="BS277" s="10"/>
      <c r="BT277" s="10">
        <v>-12</v>
      </c>
      <c r="BU277" s="10"/>
      <c r="BV277" s="10"/>
      <c r="BW277" s="10"/>
      <c r="BX277" s="10"/>
      <c r="BY277" s="10"/>
      <c r="BZ277" s="10">
        <v>-16</v>
      </c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>
        <v>-17</v>
      </c>
      <c r="CQ277" s="10"/>
      <c r="CR277" s="10"/>
      <c r="CS277" s="10"/>
      <c r="CT277" s="10"/>
      <c r="CU277" s="10"/>
      <c r="CV277" s="10">
        <v>-2</v>
      </c>
      <c r="CW277" s="10"/>
      <c r="CX277" s="10"/>
      <c r="CY277" s="10"/>
      <c r="CZ277" s="10"/>
      <c r="DA277" s="10"/>
      <c r="DB277" s="10"/>
      <c r="DC277" s="10"/>
      <c r="DD277" s="10"/>
      <c r="DE277" s="10"/>
      <c r="DF277" s="10">
        <v>-16</v>
      </c>
      <c r="DG277" s="10"/>
      <c r="DH277" s="10"/>
      <c r="DI277" s="10"/>
      <c r="DJ277" s="10">
        <v>-23</v>
      </c>
      <c r="DK277" s="10"/>
      <c r="DL277" s="10"/>
      <c r="DM277" s="10"/>
      <c r="DN277" s="10"/>
      <c r="DO277" s="10"/>
      <c r="DP277" s="10"/>
      <c r="DQ277" s="10"/>
      <c r="DR277" s="10"/>
      <c r="DS277" s="10"/>
      <c r="DT277" s="10">
        <v>-4</v>
      </c>
      <c r="DU277" s="10"/>
      <c r="DV277" s="10"/>
      <c r="DW277" s="10"/>
      <c r="DX277" s="10"/>
      <c r="DY277" s="10"/>
      <c r="DZ277" s="10"/>
      <c r="EA277" s="10"/>
      <c r="EB277" s="10"/>
      <c r="EC277" s="10"/>
      <c r="ED277" s="14">
        <v>-81</v>
      </c>
      <c r="EE277" s="10"/>
      <c r="EF277" s="10">
        <v>-41</v>
      </c>
      <c r="EG277" s="10"/>
      <c r="EH277" s="10"/>
      <c r="EI277" s="10"/>
      <c r="EJ277" s="10"/>
      <c r="EK277" s="10">
        <v>86</v>
      </c>
      <c r="EL277" s="10"/>
      <c r="EM277" s="10"/>
      <c r="EN277" s="10">
        <v>-15</v>
      </c>
      <c r="EO277" s="10"/>
      <c r="EP277" s="10"/>
      <c r="EQ277" s="10"/>
      <c r="ER277" s="10">
        <v>-10</v>
      </c>
      <c r="ES277" s="10"/>
      <c r="ET277" s="10"/>
      <c r="EU277" s="10"/>
      <c r="EV277" s="10"/>
      <c r="EW277" s="10">
        <v>49</v>
      </c>
      <c r="EX277" s="10"/>
      <c r="EY277" s="10"/>
      <c r="EZ277" s="10"/>
      <c r="FA277" s="10"/>
      <c r="FB277" s="10">
        <v>-12</v>
      </c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>
        <v>-3</v>
      </c>
      <c r="GM277" s="10"/>
      <c r="GN277" s="10"/>
      <c r="GO277" s="10"/>
      <c r="GP277" s="10"/>
      <c r="GQ277" s="10"/>
      <c r="GR277" s="10">
        <v>-34</v>
      </c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>
        <f>(-126/9)</f>
        <v>-14</v>
      </c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1">
        <f t="shared" si="13"/>
        <v>270</v>
      </c>
      <c r="TH277" s="9">
        <f t="shared" si="14"/>
        <v>-35</v>
      </c>
    </row>
    <row r="278" spans="1:528" ht="15.6" thickBot="1" x14ac:dyDescent="0.3">
      <c r="A278" s="25" t="s">
        <v>738</v>
      </c>
      <c r="B278" s="18" t="s">
        <v>834</v>
      </c>
      <c r="C278" s="3">
        <f>AGOSTO!D282</f>
        <v>0</v>
      </c>
      <c r="D278" s="21">
        <f t="shared" si="12"/>
        <v>0</v>
      </c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1">
        <f t="shared" si="13"/>
        <v>0</v>
      </c>
      <c r="TH278" s="9">
        <f t="shared" si="14"/>
        <v>0</v>
      </c>
    </row>
    <row r="279" spans="1:528" ht="15.6" thickBot="1" x14ac:dyDescent="0.3">
      <c r="A279" s="25" t="s">
        <v>786</v>
      </c>
      <c r="B279" s="18" t="s">
        <v>788</v>
      </c>
      <c r="C279" s="3">
        <f>AGOSTO!D283</f>
        <v>0</v>
      </c>
      <c r="D279" s="21">
        <f t="shared" si="12"/>
        <v>2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>
        <v>17</v>
      </c>
      <c r="CD279" s="10">
        <v>-17</v>
      </c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>
        <v>34</v>
      </c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>
        <v>-17</v>
      </c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>
        <v>-3</v>
      </c>
      <c r="GW279" s="10"/>
      <c r="GX279" s="10"/>
      <c r="GY279" s="10"/>
      <c r="GZ279" s="10"/>
      <c r="HA279" s="10"/>
      <c r="HB279" s="10">
        <v>-12</v>
      </c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1">
        <f t="shared" si="13"/>
        <v>0</v>
      </c>
      <c r="TH279" s="9">
        <f t="shared" si="14"/>
        <v>0</v>
      </c>
    </row>
    <row r="280" spans="1:528" ht="15.6" thickBot="1" x14ac:dyDescent="0.3">
      <c r="A280" s="25" t="s">
        <v>787</v>
      </c>
      <c r="B280" s="18" t="s">
        <v>789</v>
      </c>
      <c r="C280" s="3">
        <f>AGOSTO!D284</f>
        <v>0</v>
      </c>
      <c r="D280" s="21">
        <f t="shared" si="12"/>
        <v>0</v>
      </c>
      <c r="E280" s="10"/>
      <c r="F280" s="10"/>
      <c r="G280" s="10"/>
      <c r="H280" s="10"/>
      <c r="I280" s="10"/>
      <c r="J280" s="10"/>
      <c r="K280" s="10"/>
      <c r="L280" s="10"/>
      <c r="M280" s="10">
        <f>29+27+36</f>
        <v>92</v>
      </c>
      <c r="N280" s="10"/>
      <c r="O280" s="10"/>
      <c r="P280" s="10"/>
      <c r="Q280" s="10">
        <v>34</v>
      </c>
      <c r="R280" s="10"/>
      <c r="S280" s="10"/>
      <c r="T280" s="10"/>
      <c r="U280" s="10"/>
      <c r="V280" s="10">
        <v>-126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>
        <v>27</v>
      </c>
      <c r="ED280" s="10"/>
      <c r="EE280" s="10"/>
      <c r="EF280" s="10">
        <v>-17</v>
      </c>
      <c r="EG280" s="10"/>
      <c r="EH280" s="10"/>
      <c r="EI280" s="10"/>
      <c r="EJ280" s="10"/>
      <c r="EK280" s="10"/>
      <c r="EL280" s="10"/>
      <c r="EM280" s="10"/>
      <c r="EN280" s="10">
        <v>-10</v>
      </c>
      <c r="EO280" s="10"/>
      <c r="EP280" s="10"/>
      <c r="EQ280" s="10"/>
      <c r="ER280" s="10"/>
      <c r="ES280" s="10">
        <v>30</v>
      </c>
      <c r="ET280" s="10"/>
      <c r="EU280" s="10"/>
      <c r="EV280" s="10">
        <v>-24</v>
      </c>
      <c r="EW280" s="10"/>
      <c r="EX280" s="10"/>
      <c r="EY280" s="10"/>
      <c r="EZ280" s="10"/>
      <c r="FA280" s="10">
        <v>17</v>
      </c>
      <c r="FB280" s="10">
        <v>-17</v>
      </c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>
        <v>-6</v>
      </c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0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  <c r="SB280" s="10"/>
      <c r="SC280" s="10"/>
      <c r="SD280" s="10"/>
      <c r="SE280" s="10"/>
      <c r="SF280" s="10"/>
      <c r="SG280" s="10"/>
      <c r="SH280" s="10"/>
      <c r="SI280" s="10"/>
      <c r="SJ280" s="10"/>
      <c r="SK280" s="10"/>
      <c r="SL280" s="10"/>
      <c r="SM280" s="10"/>
      <c r="SN280" s="10"/>
      <c r="SO280" s="10"/>
      <c r="SP280" s="10"/>
      <c r="SQ280" s="10"/>
      <c r="SR280" s="10"/>
      <c r="SS280" s="10"/>
      <c r="ST280" s="10"/>
      <c r="SU280" s="10"/>
      <c r="SV280" s="10"/>
      <c r="SW280" s="10"/>
      <c r="SX280" s="10"/>
      <c r="SY280" s="10"/>
      <c r="SZ280" s="10"/>
      <c r="TA280" s="10"/>
      <c r="TB280" s="10"/>
      <c r="TC280" s="10"/>
      <c r="TD280" s="10"/>
      <c r="TE280" s="10"/>
      <c r="TF280" s="10"/>
      <c r="TG280" s="11">
        <f t="shared" ref="TG280:TG315" si="15">TE280+BG280+BE280+BC280+BA280+AY280+AW280+AU280+AS280+AQ280+AO280+AM280+AK280+AI280+AG280+AE280+AC280+AA280+Y280+W280+U280+S280+Q280+O280+M280+K280+I280+G280+E280</f>
        <v>126</v>
      </c>
      <c r="TH280" s="9">
        <f t="shared" ref="TH280:TH315" si="16">TF280+BH280+BF280+BD280+BB280+AZ280+AX280+AV280+AT280+AR280+AP280+AN280+AL280+AJ280+AH280+AF280+AD280+AB280+Z280+X280+V280+T280+R280+P280+N280+L280+J280+H280+F280</f>
        <v>-126</v>
      </c>
    </row>
    <row r="281" spans="1:528" ht="15.6" thickBot="1" x14ac:dyDescent="0.3">
      <c r="A281" s="25" t="s">
        <v>595</v>
      </c>
      <c r="B281" s="18" t="s">
        <v>456</v>
      </c>
      <c r="C281" s="3">
        <f>AGOSTO!D285</f>
        <v>0</v>
      </c>
      <c r="D281" s="21">
        <f t="shared" si="12"/>
        <v>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>
        <f>56+28+28</f>
        <v>112</v>
      </c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>
        <v>-112</v>
      </c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>
        <v>64</v>
      </c>
      <c r="DH281" s="10"/>
      <c r="DI281" s="10"/>
      <c r="DJ281" s="10">
        <v>-56</v>
      </c>
      <c r="DK281" s="10"/>
      <c r="DL281" s="10"/>
      <c r="DM281" s="10"/>
      <c r="DN281" s="10"/>
      <c r="DO281" s="10"/>
      <c r="DP281" s="10"/>
      <c r="DQ281" s="10"/>
      <c r="DR281" s="10"/>
      <c r="DS281" s="10"/>
      <c r="DT281" s="10">
        <v>-8</v>
      </c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>
        <v>43</v>
      </c>
      <c r="EF281" s="10">
        <v>-43</v>
      </c>
      <c r="EG281" s="10"/>
      <c r="EH281" s="10"/>
      <c r="EI281" s="10"/>
      <c r="EJ281" s="10"/>
      <c r="EK281" s="10"/>
      <c r="EL281" s="10"/>
      <c r="EM281" s="10">
        <v>13</v>
      </c>
      <c r="EN281" s="10">
        <v>-13</v>
      </c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>
        <v>56</v>
      </c>
      <c r="EZ281" s="10"/>
      <c r="FA281" s="10"/>
      <c r="FB281" s="10">
        <v>-56</v>
      </c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1">
        <f t="shared" si="15"/>
        <v>0</v>
      </c>
      <c r="TH281" s="9">
        <f t="shared" si="16"/>
        <v>0</v>
      </c>
    </row>
    <row r="282" spans="1:528" ht="15.6" thickBot="1" x14ac:dyDescent="0.3">
      <c r="A282" s="25"/>
      <c r="B282" s="18" t="s">
        <v>1088</v>
      </c>
      <c r="C282" s="3">
        <f>AGOSTO!D286</f>
        <v>0</v>
      </c>
      <c r="D282" s="21">
        <f t="shared" si="12"/>
        <v>0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>
        <v>64</v>
      </c>
      <c r="AZ282" s="10"/>
      <c r="BA282" s="10">
        <v>57</v>
      </c>
      <c r="BB282" s="10">
        <v>-78</v>
      </c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>
        <v>-43</v>
      </c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1">
        <f t="shared" si="15"/>
        <v>121</v>
      </c>
      <c r="TH282" s="9">
        <f t="shared" si="16"/>
        <v>-78</v>
      </c>
    </row>
    <row r="283" spans="1:528" ht="15.6" thickBot="1" x14ac:dyDescent="0.3">
      <c r="A283" s="25" t="s">
        <v>716</v>
      </c>
      <c r="B283" s="18" t="s">
        <v>717</v>
      </c>
      <c r="C283" s="3">
        <f>AGOSTO!D287</f>
        <v>0</v>
      </c>
      <c r="D283" s="21">
        <f t="shared" si="12"/>
        <v>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>
        <v>42</v>
      </c>
      <c r="DB283" s="10"/>
      <c r="DC283" s="10"/>
      <c r="DD283" s="10"/>
      <c r="DE283" s="10"/>
      <c r="DF283" s="10"/>
      <c r="DG283" s="10"/>
      <c r="DH283" s="10"/>
      <c r="DI283" s="10"/>
      <c r="DJ283" s="10">
        <v>-42</v>
      </c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0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  <c r="SB283" s="10"/>
      <c r="SC283" s="10"/>
      <c r="SD283" s="10"/>
      <c r="SE283" s="10"/>
      <c r="SF283" s="10"/>
      <c r="SG283" s="10"/>
      <c r="SH283" s="10"/>
      <c r="SI283" s="10"/>
      <c r="SJ283" s="10"/>
      <c r="SK283" s="10"/>
      <c r="SL283" s="10"/>
      <c r="SM283" s="10"/>
      <c r="SN283" s="10"/>
      <c r="SO283" s="10"/>
      <c r="SP283" s="10"/>
      <c r="SQ283" s="10"/>
      <c r="SR283" s="10"/>
      <c r="SS283" s="10"/>
      <c r="ST283" s="10"/>
      <c r="SU283" s="10"/>
      <c r="SV283" s="10"/>
      <c r="SW283" s="10"/>
      <c r="SX283" s="10"/>
      <c r="SY283" s="10"/>
      <c r="SZ283" s="10"/>
      <c r="TA283" s="10"/>
      <c r="TB283" s="10"/>
      <c r="TC283" s="10"/>
      <c r="TD283" s="10"/>
      <c r="TE283" s="10"/>
      <c r="TF283" s="10"/>
      <c r="TG283" s="11">
        <f t="shared" si="15"/>
        <v>0</v>
      </c>
      <c r="TH283" s="9">
        <f t="shared" si="16"/>
        <v>0</v>
      </c>
    </row>
    <row r="284" spans="1:528" ht="16.2" thickBot="1" x14ac:dyDescent="0.35">
      <c r="A284" s="25"/>
      <c r="B284" s="20" t="s">
        <v>79</v>
      </c>
      <c r="C284" s="3">
        <f>AGOSTO!D288</f>
        <v>0</v>
      </c>
      <c r="D284" s="21">
        <f t="shared" si="12"/>
        <v>0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1">
        <f t="shared" si="15"/>
        <v>0</v>
      </c>
      <c r="TH284" s="9">
        <f t="shared" si="16"/>
        <v>0</v>
      </c>
    </row>
    <row r="285" spans="1:528" ht="15.6" thickBot="1" x14ac:dyDescent="0.3">
      <c r="A285" s="25" t="s">
        <v>807</v>
      </c>
      <c r="B285" s="18" t="s">
        <v>181</v>
      </c>
      <c r="C285" s="3">
        <f>AGOSTO!D289</f>
        <v>0</v>
      </c>
      <c r="D285" s="21">
        <f t="shared" si="12"/>
        <v>0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1">
        <f t="shared" si="15"/>
        <v>0</v>
      </c>
      <c r="TH285" s="9">
        <f t="shared" si="16"/>
        <v>0</v>
      </c>
    </row>
    <row r="286" spans="1:528" ht="15.6" thickBot="1" x14ac:dyDescent="0.3">
      <c r="A286" s="25" t="s">
        <v>808</v>
      </c>
      <c r="B286" s="18" t="s">
        <v>33</v>
      </c>
      <c r="C286" s="3">
        <f>AGOSTO!D290</f>
        <v>0</v>
      </c>
      <c r="D286" s="21">
        <f t="shared" si="12"/>
        <v>0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1">
        <f t="shared" si="15"/>
        <v>0</v>
      </c>
      <c r="TH286" s="9">
        <f t="shared" si="16"/>
        <v>0</v>
      </c>
    </row>
    <row r="287" spans="1:528" ht="15.6" thickBot="1" x14ac:dyDescent="0.3">
      <c r="A287" s="25" t="s">
        <v>809</v>
      </c>
      <c r="B287" s="18" t="s">
        <v>182</v>
      </c>
      <c r="C287" s="3">
        <f>AGOSTO!D291</f>
        <v>0</v>
      </c>
      <c r="D287" s="21">
        <f t="shared" si="12"/>
        <v>0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0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  <c r="SB287" s="10"/>
      <c r="SC287" s="10"/>
      <c r="SD287" s="10"/>
      <c r="SE287" s="10"/>
      <c r="SF287" s="10"/>
      <c r="SG287" s="10"/>
      <c r="SH287" s="10"/>
      <c r="SI287" s="10"/>
      <c r="SJ287" s="10"/>
      <c r="SK287" s="10"/>
      <c r="SL287" s="10"/>
      <c r="SM287" s="10"/>
      <c r="SN287" s="10"/>
      <c r="SO287" s="10"/>
      <c r="SP287" s="10"/>
      <c r="SQ287" s="10"/>
      <c r="SR287" s="10"/>
      <c r="SS287" s="10"/>
      <c r="ST287" s="10"/>
      <c r="SU287" s="10"/>
      <c r="SV287" s="10"/>
      <c r="SW287" s="10"/>
      <c r="SX287" s="10"/>
      <c r="SY287" s="10"/>
      <c r="SZ287" s="10"/>
      <c r="TA287" s="10"/>
      <c r="TB287" s="10"/>
      <c r="TC287" s="10"/>
      <c r="TD287" s="10"/>
      <c r="TE287" s="10"/>
      <c r="TF287" s="10"/>
      <c r="TG287" s="11">
        <f t="shared" si="15"/>
        <v>0</v>
      </c>
      <c r="TH287" s="9">
        <f t="shared" si="16"/>
        <v>0</v>
      </c>
    </row>
    <row r="288" spans="1:528" ht="16.2" thickBot="1" x14ac:dyDescent="0.35">
      <c r="A288" s="25"/>
      <c r="B288" s="20" t="s">
        <v>553</v>
      </c>
      <c r="C288" s="3">
        <f>AGOSTO!D292</f>
        <v>0</v>
      </c>
      <c r="D288" s="21">
        <f t="shared" si="12"/>
        <v>0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1">
        <f t="shared" si="15"/>
        <v>0</v>
      </c>
      <c r="TH288" s="9">
        <f t="shared" si="16"/>
        <v>0</v>
      </c>
    </row>
    <row r="289" spans="1:528" ht="15.6" thickBot="1" x14ac:dyDescent="0.3">
      <c r="A289" s="25" t="s">
        <v>827</v>
      </c>
      <c r="B289" s="18" t="s">
        <v>554</v>
      </c>
      <c r="C289" s="3">
        <f>AGOSTO!D293</f>
        <v>0</v>
      </c>
      <c r="D289" s="21">
        <f t="shared" si="12"/>
        <v>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>
        <f>60</f>
        <v>60</v>
      </c>
      <c r="V289" s="10"/>
      <c r="W289" s="10"/>
      <c r="X289" s="10">
        <f>20*60</f>
        <v>1200</v>
      </c>
      <c r="Y289" s="10">
        <f>12*60</f>
        <v>720</v>
      </c>
      <c r="Z289" s="10"/>
      <c r="AA289" s="10"/>
      <c r="AB289" s="10">
        <v>-1980</v>
      </c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>
        <f>9*60</f>
        <v>540</v>
      </c>
      <c r="BH289" s="10"/>
      <c r="BI289" s="10"/>
      <c r="BJ289" s="10"/>
      <c r="BK289" s="10">
        <f>60*24</f>
        <v>1440</v>
      </c>
      <c r="BL289" s="10">
        <f>-33*60</f>
        <v>-1980</v>
      </c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>
        <f>12*60</f>
        <v>720</v>
      </c>
      <c r="EV289" s="10"/>
      <c r="EW289" s="10">
        <f>21*60</f>
        <v>1260</v>
      </c>
      <c r="EX289" s="10">
        <v>-1980</v>
      </c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>
        <f>16*60</f>
        <v>960</v>
      </c>
      <c r="GP289" s="10"/>
      <c r="GQ289" s="10"/>
      <c r="GR289" s="10">
        <v>-960</v>
      </c>
      <c r="GS289" s="10"/>
      <c r="GT289" s="10"/>
      <c r="GU289" s="10"/>
      <c r="GV289" s="10"/>
      <c r="GW289" s="10"/>
      <c r="GX289" s="10"/>
      <c r="GY289" s="10"/>
      <c r="GZ289" s="10"/>
      <c r="HA289" s="10">
        <f>21*60</f>
        <v>1260</v>
      </c>
      <c r="HB289" s="10"/>
      <c r="HC289" s="10">
        <f>12*60</f>
        <v>720</v>
      </c>
      <c r="HD289" s="10"/>
      <c r="HE289" s="10"/>
      <c r="HF289" s="10">
        <v>-1980</v>
      </c>
      <c r="HG289" s="10"/>
      <c r="HH289" s="10"/>
      <c r="HI289" s="10">
        <v>300</v>
      </c>
      <c r="HJ289" s="10"/>
      <c r="HK289" s="10">
        <f>20*60</f>
        <v>1200</v>
      </c>
      <c r="HL289" s="10"/>
      <c r="HM289" s="10">
        <v>480</v>
      </c>
      <c r="HN289" s="10"/>
      <c r="HO289" s="10"/>
      <c r="HP289" s="10">
        <v>-1980</v>
      </c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>
        <f>11*60</f>
        <v>660</v>
      </c>
      <c r="JF289" s="10"/>
      <c r="JG289" s="10">
        <f>12*60</f>
        <v>720</v>
      </c>
      <c r="JH289" s="10"/>
      <c r="JI289" s="10">
        <v>600</v>
      </c>
      <c r="JJ289" s="10">
        <v>-1980</v>
      </c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>
        <v>120</v>
      </c>
      <c r="KF289" s="10"/>
      <c r="KG289" s="10">
        <f>18*60</f>
        <v>1080</v>
      </c>
      <c r="KH289" s="10"/>
      <c r="KI289" s="10">
        <f>5*60+60</f>
        <v>360</v>
      </c>
      <c r="KJ289" s="10"/>
      <c r="KK289" s="10"/>
      <c r="KL289" s="10">
        <v>-1560</v>
      </c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>
        <v>120</v>
      </c>
      <c r="MZ289" s="10"/>
      <c r="NA289" s="10">
        <f>16*60+60</f>
        <v>1020</v>
      </c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>
        <v>-1140</v>
      </c>
      <c r="NW289" s="10">
        <v>240</v>
      </c>
      <c r="NX289" s="10"/>
      <c r="NY289" s="10">
        <v>660</v>
      </c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>
        <v>120</v>
      </c>
      <c r="OL289" s="10">
        <v>-1020</v>
      </c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>
        <f>540+240</f>
        <v>780</v>
      </c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>
        <f>240</f>
        <v>240</v>
      </c>
      <c r="PT289" s="10">
        <v>-1020</v>
      </c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>
        <v>60</v>
      </c>
      <c r="QF289" s="10"/>
      <c r="QG289" s="10">
        <v>540</v>
      </c>
      <c r="QH289" s="10"/>
      <c r="QI289" s="10">
        <f>6*60</f>
        <v>360</v>
      </c>
      <c r="QJ289" s="10"/>
      <c r="QK289" s="10"/>
      <c r="QL289" s="10"/>
      <c r="QM289" s="10">
        <v>300</v>
      </c>
      <c r="QN289" s="10"/>
      <c r="QO289" s="10"/>
      <c r="QP289" s="10"/>
      <c r="QQ289" s="10"/>
      <c r="QR289" s="10">
        <v>-1260</v>
      </c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1">
        <f t="shared" si="15"/>
        <v>1320</v>
      </c>
      <c r="TH289" s="9">
        <f t="shared" si="16"/>
        <v>-780</v>
      </c>
    </row>
    <row r="290" spans="1:528" ht="16.2" thickBot="1" x14ac:dyDescent="0.35">
      <c r="A290" s="25"/>
      <c r="B290" s="20" t="s">
        <v>80</v>
      </c>
      <c r="C290" s="3">
        <f>AGOSTO!D294</f>
        <v>0</v>
      </c>
      <c r="D290" s="21">
        <f t="shared" si="12"/>
        <v>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1">
        <f t="shared" si="15"/>
        <v>0</v>
      </c>
      <c r="TH290" s="9">
        <f t="shared" si="16"/>
        <v>0</v>
      </c>
    </row>
    <row r="291" spans="1:528" ht="15.6" thickBot="1" x14ac:dyDescent="0.3">
      <c r="A291" s="25" t="s">
        <v>666</v>
      </c>
      <c r="B291" s="18" t="s">
        <v>81</v>
      </c>
      <c r="C291" s="3">
        <f>AGOSTO!D295</f>
        <v>0</v>
      </c>
      <c r="D291" s="21">
        <f t="shared" si="12"/>
        <v>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1">
        <f t="shared" si="15"/>
        <v>0</v>
      </c>
      <c r="TH291" s="9">
        <f t="shared" si="16"/>
        <v>0</v>
      </c>
    </row>
    <row r="292" spans="1:528" ht="15.6" thickBot="1" x14ac:dyDescent="0.3">
      <c r="A292" s="25" t="s">
        <v>667</v>
      </c>
      <c r="B292" s="18" t="s">
        <v>82</v>
      </c>
      <c r="C292" s="3">
        <f>AGOSTO!D296</f>
        <v>0</v>
      </c>
      <c r="D292" s="21">
        <f t="shared" si="12"/>
        <v>0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>
        <f>6*72+22</f>
        <v>454</v>
      </c>
      <c r="ED292" s="10">
        <v>-454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>
        <f>13</f>
        <v>13</v>
      </c>
      <c r="HJ292" s="10"/>
      <c r="HK292" s="10">
        <f>56+(72*7)</f>
        <v>560</v>
      </c>
      <c r="HL292" s="10"/>
      <c r="HM292" s="10"/>
      <c r="HN292" s="10">
        <v>-573</v>
      </c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>
        <f>72*3+54</f>
        <v>270</v>
      </c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>
        <v>-270</v>
      </c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1">
        <f t="shared" si="15"/>
        <v>0</v>
      </c>
      <c r="TH292" s="9">
        <f t="shared" si="16"/>
        <v>0</v>
      </c>
    </row>
    <row r="293" spans="1:528" ht="15.6" thickBot="1" x14ac:dyDescent="0.3">
      <c r="A293" s="25" t="s">
        <v>697</v>
      </c>
      <c r="B293" s="18" t="s">
        <v>1009</v>
      </c>
      <c r="C293" s="3">
        <f>AGOSTO!D297</f>
        <v>0</v>
      </c>
      <c r="D293" s="21">
        <f t="shared" si="12"/>
        <v>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>
        <v>72</v>
      </c>
      <c r="DT293" s="10"/>
      <c r="DU293" s="10">
        <f>5+72*4</f>
        <v>293</v>
      </c>
      <c r="DV293" s="10"/>
      <c r="DW293" s="10"/>
      <c r="DX293" s="10"/>
      <c r="DY293" s="10"/>
      <c r="DZ293" s="10"/>
      <c r="EA293" s="10"/>
      <c r="EB293" s="10"/>
      <c r="EC293" s="10"/>
      <c r="ED293" s="10">
        <v>-365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>
        <v>72</v>
      </c>
      <c r="HD293" s="10"/>
      <c r="HE293" s="10">
        <f>72*2+12</f>
        <v>156</v>
      </c>
      <c r="HF293" s="10"/>
      <c r="HG293" s="10"/>
      <c r="HH293" s="10"/>
      <c r="HI293" s="10"/>
      <c r="HJ293" s="10"/>
      <c r="HK293" s="10"/>
      <c r="HL293" s="10"/>
      <c r="HM293" s="10"/>
      <c r="HN293" s="10">
        <v>-228</v>
      </c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>
        <f>72*3</f>
        <v>216</v>
      </c>
      <c r="ND293" s="10"/>
      <c r="NE293" s="10"/>
      <c r="NF293" s="10"/>
      <c r="NG293" s="10">
        <f>72+42</f>
        <v>114</v>
      </c>
      <c r="NH293" s="10"/>
      <c r="NI293" s="10"/>
      <c r="NJ293" s="10"/>
      <c r="NK293" s="10"/>
      <c r="NL293" s="10">
        <v>-330</v>
      </c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>
        <v>10</v>
      </c>
      <c r="OJ293" s="10"/>
      <c r="OK293" s="10">
        <f>72*3</f>
        <v>216</v>
      </c>
      <c r="OL293" s="10"/>
      <c r="OM293" s="10">
        <f>72+72</f>
        <v>144</v>
      </c>
      <c r="ON293" s="10"/>
      <c r="OO293" s="10"/>
      <c r="OP293" s="10"/>
      <c r="OQ293" s="10"/>
      <c r="OR293" s="10"/>
      <c r="OS293" s="10">
        <v>72</v>
      </c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/>
      <c r="PW293" s="10"/>
      <c r="PX293" s="10"/>
      <c r="PY293" s="10"/>
      <c r="PZ293" s="10"/>
      <c r="QA293" s="10"/>
      <c r="QB293" s="10"/>
      <c r="QC293" s="10"/>
      <c r="QD293" s="10"/>
      <c r="QE293" s="10"/>
      <c r="QF293" s="10"/>
      <c r="QG293" s="10"/>
      <c r="QH293" s="10"/>
      <c r="QI293" s="10"/>
      <c r="QJ293" s="10"/>
      <c r="QK293" s="10"/>
      <c r="QL293" s="10"/>
      <c r="QM293" s="10"/>
      <c r="QN293" s="10">
        <v>-442</v>
      </c>
      <c r="QO293" s="10"/>
      <c r="QP293" s="10"/>
      <c r="QQ293" s="10"/>
      <c r="QR293" s="10"/>
      <c r="QS293" s="10"/>
      <c r="QT293" s="10"/>
      <c r="QU293" s="10"/>
      <c r="QV293" s="10"/>
      <c r="QW293" s="10"/>
      <c r="QX293" s="10"/>
      <c r="QY293" s="10"/>
      <c r="QZ293" s="10"/>
      <c r="RA293" s="10"/>
      <c r="RB293" s="10"/>
      <c r="RC293" s="10"/>
      <c r="RD293" s="10"/>
      <c r="RE293" s="10"/>
      <c r="RF293" s="10"/>
      <c r="RG293" s="10"/>
      <c r="RH293" s="10"/>
      <c r="RI293" s="10"/>
      <c r="RJ293" s="10"/>
      <c r="RK293" s="10"/>
      <c r="RL293" s="10"/>
      <c r="RM293" s="10"/>
      <c r="RN293" s="10"/>
      <c r="RO293" s="10"/>
      <c r="RP293" s="10"/>
      <c r="RQ293" s="10"/>
      <c r="RR293" s="10"/>
      <c r="RS293" s="10"/>
      <c r="RT293" s="10"/>
      <c r="RU293" s="10"/>
      <c r="RV293" s="10"/>
      <c r="RW293" s="10"/>
      <c r="RX293" s="10"/>
      <c r="RY293" s="10"/>
      <c r="RZ293" s="10"/>
      <c r="SA293" s="10"/>
      <c r="SB293" s="10"/>
      <c r="SC293" s="10"/>
      <c r="SD293" s="10"/>
      <c r="SE293" s="10"/>
      <c r="SF293" s="10"/>
      <c r="SG293" s="10"/>
      <c r="SH293" s="10"/>
      <c r="SI293" s="10"/>
      <c r="SJ293" s="10"/>
      <c r="SK293" s="10"/>
      <c r="SL293" s="10"/>
      <c r="SM293" s="10"/>
      <c r="SN293" s="10"/>
      <c r="SO293" s="10"/>
      <c r="SP293" s="10"/>
      <c r="SQ293" s="10"/>
      <c r="SR293" s="10"/>
      <c r="SS293" s="10"/>
      <c r="ST293" s="10"/>
      <c r="SU293" s="10"/>
      <c r="SV293" s="10"/>
      <c r="SW293" s="10"/>
      <c r="SX293" s="10"/>
      <c r="SY293" s="10"/>
      <c r="SZ293" s="10"/>
      <c r="TA293" s="10"/>
      <c r="TB293" s="10"/>
      <c r="TC293" s="10"/>
      <c r="TD293" s="10"/>
      <c r="TE293" s="10"/>
      <c r="TF293" s="10"/>
      <c r="TG293" s="11">
        <f t="shared" si="15"/>
        <v>0</v>
      </c>
      <c r="TH293" s="9">
        <f t="shared" si="16"/>
        <v>0</v>
      </c>
    </row>
    <row r="294" spans="1:528" ht="15.6" thickBot="1" x14ac:dyDescent="0.3">
      <c r="A294" s="25" t="s">
        <v>698</v>
      </c>
      <c r="B294" s="18" t="s">
        <v>1010</v>
      </c>
      <c r="C294" s="3">
        <f>AGOSTO!D298</f>
        <v>0</v>
      </c>
      <c r="D294" s="21">
        <f t="shared" si="12"/>
        <v>0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>
        <v>53</v>
      </c>
      <c r="DT294" s="10"/>
      <c r="DU294" s="10">
        <v>63</v>
      </c>
      <c r="DV294" s="10"/>
      <c r="DW294" s="10"/>
      <c r="DX294" s="10"/>
      <c r="DY294" s="10"/>
      <c r="DZ294" s="10"/>
      <c r="EA294" s="10"/>
      <c r="EB294" s="10"/>
      <c r="EC294" s="10"/>
      <c r="ED294" s="10">
        <v>-116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>
        <f>72+16+6</f>
        <v>94</v>
      </c>
      <c r="HL294" s="10"/>
      <c r="HM294" s="10"/>
      <c r="HN294" s="10">
        <v>-94</v>
      </c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>
        <f>72+72+13</f>
        <v>157</v>
      </c>
      <c r="NJ294" s="10"/>
      <c r="NK294" s="10"/>
      <c r="NL294" s="10">
        <v>-157</v>
      </c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>
        <v>72</v>
      </c>
      <c r="OT294" s="10"/>
      <c r="OU294" s="10"/>
      <c r="OV294" s="10"/>
      <c r="OW294" s="10"/>
      <c r="OX294" s="10"/>
      <c r="OY294" s="10"/>
      <c r="OZ294" s="10"/>
      <c r="PA294" s="10">
        <f>72+42</f>
        <v>114</v>
      </c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>
        <v>-186</v>
      </c>
      <c r="QO294" s="10"/>
      <c r="QP294" s="10"/>
      <c r="QQ294" s="10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  <c r="SB294" s="10"/>
      <c r="SC294" s="10"/>
      <c r="SD294" s="10"/>
      <c r="SE294" s="10"/>
      <c r="SF294" s="10"/>
      <c r="SG294" s="10"/>
      <c r="SH294" s="10"/>
      <c r="SI294" s="10"/>
      <c r="SJ294" s="10"/>
      <c r="SK294" s="10"/>
      <c r="SL294" s="10"/>
      <c r="SM294" s="10"/>
      <c r="SN294" s="10"/>
      <c r="SO294" s="10"/>
      <c r="SP294" s="10"/>
      <c r="SQ294" s="10"/>
      <c r="SR294" s="10"/>
      <c r="SS294" s="10"/>
      <c r="ST294" s="10"/>
      <c r="SU294" s="10"/>
      <c r="SV294" s="10"/>
      <c r="SW294" s="10"/>
      <c r="SX294" s="10"/>
      <c r="SY294" s="10"/>
      <c r="SZ294" s="10"/>
      <c r="TA294" s="10"/>
      <c r="TB294" s="10"/>
      <c r="TC294" s="10"/>
      <c r="TD294" s="10"/>
      <c r="TE294" s="10"/>
      <c r="TF294" s="10"/>
      <c r="TG294" s="11">
        <f t="shared" si="15"/>
        <v>0</v>
      </c>
      <c r="TH294" s="9">
        <f t="shared" si="16"/>
        <v>0</v>
      </c>
    </row>
    <row r="295" spans="1:528" ht="15.6" thickBot="1" x14ac:dyDescent="0.3">
      <c r="A295" s="25" t="s">
        <v>672</v>
      </c>
      <c r="B295" s="18" t="s">
        <v>1011</v>
      </c>
      <c r="C295" s="3">
        <f>AGOSTO!D299</f>
        <v>0</v>
      </c>
      <c r="D295" s="21">
        <f t="shared" si="12"/>
        <v>0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>
        <f>144+72+45</f>
        <v>261</v>
      </c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>
        <v>-261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>
        <f>72*4</f>
        <v>288</v>
      </c>
      <c r="HL295" s="10"/>
      <c r="HM295" s="10">
        <f>72+72+14</f>
        <v>158</v>
      </c>
      <c r="HN295" s="10">
        <v>-446</v>
      </c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>
        <f>(72*3)+34</f>
        <v>250</v>
      </c>
      <c r="NH295" s="10"/>
      <c r="NI295" s="10"/>
      <c r="NJ295" s="10"/>
      <c r="NK295" s="10"/>
      <c r="NL295" s="10">
        <v>-250</v>
      </c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>
        <f>4*72+34</f>
        <v>322</v>
      </c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/>
      <c r="PW295" s="10"/>
      <c r="PX295" s="10"/>
      <c r="PY295" s="10"/>
      <c r="PZ295" s="10"/>
      <c r="QA295" s="10"/>
      <c r="QB295" s="10"/>
      <c r="QC295" s="10"/>
      <c r="QD295" s="10"/>
      <c r="QE295" s="10"/>
      <c r="QF295" s="10"/>
      <c r="QG295" s="10"/>
      <c r="QH295" s="10"/>
      <c r="QI295" s="10"/>
      <c r="QJ295" s="10"/>
      <c r="QK295" s="10"/>
      <c r="QL295" s="10"/>
      <c r="QM295" s="10"/>
      <c r="QN295" s="10">
        <v>-322</v>
      </c>
      <c r="QO295" s="10"/>
      <c r="QP295" s="10"/>
      <c r="QQ295" s="10"/>
      <c r="QR295" s="10"/>
      <c r="QS295" s="10"/>
      <c r="QT295" s="10"/>
      <c r="QU295" s="10"/>
      <c r="QV295" s="10"/>
      <c r="QW295" s="10"/>
      <c r="QX295" s="10"/>
      <c r="QY295" s="10"/>
      <c r="QZ295" s="10"/>
      <c r="RA295" s="10"/>
      <c r="RB295" s="10"/>
      <c r="RC295" s="10"/>
      <c r="RD295" s="10"/>
      <c r="RE295" s="10"/>
      <c r="RF295" s="10"/>
      <c r="RG295" s="10"/>
      <c r="RH295" s="10"/>
      <c r="RI295" s="10"/>
      <c r="RJ295" s="10"/>
      <c r="RK295" s="10"/>
      <c r="RL295" s="10"/>
      <c r="RM295" s="10"/>
      <c r="RN295" s="10"/>
      <c r="RO295" s="10"/>
      <c r="RP295" s="10"/>
      <c r="RQ295" s="10"/>
      <c r="RR295" s="10"/>
      <c r="RS295" s="10"/>
      <c r="RT295" s="10"/>
      <c r="RU295" s="10"/>
      <c r="RV295" s="10"/>
      <c r="RW295" s="10"/>
      <c r="RX295" s="10"/>
      <c r="RY295" s="10"/>
      <c r="RZ295" s="10"/>
      <c r="SA295" s="10"/>
      <c r="SB295" s="10"/>
      <c r="SC295" s="10"/>
      <c r="SD295" s="10"/>
      <c r="SE295" s="10"/>
      <c r="SF295" s="10"/>
      <c r="SG295" s="10"/>
      <c r="SH295" s="10"/>
      <c r="SI295" s="10"/>
      <c r="SJ295" s="10"/>
      <c r="SK295" s="10"/>
      <c r="SL295" s="10"/>
      <c r="SM295" s="10"/>
      <c r="SN295" s="10"/>
      <c r="SO295" s="10"/>
      <c r="SP295" s="10"/>
      <c r="SQ295" s="10"/>
      <c r="SR295" s="10"/>
      <c r="SS295" s="10"/>
      <c r="ST295" s="10"/>
      <c r="SU295" s="10"/>
      <c r="SV295" s="10"/>
      <c r="SW295" s="10"/>
      <c r="SX295" s="10"/>
      <c r="SY295" s="10"/>
      <c r="SZ295" s="10"/>
      <c r="TA295" s="10"/>
      <c r="TB295" s="10"/>
      <c r="TC295" s="10"/>
      <c r="TD295" s="10"/>
      <c r="TE295" s="10"/>
      <c r="TF295" s="10"/>
      <c r="TG295" s="11">
        <f t="shared" si="15"/>
        <v>0</v>
      </c>
      <c r="TH295" s="9">
        <f t="shared" si="16"/>
        <v>0</v>
      </c>
    </row>
    <row r="296" spans="1:528" ht="15.6" thickBot="1" x14ac:dyDescent="0.3">
      <c r="A296" s="25" t="s">
        <v>673</v>
      </c>
      <c r="B296" s="18" t="s">
        <v>1012</v>
      </c>
      <c r="C296" s="3">
        <f>AGOSTO!D300</f>
        <v>0</v>
      </c>
      <c r="D296" s="21">
        <f t="shared" si="12"/>
        <v>0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>
        <f>144+22</f>
        <v>166</v>
      </c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>
        <v>-166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>
        <v>72</v>
      </c>
      <c r="HL296" s="10"/>
      <c r="HM296" s="10">
        <v>32</v>
      </c>
      <c r="HN296" s="10">
        <v>-104</v>
      </c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>
        <v>144</v>
      </c>
      <c r="NJ296" s="10"/>
      <c r="NK296" s="10">
        <v>36</v>
      </c>
      <c r="NL296" s="10">
        <v>-180</v>
      </c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>
        <v>72</v>
      </c>
      <c r="ON296" s="10"/>
      <c r="OO296" s="10">
        <v>51</v>
      </c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>
        <f>21+72+8</f>
        <v>101</v>
      </c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>
        <v>-224</v>
      </c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1">
        <f t="shared" si="15"/>
        <v>0</v>
      </c>
      <c r="TH296" s="9">
        <f t="shared" si="16"/>
        <v>0</v>
      </c>
    </row>
    <row r="297" spans="1:528" ht="15.6" thickBot="1" x14ac:dyDescent="0.3">
      <c r="A297" s="25" t="s">
        <v>833</v>
      </c>
      <c r="B297" s="18" t="s">
        <v>258</v>
      </c>
      <c r="C297" s="3">
        <f>AGOSTO!D301</f>
        <v>0</v>
      </c>
      <c r="D297" s="21">
        <f t="shared" si="12"/>
        <v>0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>
        <f>72+44</f>
        <v>116</v>
      </c>
      <c r="ED297" s="10">
        <v>-116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>
        <f>27+33</f>
        <v>60</v>
      </c>
      <c r="HN297" s="10">
        <v>-60</v>
      </c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>
        <f>72+12</f>
        <v>84</v>
      </c>
      <c r="NH297" s="10"/>
      <c r="NI297" s="10"/>
      <c r="NJ297" s="10"/>
      <c r="NK297" s="10"/>
      <c r="NL297" s="10">
        <v>-84</v>
      </c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>
        <v>67</v>
      </c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/>
      <c r="PW297" s="10"/>
      <c r="PX297" s="10"/>
      <c r="PY297" s="10"/>
      <c r="PZ297" s="10"/>
      <c r="QA297" s="10"/>
      <c r="QB297" s="10"/>
      <c r="QC297" s="10"/>
      <c r="QD297" s="10"/>
      <c r="QE297" s="10"/>
      <c r="QF297" s="10"/>
      <c r="QG297" s="10"/>
      <c r="QH297" s="10"/>
      <c r="QI297" s="10"/>
      <c r="QJ297" s="10"/>
      <c r="QK297" s="10"/>
      <c r="QL297" s="10"/>
      <c r="QM297" s="10"/>
      <c r="QN297" s="10">
        <v>-67</v>
      </c>
      <c r="QO297" s="10"/>
      <c r="QP297" s="10"/>
      <c r="QQ297" s="10"/>
      <c r="QR297" s="10"/>
      <c r="QS297" s="10"/>
      <c r="QT297" s="10"/>
      <c r="QU297" s="10"/>
      <c r="QV297" s="10"/>
      <c r="QW297" s="10"/>
      <c r="QX297" s="10"/>
      <c r="QY297" s="10"/>
      <c r="QZ297" s="10"/>
      <c r="RA297" s="10"/>
      <c r="RB297" s="10"/>
      <c r="RC297" s="10"/>
      <c r="RD297" s="10"/>
      <c r="RE297" s="10"/>
      <c r="RF297" s="10"/>
      <c r="RG297" s="10"/>
      <c r="RH297" s="10"/>
      <c r="RI297" s="10"/>
      <c r="RJ297" s="10"/>
      <c r="RK297" s="10"/>
      <c r="RL297" s="10"/>
      <c r="RM297" s="10"/>
      <c r="RN297" s="10"/>
      <c r="RO297" s="10"/>
      <c r="RP297" s="10"/>
      <c r="RQ297" s="10"/>
      <c r="RR297" s="10"/>
      <c r="RS297" s="10"/>
      <c r="RT297" s="10"/>
      <c r="RU297" s="10"/>
      <c r="RV297" s="10"/>
      <c r="RW297" s="10"/>
      <c r="RX297" s="10"/>
      <c r="RY297" s="10"/>
      <c r="RZ297" s="10"/>
      <c r="SA297" s="10"/>
      <c r="SB297" s="10"/>
      <c r="SC297" s="10"/>
      <c r="SD297" s="10"/>
      <c r="SE297" s="10"/>
      <c r="SF297" s="10"/>
      <c r="SG297" s="10"/>
      <c r="SH297" s="10"/>
      <c r="SI297" s="10"/>
      <c r="SJ297" s="10"/>
      <c r="SK297" s="10"/>
      <c r="SL297" s="10"/>
      <c r="SM297" s="10"/>
      <c r="SN297" s="10"/>
      <c r="SO297" s="10"/>
      <c r="SP297" s="10"/>
      <c r="SQ297" s="10"/>
      <c r="SR297" s="10"/>
      <c r="SS297" s="10"/>
      <c r="ST297" s="10"/>
      <c r="SU297" s="10"/>
      <c r="SV297" s="10"/>
      <c r="SW297" s="10"/>
      <c r="SX297" s="10"/>
      <c r="SY297" s="10"/>
      <c r="SZ297" s="10"/>
      <c r="TA297" s="10"/>
      <c r="TB297" s="10"/>
      <c r="TC297" s="10"/>
      <c r="TD297" s="10"/>
      <c r="TE297" s="10"/>
      <c r="TF297" s="10"/>
      <c r="TG297" s="11">
        <f t="shared" si="15"/>
        <v>0</v>
      </c>
      <c r="TH297" s="9">
        <f t="shared" si="16"/>
        <v>0</v>
      </c>
    </row>
    <row r="298" spans="1:528" ht="15.6" thickBot="1" x14ac:dyDescent="0.3">
      <c r="A298" s="25" t="s">
        <v>699</v>
      </c>
      <c r="B298" s="18" t="s">
        <v>1013</v>
      </c>
      <c r="C298" s="3">
        <f>AGOSTO!D302</f>
        <v>0</v>
      </c>
      <c r="D298" s="21">
        <f t="shared" si="12"/>
        <v>0</v>
      </c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>
        <f>144+12</f>
        <v>156</v>
      </c>
      <c r="ED298" s="10">
        <v>-156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>
        <v>45</v>
      </c>
      <c r="HN298" s="10">
        <v>-45</v>
      </c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>
        <f>72+44</f>
        <v>116</v>
      </c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>
        <v>-116</v>
      </c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1">
        <f t="shared" si="15"/>
        <v>0</v>
      </c>
      <c r="TH298" s="9">
        <f t="shared" si="16"/>
        <v>0</v>
      </c>
    </row>
    <row r="299" spans="1:528" ht="15.6" thickBot="1" x14ac:dyDescent="0.3">
      <c r="A299" s="25" t="s">
        <v>700</v>
      </c>
      <c r="B299" s="18" t="s">
        <v>1014</v>
      </c>
      <c r="C299" s="3">
        <f>AGOSTO!D303</f>
        <v>0</v>
      </c>
      <c r="D299" s="21">
        <f t="shared" si="12"/>
        <v>30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>
        <f>72+35</f>
        <v>107</v>
      </c>
      <c r="DX299" s="10"/>
      <c r="DY299" s="10"/>
      <c r="DZ299" s="10"/>
      <c r="EA299" s="10"/>
      <c r="EB299" s="10"/>
      <c r="EC299" s="10"/>
      <c r="ED299" s="10">
        <v>-107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>
        <v>40</v>
      </c>
      <c r="HN299" s="10">
        <v>-40</v>
      </c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>
        <v>67</v>
      </c>
      <c r="NH299" s="10"/>
      <c r="NI299" s="10"/>
      <c r="NJ299" s="10"/>
      <c r="NK299" s="10">
        <f>72+11</f>
        <v>83</v>
      </c>
      <c r="NL299" s="10">
        <f>-67-83</f>
        <v>-150</v>
      </c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>
        <f>72+30</f>
        <v>102</v>
      </c>
      <c r="OJ299" s="10"/>
      <c r="OK299" s="10"/>
      <c r="OL299" s="10"/>
      <c r="OM299" s="10">
        <v>61</v>
      </c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/>
      <c r="PW299" s="10"/>
      <c r="PX299" s="10"/>
      <c r="PY299" s="10"/>
      <c r="PZ299" s="10"/>
      <c r="QA299" s="10"/>
      <c r="QB299" s="10"/>
      <c r="QC299" s="10"/>
      <c r="QD299" s="10"/>
      <c r="QE299" s="10"/>
      <c r="QF299" s="10"/>
      <c r="QG299" s="10"/>
      <c r="QH299" s="10"/>
      <c r="QI299" s="10"/>
      <c r="QJ299" s="10"/>
      <c r="QK299" s="10"/>
      <c r="QL299" s="10"/>
      <c r="QM299" s="10"/>
      <c r="QN299" s="10">
        <v>-133</v>
      </c>
      <c r="QO299" s="10"/>
      <c r="QP299" s="10"/>
      <c r="QQ299" s="10"/>
      <c r="QR299" s="10"/>
      <c r="QS299" s="10"/>
      <c r="QT299" s="10"/>
      <c r="QU299" s="10"/>
      <c r="QV299" s="10"/>
      <c r="QW299" s="10"/>
      <c r="QX299" s="10"/>
      <c r="QY299" s="10"/>
      <c r="QZ299" s="10"/>
      <c r="RA299" s="10"/>
      <c r="RB299" s="10"/>
      <c r="RC299" s="10"/>
      <c r="RD299" s="10"/>
      <c r="RE299" s="10"/>
      <c r="RF299" s="10"/>
      <c r="RG299" s="10"/>
      <c r="RH299" s="10"/>
      <c r="RI299" s="10"/>
      <c r="RJ299" s="10"/>
      <c r="RK299" s="10"/>
      <c r="RL299" s="10"/>
      <c r="RM299" s="10"/>
      <c r="RN299" s="10"/>
      <c r="RO299" s="10"/>
      <c r="RP299" s="10"/>
      <c r="RQ299" s="10"/>
      <c r="RR299" s="10"/>
      <c r="RS299" s="10"/>
      <c r="RT299" s="10"/>
      <c r="RU299" s="10"/>
      <c r="RV299" s="10"/>
      <c r="RW299" s="10"/>
      <c r="RX299" s="10"/>
      <c r="RY299" s="10"/>
      <c r="RZ299" s="10"/>
      <c r="SA299" s="10"/>
      <c r="SB299" s="10"/>
      <c r="SC299" s="10"/>
      <c r="SD299" s="10"/>
      <c r="SE299" s="10"/>
      <c r="SF299" s="10"/>
      <c r="SG299" s="10"/>
      <c r="SH299" s="10"/>
      <c r="SI299" s="10"/>
      <c r="SJ299" s="10"/>
      <c r="SK299" s="10"/>
      <c r="SL299" s="10"/>
      <c r="SM299" s="10"/>
      <c r="SN299" s="10"/>
      <c r="SO299" s="10"/>
      <c r="SP299" s="10"/>
      <c r="SQ299" s="10"/>
      <c r="SR299" s="10"/>
      <c r="SS299" s="10"/>
      <c r="ST299" s="10"/>
      <c r="SU299" s="10"/>
      <c r="SV299" s="10"/>
      <c r="SW299" s="10"/>
      <c r="SX299" s="10"/>
      <c r="SY299" s="10"/>
      <c r="SZ299" s="10"/>
      <c r="TA299" s="10"/>
      <c r="TB299" s="10"/>
      <c r="TC299" s="10"/>
      <c r="TD299" s="10"/>
      <c r="TE299" s="10"/>
      <c r="TF299" s="10"/>
      <c r="TG299" s="11">
        <f t="shared" si="15"/>
        <v>0</v>
      </c>
      <c r="TH299" s="9">
        <f t="shared" si="16"/>
        <v>0</v>
      </c>
    </row>
    <row r="300" spans="1:528" ht="15.6" thickBot="1" x14ac:dyDescent="0.3">
      <c r="A300" s="25" t="s">
        <v>701</v>
      </c>
      <c r="B300" s="18" t="s">
        <v>476</v>
      </c>
      <c r="C300" s="3">
        <f>AGOSTO!D304</f>
        <v>0</v>
      </c>
      <c r="D300" s="21">
        <f t="shared" si="12"/>
        <v>0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>
        <f>72*3+34</f>
        <v>250</v>
      </c>
      <c r="DV300" s="10"/>
      <c r="DW300" s="10"/>
      <c r="DX300" s="10"/>
      <c r="DY300" s="10"/>
      <c r="DZ300" s="10"/>
      <c r="EA300" s="10"/>
      <c r="EB300" s="10"/>
      <c r="EC300" s="10"/>
      <c r="ED300" s="10">
        <v>-250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>
        <f>7+72+72+59</f>
        <v>210</v>
      </c>
      <c r="HJ300" s="10"/>
      <c r="HK300" s="10"/>
      <c r="HL300" s="10"/>
      <c r="HM300" s="10"/>
      <c r="HN300" s="10">
        <v>-210</v>
      </c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>
        <v>72</v>
      </c>
      <c r="OF300" s="10"/>
      <c r="OG300" s="10"/>
      <c r="OH300" s="10"/>
      <c r="OI300" s="10">
        <f>72+44</f>
        <v>116</v>
      </c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>
        <v>-188</v>
      </c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1">
        <f t="shared" si="15"/>
        <v>0</v>
      </c>
      <c r="TH300" s="9">
        <f t="shared" si="16"/>
        <v>0</v>
      </c>
    </row>
    <row r="301" spans="1:528" ht="15.6" thickBot="1" x14ac:dyDescent="0.3">
      <c r="A301" s="25" t="s">
        <v>702</v>
      </c>
      <c r="B301" s="18" t="s">
        <v>479</v>
      </c>
      <c r="C301" s="3">
        <f>AGOSTO!D305</f>
        <v>0</v>
      </c>
      <c r="D301" s="21">
        <f t="shared" si="12"/>
        <v>0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>
        <v>63</v>
      </c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>
        <v>-63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>
        <v>60</v>
      </c>
      <c r="HF301" s="10"/>
      <c r="HG301" s="10"/>
      <c r="HH301" s="10"/>
      <c r="HI301" s="10">
        <f>72+65</f>
        <v>137</v>
      </c>
      <c r="HJ301" s="10"/>
      <c r="HK301" s="10"/>
      <c r="HL301" s="10"/>
      <c r="HM301" s="10"/>
      <c r="HN301" s="10">
        <v>-197</v>
      </c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0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  <c r="SB301" s="10"/>
      <c r="SC301" s="10"/>
      <c r="SD301" s="10"/>
      <c r="SE301" s="10"/>
      <c r="SF301" s="10"/>
      <c r="SG301" s="10"/>
      <c r="SH301" s="10"/>
      <c r="SI301" s="10"/>
      <c r="SJ301" s="10"/>
      <c r="SK301" s="10"/>
      <c r="SL301" s="10"/>
      <c r="SM301" s="10"/>
      <c r="SN301" s="10"/>
      <c r="SO301" s="10"/>
      <c r="SP301" s="10"/>
      <c r="SQ301" s="10"/>
      <c r="SR301" s="10"/>
      <c r="SS301" s="10"/>
      <c r="ST301" s="10"/>
      <c r="SU301" s="10"/>
      <c r="SV301" s="10"/>
      <c r="SW301" s="10"/>
      <c r="SX301" s="10"/>
      <c r="SY301" s="10"/>
      <c r="SZ301" s="10"/>
      <c r="TA301" s="10"/>
      <c r="TB301" s="10"/>
      <c r="TC301" s="10"/>
      <c r="TD301" s="10"/>
      <c r="TE301" s="10"/>
      <c r="TF301" s="10"/>
      <c r="TG301" s="11">
        <f t="shared" si="15"/>
        <v>0</v>
      </c>
      <c r="TH301" s="9">
        <f t="shared" si="16"/>
        <v>0</v>
      </c>
    </row>
    <row r="302" spans="1:528" ht="15.6" thickBot="1" x14ac:dyDescent="0.3">
      <c r="A302" s="25" t="s">
        <v>703</v>
      </c>
      <c r="B302" s="18" t="s">
        <v>477</v>
      </c>
      <c r="C302" s="3">
        <f>AGOSTO!D306</f>
        <v>0</v>
      </c>
      <c r="D302" s="21">
        <f t="shared" si="12"/>
        <v>0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>
        <f>72+72+34</f>
        <v>178</v>
      </c>
      <c r="DX302" s="10"/>
      <c r="DY302" s="10"/>
      <c r="DZ302" s="10"/>
      <c r="EA302" s="10"/>
      <c r="EB302" s="10"/>
      <c r="EC302" s="10">
        <v>72</v>
      </c>
      <c r="ED302" s="10">
        <v>-250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>
        <f>72*3+19</f>
        <v>235</v>
      </c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>
        <v>-235</v>
      </c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>
        <v>38</v>
      </c>
      <c r="NH302" s="10"/>
      <c r="NI302" s="10"/>
      <c r="NJ302" s="10"/>
      <c r="NK302" s="10"/>
      <c r="NL302" s="10">
        <v>-38</v>
      </c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>
        <v>72</v>
      </c>
      <c r="OD302" s="10"/>
      <c r="OE302" s="10">
        <f>72+72+48</f>
        <v>192</v>
      </c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>
        <v>-264</v>
      </c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1">
        <f t="shared" si="15"/>
        <v>0</v>
      </c>
      <c r="TH302" s="9">
        <f t="shared" si="16"/>
        <v>0</v>
      </c>
    </row>
    <row r="303" spans="1:528" ht="16.2" thickBot="1" x14ac:dyDescent="0.35">
      <c r="A303" s="25"/>
      <c r="B303" s="20" t="s">
        <v>1146</v>
      </c>
      <c r="C303" s="3">
        <f>AGOSTO!D307</f>
        <v>0</v>
      </c>
      <c r="D303" s="21">
        <f t="shared" si="12"/>
        <v>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/>
      <c r="PW303" s="10"/>
      <c r="PX303" s="10"/>
      <c r="PY303" s="10"/>
      <c r="PZ303" s="10"/>
      <c r="QA303" s="10"/>
      <c r="QB303" s="10"/>
      <c r="QC303" s="10"/>
      <c r="QD303" s="10"/>
      <c r="QE303" s="10"/>
      <c r="QF303" s="10"/>
      <c r="QG303" s="10"/>
      <c r="QH303" s="10"/>
      <c r="QI303" s="10"/>
      <c r="QJ303" s="10"/>
      <c r="QK303" s="10"/>
      <c r="QL303" s="10"/>
      <c r="QM303" s="10"/>
      <c r="QN303" s="10"/>
      <c r="QO303" s="10"/>
      <c r="QP303" s="10"/>
      <c r="QQ303" s="10"/>
      <c r="QR303" s="10"/>
      <c r="QS303" s="10"/>
      <c r="QT303" s="10"/>
      <c r="QU303" s="10"/>
      <c r="QV303" s="10"/>
      <c r="QW303" s="10"/>
      <c r="QX303" s="10"/>
      <c r="QY303" s="10"/>
      <c r="QZ303" s="10"/>
      <c r="RA303" s="10"/>
      <c r="RB303" s="10"/>
      <c r="RC303" s="10"/>
      <c r="RD303" s="10"/>
      <c r="RE303" s="10"/>
      <c r="RF303" s="10"/>
      <c r="RG303" s="10"/>
      <c r="RH303" s="10"/>
      <c r="RI303" s="10"/>
      <c r="RJ303" s="10"/>
      <c r="RK303" s="10"/>
      <c r="RL303" s="10"/>
      <c r="RM303" s="10"/>
      <c r="RN303" s="10"/>
      <c r="RO303" s="10"/>
      <c r="RP303" s="10"/>
      <c r="RQ303" s="10"/>
      <c r="RR303" s="10"/>
      <c r="RS303" s="10"/>
      <c r="RT303" s="10"/>
      <c r="RU303" s="10"/>
      <c r="RV303" s="10"/>
      <c r="RW303" s="10"/>
      <c r="RX303" s="10"/>
      <c r="RY303" s="10"/>
      <c r="RZ303" s="10"/>
      <c r="SA303" s="10"/>
      <c r="SB303" s="10"/>
      <c r="SC303" s="10"/>
      <c r="SD303" s="10"/>
      <c r="SE303" s="10"/>
      <c r="SF303" s="10"/>
      <c r="SG303" s="10"/>
      <c r="SH303" s="10"/>
      <c r="SI303" s="10"/>
      <c r="SJ303" s="10"/>
      <c r="SK303" s="10"/>
      <c r="SL303" s="10"/>
      <c r="SM303" s="10"/>
      <c r="SN303" s="10"/>
      <c r="SO303" s="10"/>
      <c r="SP303" s="10"/>
      <c r="SQ303" s="10"/>
      <c r="SR303" s="10"/>
      <c r="SS303" s="10"/>
      <c r="ST303" s="10"/>
      <c r="SU303" s="10"/>
      <c r="SV303" s="10"/>
      <c r="SW303" s="10"/>
      <c r="SX303" s="10"/>
      <c r="SY303" s="10"/>
      <c r="SZ303" s="10"/>
      <c r="TA303" s="10"/>
      <c r="TB303" s="10"/>
      <c r="TC303" s="10"/>
      <c r="TD303" s="10"/>
      <c r="TE303" s="10"/>
      <c r="TF303" s="10"/>
      <c r="TG303" s="11">
        <f t="shared" si="15"/>
        <v>0</v>
      </c>
      <c r="TH303" s="9">
        <f t="shared" si="16"/>
        <v>0</v>
      </c>
    </row>
    <row r="304" spans="1:528" ht="15.6" thickBot="1" x14ac:dyDescent="0.3">
      <c r="A304" s="25" t="s">
        <v>1147</v>
      </c>
      <c r="B304" s="18" t="s">
        <v>1148</v>
      </c>
      <c r="C304" s="3">
        <f>AGOSTO!D308</f>
        <v>0</v>
      </c>
      <c r="D304" s="21">
        <f t="shared" si="12"/>
        <v>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>
        <f>72+72+13</f>
        <v>157</v>
      </c>
      <c r="LF304" s="10"/>
      <c r="LG304" s="10"/>
      <c r="LH304" s="10"/>
      <c r="LI304" s="10">
        <v>59</v>
      </c>
      <c r="LJ304" s="10"/>
      <c r="LK304" s="10"/>
      <c r="LL304" s="10"/>
      <c r="LM304" s="10"/>
      <c r="LN304" s="10"/>
      <c r="LO304" s="10"/>
      <c r="LP304" s="10"/>
      <c r="LQ304" s="10"/>
      <c r="LR304" s="10">
        <v>-216</v>
      </c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1">
        <f t="shared" si="15"/>
        <v>0</v>
      </c>
      <c r="TH304" s="9">
        <f t="shared" si="16"/>
        <v>0</v>
      </c>
    </row>
    <row r="305" spans="1:528" ht="15.6" thickBot="1" x14ac:dyDescent="0.3">
      <c r="A305" s="25" t="s">
        <v>1149</v>
      </c>
      <c r="B305" s="18" t="s">
        <v>1150</v>
      </c>
      <c r="C305" s="3">
        <f>AGOSTO!D309</f>
        <v>0</v>
      </c>
      <c r="D305" s="21">
        <f t="shared" si="12"/>
        <v>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>
        <v>66</v>
      </c>
      <c r="LF305" s="10"/>
      <c r="LG305" s="10"/>
      <c r="LH305" s="10"/>
      <c r="LI305" s="10"/>
      <c r="LJ305" s="10"/>
      <c r="LK305" s="10">
        <v>6</v>
      </c>
      <c r="LL305" s="10"/>
      <c r="LM305" s="10"/>
      <c r="LN305" s="10"/>
      <c r="LO305" s="10"/>
      <c r="LP305" s="10"/>
      <c r="LQ305" s="10"/>
      <c r="LR305" s="10">
        <v>-72</v>
      </c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/>
      <c r="PW305" s="10"/>
      <c r="PX305" s="10"/>
      <c r="PY305" s="10"/>
      <c r="PZ305" s="10"/>
      <c r="QA305" s="10"/>
      <c r="QB305" s="10"/>
      <c r="QC305" s="10"/>
      <c r="QD305" s="10"/>
      <c r="QE305" s="10"/>
      <c r="QF305" s="10"/>
      <c r="QG305" s="10"/>
      <c r="QH305" s="10"/>
      <c r="QI305" s="10"/>
      <c r="QJ305" s="10"/>
      <c r="QK305" s="10"/>
      <c r="QL305" s="10"/>
      <c r="QM305" s="10"/>
      <c r="QN305" s="10"/>
      <c r="QO305" s="10"/>
      <c r="QP305" s="10"/>
      <c r="QQ305" s="10"/>
      <c r="QR305" s="10"/>
      <c r="QS305" s="10"/>
      <c r="QT305" s="10"/>
      <c r="QU305" s="10"/>
      <c r="QV305" s="10"/>
      <c r="QW305" s="10"/>
      <c r="QX305" s="10"/>
      <c r="QY305" s="10"/>
      <c r="QZ305" s="10"/>
      <c r="RA305" s="10"/>
      <c r="RB305" s="10"/>
      <c r="RC305" s="10"/>
      <c r="RD305" s="10"/>
      <c r="RE305" s="10"/>
      <c r="RF305" s="10"/>
      <c r="RG305" s="10"/>
      <c r="RH305" s="10"/>
      <c r="RI305" s="10"/>
      <c r="RJ305" s="10"/>
      <c r="RK305" s="10"/>
      <c r="RL305" s="10"/>
      <c r="RM305" s="10"/>
      <c r="RN305" s="10"/>
      <c r="RO305" s="10"/>
      <c r="RP305" s="10"/>
      <c r="RQ305" s="10"/>
      <c r="RR305" s="10"/>
      <c r="RS305" s="10"/>
      <c r="RT305" s="10"/>
      <c r="RU305" s="10"/>
      <c r="RV305" s="10"/>
      <c r="RW305" s="10"/>
      <c r="RX305" s="10"/>
      <c r="RY305" s="10"/>
      <c r="RZ305" s="10"/>
      <c r="SA305" s="10"/>
      <c r="SB305" s="10"/>
      <c r="SC305" s="10"/>
      <c r="SD305" s="10"/>
      <c r="SE305" s="10"/>
      <c r="SF305" s="10"/>
      <c r="SG305" s="10"/>
      <c r="SH305" s="10"/>
      <c r="SI305" s="10"/>
      <c r="SJ305" s="10"/>
      <c r="SK305" s="10"/>
      <c r="SL305" s="10"/>
      <c r="SM305" s="10"/>
      <c r="SN305" s="10"/>
      <c r="SO305" s="10"/>
      <c r="SP305" s="10"/>
      <c r="SQ305" s="10"/>
      <c r="SR305" s="10"/>
      <c r="SS305" s="10"/>
      <c r="ST305" s="10"/>
      <c r="SU305" s="10"/>
      <c r="SV305" s="10"/>
      <c r="SW305" s="10"/>
      <c r="SX305" s="10"/>
      <c r="SY305" s="10"/>
      <c r="SZ305" s="10"/>
      <c r="TA305" s="10"/>
      <c r="TB305" s="10"/>
      <c r="TC305" s="10"/>
      <c r="TD305" s="10"/>
      <c r="TE305" s="10"/>
      <c r="TF305" s="10"/>
      <c r="TG305" s="11">
        <f t="shared" si="15"/>
        <v>0</v>
      </c>
      <c r="TH305" s="9">
        <f t="shared" si="16"/>
        <v>0</v>
      </c>
    </row>
    <row r="306" spans="1:528" ht="15.6" thickBot="1" x14ac:dyDescent="0.3">
      <c r="A306" s="25" t="s">
        <v>1151</v>
      </c>
      <c r="B306" s="18" t="s">
        <v>1152</v>
      </c>
      <c r="C306" s="3">
        <f>AGOSTO!D310</f>
        <v>0</v>
      </c>
      <c r="D306" s="21">
        <f t="shared" si="12"/>
        <v>0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>
        <v>72</v>
      </c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>
        <v>-72</v>
      </c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1">
        <f t="shared" si="15"/>
        <v>0</v>
      </c>
      <c r="TH306" s="9">
        <f t="shared" si="16"/>
        <v>0</v>
      </c>
    </row>
    <row r="307" spans="1:528" ht="15.6" thickBot="1" x14ac:dyDescent="0.3">
      <c r="A307" s="25" t="s">
        <v>1153</v>
      </c>
      <c r="B307" s="18" t="s">
        <v>1154</v>
      </c>
      <c r="C307" s="3">
        <f>AGOSTO!D311</f>
        <v>0</v>
      </c>
      <c r="D307" s="21">
        <f t="shared" si="12"/>
        <v>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>
        <v>72</v>
      </c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>
        <v>-72</v>
      </c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0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  <c r="SB307" s="10"/>
      <c r="SC307" s="10"/>
      <c r="SD307" s="10"/>
      <c r="SE307" s="10"/>
      <c r="SF307" s="10"/>
      <c r="SG307" s="10"/>
      <c r="SH307" s="10"/>
      <c r="SI307" s="10"/>
      <c r="SJ307" s="10"/>
      <c r="SK307" s="10"/>
      <c r="SL307" s="10"/>
      <c r="SM307" s="10"/>
      <c r="SN307" s="10"/>
      <c r="SO307" s="10"/>
      <c r="SP307" s="10"/>
      <c r="SQ307" s="10"/>
      <c r="SR307" s="10"/>
      <c r="SS307" s="10"/>
      <c r="ST307" s="10"/>
      <c r="SU307" s="10"/>
      <c r="SV307" s="10"/>
      <c r="SW307" s="10"/>
      <c r="SX307" s="10"/>
      <c r="SY307" s="10"/>
      <c r="SZ307" s="10"/>
      <c r="TA307" s="10"/>
      <c r="TB307" s="10"/>
      <c r="TC307" s="10"/>
      <c r="TD307" s="10"/>
      <c r="TE307" s="10"/>
      <c r="TF307" s="10"/>
      <c r="TG307" s="11">
        <f t="shared" si="15"/>
        <v>0</v>
      </c>
      <c r="TH307" s="9">
        <f t="shared" si="16"/>
        <v>0</v>
      </c>
    </row>
    <row r="308" spans="1:528" ht="15.6" thickBot="1" x14ac:dyDescent="0.3">
      <c r="A308" s="25" t="s">
        <v>1155</v>
      </c>
      <c r="B308" s="18" t="s">
        <v>1156</v>
      </c>
      <c r="C308" s="3">
        <f>AGOSTO!D312</f>
        <v>0</v>
      </c>
      <c r="D308" s="21">
        <f t="shared" si="12"/>
        <v>0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>
        <f>95+95+77</f>
        <v>267</v>
      </c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>
        <v>-267</v>
      </c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1">
        <f t="shared" si="15"/>
        <v>0</v>
      </c>
      <c r="TH308" s="9">
        <f t="shared" si="16"/>
        <v>0</v>
      </c>
    </row>
    <row r="309" spans="1:528" ht="15.6" thickBot="1" x14ac:dyDescent="0.3">
      <c r="A309" s="25" t="s">
        <v>1157</v>
      </c>
      <c r="B309" s="18" t="s">
        <v>1158</v>
      </c>
      <c r="C309" s="3">
        <f>AGOSTO!D313</f>
        <v>0</v>
      </c>
      <c r="D309" s="21">
        <f t="shared" si="12"/>
        <v>0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>
        <f>95+95+92</f>
        <v>282</v>
      </c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>
        <v>-282</v>
      </c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/>
      <c r="PW309" s="10"/>
      <c r="PX309" s="10"/>
      <c r="PY309" s="10"/>
      <c r="PZ309" s="10"/>
      <c r="QA309" s="10"/>
      <c r="QB309" s="10"/>
      <c r="QC309" s="10"/>
      <c r="QD309" s="10"/>
      <c r="QE309" s="10"/>
      <c r="QF309" s="10"/>
      <c r="QG309" s="10"/>
      <c r="QH309" s="10"/>
      <c r="QI309" s="10"/>
      <c r="QJ309" s="10"/>
      <c r="QK309" s="10"/>
      <c r="QL309" s="10"/>
      <c r="QM309" s="10"/>
      <c r="QN309" s="10"/>
      <c r="QO309" s="10"/>
      <c r="QP309" s="10"/>
      <c r="QQ309" s="10"/>
      <c r="QR309" s="10"/>
      <c r="QS309" s="10"/>
      <c r="QT309" s="10"/>
      <c r="QU309" s="10"/>
      <c r="QV309" s="10"/>
      <c r="QW309" s="10"/>
      <c r="QX309" s="10"/>
      <c r="QY309" s="10"/>
      <c r="QZ309" s="10"/>
      <c r="RA309" s="10"/>
      <c r="RB309" s="10"/>
      <c r="RC309" s="10"/>
      <c r="RD309" s="10"/>
      <c r="RE309" s="10"/>
      <c r="RF309" s="10"/>
      <c r="RG309" s="10"/>
      <c r="RH309" s="10"/>
      <c r="RI309" s="10"/>
      <c r="RJ309" s="10"/>
      <c r="RK309" s="10"/>
      <c r="RL309" s="10"/>
      <c r="RM309" s="10"/>
      <c r="RN309" s="10"/>
      <c r="RO309" s="10"/>
      <c r="RP309" s="10"/>
      <c r="RQ309" s="10"/>
      <c r="RR309" s="10"/>
      <c r="RS309" s="10"/>
      <c r="RT309" s="10"/>
      <c r="RU309" s="10"/>
      <c r="RV309" s="10"/>
      <c r="RW309" s="10"/>
      <c r="RX309" s="10"/>
      <c r="RY309" s="10"/>
      <c r="RZ309" s="10"/>
      <c r="SA309" s="10"/>
      <c r="SB309" s="10"/>
      <c r="SC309" s="10"/>
      <c r="SD309" s="10"/>
      <c r="SE309" s="10"/>
      <c r="SF309" s="10"/>
      <c r="SG309" s="10"/>
      <c r="SH309" s="10"/>
      <c r="SI309" s="10"/>
      <c r="SJ309" s="10"/>
      <c r="SK309" s="10"/>
      <c r="SL309" s="10"/>
      <c r="SM309" s="10"/>
      <c r="SN309" s="10"/>
      <c r="SO309" s="10"/>
      <c r="SP309" s="10"/>
      <c r="SQ309" s="10"/>
      <c r="SR309" s="10"/>
      <c r="SS309" s="10"/>
      <c r="ST309" s="10"/>
      <c r="SU309" s="10"/>
      <c r="SV309" s="10"/>
      <c r="SW309" s="10"/>
      <c r="SX309" s="10"/>
      <c r="SY309" s="10"/>
      <c r="SZ309" s="10"/>
      <c r="TA309" s="10"/>
      <c r="TB309" s="10"/>
      <c r="TC309" s="10"/>
      <c r="TD309" s="10"/>
      <c r="TE309" s="10"/>
      <c r="TF309" s="10"/>
      <c r="TG309" s="11">
        <f t="shared" si="15"/>
        <v>0</v>
      </c>
      <c r="TH309" s="9">
        <f t="shared" si="16"/>
        <v>0</v>
      </c>
    </row>
    <row r="310" spans="1:528" ht="15.6" thickBot="1" x14ac:dyDescent="0.3">
      <c r="A310" s="25" t="s">
        <v>1159</v>
      </c>
      <c r="B310" s="18" t="s">
        <v>1160</v>
      </c>
      <c r="C310" s="3">
        <f>AGOSTO!D314</f>
        <v>57</v>
      </c>
      <c r="D310" s="21">
        <f t="shared" si="12"/>
        <v>0</v>
      </c>
      <c r="E310" s="10"/>
      <c r="F310" s="10"/>
      <c r="G310" s="10"/>
      <c r="H310" s="10">
        <v>-57</v>
      </c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>
        <v>112</v>
      </c>
      <c r="DF310" s="10">
        <v>-112</v>
      </c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>
        <f>95+37</f>
        <v>132</v>
      </c>
      <c r="LJ310" s="10"/>
      <c r="LK310" s="10"/>
      <c r="LL310" s="10"/>
      <c r="LM310" s="10"/>
      <c r="LN310" s="10"/>
      <c r="LO310" s="10"/>
      <c r="LP310" s="10"/>
      <c r="LQ310" s="10"/>
      <c r="LR310" s="10">
        <v>-132</v>
      </c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1">
        <f t="shared" si="15"/>
        <v>0</v>
      </c>
      <c r="TH310" s="9">
        <f t="shared" si="16"/>
        <v>-57</v>
      </c>
    </row>
    <row r="311" spans="1:528" ht="16.2" thickBot="1" x14ac:dyDescent="0.35">
      <c r="A311" s="52" t="s">
        <v>347</v>
      </c>
      <c r="B311" s="23" t="s">
        <v>1161</v>
      </c>
      <c r="C311" s="3">
        <f>AGOSTO!D315</f>
        <v>0</v>
      </c>
      <c r="D311" s="21">
        <f t="shared" si="12"/>
        <v>0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0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  <c r="SB311" s="10"/>
      <c r="SC311" s="10"/>
      <c r="SD311" s="10"/>
      <c r="SE311" s="10"/>
      <c r="SF311" s="10"/>
      <c r="SG311" s="10"/>
      <c r="SH311" s="10"/>
      <c r="SI311" s="10"/>
      <c r="SJ311" s="10"/>
      <c r="SK311" s="10"/>
      <c r="SL311" s="10"/>
      <c r="SM311" s="10"/>
      <c r="SN311" s="10"/>
      <c r="SO311" s="10"/>
      <c r="SP311" s="10"/>
      <c r="SQ311" s="10"/>
      <c r="SR311" s="10"/>
      <c r="SS311" s="10"/>
      <c r="ST311" s="10"/>
      <c r="SU311" s="10"/>
      <c r="SV311" s="10"/>
      <c r="SW311" s="10"/>
      <c r="SX311" s="10"/>
      <c r="SY311" s="10"/>
      <c r="SZ311" s="10"/>
      <c r="TA311" s="10"/>
      <c r="TB311" s="10"/>
      <c r="TC311" s="10"/>
      <c r="TD311" s="10"/>
      <c r="TE311" s="10"/>
      <c r="TF311" s="10"/>
      <c r="TG311" s="11">
        <f t="shared" si="15"/>
        <v>0</v>
      </c>
      <c r="TH311" s="9">
        <f t="shared" si="16"/>
        <v>0</v>
      </c>
    </row>
    <row r="312" spans="1:528" ht="16.2" thickBot="1" x14ac:dyDescent="0.35">
      <c r="A312" s="25"/>
      <c r="B312" s="20" t="s">
        <v>87</v>
      </c>
      <c r="C312" s="3">
        <f>AGOSTO!D316</f>
        <v>0</v>
      </c>
      <c r="D312" s="21">
        <f t="shared" ref="D312:D375" si="17">C312+SUM(E312:TF312)</f>
        <v>0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1">
        <f t="shared" si="15"/>
        <v>0</v>
      </c>
      <c r="TH312" s="9">
        <f t="shared" si="16"/>
        <v>0</v>
      </c>
    </row>
    <row r="313" spans="1:528" ht="15.6" thickBot="1" x14ac:dyDescent="0.3">
      <c r="A313" s="25" t="s">
        <v>776</v>
      </c>
      <c r="B313" s="18" t="s">
        <v>122</v>
      </c>
      <c r="C313" s="3">
        <f>AGOSTO!D317</f>
        <v>0</v>
      </c>
      <c r="D313" s="21">
        <f t="shared" si="17"/>
        <v>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/>
      <c r="PW313" s="10"/>
      <c r="PX313" s="10"/>
      <c r="PY313" s="10"/>
      <c r="PZ313" s="10"/>
      <c r="QA313" s="10"/>
      <c r="QB313" s="10"/>
      <c r="QC313" s="10"/>
      <c r="QD313" s="10"/>
      <c r="QE313" s="10"/>
      <c r="QF313" s="10"/>
      <c r="QG313" s="10"/>
      <c r="QH313" s="10"/>
      <c r="QI313" s="10"/>
      <c r="QJ313" s="10"/>
      <c r="QK313" s="10"/>
      <c r="QL313" s="10"/>
      <c r="QM313" s="10"/>
      <c r="QN313" s="10"/>
      <c r="QO313" s="10"/>
      <c r="QP313" s="10"/>
      <c r="QQ313" s="10"/>
      <c r="QR313" s="10"/>
      <c r="QS313" s="10"/>
      <c r="QT313" s="10"/>
      <c r="QU313" s="10"/>
      <c r="QV313" s="10"/>
      <c r="QW313" s="10"/>
      <c r="QX313" s="10"/>
      <c r="QY313" s="10"/>
      <c r="QZ313" s="10"/>
      <c r="RA313" s="10"/>
      <c r="RB313" s="10"/>
      <c r="RC313" s="10"/>
      <c r="RD313" s="10"/>
      <c r="RE313" s="10"/>
      <c r="RF313" s="10"/>
      <c r="RG313" s="10"/>
      <c r="RH313" s="10"/>
      <c r="RI313" s="10"/>
      <c r="RJ313" s="10"/>
      <c r="RK313" s="10"/>
      <c r="RL313" s="10"/>
      <c r="RM313" s="10"/>
      <c r="RN313" s="10"/>
      <c r="RO313" s="10"/>
      <c r="RP313" s="10"/>
      <c r="RQ313" s="10"/>
      <c r="RR313" s="10"/>
      <c r="RS313" s="10"/>
      <c r="RT313" s="10"/>
      <c r="RU313" s="10"/>
      <c r="RV313" s="10"/>
      <c r="RW313" s="10"/>
      <c r="RX313" s="10"/>
      <c r="RY313" s="10"/>
      <c r="RZ313" s="10"/>
      <c r="SA313" s="10"/>
      <c r="SB313" s="10"/>
      <c r="SC313" s="10"/>
      <c r="SD313" s="10"/>
      <c r="SE313" s="10"/>
      <c r="SF313" s="10"/>
      <c r="SG313" s="10"/>
      <c r="SH313" s="10"/>
      <c r="SI313" s="10"/>
      <c r="SJ313" s="10"/>
      <c r="SK313" s="10"/>
      <c r="SL313" s="10"/>
      <c r="SM313" s="10"/>
      <c r="SN313" s="10"/>
      <c r="SO313" s="10"/>
      <c r="SP313" s="10"/>
      <c r="SQ313" s="10"/>
      <c r="SR313" s="10"/>
      <c r="SS313" s="10"/>
      <c r="ST313" s="10"/>
      <c r="SU313" s="10"/>
      <c r="SV313" s="10"/>
      <c r="SW313" s="10"/>
      <c r="SX313" s="10"/>
      <c r="SY313" s="10"/>
      <c r="SZ313" s="10"/>
      <c r="TA313" s="10"/>
      <c r="TB313" s="10"/>
      <c r="TC313" s="10"/>
      <c r="TD313" s="10"/>
      <c r="TE313" s="10"/>
      <c r="TF313" s="10"/>
      <c r="TG313" s="11">
        <f t="shared" si="15"/>
        <v>0</v>
      </c>
      <c r="TH313" s="9">
        <f t="shared" si="16"/>
        <v>0</v>
      </c>
    </row>
    <row r="314" spans="1:528" ht="15.6" thickBot="1" x14ac:dyDescent="0.3">
      <c r="A314" s="25" t="s">
        <v>777</v>
      </c>
      <c r="B314" s="18" t="s">
        <v>149</v>
      </c>
      <c r="C314" s="3">
        <f>AGOSTO!D318</f>
        <v>0</v>
      </c>
      <c r="D314" s="21">
        <f t="shared" si="17"/>
        <v>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1">
        <f t="shared" si="15"/>
        <v>0</v>
      </c>
      <c r="TH314" s="9">
        <f t="shared" si="16"/>
        <v>0</v>
      </c>
    </row>
    <row r="315" spans="1:528" ht="15.6" thickBot="1" x14ac:dyDescent="0.3">
      <c r="A315" s="25" t="s">
        <v>778</v>
      </c>
      <c r="B315" s="18" t="s">
        <v>150</v>
      </c>
      <c r="C315" s="3">
        <f>AGOSTO!D319</f>
        <v>0</v>
      </c>
      <c r="D315" s="21">
        <f t="shared" si="17"/>
        <v>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0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  <c r="SB315" s="10"/>
      <c r="SC315" s="10"/>
      <c r="SD315" s="10"/>
      <c r="SE315" s="10"/>
      <c r="SF315" s="10"/>
      <c r="SG315" s="10"/>
      <c r="SH315" s="10"/>
      <c r="SI315" s="10"/>
      <c r="SJ315" s="10"/>
      <c r="SK315" s="10"/>
      <c r="SL315" s="10"/>
      <c r="SM315" s="10"/>
      <c r="SN315" s="10"/>
      <c r="SO315" s="10"/>
      <c r="SP315" s="10"/>
      <c r="SQ315" s="10"/>
      <c r="SR315" s="10"/>
      <c r="SS315" s="10"/>
      <c r="ST315" s="10"/>
      <c r="SU315" s="10"/>
      <c r="SV315" s="10"/>
      <c r="SW315" s="10"/>
      <c r="SX315" s="10"/>
      <c r="SY315" s="10"/>
      <c r="SZ315" s="10"/>
      <c r="TA315" s="10"/>
      <c r="TB315" s="10"/>
      <c r="TC315" s="10"/>
      <c r="TD315" s="10"/>
      <c r="TE315" s="10"/>
      <c r="TF315" s="10"/>
      <c r="TG315" s="11">
        <f t="shared" si="15"/>
        <v>0</v>
      </c>
      <c r="TH315" s="9">
        <f t="shared" si="16"/>
        <v>0</v>
      </c>
    </row>
    <row r="316" spans="1:528" ht="15.6" thickBot="1" x14ac:dyDescent="0.3">
      <c r="A316" s="25"/>
      <c r="B316" s="18" t="s">
        <v>848</v>
      </c>
      <c r="C316" s="3">
        <f>AGOSTO!D320</f>
        <v>0</v>
      </c>
      <c r="D316" s="21">
        <f t="shared" si="17"/>
        <v>0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1"/>
      <c r="TH316" s="9"/>
    </row>
    <row r="317" spans="1:528" ht="15.6" thickBot="1" x14ac:dyDescent="0.3">
      <c r="A317" s="25"/>
      <c r="B317" s="18" t="s">
        <v>849</v>
      </c>
      <c r="C317" s="3">
        <f>AGOSTO!D321</f>
        <v>0</v>
      </c>
      <c r="D317" s="21">
        <f t="shared" si="17"/>
        <v>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/>
      <c r="PW317" s="10"/>
      <c r="PX317" s="10"/>
      <c r="PY317" s="10"/>
      <c r="PZ317" s="10"/>
      <c r="QA317" s="10"/>
      <c r="QB317" s="10"/>
      <c r="QC317" s="10"/>
      <c r="QD317" s="10"/>
      <c r="QE317" s="10"/>
      <c r="QF317" s="10"/>
      <c r="QG317" s="10"/>
      <c r="QH317" s="10"/>
      <c r="QI317" s="10"/>
      <c r="QJ317" s="10"/>
      <c r="QK317" s="10"/>
      <c r="QL317" s="10"/>
      <c r="QM317" s="10"/>
      <c r="QN317" s="10"/>
      <c r="QO317" s="10"/>
      <c r="QP317" s="10"/>
      <c r="QQ317" s="10"/>
      <c r="QR317" s="10"/>
      <c r="QS317" s="10"/>
      <c r="QT317" s="10"/>
      <c r="QU317" s="10"/>
      <c r="QV317" s="10"/>
      <c r="QW317" s="10"/>
      <c r="QX317" s="10"/>
      <c r="QY317" s="10"/>
      <c r="QZ317" s="10"/>
      <c r="RA317" s="10"/>
      <c r="RB317" s="10"/>
      <c r="RC317" s="10"/>
      <c r="RD317" s="10"/>
      <c r="RE317" s="10"/>
      <c r="RF317" s="10"/>
      <c r="RG317" s="10"/>
      <c r="RH317" s="10"/>
      <c r="RI317" s="10"/>
      <c r="RJ317" s="10"/>
      <c r="RK317" s="10"/>
      <c r="RL317" s="10"/>
      <c r="RM317" s="10"/>
      <c r="RN317" s="10"/>
      <c r="RO317" s="10"/>
      <c r="RP317" s="10"/>
      <c r="RQ317" s="10"/>
      <c r="RR317" s="10"/>
      <c r="RS317" s="10"/>
      <c r="RT317" s="10"/>
      <c r="RU317" s="10"/>
      <c r="RV317" s="10"/>
      <c r="RW317" s="10"/>
      <c r="RX317" s="10"/>
      <c r="RY317" s="10"/>
      <c r="RZ317" s="10"/>
      <c r="SA317" s="10"/>
      <c r="SB317" s="10"/>
      <c r="SC317" s="10"/>
      <c r="SD317" s="10"/>
      <c r="SE317" s="10"/>
      <c r="SF317" s="10"/>
      <c r="SG317" s="10"/>
      <c r="SH317" s="10"/>
      <c r="SI317" s="10"/>
      <c r="SJ317" s="10"/>
      <c r="SK317" s="10"/>
      <c r="SL317" s="10"/>
      <c r="SM317" s="10"/>
      <c r="SN317" s="10"/>
      <c r="SO317" s="10"/>
      <c r="SP317" s="10"/>
      <c r="SQ317" s="10"/>
      <c r="SR317" s="10"/>
      <c r="SS317" s="10"/>
      <c r="ST317" s="10"/>
      <c r="SU317" s="10"/>
      <c r="SV317" s="10"/>
      <c r="SW317" s="10"/>
      <c r="SX317" s="10"/>
      <c r="SY317" s="10"/>
      <c r="SZ317" s="10"/>
      <c r="TA317" s="10"/>
      <c r="TB317" s="10"/>
      <c r="TC317" s="10"/>
      <c r="TD317" s="10"/>
      <c r="TE317" s="10"/>
      <c r="TF317" s="10"/>
      <c r="TG317" s="11"/>
      <c r="TH317" s="9"/>
    </row>
    <row r="318" spans="1:528" ht="16.2" thickBot="1" x14ac:dyDescent="0.35">
      <c r="A318" s="25"/>
      <c r="B318" s="20"/>
      <c r="C318" s="3">
        <f>AGOSTO!D322</f>
        <v>0</v>
      </c>
      <c r="D318" s="21">
        <f t="shared" si="17"/>
        <v>0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1"/>
      <c r="TH318" s="9"/>
    </row>
    <row r="319" spans="1:528" ht="16.2" thickBot="1" x14ac:dyDescent="0.35">
      <c r="A319" s="25"/>
      <c r="B319" s="20" t="s">
        <v>92</v>
      </c>
      <c r="C319" s="3">
        <f>AGOSTO!D323</f>
        <v>0</v>
      </c>
      <c r="D319" s="21">
        <f t="shared" si="17"/>
        <v>0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/>
      <c r="PW319" s="10"/>
      <c r="PX319" s="10"/>
      <c r="PY319" s="10"/>
      <c r="PZ319" s="10"/>
      <c r="QA319" s="10"/>
      <c r="QB319" s="10"/>
      <c r="QC319" s="10"/>
      <c r="QD319" s="10"/>
      <c r="QE319" s="10"/>
      <c r="QF319" s="10"/>
      <c r="QG319" s="10"/>
      <c r="QH319" s="10"/>
      <c r="QI319" s="10"/>
      <c r="QJ319" s="10"/>
      <c r="QK319" s="10"/>
      <c r="QL319" s="10"/>
      <c r="QM319" s="10"/>
      <c r="QN319" s="10"/>
      <c r="QO319" s="10"/>
      <c r="QP319" s="10"/>
      <c r="QQ319" s="10"/>
      <c r="QR319" s="10"/>
      <c r="QS319" s="10"/>
      <c r="QT319" s="10"/>
      <c r="QU319" s="10"/>
      <c r="QV319" s="10"/>
      <c r="QW319" s="10"/>
      <c r="QX319" s="10"/>
      <c r="QY319" s="10"/>
      <c r="QZ319" s="10"/>
      <c r="RA319" s="10"/>
      <c r="RB319" s="10"/>
      <c r="RC319" s="10"/>
      <c r="RD319" s="10"/>
      <c r="RE319" s="10"/>
      <c r="RF319" s="10"/>
      <c r="RG319" s="10"/>
      <c r="RH319" s="10"/>
      <c r="RI319" s="10"/>
      <c r="RJ319" s="10"/>
      <c r="RK319" s="10"/>
      <c r="RL319" s="10"/>
      <c r="RM319" s="10"/>
      <c r="RN319" s="10"/>
      <c r="RO319" s="10"/>
      <c r="RP319" s="10"/>
      <c r="RQ319" s="10"/>
      <c r="RR319" s="10"/>
      <c r="RS319" s="10"/>
      <c r="RT319" s="10"/>
      <c r="RU319" s="10"/>
      <c r="RV319" s="10"/>
      <c r="RW319" s="10"/>
      <c r="RX319" s="10"/>
      <c r="RY319" s="10"/>
      <c r="RZ319" s="10"/>
      <c r="SA319" s="10"/>
      <c r="SB319" s="10"/>
      <c r="SC319" s="10"/>
      <c r="SD319" s="10"/>
      <c r="SE319" s="10"/>
      <c r="SF319" s="10"/>
      <c r="SG319" s="10"/>
      <c r="SH319" s="10"/>
      <c r="SI319" s="10"/>
      <c r="SJ319" s="10"/>
      <c r="SK319" s="10"/>
      <c r="SL319" s="10"/>
      <c r="SM319" s="10"/>
      <c r="SN319" s="10"/>
      <c r="SO319" s="10"/>
      <c r="SP319" s="10"/>
      <c r="SQ319" s="10"/>
      <c r="SR319" s="10"/>
      <c r="SS319" s="10"/>
      <c r="ST319" s="10"/>
      <c r="SU319" s="10"/>
      <c r="SV319" s="10"/>
      <c r="SW319" s="10"/>
      <c r="SX319" s="10"/>
      <c r="SY319" s="10"/>
      <c r="SZ319" s="10"/>
      <c r="TA319" s="10"/>
      <c r="TB319" s="10"/>
      <c r="TC319" s="10"/>
      <c r="TD319" s="10"/>
      <c r="TE319" s="10"/>
      <c r="TF319" s="10"/>
      <c r="TG319" s="11">
        <f t="shared" ref="TG319:TG382" si="18">TE319+BG319+BE319+BC319+BA319+AY319+AW319+AU319+AS319+AQ319+AO319+AM319+AK319+AI319+AG319+AE319+AC319+AA319+Y319+W319+U319+S319+Q319+O319+M319+K319+I319+G319+E319</f>
        <v>0</v>
      </c>
      <c r="TH319" s="9">
        <f t="shared" ref="TH319:TH382" si="19">TF319+BH319+BF319+BD319+BB319+AZ319+AX319+AV319+AT319+AR319+AP319+AN319+AL319+AJ319+AH319+AF319+AD319+AB319+Z319+X319+V319+T319+R319+P319+N319+L319+J319+H319+F319</f>
        <v>0</v>
      </c>
    </row>
    <row r="320" spans="1:528" ht="15.6" thickBot="1" x14ac:dyDescent="0.3">
      <c r="A320" s="25" t="s">
        <v>704</v>
      </c>
      <c r="B320" s="18" t="s">
        <v>93</v>
      </c>
      <c r="C320" s="3">
        <f>AGOSTO!D324</f>
        <v>0</v>
      </c>
      <c r="D320" s="21">
        <f t="shared" si="17"/>
        <v>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>
        <v>40</v>
      </c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>
        <v>-30</v>
      </c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>
        <v>38</v>
      </c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>
        <v>38</v>
      </c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>
        <v>-72</v>
      </c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>
        <v>18</v>
      </c>
      <c r="EH320" s="10"/>
      <c r="EI320" s="10"/>
      <c r="EJ320" s="10"/>
      <c r="EK320" s="10"/>
      <c r="EL320" s="10">
        <v>-30</v>
      </c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>
        <v>20</v>
      </c>
      <c r="EX320" s="10">
        <v>-10</v>
      </c>
      <c r="EY320" s="10"/>
      <c r="EZ320" s="10"/>
      <c r="FA320" s="10">
        <v>41</v>
      </c>
      <c r="FB320" s="10"/>
      <c r="FC320" s="10"/>
      <c r="FD320" s="10"/>
      <c r="FE320" s="10"/>
      <c r="FF320" s="10">
        <v>-20</v>
      </c>
      <c r="FG320" s="10"/>
      <c r="FH320" s="10"/>
      <c r="FI320" s="10"/>
      <c r="FJ320" s="10">
        <v>-10</v>
      </c>
      <c r="FK320" s="10"/>
      <c r="FL320" s="10"/>
      <c r="FM320" s="10"/>
      <c r="FN320" s="10">
        <v>-20</v>
      </c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>
        <v>17</v>
      </c>
      <c r="GD320" s="10"/>
      <c r="GE320" s="10"/>
      <c r="GF320" s="10"/>
      <c r="GG320" s="10"/>
      <c r="GH320" s="10">
        <v>-20</v>
      </c>
      <c r="GI320" s="10"/>
      <c r="GJ320" s="10"/>
      <c r="GK320" s="10">
        <v>36</v>
      </c>
      <c r="GL320" s="10">
        <v>-30</v>
      </c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1">
        <f t="shared" si="18"/>
        <v>40</v>
      </c>
      <c r="TH320" s="9">
        <f t="shared" si="19"/>
        <v>0</v>
      </c>
    </row>
    <row r="321" spans="1:528" ht="15.6" thickBot="1" x14ac:dyDescent="0.3">
      <c r="A321" s="25" t="s">
        <v>810</v>
      </c>
      <c r="B321" s="18" t="s">
        <v>94</v>
      </c>
      <c r="C321" s="3">
        <f>AGOSTO!D325</f>
        <v>0</v>
      </c>
      <c r="D321" s="21">
        <f t="shared" si="17"/>
        <v>0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0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  <c r="SB321" s="10"/>
      <c r="SC321" s="10"/>
      <c r="SD321" s="10"/>
      <c r="SE321" s="10"/>
      <c r="SF321" s="10"/>
      <c r="SG321" s="10"/>
      <c r="SH321" s="10"/>
      <c r="SI321" s="10"/>
      <c r="SJ321" s="10"/>
      <c r="SK321" s="10"/>
      <c r="SL321" s="10"/>
      <c r="SM321" s="10"/>
      <c r="SN321" s="10"/>
      <c r="SO321" s="10"/>
      <c r="SP321" s="10"/>
      <c r="SQ321" s="10"/>
      <c r="SR321" s="10"/>
      <c r="SS321" s="10"/>
      <c r="ST321" s="10"/>
      <c r="SU321" s="10"/>
      <c r="SV321" s="10"/>
      <c r="SW321" s="10"/>
      <c r="SX321" s="10"/>
      <c r="SY321" s="10"/>
      <c r="SZ321" s="10"/>
      <c r="TA321" s="10"/>
      <c r="TB321" s="10"/>
      <c r="TC321" s="10"/>
      <c r="TD321" s="10"/>
      <c r="TE321" s="10"/>
      <c r="TF321" s="10"/>
      <c r="TG321" s="11">
        <f t="shared" si="18"/>
        <v>0</v>
      </c>
      <c r="TH321" s="9">
        <f t="shared" si="19"/>
        <v>0</v>
      </c>
    </row>
    <row r="322" spans="1:528" ht="15.6" thickBot="1" x14ac:dyDescent="0.3">
      <c r="A322" s="25" t="s">
        <v>542</v>
      </c>
      <c r="B322" s="18" t="s">
        <v>472</v>
      </c>
      <c r="C322" s="3">
        <f>AGOSTO!D326</f>
        <v>0</v>
      </c>
      <c r="D322" s="21">
        <f t="shared" si="17"/>
        <v>0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>
        <v>5</v>
      </c>
      <c r="FN322" s="10">
        <v>-5</v>
      </c>
      <c r="FO322" s="10"/>
      <c r="FP322" s="10"/>
      <c r="FQ322" s="10"/>
      <c r="FR322" s="10"/>
      <c r="FS322" s="10"/>
      <c r="FT322" s="10"/>
      <c r="FU322" s="10">
        <v>10</v>
      </c>
      <c r="FV322" s="10">
        <v>-10</v>
      </c>
      <c r="FW322" s="10">
        <v>15</v>
      </c>
      <c r="FX322" s="10">
        <v>-15</v>
      </c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1">
        <f t="shared" si="18"/>
        <v>0</v>
      </c>
      <c r="TH322" s="9">
        <f t="shared" si="19"/>
        <v>0</v>
      </c>
    </row>
    <row r="323" spans="1:528" ht="15.6" thickBot="1" x14ac:dyDescent="0.3">
      <c r="A323" s="25" t="s">
        <v>811</v>
      </c>
      <c r="B323" s="18" t="s">
        <v>95</v>
      </c>
      <c r="C323" s="3">
        <f>AGOSTO!D327</f>
        <v>0</v>
      </c>
      <c r="D323" s="21">
        <f t="shared" si="17"/>
        <v>0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0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  <c r="SB323" s="10"/>
      <c r="SC323" s="10"/>
      <c r="SD323" s="10"/>
      <c r="SE323" s="10"/>
      <c r="SF323" s="10"/>
      <c r="SG323" s="10"/>
      <c r="SH323" s="10"/>
      <c r="SI323" s="10"/>
      <c r="SJ323" s="10"/>
      <c r="SK323" s="10"/>
      <c r="SL323" s="10"/>
      <c r="SM323" s="10"/>
      <c r="SN323" s="10"/>
      <c r="SO323" s="10"/>
      <c r="SP323" s="10"/>
      <c r="SQ323" s="10"/>
      <c r="SR323" s="10"/>
      <c r="SS323" s="10"/>
      <c r="ST323" s="10"/>
      <c r="SU323" s="10"/>
      <c r="SV323" s="10"/>
      <c r="SW323" s="10"/>
      <c r="SX323" s="10"/>
      <c r="SY323" s="10"/>
      <c r="SZ323" s="10"/>
      <c r="TA323" s="10"/>
      <c r="TB323" s="10"/>
      <c r="TC323" s="10"/>
      <c r="TD323" s="10"/>
      <c r="TE323" s="10"/>
      <c r="TF323" s="10"/>
      <c r="TG323" s="11">
        <f t="shared" si="18"/>
        <v>0</v>
      </c>
      <c r="TH323" s="9">
        <f t="shared" si="19"/>
        <v>0</v>
      </c>
    </row>
    <row r="324" spans="1:528" ht="16.2" thickBot="1" x14ac:dyDescent="0.35">
      <c r="A324" s="25"/>
      <c r="B324" s="20" t="s">
        <v>97</v>
      </c>
      <c r="C324" s="3">
        <f>AGOSTO!D328</f>
        <v>0</v>
      </c>
      <c r="D324" s="21">
        <f t="shared" si="17"/>
        <v>0</v>
      </c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1">
        <f t="shared" si="18"/>
        <v>0</v>
      </c>
      <c r="TH324" s="9">
        <f t="shared" si="19"/>
        <v>0</v>
      </c>
    </row>
    <row r="325" spans="1:528" ht="15.6" thickBot="1" x14ac:dyDescent="0.3">
      <c r="A325" s="25" t="s">
        <v>752</v>
      </c>
      <c r="B325" s="26" t="s">
        <v>753</v>
      </c>
      <c r="C325" s="3">
        <f>AGOSTO!D329</f>
        <v>0</v>
      </c>
      <c r="D325" s="21">
        <f t="shared" si="17"/>
        <v>0</v>
      </c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0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  <c r="SB325" s="10"/>
      <c r="SC325" s="10"/>
      <c r="SD325" s="10"/>
      <c r="SE325" s="10"/>
      <c r="SF325" s="10"/>
      <c r="SG325" s="10"/>
      <c r="SH325" s="10"/>
      <c r="SI325" s="10"/>
      <c r="SJ325" s="10"/>
      <c r="SK325" s="10"/>
      <c r="SL325" s="10"/>
      <c r="SM325" s="10"/>
      <c r="SN325" s="10"/>
      <c r="SO325" s="10"/>
      <c r="SP325" s="10"/>
      <c r="SQ325" s="10"/>
      <c r="SR325" s="10"/>
      <c r="SS325" s="10"/>
      <c r="ST325" s="10"/>
      <c r="SU325" s="10"/>
      <c r="SV325" s="10"/>
      <c r="SW325" s="10"/>
      <c r="SX325" s="10"/>
      <c r="SY325" s="10"/>
      <c r="SZ325" s="10"/>
      <c r="TA325" s="10"/>
      <c r="TB325" s="10"/>
      <c r="TC325" s="10"/>
      <c r="TD325" s="10"/>
      <c r="TE325" s="10"/>
      <c r="TF325" s="10"/>
      <c r="TG325" s="11">
        <f t="shared" si="18"/>
        <v>0</v>
      </c>
      <c r="TH325" s="9">
        <f t="shared" si="19"/>
        <v>0</v>
      </c>
    </row>
    <row r="326" spans="1:528" ht="15.6" thickBot="1" x14ac:dyDescent="0.3">
      <c r="A326" s="25" t="s">
        <v>713</v>
      </c>
      <c r="B326" s="18" t="s">
        <v>98</v>
      </c>
      <c r="C326" s="3">
        <f>AGOSTO!D330</f>
        <v>0</v>
      </c>
      <c r="D326" s="21">
        <f t="shared" si="17"/>
        <v>0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>
        <v>112</v>
      </c>
      <c r="BZ326" s="10"/>
      <c r="CA326" s="10"/>
      <c r="CB326" s="10">
        <v>-112</v>
      </c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1">
        <f t="shared" si="18"/>
        <v>0</v>
      </c>
      <c r="TH326" s="9">
        <f t="shared" si="19"/>
        <v>0</v>
      </c>
    </row>
    <row r="327" spans="1:528" ht="15.6" thickBot="1" x14ac:dyDescent="0.3">
      <c r="A327" s="25" t="s">
        <v>714</v>
      </c>
      <c r="B327" s="18" t="s">
        <v>99</v>
      </c>
      <c r="C327" s="3">
        <f>AGOSTO!D331</f>
        <v>0</v>
      </c>
      <c r="D327" s="21">
        <f t="shared" si="17"/>
        <v>17</v>
      </c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>
        <v>71</v>
      </c>
      <c r="BR327" s="10"/>
      <c r="BS327" s="10"/>
      <c r="BT327" s="10"/>
      <c r="BU327" s="10"/>
      <c r="BV327" s="10"/>
      <c r="BW327" s="10"/>
      <c r="BX327" s="10"/>
      <c r="BY327" s="10">
        <f>14</f>
        <v>14</v>
      </c>
      <c r="BZ327" s="10"/>
      <c r="CA327" s="10">
        <v>27</v>
      </c>
      <c r="CB327" s="10">
        <v>-112</v>
      </c>
      <c r="CC327" s="10">
        <v>17</v>
      </c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/>
      <c r="PW327" s="10"/>
      <c r="PX327" s="10"/>
      <c r="PY327" s="10"/>
      <c r="PZ327" s="10"/>
      <c r="QA327" s="10"/>
      <c r="QB327" s="10"/>
      <c r="QC327" s="10"/>
      <c r="QD327" s="10"/>
      <c r="QE327" s="10"/>
      <c r="QF327" s="10"/>
      <c r="QG327" s="10"/>
      <c r="QH327" s="10"/>
      <c r="QI327" s="10"/>
      <c r="QJ327" s="10"/>
      <c r="QK327" s="10"/>
      <c r="QL327" s="10"/>
      <c r="QM327" s="10"/>
      <c r="QN327" s="10"/>
      <c r="QO327" s="10"/>
      <c r="QP327" s="10"/>
      <c r="QQ327" s="10"/>
      <c r="QR327" s="10"/>
      <c r="QS327" s="10"/>
      <c r="QT327" s="10"/>
      <c r="QU327" s="10"/>
      <c r="QV327" s="10"/>
      <c r="QW327" s="10"/>
      <c r="QX327" s="10"/>
      <c r="QY327" s="10"/>
      <c r="QZ327" s="10"/>
      <c r="RA327" s="10"/>
      <c r="RB327" s="10"/>
      <c r="RC327" s="10"/>
      <c r="RD327" s="10"/>
      <c r="RE327" s="10"/>
      <c r="RF327" s="10"/>
      <c r="RG327" s="10"/>
      <c r="RH327" s="10"/>
      <c r="RI327" s="10"/>
      <c r="RJ327" s="10"/>
      <c r="RK327" s="10"/>
      <c r="RL327" s="10"/>
      <c r="RM327" s="10"/>
      <c r="RN327" s="10"/>
      <c r="RO327" s="10"/>
      <c r="RP327" s="10"/>
      <c r="RQ327" s="10"/>
      <c r="RR327" s="10"/>
      <c r="RS327" s="10"/>
      <c r="RT327" s="10"/>
      <c r="RU327" s="10"/>
      <c r="RV327" s="10"/>
      <c r="RW327" s="10"/>
      <c r="RX327" s="10"/>
      <c r="RY327" s="10"/>
      <c r="RZ327" s="10"/>
      <c r="SA327" s="10"/>
      <c r="SB327" s="10"/>
      <c r="SC327" s="10"/>
      <c r="SD327" s="10"/>
      <c r="SE327" s="10"/>
      <c r="SF327" s="10"/>
      <c r="SG327" s="10"/>
      <c r="SH327" s="10"/>
      <c r="SI327" s="10"/>
      <c r="SJ327" s="10"/>
      <c r="SK327" s="10"/>
      <c r="SL327" s="10"/>
      <c r="SM327" s="10"/>
      <c r="SN327" s="10"/>
      <c r="SO327" s="10"/>
      <c r="SP327" s="10"/>
      <c r="SQ327" s="10"/>
      <c r="SR327" s="10"/>
      <c r="SS327" s="10"/>
      <c r="ST327" s="10"/>
      <c r="SU327" s="10"/>
      <c r="SV327" s="10"/>
      <c r="SW327" s="10"/>
      <c r="SX327" s="10"/>
      <c r="SY327" s="10"/>
      <c r="SZ327" s="10"/>
      <c r="TA327" s="10"/>
      <c r="TB327" s="10"/>
      <c r="TC327" s="10"/>
      <c r="TD327" s="10"/>
      <c r="TE327" s="10"/>
      <c r="TF327" s="10"/>
      <c r="TG327" s="11">
        <f t="shared" si="18"/>
        <v>0</v>
      </c>
      <c r="TH327" s="9">
        <f t="shared" si="19"/>
        <v>0</v>
      </c>
    </row>
    <row r="328" spans="1:528" ht="15.6" thickBot="1" x14ac:dyDescent="0.3">
      <c r="A328" s="25" t="s">
        <v>715</v>
      </c>
      <c r="B328" s="18" t="s">
        <v>100</v>
      </c>
      <c r="C328" s="3">
        <f>AGOSTO!D332</f>
        <v>0</v>
      </c>
      <c r="D328" s="21">
        <f t="shared" si="17"/>
        <v>3</v>
      </c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>
        <v>112</v>
      </c>
      <c r="BZ328" s="10"/>
      <c r="CA328" s="10"/>
      <c r="CB328" s="10">
        <v>-98</v>
      </c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>
        <v>41</v>
      </c>
      <c r="FT328" s="10"/>
      <c r="FU328" s="10"/>
      <c r="FV328" s="10"/>
      <c r="FW328" s="10"/>
      <c r="FX328" s="10"/>
      <c r="FY328" s="10"/>
      <c r="FZ328" s="10"/>
      <c r="GA328" s="10"/>
      <c r="GB328" s="10"/>
      <c r="GC328" s="10">
        <v>32</v>
      </c>
      <c r="GD328" s="10"/>
      <c r="GE328" s="10"/>
      <c r="GF328" s="10"/>
      <c r="GG328" s="10"/>
      <c r="GH328" s="10"/>
      <c r="GI328" s="10"/>
      <c r="GJ328" s="10">
        <v>-84</v>
      </c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1">
        <f t="shared" si="18"/>
        <v>0</v>
      </c>
      <c r="TH328" s="9">
        <f t="shared" si="19"/>
        <v>0</v>
      </c>
    </row>
    <row r="329" spans="1:528" ht="16.2" thickBot="1" x14ac:dyDescent="0.35">
      <c r="A329" s="25"/>
      <c r="B329" s="20" t="s">
        <v>1099</v>
      </c>
      <c r="C329" s="3">
        <f>AGOSTO!D333</f>
        <v>0</v>
      </c>
      <c r="D329" s="21">
        <f t="shared" si="17"/>
        <v>0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0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  <c r="SB329" s="10"/>
      <c r="SC329" s="10"/>
      <c r="SD329" s="10"/>
      <c r="SE329" s="10"/>
      <c r="SF329" s="10"/>
      <c r="SG329" s="10"/>
      <c r="SH329" s="10"/>
      <c r="SI329" s="10"/>
      <c r="SJ329" s="10"/>
      <c r="SK329" s="10"/>
      <c r="SL329" s="10"/>
      <c r="SM329" s="10"/>
      <c r="SN329" s="10"/>
      <c r="SO329" s="10"/>
      <c r="SP329" s="10"/>
      <c r="SQ329" s="10"/>
      <c r="SR329" s="10"/>
      <c r="SS329" s="10"/>
      <c r="ST329" s="10"/>
      <c r="SU329" s="10"/>
      <c r="SV329" s="10"/>
      <c r="SW329" s="10"/>
      <c r="SX329" s="10"/>
      <c r="SY329" s="10"/>
      <c r="SZ329" s="10"/>
      <c r="TA329" s="10"/>
      <c r="TB329" s="10"/>
      <c r="TC329" s="10"/>
      <c r="TD329" s="10"/>
      <c r="TE329" s="10"/>
      <c r="TF329" s="10"/>
      <c r="TG329" s="11">
        <f t="shared" si="18"/>
        <v>0</v>
      </c>
      <c r="TH329" s="9">
        <f t="shared" si="19"/>
        <v>0</v>
      </c>
    </row>
    <row r="330" spans="1:528" ht="15.6" thickBot="1" x14ac:dyDescent="0.3">
      <c r="A330" s="25" t="s">
        <v>745</v>
      </c>
      <c r="B330" s="18" t="s">
        <v>1100</v>
      </c>
      <c r="C330" s="3">
        <f>AGOSTO!D334</f>
        <v>0</v>
      </c>
      <c r="D330" s="21">
        <f t="shared" si="17"/>
        <v>0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>
        <v>1000</v>
      </c>
      <c r="CJ330" s="10"/>
      <c r="CK330" s="10"/>
      <c r="CL330" s="10"/>
      <c r="CM330" s="10"/>
      <c r="CN330" s="10"/>
      <c r="CO330" s="10"/>
      <c r="CP330" s="10"/>
      <c r="CQ330" s="10"/>
      <c r="CR330" s="10">
        <v>-1000</v>
      </c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>
        <v>500</v>
      </c>
      <c r="SL330" s="10"/>
      <c r="SM330" s="10"/>
      <c r="SN330" s="10">
        <v>-500</v>
      </c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1">
        <f t="shared" si="18"/>
        <v>0</v>
      </c>
      <c r="TH330" s="9">
        <f t="shared" si="19"/>
        <v>0</v>
      </c>
    </row>
    <row r="331" spans="1:528" ht="15.6" thickBot="1" x14ac:dyDescent="0.3">
      <c r="A331" s="25" t="s">
        <v>746</v>
      </c>
      <c r="B331" s="18" t="s">
        <v>1101</v>
      </c>
      <c r="C331" s="3">
        <f>AGOSTO!D335</f>
        <v>0</v>
      </c>
      <c r="D331" s="21">
        <f t="shared" si="17"/>
        <v>0</v>
      </c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>
        <v>1000</v>
      </c>
      <c r="CJ331" s="10"/>
      <c r="CK331" s="10"/>
      <c r="CL331" s="10"/>
      <c r="CM331" s="10"/>
      <c r="CN331" s="10"/>
      <c r="CO331" s="10"/>
      <c r="CP331" s="10"/>
      <c r="CQ331" s="10"/>
      <c r="CR331" s="10">
        <v>-1000</v>
      </c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0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  <c r="SB331" s="10"/>
      <c r="SC331" s="10"/>
      <c r="SD331" s="10"/>
      <c r="SE331" s="10"/>
      <c r="SF331" s="10"/>
      <c r="SG331" s="10"/>
      <c r="SH331" s="10"/>
      <c r="SI331" s="10"/>
      <c r="SJ331" s="10"/>
      <c r="SK331" s="10"/>
      <c r="SL331" s="10"/>
      <c r="SM331" s="10"/>
      <c r="SN331" s="10"/>
      <c r="SO331" s="10"/>
      <c r="SP331" s="10"/>
      <c r="SQ331" s="10"/>
      <c r="SR331" s="10"/>
      <c r="SS331" s="10"/>
      <c r="ST331" s="10"/>
      <c r="SU331" s="10"/>
      <c r="SV331" s="10"/>
      <c r="SW331" s="10"/>
      <c r="SX331" s="10"/>
      <c r="SY331" s="10"/>
      <c r="SZ331" s="10"/>
      <c r="TA331" s="10"/>
      <c r="TB331" s="10"/>
      <c r="TC331" s="10"/>
      <c r="TD331" s="10"/>
      <c r="TE331" s="10"/>
      <c r="TF331" s="10"/>
      <c r="TG331" s="11">
        <f t="shared" si="18"/>
        <v>0</v>
      </c>
      <c r="TH331" s="9">
        <f t="shared" si="19"/>
        <v>0</v>
      </c>
    </row>
    <row r="332" spans="1:528" ht="15.6" thickBot="1" x14ac:dyDescent="0.3">
      <c r="A332" s="25" t="s">
        <v>747</v>
      </c>
      <c r="B332" s="18" t="s">
        <v>1102</v>
      </c>
      <c r="C332" s="3">
        <f>AGOSTO!D336</f>
        <v>0</v>
      </c>
      <c r="D332" s="21">
        <f t="shared" si="17"/>
        <v>0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>
        <v>270</v>
      </c>
      <c r="CH332" s="10"/>
      <c r="CI332" s="10"/>
      <c r="CJ332" s="10"/>
      <c r="CK332" s="10"/>
      <c r="CL332" s="10"/>
      <c r="CM332" s="10"/>
      <c r="CN332" s="10"/>
      <c r="CO332" s="10"/>
      <c r="CP332" s="10"/>
      <c r="CQ332" s="10">
        <v>30</v>
      </c>
      <c r="CR332" s="10">
        <v>-300</v>
      </c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1">
        <f t="shared" si="18"/>
        <v>0</v>
      </c>
      <c r="TH332" s="9">
        <f t="shared" si="19"/>
        <v>0</v>
      </c>
    </row>
    <row r="333" spans="1:528" ht="15.6" thickBot="1" x14ac:dyDescent="0.3">
      <c r="A333" s="25"/>
      <c r="B333" s="18"/>
      <c r="C333" s="3">
        <f>AGOSTO!D337</f>
        <v>0</v>
      </c>
      <c r="D333" s="21">
        <f t="shared" si="17"/>
        <v>0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0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  <c r="SB333" s="10"/>
      <c r="SC333" s="10"/>
      <c r="SD333" s="10"/>
      <c r="SE333" s="10"/>
      <c r="SF333" s="10"/>
      <c r="SG333" s="10"/>
      <c r="SH333" s="10"/>
      <c r="SI333" s="10"/>
      <c r="SJ333" s="10"/>
      <c r="SK333" s="10"/>
      <c r="SL333" s="10"/>
      <c r="SM333" s="10"/>
      <c r="SN333" s="10"/>
      <c r="SO333" s="10"/>
      <c r="SP333" s="10"/>
      <c r="SQ333" s="10"/>
      <c r="SR333" s="10"/>
      <c r="SS333" s="10"/>
      <c r="ST333" s="10"/>
      <c r="SU333" s="10"/>
      <c r="SV333" s="10"/>
      <c r="SW333" s="10"/>
      <c r="SX333" s="10"/>
      <c r="SY333" s="10"/>
      <c r="SZ333" s="10"/>
      <c r="TA333" s="10"/>
      <c r="TB333" s="10"/>
      <c r="TC333" s="10"/>
      <c r="TD333" s="10"/>
      <c r="TE333" s="10"/>
      <c r="TF333" s="10"/>
      <c r="TG333" s="11">
        <f t="shared" si="18"/>
        <v>0</v>
      </c>
      <c r="TH333" s="9">
        <f t="shared" si="19"/>
        <v>0</v>
      </c>
    </row>
    <row r="334" spans="1:528" ht="15.6" thickBot="1" x14ac:dyDescent="0.3">
      <c r="A334" s="25"/>
      <c r="B334" s="18"/>
      <c r="C334" s="3">
        <f>AGOSTO!D338</f>
        <v>0</v>
      </c>
      <c r="D334" s="21">
        <f t="shared" si="17"/>
        <v>0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1">
        <f t="shared" si="18"/>
        <v>0</v>
      </c>
      <c r="TH334" s="9">
        <f t="shared" si="19"/>
        <v>0</v>
      </c>
    </row>
    <row r="335" spans="1:528" ht="16.2" thickBot="1" x14ac:dyDescent="0.35">
      <c r="A335" s="25"/>
      <c r="B335" s="20" t="s">
        <v>932</v>
      </c>
      <c r="C335" s="3">
        <f>AGOSTO!D339</f>
        <v>0</v>
      </c>
      <c r="D335" s="21">
        <f t="shared" si="17"/>
        <v>0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0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  <c r="SB335" s="10"/>
      <c r="SC335" s="10"/>
      <c r="SD335" s="10"/>
      <c r="SE335" s="10"/>
      <c r="SF335" s="10"/>
      <c r="SG335" s="10"/>
      <c r="SH335" s="10"/>
      <c r="SI335" s="10"/>
      <c r="SJ335" s="10"/>
      <c r="SK335" s="10"/>
      <c r="SL335" s="10"/>
      <c r="SM335" s="10"/>
      <c r="SN335" s="10"/>
      <c r="SO335" s="10"/>
      <c r="SP335" s="10"/>
      <c r="SQ335" s="10"/>
      <c r="SR335" s="10"/>
      <c r="SS335" s="10"/>
      <c r="ST335" s="10"/>
      <c r="SU335" s="10"/>
      <c r="SV335" s="10"/>
      <c r="SW335" s="10"/>
      <c r="SX335" s="10"/>
      <c r="SY335" s="10"/>
      <c r="SZ335" s="10"/>
      <c r="TA335" s="10"/>
      <c r="TB335" s="10"/>
      <c r="TC335" s="10"/>
      <c r="TD335" s="10"/>
      <c r="TE335" s="10"/>
      <c r="TF335" s="10"/>
      <c r="TG335" s="11">
        <f t="shared" si="18"/>
        <v>0</v>
      </c>
      <c r="TH335" s="9">
        <f t="shared" si="19"/>
        <v>0</v>
      </c>
    </row>
    <row r="336" spans="1:528" ht="15.6" thickBot="1" x14ac:dyDescent="0.3">
      <c r="A336" s="25" t="s">
        <v>933</v>
      </c>
      <c r="B336" s="18" t="s">
        <v>934</v>
      </c>
      <c r="C336" s="3">
        <f>AGOSTO!D340</f>
        <v>0</v>
      </c>
      <c r="D336" s="21">
        <f t="shared" si="17"/>
        <v>0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>
        <f>72*3</f>
        <v>216</v>
      </c>
      <c r="Z336" s="10"/>
      <c r="AA336" s="10">
        <f>14*72</f>
        <v>1008</v>
      </c>
      <c r="AB336" s="10"/>
      <c r="AC336" s="10">
        <f>5*72</f>
        <v>360</v>
      </c>
      <c r="AD336" s="10"/>
      <c r="AE336" s="10"/>
      <c r="AF336" s="10"/>
      <c r="AG336" s="10"/>
      <c r="AH336" s="10"/>
      <c r="AI336" s="10">
        <f>12*72+24</f>
        <v>888</v>
      </c>
      <c r="AJ336" s="10"/>
      <c r="AK336" s="10"/>
      <c r="AL336" s="10">
        <v>-2400</v>
      </c>
      <c r="AM336" s="10"/>
      <c r="AN336" s="14">
        <v>-72</v>
      </c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1">
        <f t="shared" si="18"/>
        <v>2472</v>
      </c>
      <c r="TH336" s="9">
        <f t="shared" si="19"/>
        <v>-2472</v>
      </c>
    </row>
    <row r="337" spans="1:528" ht="15.6" thickBot="1" x14ac:dyDescent="0.3">
      <c r="A337" s="25"/>
      <c r="B337" s="18"/>
      <c r="C337" s="3">
        <f>AGOSTO!D341</f>
        <v>0</v>
      </c>
      <c r="D337" s="21">
        <f t="shared" si="17"/>
        <v>0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/>
      <c r="PW337" s="10"/>
      <c r="PX337" s="10"/>
      <c r="PY337" s="10"/>
      <c r="PZ337" s="10"/>
      <c r="QA337" s="10"/>
      <c r="QB337" s="10"/>
      <c r="QC337" s="10"/>
      <c r="QD337" s="10"/>
      <c r="QE337" s="10"/>
      <c r="QF337" s="10"/>
      <c r="QG337" s="10"/>
      <c r="QH337" s="10"/>
      <c r="QI337" s="10"/>
      <c r="QJ337" s="10"/>
      <c r="QK337" s="10"/>
      <c r="QL337" s="10"/>
      <c r="QM337" s="10"/>
      <c r="QN337" s="10"/>
      <c r="QO337" s="10"/>
      <c r="QP337" s="10"/>
      <c r="QQ337" s="10"/>
      <c r="QR337" s="10"/>
      <c r="QS337" s="10"/>
      <c r="QT337" s="10"/>
      <c r="QU337" s="10"/>
      <c r="QV337" s="10"/>
      <c r="QW337" s="10"/>
      <c r="QX337" s="10"/>
      <c r="QY337" s="10"/>
      <c r="QZ337" s="10"/>
      <c r="RA337" s="10"/>
      <c r="RB337" s="10"/>
      <c r="RC337" s="10"/>
      <c r="RD337" s="10"/>
      <c r="RE337" s="10"/>
      <c r="RF337" s="10"/>
      <c r="RG337" s="10"/>
      <c r="RH337" s="10"/>
      <c r="RI337" s="10"/>
      <c r="RJ337" s="10"/>
      <c r="RK337" s="10"/>
      <c r="RL337" s="10"/>
      <c r="RM337" s="10"/>
      <c r="RN337" s="10"/>
      <c r="RO337" s="10"/>
      <c r="RP337" s="10"/>
      <c r="RQ337" s="10"/>
      <c r="RR337" s="10"/>
      <c r="RS337" s="10"/>
      <c r="RT337" s="10"/>
      <c r="RU337" s="10"/>
      <c r="RV337" s="10"/>
      <c r="RW337" s="10"/>
      <c r="RX337" s="10"/>
      <c r="RY337" s="10"/>
      <c r="RZ337" s="10"/>
      <c r="SA337" s="10"/>
      <c r="SB337" s="10"/>
      <c r="SC337" s="10"/>
      <c r="SD337" s="10"/>
      <c r="SE337" s="10"/>
      <c r="SF337" s="10"/>
      <c r="SG337" s="10"/>
      <c r="SH337" s="10"/>
      <c r="SI337" s="10"/>
      <c r="SJ337" s="10"/>
      <c r="SK337" s="10"/>
      <c r="SL337" s="10"/>
      <c r="SM337" s="10"/>
      <c r="SN337" s="10"/>
      <c r="SO337" s="10"/>
      <c r="SP337" s="10"/>
      <c r="SQ337" s="10"/>
      <c r="SR337" s="10"/>
      <c r="SS337" s="10"/>
      <c r="ST337" s="10"/>
      <c r="SU337" s="10"/>
      <c r="SV337" s="10"/>
      <c r="SW337" s="10"/>
      <c r="SX337" s="10"/>
      <c r="SY337" s="10"/>
      <c r="SZ337" s="10"/>
      <c r="TA337" s="10"/>
      <c r="TB337" s="10"/>
      <c r="TC337" s="10"/>
      <c r="TD337" s="10"/>
      <c r="TE337" s="10"/>
      <c r="TF337" s="10"/>
      <c r="TG337" s="11">
        <f t="shared" si="18"/>
        <v>0</v>
      </c>
      <c r="TH337" s="9">
        <f t="shared" si="19"/>
        <v>0</v>
      </c>
    </row>
    <row r="338" spans="1:528" ht="16.2" thickBot="1" x14ac:dyDescent="0.35">
      <c r="A338" s="25"/>
      <c r="B338" s="20" t="s">
        <v>605</v>
      </c>
      <c r="C338" s="3">
        <f>AGOSTO!D342</f>
        <v>0</v>
      </c>
      <c r="D338" s="21">
        <f t="shared" si="17"/>
        <v>0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1">
        <f t="shared" si="18"/>
        <v>0</v>
      </c>
      <c r="TH338" s="9">
        <f t="shared" si="19"/>
        <v>0</v>
      </c>
    </row>
    <row r="339" spans="1:528" ht="15.6" thickBot="1" x14ac:dyDescent="0.3">
      <c r="A339" s="25" t="s">
        <v>542</v>
      </c>
      <c r="B339" s="18" t="s">
        <v>950</v>
      </c>
      <c r="C339" s="3">
        <f>AGOSTO!D343</f>
        <v>0</v>
      </c>
      <c r="D339" s="21">
        <f t="shared" si="17"/>
        <v>0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/>
      <c r="PW339" s="10"/>
      <c r="PX339" s="10"/>
      <c r="PY339" s="10"/>
      <c r="PZ339" s="10"/>
      <c r="QA339" s="10"/>
      <c r="QB339" s="10"/>
      <c r="QC339" s="10"/>
      <c r="QD339" s="10"/>
      <c r="QE339" s="10"/>
      <c r="QF339" s="10"/>
      <c r="QG339" s="10"/>
      <c r="QH339" s="10"/>
      <c r="QI339" s="10"/>
      <c r="QJ339" s="10"/>
      <c r="QK339" s="10"/>
      <c r="QL339" s="10"/>
      <c r="QM339" s="10"/>
      <c r="QN339" s="10"/>
      <c r="QO339" s="10"/>
      <c r="QP339" s="10"/>
      <c r="QQ339" s="10"/>
      <c r="QR339" s="10"/>
      <c r="QS339" s="10"/>
      <c r="QT339" s="10"/>
      <c r="QU339" s="10"/>
      <c r="QV339" s="10"/>
      <c r="QW339" s="10"/>
      <c r="QX339" s="10"/>
      <c r="QY339" s="10"/>
      <c r="QZ339" s="10"/>
      <c r="RA339" s="10"/>
      <c r="RB339" s="10"/>
      <c r="RC339" s="10"/>
      <c r="RD339" s="10"/>
      <c r="RE339" s="10"/>
      <c r="RF339" s="10"/>
      <c r="RG339" s="10"/>
      <c r="RH339" s="10"/>
      <c r="RI339" s="10"/>
      <c r="RJ339" s="10"/>
      <c r="RK339" s="10"/>
      <c r="RL339" s="10"/>
      <c r="RM339" s="10"/>
      <c r="RN339" s="10"/>
      <c r="RO339" s="10"/>
      <c r="RP339" s="10"/>
      <c r="RQ339" s="10"/>
      <c r="RR339" s="10"/>
      <c r="RS339" s="10"/>
      <c r="RT339" s="10"/>
      <c r="RU339" s="10"/>
      <c r="RV339" s="10"/>
      <c r="RW339" s="10"/>
      <c r="RX339" s="10"/>
      <c r="RY339" s="10"/>
      <c r="RZ339" s="10"/>
      <c r="SA339" s="10"/>
      <c r="SB339" s="10"/>
      <c r="SC339" s="10"/>
      <c r="SD339" s="10"/>
      <c r="SE339" s="10"/>
      <c r="SF339" s="10"/>
      <c r="SG339" s="10"/>
      <c r="SH339" s="10"/>
      <c r="SI339" s="10"/>
      <c r="SJ339" s="10"/>
      <c r="SK339" s="10"/>
      <c r="SL339" s="10"/>
      <c r="SM339" s="10"/>
      <c r="SN339" s="10"/>
      <c r="SO339" s="10"/>
      <c r="SP339" s="10"/>
      <c r="SQ339" s="10"/>
      <c r="SR339" s="10"/>
      <c r="SS339" s="10"/>
      <c r="ST339" s="10"/>
      <c r="SU339" s="10"/>
      <c r="SV339" s="10"/>
      <c r="SW339" s="10"/>
      <c r="SX339" s="10"/>
      <c r="SY339" s="10"/>
      <c r="SZ339" s="10"/>
      <c r="TA339" s="10"/>
      <c r="TB339" s="10"/>
      <c r="TC339" s="10"/>
      <c r="TD339" s="10"/>
      <c r="TE339" s="10"/>
      <c r="TF339" s="10"/>
      <c r="TG339" s="11">
        <f t="shared" si="18"/>
        <v>0</v>
      </c>
      <c r="TH339" s="9">
        <f t="shared" si="19"/>
        <v>0</v>
      </c>
    </row>
    <row r="340" spans="1:528" ht="15.6" thickBot="1" x14ac:dyDescent="0.3">
      <c r="A340" s="25" t="s">
        <v>1127</v>
      </c>
      <c r="B340" s="18" t="s">
        <v>1089</v>
      </c>
      <c r="C340" s="3">
        <f>AGOSTO!D344</f>
        <v>0</v>
      </c>
      <c r="D340" s="21">
        <f t="shared" si="17"/>
        <v>0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>
        <v>3</v>
      </c>
      <c r="CB340" s="10"/>
      <c r="CC340" s="10"/>
      <c r="CD340" s="10"/>
      <c r="CE340" s="10">
        <v>2</v>
      </c>
      <c r="CF340" s="10">
        <v>-3</v>
      </c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>
        <v>56</v>
      </c>
      <c r="DF340" s="10">
        <v>-58</v>
      </c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>
        <v>24</v>
      </c>
      <c r="ER340" s="10">
        <v>-24</v>
      </c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1">
        <f t="shared" si="18"/>
        <v>0</v>
      </c>
      <c r="TH340" s="9">
        <f t="shared" si="19"/>
        <v>0</v>
      </c>
    </row>
    <row r="341" spans="1:528" ht="15.6" thickBot="1" x14ac:dyDescent="0.3">
      <c r="A341" s="25" t="s">
        <v>792</v>
      </c>
      <c r="B341" s="18" t="s">
        <v>1015</v>
      </c>
      <c r="C341" s="3">
        <f>AGOSTO!D345</f>
        <v>0</v>
      </c>
      <c r="D341" s="21">
        <f t="shared" si="17"/>
        <v>0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>
        <v>5</v>
      </c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>
        <v>-5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>
        <v>3</v>
      </c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>
        <v>56</v>
      </c>
      <c r="DF341" s="10">
        <v>-59</v>
      </c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>
        <v>2</v>
      </c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>
        <v>15</v>
      </c>
      <c r="FN341" s="10">
        <v>-17</v>
      </c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/>
      <c r="PV341" s="10"/>
      <c r="PW341" s="10"/>
      <c r="PX341" s="10"/>
      <c r="PY341" s="10"/>
      <c r="PZ341" s="10"/>
      <c r="QA341" s="10"/>
      <c r="QB341" s="10"/>
      <c r="QC341" s="10"/>
      <c r="QD341" s="10"/>
      <c r="QE341" s="10"/>
      <c r="QF341" s="10"/>
      <c r="QG341" s="10"/>
      <c r="QH341" s="10"/>
      <c r="QI341" s="10"/>
      <c r="QJ341" s="10"/>
      <c r="QK341" s="10"/>
      <c r="QL341" s="10"/>
      <c r="QM341" s="10"/>
      <c r="QN341" s="10"/>
      <c r="QO341" s="10"/>
      <c r="QP341" s="10"/>
      <c r="QQ341" s="10"/>
      <c r="QR341" s="10"/>
      <c r="QS341" s="10"/>
      <c r="QT341" s="10"/>
      <c r="QU341" s="10"/>
      <c r="QV341" s="10"/>
      <c r="QW341" s="10"/>
      <c r="QX341" s="10"/>
      <c r="QY341" s="10"/>
      <c r="QZ341" s="10"/>
      <c r="RA341" s="10"/>
      <c r="RB341" s="10"/>
      <c r="RC341" s="10"/>
      <c r="RD341" s="10"/>
      <c r="RE341" s="10"/>
      <c r="RF341" s="10"/>
      <c r="RG341" s="10"/>
      <c r="RH341" s="10"/>
      <c r="RI341" s="10"/>
      <c r="RJ341" s="10"/>
      <c r="RK341" s="10"/>
      <c r="RL341" s="10"/>
      <c r="RM341" s="10"/>
      <c r="RN341" s="10"/>
      <c r="RO341" s="10"/>
      <c r="RP341" s="10"/>
      <c r="RQ341" s="10"/>
      <c r="RR341" s="10"/>
      <c r="RS341" s="10"/>
      <c r="RT341" s="10"/>
      <c r="RU341" s="10"/>
      <c r="RV341" s="10"/>
      <c r="RW341" s="10"/>
      <c r="RX341" s="10"/>
      <c r="RY341" s="10"/>
      <c r="RZ341" s="10"/>
      <c r="SA341" s="10"/>
      <c r="SB341" s="10"/>
      <c r="SC341" s="10"/>
      <c r="SD341" s="10"/>
      <c r="SE341" s="10"/>
      <c r="SF341" s="10"/>
      <c r="SG341" s="10"/>
      <c r="SH341" s="10"/>
      <c r="SI341" s="10"/>
      <c r="SJ341" s="10"/>
      <c r="SK341" s="10"/>
      <c r="SL341" s="10"/>
      <c r="SM341" s="10"/>
      <c r="SN341" s="10"/>
      <c r="SO341" s="10"/>
      <c r="SP341" s="10"/>
      <c r="SQ341" s="10"/>
      <c r="SR341" s="10"/>
      <c r="SS341" s="10"/>
      <c r="ST341" s="10"/>
      <c r="SU341" s="10"/>
      <c r="SV341" s="10"/>
      <c r="SW341" s="10"/>
      <c r="SX341" s="10"/>
      <c r="SY341" s="10"/>
      <c r="SZ341" s="10"/>
      <c r="TA341" s="10"/>
      <c r="TB341" s="10"/>
      <c r="TC341" s="10"/>
      <c r="TD341" s="10"/>
      <c r="TE341" s="10"/>
      <c r="TF341" s="10"/>
      <c r="TG341" s="11">
        <f t="shared" si="18"/>
        <v>5</v>
      </c>
      <c r="TH341" s="9">
        <f t="shared" si="19"/>
        <v>-5</v>
      </c>
    </row>
    <row r="342" spans="1:528" ht="15.6" thickBot="1" x14ac:dyDescent="0.3">
      <c r="A342" s="25" t="s">
        <v>791</v>
      </c>
      <c r="B342" s="18" t="s">
        <v>1016</v>
      </c>
      <c r="C342" s="3">
        <f>AGOSTO!D346</f>
        <v>0</v>
      </c>
      <c r="D342" s="21">
        <f t="shared" si="17"/>
        <v>0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>
        <v>5</v>
      </c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>
        <v>-5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>
        <v>3</v>
      </c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>
        <v>-2</v>
      </c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>
        <v>58</v>
      </c>
      <c r="DF342" s="10">
        <v>-59</v>
      </c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>
        <v>2</v>
      </c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>
        <v>3</v>
      </c>
      <c r="EV342" s="10"/>
      <c r="EW342" s="10"/>
      <c r="EX342" s="10">
        <v>-3</v>
      </c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>
        <v>13</v>
      </c>
      <c r="FN342" s="10">
        <v>-15</v>
      </c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1">
        <f t="shared" si="18"/>
        <v>5</v>
      </c>
      <c r="TH342" s="9">
        <f t="shared" si="19"/>
        <v>-5</v>
      </c>
    </row>
    <row r="343" spans="1:528" ht="15.6" thickBot="1" x14ac:dyDescent="0.3">
      <c r="A343" s="25" t="s">
        <v>606</v>
      </c>
      <c r="B343" s="18" t="s">
        <v>1017</v>
      </c>
      <c r="C343" s="3">
        <f>AGOSTO!D347</f>
        <v>80</v>
      </c>
      <c r="D343" s="21">
        <f t="shared" si="17"/>
        <v>0</v>
      </c>
      <c r="E343" s="10"/>
      <c r="F343" s="10"/>
      <c r="G343" s="10"/>
      <c r="H343" s="10">
        <v>-80</v>
      </c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>
        <v>8</v>
      </c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>
        <v>-8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>
        <v>6</v>
      </c>
      <c r="CB343" s="10"/>
      <c r="CC343" s="10"/>
      <c r="CD343" s="10"/>
      <c r="CE343" s="10">
        <f>6+3</f>
        <v>9</v>
      </c>
      <c r="CF343" s="10">
        <v>-6</v>
      </c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>
        <v>-2</v>
      </c>
      <c r="CU343" s="10"/>
      <c r="CV343" s="10">
        <v>-7</v>
      </c>
      <c r="CW343" s="10"/>
      <c r="CX343" s="10"/>
      <c r="CY343" s="10"/>
      <c r="CZ343" s="10"/>
      <c r="DA343" s="10"/>
      <c r="DB343" s="10"/>
      <c r="DC343" s="10"/>
      <c r="DD343" s="10"/>
      <c r="DE343" s="10">
        <f>80+24</f>
        <v>104</v>
      </c>
      <c r="DF343" s="10">
        <v>-27</v>
      </c>
      <c r="DG343" s="10">
        <v>123</v>
      </c>
      <c r="DH343" s="10"/>
      <c r="DI343" s="10"/>
      <c r="DJ343" s="10">
        <v>-200</v>
      </c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>
        <v>2</v>
      </c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>
        <v>3</v>
      </c>
      <c r="EV343" s="10"/>
      <c r="EW343" s="10"/>
      <c r="EX343" s="10">
        <v>-3</v>
      </c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>
        <v>13</v>
      </c>
      <c r="FN343" s="10">
        <v>-15</v>
      </c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/>
      <c r="PW343" s="10"/>
      <c r="PX343" s="10"/>
      <c r="PY343" s="10"/>
      <c r="PZ343" s="10"/>
      <c r="QA343" s="10"/>
      <c r="QB343" s="10"/>
      <c r="QC343" s="10"/>
      <c r="QD343" s="10"/>
      <c r="QE343" s="10"/>
      <c r="QF343" s="10"/>
      <c r="QG343" s="10"/>
      <c r="QH343" s="10"/>
      <c r="QI343" s="10"/>
      <c r="QJ343" s="10"/>
      <c r="QK343" s="10"/>
      <c r="QL343" s="10"/>
      <c r="QM343" s="10"/>
      <c r="QN343" s="10"/>
      <c r="QO343" s="10"/>
      <c r="QP343" s="10"/>
      <c r="QQ343" s="10"/>
      <c r="QR343" s="10"/>
      <c r="QS343" s="10"/>
      <c r="QT343" s="10"/>
      <c r="QU343" s="10"/>
      <c r="QV343" s="10"/>
      <c r="QW343" s="10"/>
      <c r="QX343" s="10"/>
      <c r="QY343" s="10"/>
      <c r="QZ343" s="10"/>
      <c r="RA343" s="10"/>
      <c r="RB343" s="10"/>
      <c r="RC343" s="10"/>
      <c r="RD343" s="10"/>
      <c r="RE343" s="10"/>
      <c r="RF343" s="10"/>
      <c r="RG343" s="10"/>
      <c r="RH343" s="10"/>
      <c r="RI343" s="10"/>
      <c r="RJ343" s="10"/>
      <c r="RK343" s="10"/>
      <c r="RL343" s="10"/>
      <c r="RM343" s="10"/>
      <c r="RN343" s="10"/>
      <c r="RO343" s="10"/>
      <c r="RP343" s="10"/>
      <c r="RQ343" s="10"/>
      <c r="RR343" s="10"/>
      <c r="RS343" s="10"/>
      <c r="RT343" s="10"/>
      <c r="RU343" s="10"/>
      <c r="RV343" s="10"/>
      <c r="RW343" s="10"/>
      <c r="RX343" s="10"/>
      <c r="RY343" s="10"/>
      <c r="RZ343" s="10"/>
      <c r="SA343" s="10"/>
      <c r="SB343" s="10"/>
      <c r="SC343" s="10"/>
      <c r="SD343" s="10"/>
      <c r="SE343" s="10"/>
      <c r="SF343" s="10"/>
      <c r="SG343" s="10"/>
      <c r="SH343" s="10"/>
      <c r="SI343" s="10"/>
      <c r="SJ343" s="10"/>
      <c r="SK343" s="10"/>
      <c r="SL343" s="10"/>
      <c r="SM343" s="10"/>
      <c r="SN343" s="10"/>
      <c r="SO343" s="10"/>
      <c r="SP343" s="10"/>
      <c r="SQ343" s="10"/>
      <c r="SR343" s="10"/>
      <c r="SS343" s="10"/>
      <c r="ST343" s="10"/>
      <c r="SU343" s="10"/>
      <c r="SV343" s="10"/>
      <c r="SW343" s="10"/>
      <c r="SX343" s="10"/>
      <c r="SY343" s="10"/>
      <c r="SZ343" s="10"/>
      <c r="TA343" s="10"/>
      <c r="TB343" s="10"/>
      <c r="TC343" s="10"/>
      <c r="TD343" s="10"/>
      <c r="TE343" s="10"/>
      <c r="TF343" s="10"/>
      <c r="TG343" s="11">
        <f t="shared" si="18"/>
        <v>8</v>
      </c>
      <c r="TH343" s="9">
        <f t="shared" si="19"/>
        <v>-88</v>
      </c>
    </row>
    <row r="344" spans="1:528" ht="15.6" thickBot="1" x14ac:dyDescent="0.3">
      <c r="A344" s="25" t="s">
        <v>790</v>
      </c>
      <c r="B344" s="18" t="s">
        <v>1018</v>
      </c>
      <c r="C344" s="3">
        <f>AGOSTO!D348</f>
        <v>80</v>
      </c>
      <c r="D344" s="21">
        <f t="shared" si="17"/>
        <v>0</v>
      </c>
      <c r="E344" s="10"/>
      <c r="F344" s="10"/>
      <c r="G344" s="10"/>
      <c r="H344" s="10">
        <v>-80</v>
      </c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>
        <v>5</v>
      </c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>
        <v>-5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>
        <v>4</v>
      </c>
      <c r="CB344" s="10"/>
      <c r="CC344" s="10"/>
      <c r="CD344" s="10"/>
      <c r="CE344" s="10">
        <v>7</v>
      </c>
      <c r="CF344" s="10">
        <v>-4</v>
      </c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>
        <v>-2</v>
      </c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>
        <f>-3</f>
        <v>-3</v>
      </c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>
        <v>2</v>
      </c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>
        <v>3</v>
      </c>
      <c r="EV344" s="10"/>
      <c r="EW344" s="10"/>
      <c r="EX344" s="10">
        <v>-3</v>
      </c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>
        <v>16</v>
      </c>
      <c r="FN344" s="10">
        <v>-20</v>
      </c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1">
        <f t="shared" si="18"/>
        <v>5</v>
      </c>
      <c r="TH344" s="9">
        <f t="shared" si="19"/>
        <v>-85</v>
      </c>
    </row>
    <row r="345" spans="1:528" ht="15.6" thickBot="1" x14ac:dyDescent="0.3">
      <c r="A345" s="25" t="s">
        <v>793</v>
      </c>
      <c r="B345" s="18" t="s">
        <v>1019</v>
      </c>
      <c r="C345" s="3">
        <f>AGOSTO!D349</f>
        <v>0</v>
      </c>
      <c r="D345" s="21">
        <f t="shared" si="17"/>
        <v>0</v>
      </c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>
        <v>200</v>
      </c>
      <c r="DH345" s="10"/>
      <c r="DI345" s="10"/>
      <c r="DJ345" s="10">
        <v>-200</v>
      </c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>
        <v>3</v>
      </c>
      <c r="EV345" s="10"/>
      <c r="EW345" s="10"/>
      <c r="EX345" s="10">
        <v>-3</v>
      </c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/>
      <c r="PW345" s="10"/>
      <c r="PX345" s="10"/>
      <c r="PY345" s="10"/>
      <c r="PZ345" s="10"/>
      <c r="QA345" s="10"/>
      <c r="QB345" s="10"/>
      <c r="QC345" s="10"/>
      <c r="QD345" s="10"/>
      <c r="QE345" s="10"/>
      <c r="QF345" s="10"/>
      <c r="QG345" s="10"/>
      <c r="QH345" s="10"/>
      <c r="QI345" s="10"/>
      <c r="QJ345" s="10"/>
      <c r="QK345" s="10"/>
      <c r="QL345" s="10"/>
      <c r="QM345" s="10"/>
      <c r="QN345" s="10"/>
      <c r="QO345" s="10"/>
      <c r="QP345" s="10"/>
      <c r="QQ345" s="10"/>
      <c r="QR345" s="10"/>
      <c r="QS345" s="10"/>
      <c r="QT345" s="10"/>
      <c r="QU345" s="10"/>
      <c r="QV345" s="10"/>
      <c r="QW345" s="10"/>
      <c r="QX345" s="10"/>
      <c r="QY345" s="10"/>
      <c r="QZ345" s="10"/>
      <c r="RA345" s="10"/>
      <c r="RB345" s="10"/>
      <c r="RC345" s="10"/>
      <c r="RD345" s="10"/>
      <c r="RE345" s="10"/>
      <c r="RF345" s="10"/>
      <c r="RG345" s="10"/>
      <c r="RH345" s="10"/>
      <c r="RI345" s="10"/>
      <c r="RJ345" s="10"/>
      <c r="RK345" s="10"/>
      <c r="RL345" s="10"/>
      <c r="RM345" s="10"/>
      <c r="RN345" s="10"/>
      <c r="RO345" s="10"/>
      <c r="RP345" s="10"/>
      <c r="RQ345" s="10"/>
      <c r="RR345" s="10"/>
      <c r="RS345" s="10"/>
      <c r="RT345" s="10"/>
      <c r="RU345" s="10"/>
      <c r="RV345" s="10"/>
      <c r="RW345" s="10"/>
      <c r="RX345" s="10"/>
      <c r="RY345" s="10"/>
      <c r="RZ345" s="10"/>
      <c r="SA345" s="10"/>
      <c r="SB345" s="10"/>
      <c r="SC345" s="10"/>
      <c r="SD345" s="10"/>
      <c r="SE345" s="10"/>
      <c r="SF345" s="10"/>
      <c r="SG345" s="10"/>
      <c r="SH345" s="10"/>
      <c r="SI345" s="10"/>
      <c r="SJ345" s="10"/>
      <c r="SK345" s="10"/>
      <c r="SL345" s="10"/>
      <c r="SM345" s="10"/>
      <c r="SN345" s="10"/>
      <c r="SO345" s="10"/>
      <c r="SP345" s="10"/>
      <c r="SQ345" s="10"/>
      <c r="SR345" s="10"/>
      <c r="SS345" s="10"/>
      <c r="ST345" s="10"/>
      <c r="SU345" s="10"/>
      <c r="SV345" s="10"/>
      <c r="SW345" s="10"/>
      <c r="SX345" s="10"/>
      <c r="SY345" s="10"/>
      <c r="SZ345" s="10"/>
      <c r="TA345" s="10"/>
      <c r="TB345" s="10"/>
      <c r="TC345" s="10"/>
      <c r="TD345" s="10"/>
      <c r="TE345" s="10"/>
      <c r="TF345" s="10"/>
      <c r="TG345" s="11">
        <f t="shared" si="18"/>
        <v>0</v>
      </c>
      <c r="TH345" s="9">
        <f t="shared" si="19"/>
        <v>0</v>
      </c>
    </row>
    <row r="346" spans="1:528" ht="15.6" thickBot="1" x14ac:dyDescent="0.3">
      <c r="A346" s="25" t="s">
        <v>608</v>
      </c>
      <c r="B346" s="18" t="s">
        <v>1020</v>
      </c>
      <c r="C346" s="3">
        <f>AGOSTO!D350</f>
        <v>80</v>
      </c>
      <c r="D346" s="21">
        <f t="shared" si="17"/>
        <v>0</v>
      </c>
      <c r="E346" s="10"/>
      <c r="F346" s="10"/>
      <c r="G346" s="10"/>
      <c r="H346" s="10">
        <v>-80</v>
      </c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>
        <v>5</v>
      </c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>
        <v>-5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>
        <v>6</v>
      </c>
      <c r="CB346" s="10"/>
      <c r="CC346" s="10"/>
      <c r="CD346" s="10"/>
      <c r="CE346" s="10">
        <f>6+3</f>
        <v>9</v>
      </c>
      <c r="CF346" s="10">
        <v>-6</v>
      </c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>
        <v>-2</v>
      </c>
      <c r="CU346" s="10"/>
      <c r="CV346" s="10">
        <v>-7</v>
      </c>
      <c r="CW346" s="10"/>
      <c r="CX346" s="10"/>
      <c r="CY346" s="10"/>
      <c r="CZ346" s="10"/>
      <c r="DA346" s="10"/>
      <c r="DB346" s="10"/>
      <c r="DC346" s="10"/>
      <c r="DD346" s="10"/>
      <c r="DE346" s="10">
        <v>27</v>
      </c>
      <c r="DF346" s="10">
        <v>-27</v>
      </c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>
        <v>2</v>
      </c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>
        <v>3</v>
      </c>
      <c r="EV346" s="10"/>
      <c r="EW346" s="10"/>
      <c r="EX346" s="10">
        <v>-3</v>
      </c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>
        <v>15</v>
      </c>
      <c r="FN346" s="10">
        <v>-17</v>
      </c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1">
        <f t="shared" si="18"/>
        <v>5</v>
      </c>
      <c r="TH346" s="9">
        <f t="shared" si="19"/>
        <v>-85</v>
      </c>
    </row>
    <row r="347" spans="1:528" ht="15.6" thickBot="1" x14ac:dyDescent="0.3">
      <c r="A347" s="25" t="s">
        <v>1128</v>
      </c>
      <c r="B347" s="18" t="s">
        <v>1021</v>
      </c>
      <c r="C347" s="3">
        <f>AGOSTO!D351</f>
        <v>0</v>
      </c>
      <c r="D347" s="21">
        <f t="shared" si="17"/>
        <v>0</v>
      </c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>
        <v>30</v>
      </c>
      <c r="BN347" s="10"/>
      <c r="BO347" s="10"/>
      <c r="BP347" s="10">
        <v>-30</v>
      </c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>
        <v>200</v>
      </c>
      <c r="DJ347" s="10">
        <v>-200</v>
      </c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>
        <v>3</v>
      </c>
      <c r="EV347" s="10"/>
      <c r="EW347" s="10"/>
      <c r="EX347" s="10">
        <v>-3</v>
      </c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0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  <c r="SB347" s="10"/>
      <c r="SC347" s="10"/>
      <c r="SD347" s="10"/>
      <c r="SE347" s="10"/>
      <c r="SF347" s="10"/>
      <c r="SG347" s="10"/>
      <c r="SH347" s="10"/>
      <c r="SI347" s="10"/>
      <c r="SJ347" s="10"/>
      <c r="SK347" s="10"/>
      <c r="SL347" s="10"/>
      <c r="SM347" s="10"/>
      <c r="SN347" s="10"/>
      <c r="SO347" s="10"/>
      <c r="SP347" s="10"/>
      <c r="SQ347" s="10"/>
      <c r="SR347" s="10"/>
      <c r="SS347" s="10"/>
      <c r="ST347" s="10"/>
      <c r="SU347" s="10"/>
      <c r="SV347" s="10"/>
      <c r="SW347" s="10"/>
      <c r="SX347" s="10"/>
      <c r="SY347" s="10"/>
      <c r="SZ347" s="10"/>
      <c r="TA347" s="10"/>
      <c r="TB347" s="10"/>
      <c r="TC347" s="10"/>
      <c r="TD347" s="10"/>
      <c r="TE347" s="10"/>
      <c r="TF347" s="10"/>
      <c r="TG347" s="11">
        <f t="shared" si="18"/>
        <v>0</v>
      </c>
      <c r="TH347" s="9">
        <f t="shared" si="19"/>
        <v>0</v>
      </c>
    </row>
    <row r="348" spans="1:528" ht="15.6" thickBot="1" x14ac:dyDescent="0.3">
      <c r="A348" s="25" t="s">
        <v>1129</v>
      </c>
      <c r="B348" s="18" t="s">
        <v>1022</v>
      </c>
      <c r="C348" s="3">
        <f>AGOSTO!D352</f>
        <v>80</v>
      </c>
      <c r="D348" s="21">
        <f t="shared" si="17"/>
        <v>0</v>
      </c>
      <c r="E348" s="10"/>
      <c r="F348" s="10"/>
      <c r="G348" s="10"/>
      <c r="H348" s="10">
        <v>-80</v>
      </c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>
        <v>5</v>
      </c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>
        <v>-5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>
        <v>4</v>
      </c>
      <c r="CB348" s="10"/>
      <c r="CC348" s="10"/>
      <c r="CD348" s="10"/>
      <c r="CE348" s="10">
        <v>7</v>
      </c>
      <c r="CF348" s="10">
        <v>-4</v>
      </c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>
        <v>-2</v>
      </c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>
        <v>56</v>
      </c>
      <c r="DF348" s="10">
        <v>-59</v>
      </c>
      <c r="DG348" s="10">
        <v>200</v>
      </c>
      <c r="DH348" s="10"/>
      <c r="DI348" s="10"/>
      <c r="DJ348" s="10">
        <v>-200</v>
      </c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>
        <v>2</v>
      </c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>
        <v>3</v>
      </c>
      <c r="EV348" s="10"/>
      <c r="EW348" s="10"/>
      <c r="EX348" s="10">
        <v>-3</v>
      </c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>
        <v>11</v>
      </c>
      <c r="FN348" s="10">
        <v>-15</v>
      </c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1">
        <f t="shared" si="18"/>
        <v>5</v>
      </c>
      <c r="TH348" s="9">
        <f t="shared" si="19"/>
        <v>-85</v>
      </c>
    </row>
    <row r="349" spans="1:528" ht="15.6" thickBot="1" x14ac:dyDescent="0.3">
      <c r="A349" s="25" t="s">
        <v>1130</v>
      </c>
      <c r="B349" s="18" t="s">
        <v>1023</v>
      </c>
      <c r="C349" s="3">
        <f>AGOSTO!D353</f>
        <v>80</v>
      </c>
      <c r="D349" s="21">
        <f t="shared" si="17"/>
        <v>0</v>
      </c>
      <c r="E349" s="10"/>
      <c r="F349" s="10"/>
      <c r="G349" s="10"/>
      <c r="H349" s="10">
        <v>-80</v>
      </c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>
        <v>5</v>
      </c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>
        <v>-5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>
        <v>4</v>
      </c>
      <c r="CB349" s="10"/>
      <c r="CC349" s="10"/>
      <c r="CD349" s="10"/>
      <c r="CE349" s="10">
        <v>7</v>
      </c>
      <c r="CF349" s="10">
        <v>-4</v>
      </c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>
        <v>-2</v>
      </c>
      <c r="CU349" s="10"/>
      <c r="CV349" s="10">
        <v>-5</v>
      </c>
      <c r="CW349" s="10"/>
      <c r="CX349" s="10"/>
      <c r="CY349" s="10"/>
      <c r="CZ349" s="10"/>
      <c r="DA349" s="10"/>
      <c r="DB349" s="10"/>
      <c r="DC349" s="10"/>
      <c r="DD349" s="10"/>
      <c r="DE349" s="10">
        <v>27</v>
      </c>
      <c r="DF349" s="10">
        <v>-27</v>
      </c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>
        <v>2</v>
      </c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>
        <v>3</v>
      </c>
      <c r="EV349" s="10"/>
      <c r="EW349" s="10"/>
      <c r="EX349" s="10">
        <v>-3</v>
      </c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>
        <v>13</v>
      </c>
      <c r="FN349" s="10">
        <v>-15</v>
      </c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/>
      <c r="PW349" s="10"/>
      <c r="PX349" s="10"/>
      <c r="PY349" s="10"/>
      <c r="PZ349" s="10"/>
      <c r="QA349" s="10"/>
      <c r="QB349" s="10"/>
      <c r="QC349" s="10"/>
      <c r="QD349" s="10"/>
      <c r="QE349" s="10"/>
      <c r="QF349" s="10"/>
      <c r="QG349" s="10"/>
      <c r="QH349" s="10"/>
      <c r="QI349" s="10"/>
      <c r="QJ349" s="10"/>
      <c r="QK349" s="10"/>
      <c r="QL349" s="10"/>
      <c r="QM349" s="10"/>
      <c r="QN349" s="10"/>
      <c r="QO349" s="10"/>
      <c r="QP349" s="10"/>
      <c r="QQ349" s="10"/>
      <c r="QR349" s="10"/>
      <c r="QS349" s="10"/>
      <c r="QT349" s="10"/>
      <c r="QU349" s="10"/>
      <c r="QV349" s="10"/>
      <c r="QW349" s="10"/>
      <c r="QX349" s="10"/>
      <c r="QY349" s="10"/>
      <c r="QZ349" s="10"/>
      <c r="RA349" s="10"/>
      <c r="RB349" s="10"/>
      <c r="RC349" s="10"/>
      <c r="RD349" s="10"/>
      <c r="RE349" s="10"/>
      <c r="RF349" s="10"/>
      <c r="RG349" s="10"/>
      <c r="RH349" s="10"/>
      <c r="RI349" s="10"/>
      <c r="RJ349" s="10"/>
      <c r="RK349" s="10"/>
      <c r="RL349" s="10"/>
      <c r="RM349" s="10"/>
      <c r="RN349" s="10"/>
      <c r="RO349" s="10"/>
      <c r="RP349" s="10"/>
      <c r="RQ349" s="10"/>
      <c r="RR349" s="10"/>
      <c r="RS349" s="10"/>
      <c r="RT349" s="10"/>
      <c r="RU349" s="10"/>
      <c r="RV349" s="10"/>
      <c r="RW349" s="10"/>
      <c r="RX349" s="10"/>
      <c r="RY349" s="10"/>
      <c r="RZ349" s="10"/>
      <c r="SA349" s="10"/>
      <c r="SB349" s="10"/>
      <c r="SC349" s="10"/>
      <c r="SD349" s="10"/>
      <c r="SE349" s="10"/>
      <c r="SF349" s="10"/>
      <c r="SG349" s="10"/>
      <c r="SH349" s="10"/>
      <c r="SI349" s="10"/>
      <c r="SJ349" s="10"/>
      <c r="SK349" s="10"/>
      <c r="SL349" s="10"/>
      <c r="SM349" s="10"/>
      <c r="SN349" s="10"/>
      <c r="SO349" s="10"/>
      <c r="SP349" s="10"/>
      <c r="SQ349" s="10"/>
      <c r="SR349" s="10"/>
      <c r="SS349" s="10"/>
      <c r="ST349" s="10"/>
      <c r="SU349" s="10"/>
      <c r="SV349" s="10"/>
      <c r="SW349" s="10"/>
      <c r="SX349" s="10"/>
      <c r="SY349" s="10"/>
      <c r="SZ349" s="10"/>
      <c r="TA349" s="10"/>
      <c r="TB349" s="10"/>
      <c r="TC349" s="10"/>
      <c r="TD349" s="10"/>
      <c r="TE349" s="10"/>
      <c r="TF349" s="10"/>
      <c r="TG349" s="11">
        <f t="shared" si="18"/>
        <v>5</v>
      </c>
      <c r="TH349" s="9">
        <f t="shared" si="19"/>
        <v>-85</v>
      </c>
    </row>
    <row r="350" spans="1:528" ht="15.6" thickBot="1" x14ac:dyDescent="0.3">
      <c r="A350" s="25" t="s">
        <v>902</v>
      </c>
      <c r="B350" s="18" t="s">
        <v>1024</v>
      </c>
      <c r="C350" s="3">
        <f>AGOSTO!D354</f>
        <v>80</v>
      </c>
      <c r="D350" s="21">
        <f t="shared" si="17"/>
        <v>0</v>
      </c>
      <c r="E350" s="10"/>
      <c r="F350" s="10"/>
      <c r="G350" s="10"/>
      <c r="H350" s="10">
        <v>-80</v>
      </c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>
        <v>6</v>
      </c>
      <c r="CN350" s="10">
        <v>-6</v>
      </c>
      <c r="CO350" s="10"/>
      <c r="CP350" s="10"/>
      <c r="CQ350" s="10"/>
      <c r="CR350" s="10"/>
      <c r="CS350" s="10"/>
      <c r="CT350" s="10"/>
      <c r="CU350" s="10">
        <v>24</v>
      </c>
      <c r="CV350" s="10"/>
      <c r="CW350" s="10"/>
      <c r="CX350" s="10">
        <v>-24</v>
      </c>
      <c r="CY350" s="10"/>
      <c r="CZ350" s="10"/>
      <c r="DA350" s="10"/>
      <c r="DB350" s="10"/>
      <c r="DC350" s="10"/>
      <c r="DD350" s="10"/>
      <c r="DE350" s="10">
        <v>64</v>
      </c>
      <c r="DF350" s="10">
        <v>-58</v>
      </c>
      <c r="DG350" s="10"/>
      <c r="DH350" s="10"/>
      <c r="DI350" s="10"/>
      <c r="DJ350" s="10">
        <v>-1</v>
      </c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>
        <v>1</v>
      </c>
      <c r="EH350" s="10"/>
      <c r="EI350" s="10"/>
      <c r="EJ350" s="10"/>
      <c r="EK350" s="10"/>
      <c r="EL350" s="10"/>
      <c r="EM350" s="10"/>
      <c r="EN350" s="10"/>
      <c r="EO350" s="10"/>
      <c r="EP350" s="10"/>
      <c r="EQ350" s="10">
        <v>27</v>
      </c>
      <c r="ER350" s="10">
        <v>-33</v>
      </c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1">
        <f t="shared" si="18"/>
        <v>0</v>
      </c>
      <c r="TH350" s="9">
        <f t="shared" si="19"/>
        <v>-80</v>
      </c>
    </row>
    <row r="351" spans="1:528" ht="15.6" thickBot="1" x14ac:dyDescent="0.3">
      <c r="A351" s="25" t="s">
        <v>904</v>
      </c>
      <c r="B351" s="18" t="s">
        <v>1025</v>
      </c>
      <c r="C351" s="3">
        <f>AGOSTO!D355</f>
        <v>80</v>
      </c>
      <c r="D351" s="21">
        <f t="shared" si="17"/>
        <v>0</v>
      </c>
      <c r="E351" s="10"/>
      <c r="F351" s="10"/>
      <c r="G351" s="10"/>
      <c r="H351" s="10">
        <v>-80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>
        <v>3</v>
      </c>
      <c r="CB351" s="10"/>
      <c r="CC351" s="10"/>
      <c r="CD351" s="10"/>
      <c r="CE351" s="10">
        <v>5</v>
      </c>
      <c r="CF351" s="10">
        <v>-3</v>
      </c>
      <c r="CG351" s="10"/>
      <c r="CH351" s="10"/>
      <c r="CI351" s="10"/>
      <c r="CJ351" s="10"/>
      <c r="CK351" s="10"/>
      <c r="CL351" s="10"/>
      <c r="CM351" s="10">
        <v>6</v>
      </c>
      <c r="CN351" s="10">
        <v>-6</v>
      </c>
      <c r="CO351" s="10"/>
      <c r="CP351" s="10"/>
      <c r="CQ351" s="10"/>
      <c r="CR351" s="10"/>
      <c r="CS351" s="10"/>
      <c r="CT351" s="10"/>
      <c r="CU351" s="10">
        <v>24</v>
      </c>
      <c r="CV351" s="10"/>
      <c r="CW351" s="10"/>
      <c r="CX351" s="10">
        <v>-24</v>
      </c>
      <c r="CY351" s="10"/>
      <c r="CZ351" s="10"/>
      <c r="DA351" s="10"/>
      <c r="DB351" s="10"/>
      <c r="DC351" s="10"/>
      <c r="DD351" s="10"/>
      <c r="DE351" s="10">
        <v>64</v>
      </c>
      <c r="DF351" s="10">
        <v>-58</v>
      </c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>
        <v>1</v>
      </c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>
        <v>-9</v>
      </c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>
        <v>-2</v>
      </c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>
        <v>-1</v>
      </c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/>
      <c r="PW351" s="10"/>
      <c r="PX351" s="10"/>
      <c r="PY351" s="10"/>
      <c r="PZ351" s="10"/>
      <c r="QA351" s="10"/>
      <c r="QB351" s="10"/>
      <c r="QC351" s="10"/>
      <c r="QD351" s="10"/>
      <c r="QE351" s="10"/>
      <c r="QF351" s="10"/>
      <c r="QG351" s="10"/>
      <c r="QH351" s="10"/>
      <c r="QI351" s="10"/>
      <c r="QJ351" s="10"/>
      <c r="QK351" s="10"/>
      <c r="QL351" s="10"/>
      <c r="QM351" s="10"/>
      <c r="QN351" s="10"/>
      <c r="QO351" s="10"/>
      <c r="QP351" s="10"/>
      <c r="QQ351" s="10"/>
      <c r="QR351" s="10"/>
      <c r="QS351" s="10"/>
      <c r="QT351" s="10"/>
      <c r="QU351" s="10"/>
      <c r="QV351" s="10"/>
      <c r="QW351" s="10"/>
      <c r="QX351" s="10"/>
      <c r="QY351" s="10"/>
      <c r="QZ351" s="10"/>
      <c r="RA351" s="10"/>
      <c r="RB351" s="10"/>
      <c r="RC351" s="10"/>
      <c r="RD351" s="10"/>
      <c r="RE351" s="10"/>
      <c r="RF351" s="10"/>
      <c r="RG351" s="10"/>
      <c r="RH351" s="10"/>
      <c r="RI351" s="10"/>
      <c r="RJ351" s="10"/>
      <c r="RK351" s="10"/>
      <c r="RL351" s="10"/>
      <c r="RM351" s="10"/>
      <c r="RN351" s="10"/>
      <c r="RO351" s="10"/>
      <c r="RP351" s="10"/>
      <c r="RQ351" s="10"/>
      <c r="RR351" s="10"/>
      <c r="RS351" s="10"/>
      <c r="RT351" s="10"/>
      <c r="RU351" s="10"/>
      <c r="RV351" s="10"/>
      <c r="RW351" s="10"/>
      <c r="RX351" s="10"/>
      <c r="RY351" s="10"/>
      <c r="RZ351" s="10"/>
      <c r="SA351" s="10"/>
      <c r="SB351" s="10"/>
      <c r="SC351" s="10"/>
      <c r="SD351" s="10"/>
      <c r="SE351" s="10"/>
      <c r="SF351" s="10"/>
      <c r="SG351" s="10"/>
      <c r="SH351" s="10"/>
      <c r="SI351" s="10"/>
      <c r="SJ351" s="10"/>
      <c r="SK351" s="10"/>
      <c r="SL351" s="10"/>
      <c r="SM351" s="10"/>
      <c r="SN351" s="10"/>
      <c r="SO351" s="10"/>
      <c r="SP351" s="10"/>
      <c r="SQ351" s="10"/>
      <c r="SR351" s="10"/>
      <c r="SS351" s="10"/>
      <c r="ST351" s="10"/>
      <c r="SU351" s="10"/>
      <c r="SV351" s="10"/>
      <c r="SW351" s="10"/>
      <c r="SX351" s="10"/>
      <c r="SY351" s="10"/>
      <c r="SZ351" s="10"/>
      <c r="TA351" s="10"/>
      <c r="TB351" s="10"/>
      <c r="TC351" s="10"/>
      <c r="TD351" s="10"/>
      <c r="TE351" s="10"/>
      <c r="TF351" s="10"/>
      <c r="TG351" s="11">
        <f t="shared" si="18"/>
        <v>0</v>
      </c>
      <c r="TH351" s="9">
        <f t="shared" si="19"/>
        <v>-80</v>
      </c>
    </row>
    <row r="352" spans="1:528" ht="15.6" thickBot="1" x14ac:dyDescent="0.3">
      <c r="A352" s="25" t="s">
        <v>905</v>
      </c>
      <c r="B352" s="18" t="s">
        <v>1026</v>
      </c>
      <c r="C352" s="3">
        <f>AGOSTO!D356</f>
        <v>80</v>
      </c>
      <c r="D352" s="21">
        <f t="shared" si="17"/>
        <v>0</v>
      </c>
      <c r="E352" s="10"/>
      <c r="F352" s="10"/>
      <c r="G352" s="10"/>
      <c r="H352" s="10">
        <v>-80</v>
      </c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>
        <v>5</v>
      </c>
      <c r="CB352" s="10"/>
      <c r="CC352" s="10"/>
      <c r="CD352" s="10"/>
      <c r="CE352" s="10">
        <f>5+2</f>
        <v>7</v>
      </c>
      <c r="CF352" s="10">
        <v>-5</v>
      </c>
      <c r="CG352" s="10"/>
      <c r="CH352" s="10"/>
      <c r="CI352" s="10"/>
      <c r="CJ352" s="10"/>
      <c r="CK352" s="10"/>
      <c r="CL352" s="10"/>
      <c r="CM352" s="10">
        <v>6</v>
      </c>
      <c r="CN352" s="10">
        <v>-6</v>
      </c>
      <c r="CO352" s="10"/>
      <c r="CP352" s="10"/>
      <c r="CQ352" s="10"/>
      <c r="CR352" s="10"/>
      <c r="CS352" s="10"/>
      <c r="CT352" s="10"/>
      <c r="CU352" s="10">
        <v>24</v>
      </c>
      <c r="CV352" s="10"/>
      <c r="CW352" s="10"/>
      <c r="CX352" s="10">
        <v>-24</v>
      </c>
      <c r="CY352" s="10"/>
      <c r="CZ352" s="10"/>
      <c r="DA352" s="10"/>
      <c r="DB352" s="10"/>
      <c r="DC352" s="10"/>
      <c r="DD352" s="10"/>
      <c r="DE352" s="10">
        <v>64</v>
      </c>
      <c r="DF352" s="10">
        <v>-58</v>
      </c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>
        <v>1</v>
      </c>
      <c r="EH352" s="10"/>
      <c r="EI352" s="10"/>
      <c r="EJ352" s="10"/>
      <c r="EK352" s="10"/>
      <c r="EL352" s="10"/>
      <c r="EM352" s="10"/>
      <c r="EN352" s="10"/>
      <c r="EO352" s="10"/>
      <c r="EP352" s="10"/>
      <c r="EQ352" s="10">
        <v>19</v>
      </c>
      <c r="ER352" s="10">
        <v>-33</v>
      </c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1">
        <f t="shared" si="18"/>
        <v>0</v>
      </c>
      <c r="TH352" s="9">
        <f t="shared" si="19"/>
        <v>-80</v>
      </c>
    </row>
    <row r="353" spans="1:528" ht="16.2" thickBot="1" x14ac:dyDescent="0.35">
      <c r="A353" s="25"/>
      <c r="B353" s="20" t="s">
        <v>108</v>
      </c>
      <c r="C353" s="3">
        <f>AGOSTO!D357</f>
        <v>0</v>
      </c>
      <c r="D353" s="21">
        <f t="shared" si="17"/>
        <v>0</v>
      </c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0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  <c r="SB353" s="10"/>
      <c r="SC353" s="10"/>
      <c r="SD353" s="10"/>
      <c r="SE353" s="10"/>
      <c r="SF353" s="10"/>
      <c r="SG353" s="10"/>
      <c r="SH353" s="10"/>
      <c r="SI353" s="10"/>
      <c r="SJ353" s="10"/>
      <c r="SK353" s="10"/>
      <c r="SL353" s="10"/>
      <c r="SM353" s="10"/>
      <c r="SN353" s="10"/>
      <c r="SO353" s="10"/>
      <c r="SP353" s="10"/>
      <c r="SQ353" s="10"/>
      <c r="SR353" s="10"/>
      <c r="SS353" s="10"/>
      <c r="ST353" s="10"/>
      <c r="SU353" s="10"/>
      <c r="SV353" s="10"/>
      <c r="SW353" s="10"/>
      <c r="SX353" s="10"/>
      <c r="SY353" s="10"/>
      <c r="SZ353" s="10"/>
      <c r="TA353" s="10"/>
      <c r="TB353" s="10"/>
      <c r="TC353" s="10"/>
      <c r="TD353" s="10"/>
      <c r="TE353" s="10"/>
      <c r="TF353" s="10"/>
      <c r="TG353" s="11">
        <f t="shared" si="18"/>
        <v>0</v>
      </c>
      <c r="TH353" s="9">
        <f t="shared" si="19"/>
        <v>0</v>
      </c>
    </row>
    <row r="354" spans="1:528" ht="15.6" thickBot="1" x14ac:dyDescent="0.3">
      <c r="A354" s="25" t="s">
        <v>775</v>
      </c>
      <c r="B354" s="18" t="s">
        <v>109</v>
      </c>
      <c r="C354" s="3">
        <f>AGOSTO!D358</f>
        <v>0</v>
      </c>
      <c r="D354" s="21">
        <f t="shared" si="17"/>
        <v>0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>
        <f>122</f>
        <v>122</v>
      </c>
      <c r="DT354" s="10"/>
      <c r="DU354" s="10"/>
      <c r="DV354" s="10">
        <v>-122</v>
      </c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>
        <v>1</v>
      </c>
      <c r="EL354" s="10"/>
      <c r="EM354" s="10"/>
      <c r="EN354" s="10"/>
      <c r="EO354" s="10"/>
      <c r="EP354" s="10"/>
      <c r="EQ354" s="10"/>
      <c r="ER354" s="10"/>
      <c r="ES354" s="10"/>
      <c r="ET354" s="10">
        <v>-1</v>
      </c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1">
        <f t="shared" si="18"/>
        <v>0</v>
      </c>
      <c r="TH354" s="9">
        <f t="shared" si="19"/>
        <v>0</v>
      </c>
    </row>
    <row r="355" spans="1:528" ht="16.2" thickBot="1" x14ac:dyDescent="0.35">
      <c r="A355" s="25"/>
      <c r="B355" s="20" t="s">
        <v>146</v>
      </c>
      <c r="C355" s="3">
        <f>AGOSTO!D359</f>
        <v>0</v>
      </c>
      <c r="D355" s="21">
        <f t="shared" si="17"/>
        <v>0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0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  <c r="SB355" s="10"/>
      <c r="SC355" s="10"/>
      <c r="SD355" s="10"/>
      <c r="SE355" s="10"/>
      <c r="SF355" s="10"/>
      <c r="SG355" s="10"/>
      <c r="SH355" s="10"/>
      <c r="SI355" s="10"/>
      <c r="SJ355" s="10"/>
      <c r="SK355" s="10"/>
      <c r="SL355" s="10"/>
      <c r="SM355" s="10"/>
      <c r="SN355" s="10"/>
      <c r="SO355" s="10"/>
      <c r="SP355" s="10"/>
      <c r="SQ355" s="10"/>
      <c r="SR355" s="10"/>
      <c r="SS355" s="10"/>
      <c r="ST355" s="10"/>
      <c r="SU355" s="10"/>
      <c r="SV355" s="10"/>
      <c r="SW355" s="10"/>
      <c r="SX355" s="10"/>
      <c r="SY355" s="10"/>
      <c r="SZ355" s="10"/>
      <c r="TA355" s="10"/>
      <c r="TB355" s="10"/>
      <c r="TC355" s="10"/>
      <c r="TD355" s="10"/>
      <c r="TE355" s="10"/>
      <c r="TF355" s="10"/>
      <c r="TG355" s="11">
        <f t="shared" si="18"/>
        <v>0</v>
      </c>
      <c r="TH355" s="9">
        <f t="shared" si="19"/>
        <v>0</v>
      </c>
    </row>
    <row r="356" spans="1:528" ht="15.6" thickBot="1" x14ac:dyDescent="0.3">
      <c r="A356" s="25" t="s">
        <v>380</v>
      </c>
      <c r="B356" s="18" t="s">
        <v>480</v>
      </c>
      <c r="C356" s="3">
        <f>AGOSTO!D360</f>
        <v>121</v>
      </c>
      <c r="D356" s="21">
        <f t="shared" si="17"/>
        <v>0</v>
      </c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4">
        <v>-121</v>
      </c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>
        <v>175</v>
      </c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>
        <v>-175</v>
      </c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1">
        <f t="shared" si="18"/>
        <v>0</v>
      </c>
      <c r="TH356" s="9">
        <f t="shared" si="19"/>
        <v>0</v>
      </c>
    </row>
    <row r="357" spans="1:528" ht="15.6" thickBot="1" x14ac:dyDescent="0.3">
      <c r="A357" s="25" t="s">
        <v>379</v>
      </c>
      <c r="B357" s="18" t="s">
        <v>1027</v>
      </c>
      <c r="C357" s="3">
        <f>AGOSTO!D361</f>
        <v>0</v>
      </c>
      <c r="D357" s="21">
        <f t="shared" si="17"/>
        <v>0</v>
      </c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>
        <v>64</v>
      </c>
      <c r="ED357" s="10"/>
      <c r="EE357" s="10"/>
      <c r="EF357" s="10"/>
      <c r="EG357" s="10"/>
      <c r="EH357" s="10"/>
      <c r="EI357" s="10"/>
      <c r="EJ357" s="10"/>
      <c r="EK357" s="10">
        <f>72+72</f>
        <v>144</v>
      </c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>
        <v>-208</v>
      </c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>
        <f>72*2+31</f>
        <v>175</v>
      </c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>
        <v>-175</v>
      </c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0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  <c r="SB357" s="10"/>
      <c r="SC357" s="10"/>
      <c r="SD357" s="10"/>
      <c r="SE357" s="10"/>
      <c r="SF357" s="10"/>
      <c r="SG357" s="10"/>
      <c r="SH357" s="10"/>
      <c r="SI357" s="10"/>
      <c r="SJ357" s="10"/>
      <c r="SK357" s="10"/>
      <c r="SL357" s="10"/>
      <c r="SM357" s="10"/>
      <c r="SN357" s="10"/>
      <c r="SO357" s="10"/>
      <c r="SP357" s="10"/>
      <c r="SQ357" s="10"/>
      <c r="SR357" s="10"/>
      <c r="SS357" s="10"/>
      <c r="ST357" s="10"/>
      <c r="SU357" s="10"/>
      <c r="SV357" s="10"/>
      <c r="SW357" s="10"/>
      <c r="SX357" s="10"/>
      <c r="SY357" s="10"/>
      <c r="SZ357" s="10"/>
      <c r="TA357" s="10"/>
      <c r="TB357" s="10"/>
      <c r="TC357" s="10"/>
      <c r="TD357" s="10"/>
      <c r="TE357" s="10"/>
      <c r="TF357" s="10"/>
      <c r="TG357" s="11">
        <f t="shared" si="18"/>
        <v>0</v>
      </c>
      <c r="TH357" s="9">
        <f t="shared" si="19"/>
        <v>0</v>
      </c>
    </row>
    <row r="358" spans="1:528" ht="15.6" thickBot="1" x14ac:dyDescent="0.3">
      <c r="A358" s="25" t="s">
        <v>379</v>
      </c>
      <c r="B358" s="26" t="s">
        <v>1107</v>
      </c>
      <c r="C358" s="3">
        <f>AGOSTO!D362</f>
        <v>0</v>
      </c>
      <c r="D358" s="21">
        <f t="shared" si="17"/>
        <v>0</v>
      </c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>
        <f>72+72+56</f>
        <v>200</v>
      </c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>
        <v>-200</v>
      </c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>
        <f>72+72+31</f>
        <v>175</v>
      </c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>
        <v>-175</v>
      </c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1">
        <f t="shared" si="18"/>
        <v>0</v>
      </c>
      <c r="TH358" s="9">
        <f t="shared" si="19"/>
        <v>0</v>
      </c>
    </row>
    <row r="359" spans="1:528" ht="15.6" thickBot="1" x14ac:dyDescent="0.3">
      <c r="A359" s="25" t="s">
        <v>379</v>
      </c>
      <c r="B359" s="18" t="s">
        <v>381</v>
      </c>
      <c r="C359" s="3">
        <f>AGOSTO!D363</f>
        <v>0</v>
      </c>
      <c r="D359" s="21">
        <f t="shared" si="17"/>
        <v>0</v>
      </c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>
        <f>72*2+58</f>
        <v>202</v>
      </c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>
        <v>-202</v>
      </c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>
        <f>175</f>
        <v>175</v>
      </c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>
        <v>-175</v>
      </c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0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  <c r="SB359" s="10"/>
      <c r="SC359" s="10"/>
      <c r="SD359" s="10"/>
      <c r="SE359" s="10"/>
      <c r="SF359" s="10"/>
      <c r="SG359" s="10"/>
      <c r="SH359" s="10"/>
      <c r="SI359" s="10"/>
      <c r="SJ359" s="10"/>
      <c r="SK359" s="10"/>
      <c r="SL359" s="10"/>
      <c r="SM359" s="10"/>
      <c r="SN359" s="10"/>
      <c r="SO359" s="10"/>
      <c r="SP359" s="10"/>
      <c r="SQ359" s="10"/>
      <c r="SR359" s="10"/>
      <c r="SS359" s="10"/>
      <c r="ST359" s="10"/>
      <c r="SU359" s="10"/>
      <c r="SV359" s="10"/>
      <c r="SW359" s="10"/>
      <c r="SX359" s="10"/>
      <c r="SY359" s="10"/>
      <c r="SZ359" s="10"/>
      <c r="TA359" s="10"/>
      <c r="TB359" s="10"/>
      <c r="TC359" s="10"/>
      <c r="TD359" s="10"/>
      <c r="TE359" s="10"/>
      <c r="TF359" s="10"/>
      <c r="TG359" s="11">
        <f t="shared" si="18"/>
        <v>0</v>
      </c>
      <c r="TH359" s="9">
        <f t="shared" si="19"/>
        <v>0</v>
      </c>
    </row>
    <row r="360" spans="1:528" ht="15.6" thickBot="1" x14ac:dyDescent="0.3">
      <c r="A360" s="25" t="s">
        <v>379</v>
      </c>
      <c r="B360" s="18" t="s">
        <v>382</v>
      </c>
      <c r="C360" s="3">
        <f>AGOSTO!D364</f>
        <v>209</v>
      </c>
      <c r="D360" s="21">
        <f t="shared" si="17"/>
        <v>0</v>
      </c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4">
        <v>-209</v>
      </c>
      <c r="DU360" s="10">
        <f>72*2+56</f>
        <v>200</v>
      </c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>
        <v>-200</v>
      </c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1">
        <f t="shared" si="18"/>
        <v>0</v>
      </c>
      <c r="TH360" s="9">
        <f t="shared" si="19"/>
        <v>0</v>
      </c>
    </row>
    <row r="361" spans="1:528" ht="15.6" thickBot="1" x14ac:dyDescent="0.3">
      <c r="A361" s="25" t="s">
        <v>379</v>
      </c>
      <c r="B361" s="18" t="s">
        <v>383</v>
      </c>
      <c r="C361" s="3">
        <f>AGOSTO!D365</f>
        <v>202</v>
      </c>
      <c r="D361" s="21">
        <f t="shared" si="17"/>
        <v>0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4">
        <v>-202</v>
      </c>
      <c r="DU361" s="10"/>
      <c r="DV361" s="10"/>
      <c r="DW361" s="10"/>
      <c r="DX361" s="10"/>
      <c r="DY361" s="10"/>
      <c r="DZ361" s="10"/>
      <c r="EA361" s="10"/>
      <c r="EB361" s="10"/>
      <c r="EC361" s="10">
        <v>62</v>
      </c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>
        <v>-62</v>
      </c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>
        <f>175</f>
        <v>175</v>
      </c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>
        <v>-175</v>
      </c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0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  <c r="SB361" s="10"/>
      <c r="SC361" s="10"/>
      <c r="SD361" s="10"/>
      <c r="SE361" s="10"/>
      <c r="SF361" s="10"/>
      <c r="SG361" s="10"/>
      <c r="SH361" s="10"/>
      <c r="SI361" s="10"/>
      <c r="SJ361" s="10"/>
      <c r="SK361" s="10"/>
      <c r="SL361" s="10"/>
      <c r="SM361" s="10"/>
      <c r="SN361" s="10"/>
      <c r="SO361" s="10"/>
      <c r="SP361" s="10"/>
      <c r="SQ361" s="10"/>
      <c r="SR361" s="10"/>
      <c r="SS361" s="10"/>
      <c r="ST361" s="10"/>
      <c r="SU361" s="10"/>
      <c r="SV361" s="10"/>
      <c r="SW361" s="10"/>
      <c r="SX361" s="10"/>
      <c r="SY361" s="10"/>
      <c r="SZ361" s="10"/>
      <c r="TA361" s="10"/>
      <c r="TB361" s="10"/>
      <c r="TC361" s="10"/>
      <c r="TD361" s="10"/>
      <c r="TE361" s="10"/>
      <c r="TF361" s="10"/>
      <c r="TG361" s="11">
        <f t="shared" si="18"/>
        <v>0</v>
      </c>
      <c r="TH361" s="9">
        <f t="shared" si="19"/>
        <v>0</v>
      </c>
    </row>
    <row r="362" spans="1:528" ht="15.6" thickBot="1" x14ac:dyDescent="0.3">
      <c r="A362" s="25" t="s">
        <v>379</v>
      </c>
      <c r="B362" s="18" t="s">
        <v>1028</v>
      </c>
      <c r="C362" s="3">
        <f>AGOSTO!D366</f>
        <v>70</v>
      </c>
      <c r="D362" s="21">
        <f t="shared" si="17"/>
        <v>0</v>
      </c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4">
        <v>-70</v>
      </c>
      <c r="DU362" s="10"/>
      <c r="DV362" s="10"/>
      <c r="DW362" s="10"/>
      <c r="DX362" s="10"/>
      <c r="DY362" s="10"/>
      <c r="DZ362" s="10"/>
      <c r="EA362" s="10"/>
      <c r="EB362" s="10"/>
      <c r="EC362" s="10">
        <v>62</v>
      </c>
      <c r="ED362" s="10"/>
      <c r="EE362" s="10"/>
      <c r="EF362" s="10"/>
      <c r="EG362" s="10"/>
      <c r="EH362" s="10"/>
      <c r="EI362" s="10"/>
      <c r="EJ362" s="10"/>
      <c r="EK362" s="10">
        <v>38</v>
      </c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>
        <v>-100</v>
      </c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1">
        <f t="shared" si="18"/>
        <v>0</v>
      </c>
      <c r="TH362" s="9">
        <f t="shared" si="19"/>
        <v>0</v>
      </c>
    </row>
    <row r="363" spans="1:528" ht="15.6" thickBot="1" x14ac:dyDescent="0.3">
      <c r="A363" s="25" t="s">
        <v>379</v>
      </c>
      <c r="B363" s="18" t="s">
        <v>1029</v>
      </c>
      <c r="C363" s="3">
        <f>AGOSTO!D367</f>
        <v>69</v>
      </c>
      <c r="D363" s="21">
        <f t="shared" si="17"/>
        <v>0</v>
      </c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4">
        <v>-69</v>
      </c>
      <c r="DU363" s="10"/>
      <c r="DV363" s="10"/>
      <c r="DW363" s="10"/>
      <c r="DX363" s="10"/>
      <c r="DY363" s="10"/>
      <c r="DZ363" s="10"/>
      <c r="EA363" s="10"/>
      <c r="EB363" s="10"/>
      <c r="EC363" s="10">
        <v>62</v>
      </c>
      <c r="ED363" s="10"/>
      <c r="EE363" s="10"/>
      <c r="EF363" s="10"/>
      <c r="EG363" s="10"/>
      <c r="EH363" s="10"/>
      <c r="EI363" s="10"/>
      <c r="EJ363" s="10"/>
      <c r="EK363" s="10">
        <f>72+34</f>
        <v>106</v>
      </c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>
        <v>-168</v>
      </c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>
        <v>144</v>
      </c>
      <c r="LH363" s="10"/>
      <c r="LI363" s="14">
        <v>31</v>
      </c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>
        <v>-175</v>
      </c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0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  <c r="SB363" s="10"/>
      <c r="SC363" s="10"/>
      <c r="SD363" s="10"/>
      <c r="SE363" s="10"/>
      <c r="SF363" s="10"/>
      <c r="SG363" s="10"/>
      <c r="SH363" s="10"/>
      <c r="SI363" s="10"/>
      <c r="SJ363" s="10"/>
      <c r="SK363" s="10"/>
      <c r="SL363" s="10"/>
      <c r="SM363" s="10"/>
      <c r="SN363" s="10"/>
      <c r="SO363" s="10"/>
      <c r="SP363" s="10"/>
      <c r="SQ363" s="10"/>
      <c r="SR363" s="10"/>
      <c r="SS363" s="10"/>
      <c r="ST363" s="10"/>
      <c r="SU363" s="10"/>
      <c r="SV363" s="10"/>
      <c r="SW363" s="10"/>
      <c r="SX363" s="10"/>
      <c r="SY363" s="10"/>
      <c r="SZ363" s="10"/>
      <c r="TA363" s="10"/>
      <c r="TB363" s="10"/>
      <c r="TC363" s="10"/>
      <c r="TD363" s="10"/>
      <c r="TE363" s="10"/>
      <c r="TF363" s="10"/>
      <c r="TG363" s="11">
        <f t="shared" si="18"/>
        <v>0</v>
      </c>
      <c r="TH363" s="9">
        <f t="shared" si="19"/>
        <v>0</v>
      </c>
    </row>
    <row r="364" spans="1:528" ht="15.6" thickBot="1" x14ac:dyDescent="0.3">
      <c r="A364" s="25" t="s">
        <v>379</v>
      </c>
      <c r="B364" s="18" t="s">
        <v>1030</v>
      </c>
      <c r="C364" s="3">
        <f>AGOSTO!D368</f>
        <v>70</v>
      </c>
      <c r="D364" s="21">
        <f t="shared" si="17"/>
        <v>0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4">
        <v>-70</v>
      </c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1">
        <f t="shared" si="18"/>
        <v>0</v>
      </c>
      <c r="TH364" s="9">
        <f t="shared" si="19"/>
        <v>0</v>
      </c>
    </row>
    <row r="365" spans="1:528" ht="15.6" thickBot="1" x14ac:dyDescent="0.3">
      <c r="A365" s="25" t="s">
        <v>379</v>
      </c>
      <c r="B365" s="18" t="s">
        <v>384</v>
      </c>
      <c r="C365" s="3">
        <f>AGOSTO!D369</f>
        <v>105</v>
      </c>
      <c r="D365" s="21">
        <f t="shared" si="17"/>
        <v>0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4">
        <v>-105</v>
      </c>
      <c r="DU365" s="10"/>
      <c r="DV365" s="10"/>
      <c r="DW365" s="10"/>
      <c r="DX365" s="10"/>
      <c r="DY365" s="10"/>
      <c r="DZ365" s="10"/>
      <c r="EA365" s="10"/>
      <c r="EB365" s="10"/>
      <c r="EC365" s="10">
        <f>71+33</f>
        <v>104</v>
      </c>
      <c r="ED365" s="10"/>
      <c r="EE365" s="10"/>
      <c r="EF365" s="10"/>
      <c r="EG365" s="10"/>
      <c r="EH365" s="10"/>
      <c r="EI365" s="10"/>
      <c r="EJ365" s="10"/>
      <c r="EK365" s="10">
        <f>72+48</f>
        <v>120</v>
      </c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>
        <v>-224</v>
      </c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>
        <v>72</v>
      </c>
      <c r="LJ365" s="10"/>
      <c r="LK365" s="10"/>
      <c r="LL365" s="10"/>
      <c r="LM365" s="10">
        <f>72+56</f>
        <v>128</v>
      </c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>
        <v>-200</v>
      </c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0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  <c r="SB365" s="10"/>
      <c r="SC365" s="10"/>
      <c r="SD365" s="10"/>
      <c r="SE365" s="10"/>
      <c r="SF365" s="10"/>
      <c r="SG365" s="10"/>
      <c r="SH365" s="10"/>
      <c r="SI365" s="10"/>
      <c r="SJ365" s="10"/>
      <c r="SK365" s="10"/>
      <c r="SL365" s="10"/>
      <c r="SM365" s="10"/>
      <c r="SN365" s="10"/>
      <c r="SO365" s="10"/>
      <c r="SP365" s="10"/>
      <c r="SQ365" s="10"/>
      <c r="SR365" s="10"/>
      <c r="SS365" s="10"/>
      <c r="ST365" s="10"/>
      <c r="SU365" s="10"/>
      <c r="SV365" s="10"/>
      <c r="SW365" s="10"/>
      <c r="SX365" s="10"/>
      <c r="SY365" s="10"/>
      <c r="SZ365" s="10"/>
      <c r="TA365" s="10"/>
      <c r="TB365" s="10"/>
      <c r="TC365" s="10"/>
      <c r="TD365" s="10"/>
      <c r="TE365" s="10"/>
      <c r="TF365" s="10"/>
      <c r="TG365" s="11">
        <f t="shared" si="18"/>
        <v>0</v>
      </c>
      <c r="TH365" s="9">
        <f t="shared" si="19"/>
        <v>0</v>
      </c>
    </row>
    <row r="366" spans="1:528" ht="15" customHeight="1" thickBot="1" x14ac:dyDescent="0.3">
      <c r="A366" s="25" t="s">
        <v>379</v>
      </c>
      <c r="B366" s="18" t="s">
        <v>1108</v>
      </c>
      <c r="C366" s="3">
        <f>AGOSTO!D370</f>
        <v>71</v>
      </c>
      <c r="D366" s="21">
        <f t="shared" si="17"/>
        <v>0</v>
      </c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4">
        <v>-71</v>
      </c>
      <c r="DU366" s="10"/>
      <c r="DV366" s="10"/>
      <c r="DW366" s="10">
        <f>72*3+4</f>
        <v>220</v>
      </c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>
        <f>72*3</f>
        <v>216</v>
      </c>
      <c r="GB366" s="10"/>
      <c r="GC366" s="10">
        <f>72*2</f>
        <v>144</v>
      </c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>
        <f>17+(8*72)+55</f>
        <v>648</v>
      </c>
      <c r="GR366" s="10"/>
      <c r="GS366" s="10"/>
      <c r="GT366" s="10"/>
      <c r="GU366" s="10">
        <v>85</v>
      </c>
      <c r="GV366" s="10">
        <v>-1313</v>
      </c>
      <c r="GW366" s="10">
        <v>9</v>
      </c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>
        <f>72*3+72*12</f>
        <v>1080</v>
      </c>
      <c r="KV366" s="10"/>
      <c r="KW366" s="10"/>
      <c r="KX366" s="10"/>
      <c r="KY366" s="10">
        <f>72+72+26</f>
        <v>170</v>
      </c>
      <c r="KZ366" s="10"/>
      <c r="LA366" s="10"/>
      <c r="LB366" s="10"/>
      <c r="LC366" s="10"/>
      <c r="LD366" s="10">
        <v>-1259</v>
      </c>
      <c r="LE366" s="10"/>
      <c r="LF366" s="10"/>
      <c r="LG366" s="10">
        <f>72+72+31</f>
        <v>175</v>
      </c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>
        <v>-175</v>
      </c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>
        <f>72*6</f>
        <v>432</v>
      </c>
      <c r="PT366" s="10"/>
      <c r="PU366" s="10">
        <f>8*72</f>
        <v>576</v>
      </c>
      <c r="PV366" s="10"/>
      <c r="PW366" s="10"/>
      <c r="PX366" s="10"/>
      <c r="PY366" s="10"/>
      <c r="PZ366" s="10"/>
      <c r="QA366" s="10">
        <f>72+61</f>
        <v>133</v>
      </c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>
        <v>-1141</v>
      </c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1">
        <f t="shared" si="18"/>
        <v>0</v>
      </c>
      <c r="TH366" s="9">
        <f t="shared" si="19"/>
        <v>0</v>
      </c>
    </row>
    <row r="367" spans="1:528" ht="15.6" thickBot="1" x14ac:dyDescent="0.3">
      <c r="A367" s="25" t="s">
        <v>380</v>
      </c>
      <c r="B367" s="18" t="s">
        <v>481</v>
      </c>
      <c r="C367" s="3">
        <f>AGOSTO!D371</f>
        <v>0</v>
      </c>
      <c r="D367" s="21">
        <f t="shared" si="17"/>
        <v>0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>
        <f>72+48</f>
        <v>120</v>
      </c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>
        <v>-120</v>
      </c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>
        <v>175</v>
      </c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>
        <v>-175</v>
      </c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0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  <c r="SB367" s="10"/>
      <c r="SC367" s="10"/>
      <c r="SD367" s="10"/>
      <c r="SE367" s="10"/>
      <c r="SF367" s="10"/>
      <c r="SG367" s="10"/>
      <c r="SH367" s="10"/>
      <c r="SI367" s="10"/>
      <c r="SJ367" s="10"/>
      <c r="SK367" s="10"/>
      <c r="SL367" s="10"/>
      <c r="SM367" s="10"/>
      <c r="SN367" s="10"/>
      <c r="SO367" s="10"/>
      <c r="SP367" s="10"/>
      <c r="SQ367" s="10"/>
      <c r="SR367" s="10"/>
      <c r="SS367" s="10"/>
      <c r="ST367" s="10"/>
      <c r="SU367" s="10"/>
      <c r="SV367" s="10"/>
      <c r="SW367" s="10"/>
      <c r="SX367" s="10"/>
      <c r="SY367" s="10"/>
      <c r="SZ367" s="10"/>
      <c r="TA367" s="10"/>
      <c r="TB367" s="10"/>
      <c r="TC367" s="10"/>
      <c r="TD367" s="10"/>
      <c r="TE367" s="10"/>
      <c r="TF367" s="10"/>
      <c r="TG367" s="11">
        <f t="shared" si="18"/>
        <v>0</v>
      </c>
      <c r="TH367" s="9">
        <f t="shared" si="19"/>
        <v>0</v>
      </c>
    </row>
    <row r="368" spans="1:528" ht="15.6" thickBot="1" x14ac:dyDescent="0.3">
      <c r="A368" s="25" t="s">
        <v>380</v>
      </c>
      <c r="B368" s="18" t="s">
        <v>1031</v>
      </c>
      <c r="C368" s="3">
        <f>AGOSTO!D372</f>
        <v>0</v>
      </c>
      <c r="D368" s="21">
        <f t="shared" si="17"/>
        <v>0</v>
      </c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>
        <f>72*2+61</f>
        <v>205</v>
      </c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>
        <v>-205</v>
      </c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>
        <v>72</v>
      </c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>
        <f>72+31</f>
        <v>103</v>
      </c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>
        <v>-175</v>
      </c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1">
        <f t="shared" si="18"/>
        <v>0</v>
      </c>
      <c r="TH368" s="9">
        <f t="shared" si="19"/>
        <v>0</v>
      </c>
    </row>
    <row r="369" spans="1:528" ht="15.6" thickBot="1" x14ac:dyDescent="0.3">
      <c r="A369" s="25" t="s">
        <v>380</v>
      </c>
      <c r="B369" s="18" t="s">
        <v>835</v>
      </c>
      <c r="C369" s="3">
        <f>AGOSTO!D373</f>
        <v>0</v>
      </c>
      <c r="D369" s="21">
        <f t="shared" si="17"/>
        <v>0</v>
      </c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>
        <f>72*2+56</f>
        <v>200</v>
      </c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>
        <v>-200</v>
      </c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>
        <v>175</v>
      </c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>
        <v>-175</v>
      </c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1">
        <f t="shared" si="18"/>
        <v>0</v>
      </c>
      <c r="TH369" s="9">
        <f t="shared" si="19"/>
        <v>0</v>
      </c>
    </row>
    <row r="370" spans="1:528" ht="15.6" thickBot="1" x14ac:dyDescent="0.3">
      <c r="A370" s="25" t="s">
        <v>380</v>
      </c>
      <c r="B370" s="18" t="s">
        <v>1032</v>
      </c>
      <c r="C370" s="3">
        <f>AGOSTO!D374</f>
        <v>6</v>
      </c>
      <c r="D370" s="21">
        <f t="shared" si="17"/>
        <v>0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4">
        <v>-6</v>
      </c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>
        <v>144</v>
      </c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>
        <v>-144</v>
      </c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1">
        <f t="shared" si="18"/>
        <v>0</v>
      </c>
      <c r="TH370" s="9">
        <f t="shared" si="19"/>
        <v>0</v>
      </c>
    </row>
    <row r="371" spans="1:528" ht="15.6" thickBot="1" x14ac:dyDescent="0.3">
      <c r="A371" s="25" t="s">
        <v>380</v>
      </c>
      <c r="B371" s="18" t="s">
        <v>1140</v>
      </c>
      <c r="C371" s="3">
        <f>AGOSTO!D375</f>
        <v>6</v>
      </c>
      <c r="D371" s="21">
        <f t="shared" si="17"/>
        <v>0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4">
        <v>-6</v>
      </c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>
        <v>48</v>
      </c>
      <c r="EF371" s="10"/>
      <c r="EG371" s="10"/>
      <c r="EH371" s="10"/>
      <c r="EI371" s="10">
        <f>72+69</f>
        <v>141</v>
      </c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>
        <f>72+72+56</f>
        <v>200</v>
      </c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>
        <v>-250</v>
      </c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>
        <v>-139</v>
      </c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>
        <v>175</v>
      </c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>
        <v>-175</v>
      </c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1">
        <f t="shared" si="18"/>
        <v>0</v>
      </c>
      <c r="TH371" s="9">
        <f t="shared" si="19"/>
        <v>0</v>
      </c>
    </row>
    <row r="372" spans="1:528" ht="15.6" thickBot="1" x14ac:dyDescent="0.3">
      <c r="A372" s="25" t="s">
        <v>380</v>
      </c>
      <c r="B372" s="18" t="s">
        <v>385</v>
      </c>
      <c r="C372" s="3">
        <f>AGOSTO!D376</f>
        <v>30</v>
      </c>
      <c r="D372" s="21">
        <f t="shared" si="17"/>
        <v>0</v>
      </c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4">
        <v>-30</v>
      </c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>
        <v>67</v>
      </c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>
        <v>-67</v>
      </c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>
        <v>144</v>
      </c>
      <c r="MF372" s="10"/>
      <c r="MG372" s="10">
        <v>65</v>
      </c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>
        <v>-209</v>
      </c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1">
        <f t="shared" si="18"/>
        <v>0</v>
      </c>
      <c r="TH372" s="9">
        <f t="shared" si="19"/>
        <v>0</v>
      </c>
    </row>
    <row r="373" spans="1:528" ht="15.6" thickBot="1" x14ac:dyDescent="0.3">
      <c r="A373" s="25" t="s">
        <v>380</v>
      </c>
      <c r="B373" s="18" t="s">
        <v>1164</v>
      </c>
      <c r="C373" s="3">
        <f>AGOSTO!D377</f>
        <v>9</v>
      </c>
      <c r="D373" s="21">
        <f t="shared" si="17"/>
        <v>0</v>
      </c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4">
        <v>-9</v>
      </c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>
        <v>71</v>
      </c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>
        <v>79</v>
      </c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>
        <v>-150</v>
      </c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>
        <f>72*2</f>
        <v>144</v>
      </c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>
        <v>-144</v>
      </c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1">
        <f t="shared" si="18"/>
        <v>0</v>
      </c>
      <c r="TH373" s="9">
        <f t="shared" si="19"/>
        <v>0</v>
      </c>
    </row>
    <row r="374" spans="1:528" ht="15.6" thickBot="1" x14ac:dyDescent="0.3">
      <c r="A374" s="25" t="s">
        <v>380</v>
      </c>
      <c r="B374" s="18" t="s">
        <v>1109</v>
      </c>
      <c r="C374" s="3">
        <f>AGOSTO!D378</f>
        <v>118</v>
      </c>
      <c r="D374" s="55">
        <f t="shared" si="17"/>
        <v>670</v>
      </c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4">
        <v>-118</v>
      </c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>
        <f>72+45</f>
        <v>117</v>
      </c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>
        <f>12*72</f>
        <v>864</v>
      </c>
      <c r="FZ374" s="10"/>
      <c r="GA374" s="10">
        <v>50</v>
      </c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>
        <v>-1031</v>
      </c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>
        <f>72*7</f>
        <v>504</v>
      </c>
      <c r="KD374" s="10"/>
      <c r="KE374" s="10">
        <f>5*72</f>
        <v>360</v>
      </c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>
        <f>72*4</f>
        <v>288</v>
      </c>
      <c r="KZ374" s="10"/>
      <c r="LA374" s="10"/>
      <c r="LB374" s="10"/>
      <c r="LC374" s="10">
        <f>72+26</f>
        <v>98</v>
      </c>
      <c r="LD374" s="10">
        <v>-1250</v>
      </c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>
        <v>31</v>
      </c>
      <c r="MF374" s="10"/>
      <c r="MG374" s="10">
        <f>5*72</f>
        <v>360</v>
      </c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>
        <v>-22</v>
      </c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>
        <f>72*4</f>
        <v>288</v>
      </c>
      <c r="PB374" s="10"/>
      <c r="PC374" s="10"/>
      <c r="PD374" s="10"/>
      <c r="PE374" s="10">
        <f>72*4</f>
        <v>288</v>
      </c>
      <c r="PF374" s="10"/>
      <c r="PG374" s="10"/>
      <c r="PH374" s="10"/>
      <c r="PI374" s="10"/>
      <c r="PJ374" s="10"/>
      <c r="PK374" s="10"/>
      <c r="PL374" s="10"/>
      <c r="PM374" s="10"/>
      <c r="PN374" s="10"/>
      <c r="PO374" s="10">
        <v>72</v>
      </c>
      <c r="PP374" s="10"/>
      <c r="PQ374" s="10">
        <f>720+39</f>
        <v>759</v>
      </c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>
        <v>-1358</v>
      </c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>
        <v>252</v>
      </c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1">
        <f t="shared" si="18"/>
        <v>0</v>
      </c>
      <c r="TH374" s="9">
        <f t="shared" si="19"/>
        <v>0</v>
      </c>
    </row>
    <row r="375" spans="1:528" ht="15.6" thickBot="1" x14ac:dyDescent="0.3">
      <c r="A375" s="25" t="s">
        <v>524</v>
      </c>
      <c r="B375" s="18" t="s">
        <v>1033</v>
      </c>
      <c r="C375" s="3">
        <f>AGOSTO!D379</f>
        <v>0</v>
      </c>
      <c r="D375" s="21">
        <f t="shared" si="17"/>
        <v>0</v>
      </c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1">
        <f t="shared" si="18"/>
        <v>0</v>
      </c>
      <c r="TH375" s="9">
        <f t="shared" si="19"/>
        <v>0</v>
      </c>
    </row>
    <row r="376" spans="1:528" ht="15.6" thickBot="1" x14ac:dyDescent="0.3">
      <c r="A376" s="25" t="s">
        <v>524</v>
      </c>
      <c r="B376" s="18" t="s">
        <v>120</v>
      </c>
      <c r="C376" s="3">
        <f>AGOSTO!D380</f>
        <v>0</v>
      </c>
      <c r="D376" s="21">
        <f t="shared" ref="D376:D439" si="20">C376+SUM(E376:TF376)</f>
        <v>0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1">
        <f t="shared" si="18"/>
        <v>0</v>
      </c>
      <c r="TH376" s="9">
        <f t="shared" si="19"/>
        <v>0</v>
      </c>
    </row>
    <row r="377" spans="1:528" ht="15.6" thickBot="1" x14ac:dyDescent="0.3">
      <c r="A377" s="25" t="s">
        <v>1034</v>
      </c>
      <c r="B377" s="18" t="s">
        <v>1035</v>
      </c>
      <c r="C377" s="3">
        <f>AGOSTO!D381</f>
        <v>0</v>
      </c>
      <c r="D377" s="21">
        <f t="shared" si="20"/>
        <v>0</v>
      </c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1">
        <f t="shared" si="18"/>
        <v>0</v>
      </c>
      <c r="TH377" s="9">
        <f t="shared" si="19"/>
        <v>0</v>
      </c>
    </row>
    <row r="378" spans="1:528" ht="15.6" thickBot="1" x14ac:dyDescent="0.3">
      <c r="A378" s="25" t="s">
        <v>1036</v>
      </c>
      <c r="B378" s="18" t="s">
        <v>1037</v>
      </c>
      <c r="C378" s="3">
        <f>AGOSTO!D382</f>
        <v>6</v>
      </c>
      <c r="D378" s="21">
        <f t="shared" si="20"/>
        <v>0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4">
        <v>-6</v>
      </c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1">
        <f t="shared" si="18"/>
        <v>0</v>
      </c>
      <c r="TH378" s="9">
        <f t="shared" si="19"/>
        <v>0</v>
      </c>
    </row>
    <row r="379" spans="1:528" ht="15.6" thickBot="1" x14ac:dyDescent="0.3">
      <c r="A379" s="25" t="s">
        <v>1038</v>
      </c>
      <c r="B379" s="18" t="s">
        <v>1039</v>
      </c>
      <c r="C379" s="3">
        <f>AGOSTO!D383</f>
        <v>148</v>
      </c>
      <c r="D379" s="21">
        <f t="shared" si="20"/>
        <v>0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4">
        <v>-148</v>
      </c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1">
        <f t="shared" si="18"/>
        <v>0</v>
      </c>
      <c r="TH379" s="9">
        <f t="shared" si="19"/>
        <v>0</v>
      </c>
    </row>
    <row r="380" spans="1:528" ht="15.6" thickBot="1" x14ac:dyDescent="0.3">
      <c r="A380" s="25" t="s">
        <v>1040</v>
      </c>
      <c r="B380" s="18" t="s">
        <v>1041</v>
      </c>
      <c r="C380" s="3">
        <f>AGOSTO!D384</f>
        <v>6</v>
      </c>
      <c r="D380" s="21">
        <f t="shared" si="20"/>
        <v>0</v>
      </c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4">
        <v>-6</v>
      </c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1">
        <f t="shared" si="18"/>
        <v>0</v>
      </c>
      <c r="TH380" s="9">
        <f t="shared" si="19"/>
        <v>0</v>
      </c>
    </row>
    <row r="381" spans="1:528" ht="15.6" thickBot="1" x14ac:dyDescent="0.3">
      <c r="A381" s="25" t="s">
        <v>1042</v>
      </c>
      <c r="B381" s="18" t="s">
        <v>1043</v>
      </c>
      <c r="C381" s="3">
        <f>AGOSTO!D385</f>
        <v>192</v>
      </c>
      <c r="D381" s="21">
        <f t="shared" si="20"/>
        <v>0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4">
        <v>-192</v>
      </c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1">
        <f t="shared" si="18"/>
        <v>0</v>
      </c>
      <c r="TH381" s="9">
        <f t="shared" si="19"/>
        <v>0</v>
      </c>
    </row>
    <row r="382" spans="1:528" ht="16.2" thickBot="1" x14ac:dyDescent="0.35">
      <c r="A382" s="25"/>
      <c r="B382" s="20" t="s">
        <v>110</v>
      </c>
      <c r="C382" s="3">
        <f>AGOSTO!D386</f>
        <v>0</v>
      </c>
      <c r="D382" s="21">
        <f t="shared" si="20"/>
        <v>0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1">
        <f t="shared" si="18"/>
        <v>0</v>
      </c>
      <c r="TH382" s="9">
        <f t="shared" si="19"/>
        <v>0</v>
      </c>
    </row>
    <row r="383" spans="1:528" ht="15.6" thickBot="1" x14ac:dyDescent="0.3">
      <c r="A383" s="25" t="s">
        <v>523</v>
      </c>
      <c r="B383" s="18" t="s">
        <v>909</v>
      </c>
      <c r="C383" s="3">
        <f>AGOSTO!D387</f>
        <v>0</v>
      </c>
      <c r="D383" s="21">
        <f t="shared" si="20"/>
        <v>0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>
        <v>72</v>
      </c>
      <c r="V383" s="10"/>
      <c r="W383" s="10"/>
      <c r="X383" s="10"/>
      <c r="Y383" s="10"/>
      <c r="Z383" s="10">
        <v>-72</v>
      </c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>
        <v>144</v>
      </c>
      <c r="GN383" s="10">
        <v>-144</v>
      </c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>
        <v>144</v>
      </c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>
        <v>-144</v>
      </c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1">
        <f t="shared" ref="TG383:TG446" si="21">TE383+BG383+BE383+BC383+BA383+AY383+AW383+AU383+AS383+AQ383+AO383+AM383+AK383+AI383+AG383+AE383+AC383+AA383+Y383+W383+U383+S383+Q383+O383+M383+K383+I383+G383+E383</f>
        <v>72</v>
      </c>
      <c r="TH383" s="9">
        <f t="shared" ref="TH383:TH446" si="22">TF383+BH383+BF383+BD383+BB383+AZ383+AX383+AV383+AT383+AR383+AP383+AN383+AL383+AJ383+AH383+AF383+AD383+AB383+Z383+X383+V383+T383+R383+P383+N383+L383+J383+H383+F383</f>
        <v>-72</v>
      </c>
    </row>
    <row r="384" spans="1:528" ht="15.6" thickBot="1" x14ac:dyDescent="0.3">
      <c r="A384" s="25" t="s">
        <v>512</v>
      </c>
      <c r="B384" s="18" t="s">
        <v>910</v>
      </c>
      <c r="C384" s="3">
        <f>AGOSTO!D388</f>
        <v>0</v>
      </c>
      <c r="D384" s="21">
        <f t="shared" si="20"/>
        <v>0</v>
      </c>
      <c r="E384" s="10"/>
      <c r="F384" s="10"/>
      <c r="G384" s="10"/>
      <c r="H384" s="10"/>
      <c r="I384" s="10"/>
      <c r="J384" s="10"/>
      <c r="K384" s="10">
        <f>27+72*3</f>
        <v>243</v>
      </c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>
        <v>-243</v>
      </c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>
        <v>59</v>
      </c>
      <c r="NV384" s="10"/>
      <c r="NW384" s="10"/>
      <c r="NX384" s="10"/>
      <c r="NY384" s="10"/>
      <c r="NZ384" s="10"/>
      <c r="OA384" s="10">
        <v>13</v>
      </c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>
        <v>-72</v>
      </c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1">
        <f t="shared" si="21"/>
        <v>243</v>
      </c>
      <c r="TH384" s="9">
        <f t="shared" si="22"/>
        <v>-243</v>
      </c>
    </row>
    <row r="385" spans="1:528" ht="15.6" thickBot="1" x14ac:dyDescent="0.3">
      <c r="A385" s="25" t="s">
        <v>519</v>
      </c>
      <c r="B385" s="18" t="s">
        <v>911</v>
      </c>
      <c r="C385" s="3">
        <f>AGOSTO!D389</f>
        <v>0</v>
      </c>
      <c r="D385" s="21">
        <f t="shared" si="20"/>
        <v>0</v>
      </c>
      <c r="E385" s="10"/>
      <c r="F385" s="10"/>
      <c r="G385" s="10"/>
      <c r="H385" s="10"/>
      <c r="I385" s="10"/>
      <c r="J385" s="10"/>
      <c r="K385" s="10"/>
      <c r="L385" s="10"/>
      <c r="M385" s="10">
        <f>72+72</f>
        <v>144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>
        <v>-144</v>
      </c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>
        <v>72</v>
      </c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>
        <v>-72</v>
      </c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>
        <v>44</v>
      </c>
      <c r="NV385" s="10"/>
      <c r="NW385" s="10"/>
      <c r="NX385" s="10"/>
      <c r="NY385" s="10"/>
      <c r="NZ385" s="10"/>
      <c r="OA385" s="10">
        <v>28</v>
      </c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>
        <v>-72</v>
      </c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1">
        <f t="shared" si="21"/>
        <v>144</v>
      </c>
      <c r="TH385" s="9">
        <f t="shared" si="22"/>
        <v>-144</v>
      </c>
    </row>
    <row r="386" spans="1:528" ht="15.6" thickBot="1" x14ac:dyDescent="0.3">
      <c r="A386" s="25" t="s">
        <v>521</v>
      </c>
      <c r="B386" s="18" t="s">
        <v>912</v>
      </c>
      <c r="C386" s="3">
        <f>AGOSTO!D390</f>
        <v>0</v>
      </c>
      <c r="D386" s="21">
        <f t="shared" si="20"/>
        <v>0</v>
      </c>
      <c r="E386" s="10"/>
      <c r="F386" s="10"/>
      <c r="G386" s="10"/>
      <c r="H386" s="10"/>
      <c r="I386" s="10">
        <v>72</v>
      </c>
      <c r="J386" s="10"/>
      <c r="K386" s="10">
        <v>36</v>
      </c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>
        <v>-108</v>
      </c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>
        <v>72</v>
      </c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>
        <v>-72</v>
      </c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>
        <v>144</v>
      </c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>
        <v>-144</v>
      </c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1">
        <f t="shared" si="21"/>
        <v>108</v>
      </c>
      <c r="TH386" s="9">
        <f t="shared" si="22"/>
        <v>-108</v>
      </c>
    </row>
    <row r="387" spans="1:528" ht="15.6" thickBot="1" x14ac:dyDescent="0.3">
      <c r="A387" s="25" t="s">
        <v>520</v>
      </c>
      <c r="B387" s="18" t="s">
        <v>913</v>
      </c>
      <c r="C387" s="3">
        <f>AGOSTO!D391</f>
        <v>0</v>
      </c>
      <c r="D387" s="21">
        <f t="shared" si="20"/>
        <v>0</v>
      </c>
      <c r="E387" s="10"/>
      <c r="F387" s="10"/>
      <c r="G387" s="10"/>
      <c r="H387" s="10"/>
      <c r="I387" s="10"/>
      <c r="J387" s="10"/>
      <c r="K387" s="10">
        <v>40</v>
      </c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>
        <v>-40</v>
      </c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>
        <v>72</v>
      </c>
      <c r="GN387" s="10">
        <v>-72</v>
      </c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>
        <v>72</v>
      </c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>
        <v>-72</v>
      </c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1">
        <f t="shared" si="21"/>
        <v>40</v>
      </c>
      <c r="TH387" s="9">
        <f t="shared" si="22"/>
        <v>-40</v>
      </c>
    </row>
    <row r="388" spans="1:528" ht="15.6" thickBot="1" x14ac:dyDescent="0.3">
      <c r="A388" s="25" t="s">
        <v>914</v>
      </c>
      <c r="B388" s="18" t="s">
        <v>915</v>
      </c>
      <c r="C388" s="3">
        <f>AGOSTO!D392</f>
        <v>0</v>
      </c>
      <c r="D388" s="21">
        <f t="shared" si="20"/>
        <v>0</v>
      </c>
      <c r="E388" s="10"/>
      <c r="F388" s="10"/>
      <c r="G388" s="10"/>
      <c r="H388" s="10"/>
      <c r="I388" s="10"/>
      <c r="J388" s="10"/>
      <c r="K388" s="10"/>
      <c r="L388" s="10"/>
      <c r="M388" s="10">
        <v>54</v>
      </c>
      <c r="N388" s="10"/>
      <c r="O388" s="10"/>
      <c r="P388" s="10"/>
      <c r="Q388" s="10"/>
      <c r="R388" s="10"/>
      <c r="S388" s="10"/>
      <c r="T388" s="10"/>
      <c r="U388" s="10">
        <v>18</v>
      </c>
      <c r="V388" s="10"/>
      <c r="W388" s="10"/>
      <c r="X388" s="10"/>
      <c r="Y388" s="10"/>
      <c r="Z388" s="10">
        <v>-72</v>
      </c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>
        <v>72</v>
      </c>
      <c r="GN388" s="10">
        <v>-72</v>
      </c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>
        <v>72</v>
      </c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>
        <v>-72</v>
      </c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1">
        <f t="shared" si="21"/>
        <v>72</v>
      </c>
      <c r="TH388" s="9">
        <f t="shared" si="22"/>
        <v>-72</v>
      </c>
    </row>
    <row r="389" spans="1:528" ht="15.6" thickBot="1" x14ac:dyDescent="0.3">
      <c r="A389" s="25" t="s">
        <v>838</v>
      </c>
      <c r="B389" s="18" t="s">
        <v>916</v>
      </c>
      <c r="C389" s="3">
        <f>AGOSTO!D393</f>
        <v>0</v>
      </c>
      <c r="D389" s="21">
        <f t="shared" si="20"/>
        <v>0</v>
      </c>
      <c r="E389" s="10"/>
      <c r="F389" s="10"/>
      <c r="G389" s="10"/>
      <c r="H389" s="10"/>
      <c r="I389" s="10"/>
      <c r="J389" s="10"/>
      <c r="K389" s="10">
        <v>72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>
        <v>-72</v>
      </c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>
        <v>72</v>
      </c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>
        <v>-72</v>
      </c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>
        <v>72</v>
      </c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>
        <v>-72</v>
      </c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0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  <c r="SB389" s="10"/>
      <c r="SC389" s="10"/>
      <c r="SD389" s="10"/>
      <c r="SE389" s="10"/>
      <c r="SF389" s="10"/>
      <c r="SG389" s="10"/>
      <c r="SH389" s="10"/>
      <c r="SI389" s="10"/>
      <c r="SJ389" s="10"/>
      <c r="SK389" s="10"/>
      <c r="SL389" s="10"/>
      <c r="SM389" s="10"/>
      <c r="SN389" s="10"/>
      <c r="SO389" s="10"/>
      <c r="SP389" s="10"/>
      <c r="SQ389" s="10"/>
      <c r="SR389" s="10"/>
      <c r="SS389" s="10"/>
      <c r="ST389" s="10"/>
      <c r="SU389" s="10"/>
      <c r="SV389" s="10"/>
      <c r="SW389" s="10"/>
      <c r="SX389" s="10"/>
      <c r="SY389" s="10"/>
      <c r="SZ389" s="10"/>
      <c r="TA389" s="10"/>
      <c r="TB389" s="10"/>
      <c r="TC389" s="10"/>
      <c r="TD389" s="10"/>
      <c r="TE389" s="10"/>
      <c r="TF389" s="10"/>
      <c r="TG389" s="11">
        <f t="shared" si="21"/>
        <v>72</v>
      </c>
      <c r="TH389" s="9">
        <f t="shared" si="22"/>
        <v>-72</v>
      </c>
    </row>
    <row r="390" spans="1:528" ht="15.6" thickBot="1" x14ac:dyDescent="0.3">
      <c r="A390" s="25" t="s">
        <v>840</v>
      </c>
      <c r="B390" s="18" t="s">
        <v>917</v>
      </c>
      <c r="C390" s="3">
        <f>AGOSTO!D394</f>
        <v>0</v>
      </c>
      <c r="D390" s="21">
        <f t="shared" si="20"/>
        <v>0</v>
      </c>
      <c r="E390" s="10"/>
      <c r="F390" s="10"/>
      <c r="G390" s="10"/>
      <c r="H390" s="10"/>
      <c r="I390" s="10"/>
      <c r="J390" s="10"/>
      <c r="K390" s="10">
        <v>72</v>
      </c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>
        <v>-72</v>
      </c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0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  <c r="SB390" s="10"/>
      <c r="SC390" s="10"/>
      <c r="SD390" s="10"/>
      <c r="SE390" s="10"/>
      <c r="SF390" s="10"/>
      <c r="SG390" s="10"/>
      <c r="SH390" s="10"/>
      <c r="SI390" s="10"/>
      <c r="SJ390" s="10"/>
      <c r="SK390" s="10"/>
      <c r="SL390" s="10"/>
      <c r="SM390" s="10"/>
      <c r="SN390" s="10"/>
      <c r="SO390" s="10"/>
      <c r="SP390" s="10"/>
      <c r="SQ390" s="10"/>
      <c r="SR390" s="10"/>
      <c r="SS390" s="10"/>
      <c r="ST390" s="10"/>
      <c r="SU390" s="10"/>
      <c r="SV390" s="10"/>
      <c r="SW390" s="10"/>
      <c r="SX390" s="10"/>
      <c r="SY390" s="10"/>
      <c r="SZ390" s="10"/>
      <c r="TA390" s="10"/>
      <c r="TB390" s="10"/>
      <c r="TC390" s="10"/>
      <c r="TD390" s="10"/>
      <c r="TE390" s="10"/>
      <c r="TF390" s="10"/>
      <c r="TG390" s="11">
        <f t="shared" si="21"/>
        <v>72</v>
      </c>
      <c r="TH390" s="9">
        <f t="shared" si="22"/>
        <v>-72</v>
      </c>
    </row>
    <row r="391" spans="1:528" ht="15.6" thickBot="1" x14ac:dyDescent="0.3">
      <c r="A391" s="25" t="s">
        <v>842</v>
      </c>
      <c r="B391" s="18" t="s">
        <v>918</v>
      </c>
      <c r="C391" s="3">
        <f>AGOSTO!D395</f>
        <v>0</v>
      </c>
      <c r="D391" s="21">
        <f t="shared" si="20"/>
        <v>0</v>
      </c>
      <c r="E391" s="10"/>
      <c r="F391" s="10"/>
      <c r="G391" s="10"/>
      <c r="H391" s="10"/>
      <c r="I391" s="10"/>
      <c r="J391" s="10"/>
      <c r="K391" s="10">
        <v>72</v>
      </c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>
        <v>-72</v>
      </c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>
        <v>72</v>
      </c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>
        <v>-72</v>
      </c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>
        <v>72</v>
      </c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>
        <v>-72</v>
      </c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0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  <c r="SB391" s="10"/>
      <c r="SC391" s="10"/>
      <c r="SD391" s="10"/>
      <c r="SE391" s="10"/>
      <c r="SF391" s="10"/>
      <c r="SG391" s="10"/>
      <c r="SH391" s="10"/>
      <c r="SI391" s="10"/>
      <c r="SJ391" s="10"/>
      <c r="SK391" s="10"/>
      <c r="SL391" s="10"/>
      <c r="SM391" s="10"/>
      <c r="SN391" s="10"/>
      <c r="SO391" s="10"/>
      <c r="SP391" s="10"/>
      <c r="SQ391" s="10"/>
      <c r="SR391" s="10"/>
      <c r="SS391" s="10"/>
      <c r="ST391" s="10"/>
      <c r="SU391" s="10"/>
      <c r="SV391" s="10"/>
      <c r="SW391" s="10"/>
      <c r="SX391" s="10"/>
      <c r="SY391" s="10"/>
      <c r="SZ391" s="10"/>
      <c r="TA391" s="10"/>
      <c r="TB391" s="10"/>
      <c r="TC391" s="10"/>
      <c r="TD391" s="10"/>
      <c r="TE391" s="10"/>
      <c r="TF391" s="10"/>
      <c r="TG391" s="11">
        <f t="shared" si="21"/>
        <v>72</v>
      </c>
      <c r="TH391" s="9">
        <f t="shared" si="22"/>
        <v>-72</v>
      </c>
    </row>
    <row r="392" spans="1:528" ht="15.6" thickBot="1" x14ac:dyDescent="0.3">
      <c r="A392" s="25" t="s">
        <v>513</v>
      </c>
      <c r="B392" s="18" t="s">
        <v>919</v>
      </c>
      <c r="C392" s="3">
        <f>AGOSTO!D396</f>
        <v>0</v>
      </c>
      <c r="D392" s="21">
        <f t="shared" si="20"/>
        <v>0</v>
      </c>
      <c r="E392" s="10"/>
      <c r="F392" s="10"/>
      <c r="G392" s="10"/>
      <c r="H392" s="10"/>
      <c r="I392" s="10"/>
      <c r="J392" s="10"/>
      <c r="K392" s="10">
        <f>72+36</f>
        <v>108</v>
      </c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>
        <v>-108</v>
      </c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>
        <v>72</v>
      </c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>
        <v>-72</v>
      </c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>
        <v>72</v>
      </c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>
        <v>-72</v>
      </c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0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  <c r="SB392" s="10"/>
      <c r="SC392" s="10"/>
      <c r="SD392" s="10"/>
      <c r="SE392" s="10"/>
      <c r="SF392" s="10"/>
      <c r="SG392" s="10"/>
      <c r="SH392" s="10"/>
      <c r="SI392" s="10"/>
      <c r="SJ392" s="10"/>
      <c r="SK392" s="10"/>
      <c r="SL392" s="10"/>
      <c r="SM392" s="10"/>
      <c r="SN392" s="10"/>
      <c r="SO392" s="10"/>
      <c r="SP392" s="10"/>
      <c r="SQ392" s="10"/>
      <c r="SR392" s="10"/>
      <c r="SS392" s="10"/>
      <c r="ST392" s="10"/>
      <c r="SU392" s="10"/>
      <c r="SV392" s="10"/>
      <c r="SW392" s="10"/>
      <c r="SX392" s="10"/>
      <c r="SY392" s="10"/>
      <c r="SZ392" s="10"/>
      <c r="TA392" s="10"/>
      <c r="TB392" s="10"/>
      <c r="TC392" s="10"/>
      <c r="TD392" s="10"/>
      <c r="TE392" s="10"/>
      <c r="TF392" s="10"/>
      <c r="TG392" s="11">
        <f t="shared" si="21"/>
        <v>108</v>
      </c>
      <c r="TH392" s="9">
        <f t="shared" si="22"/>
        <v>-108</v>
      </c>
    </row>
    <row r="393" spans="1:528" ht="15.6" thickBot="1" x14ac:dyDescent="0.3">
      <c r="A393" s="25" t="s">
        <v>514</v>
      </c>
      <c r="B393" s="18" t="s">
        <v>920</v>
      </c>
      <c r="C393" s="3">
        <f>AGOSTO!D397</f>
        <v>0</v>
      </c>
      <c r="D393" s="21">
        <f t="shared" si="20"/>
        <v>0</v>
      </c>
      <c r="E393" s="10"/>
      <c r="F393" s="10"/>
      <c r="G393" s="10"/>
      <c r="H393" s="10"/>
      <c r="I393" s="10"/>
      <c r="J393" s="10"/>
      <c r="K393" s="10">
        <f>72</f>
        <v>72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>
        <v>-72</v>
      </c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>
        <v>72</v>
      </c>
      <c r="GN393" s="10">
        <v>-72</v>
      </c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>
        <f>72+72</f>
        <v>144</v>
      </c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>
        <v>-144</v>
      </c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/>
      <c r="PW393" s="10"/>
      <c r="PX393" s="10"/>
      <c r="PY393" s="10"/>
      <c r="PZ393" s="10"/>
      <c r="QA393" s="10"/>
      <c r="QB393" s="10"/>
      <c r="QC393" s="10"/>
      <c r="QD393" s="10"/>
      <c r="QE393" s="10"/>
      <c r="QF393" s="10"/>
      <c r="QG393" s="10"/>
      <c r="QH393" s="10"/>
      <c r="QI393" s="10"/>
      <c r="QJ393" s="10"/>
      <c r="QK393" s="10"/>
      <c r="QL393" s="10"/>
      <c r="QM393" s="10"/>
      <c r="QN393" s="10"/>
      <c r="QO393" s="10"/>
      <c r="QP393" s="10"/>
      <c r="QQ393" s="10"/>
      <c r="QR393" s="10"/>
      <c r="QS393" s="10"/>
      <c r="QT393" s="10"/>
      <c r="QU393" s="10"/>
      <c r="QV393" s="10"/>
      <c r="QW393" s="10"/>
      <c r="QX393" s="10"/>
      <c r="QY393" s="10"/>
      <c r="QZ393" s="10"/>
      <c r="RA393" s="10"/>
      <c r="RB393" s="10"/>
      <c r="RC393" s="10"/>
      <c r="RD393" s="10"/>
      <c r="RE393" s="10"/>
      <c r="RF393" s="10"/>
      <c r="RG393" s="10"/>
      <c r="RH393" s="10"/>
      <c r="RI393" s="10"/>
      <c r="RJ393" s="10"/>
      <c r="RK393" s="10"/>
      <c r="RL393" s="10"/>
      <c r="RM393" s="10"/>
      <c r="RN393" s="10"/>
      <c r="RO393" s="10"/>
      <c r="RP393" s="10"/>
      <c r="RQ393" s="10"/>
      <c r="RR393" s="10"/>
      <c r="RS393" s="10"/>
      <c r="RT393" s="10"/>
      <c r="RU393" s="10"/>
      <c r="RV393" s="10"/>
      <c r="RW393" s="10"/>
      <c r="RX393" s="10"/>
      <c r="RY393" s="10"/>
      <c r="RZ393" s="10"/>
      <c r="SA393" s="10"/>
      <c r="SB393" s="10"/>
      <c r="SC393" s="10"/>
      <c r="SD393" s="10"/>
      <c r="SE393" s="10"/>
      <c r="SF393" s="10"/>
      <c r="SG393" s="10"/>
      <c r="SH393" s="10"/>
      <c r="SI393" s="10"/>
      <c r="SJ393" s="10"/>
      <c r="SK393" s="10"/>
      <c r="SL393" s="10"/>
      <c r="SM393" s="10"/>
      <c r="SN393" s="10"/>
      <c r="SO393" s="10"/>
      <c r="SP393" s="10"/>
      <c r="SQ393" s="10"/>
      <c r="SR393" s="10"/>
      <c r="SS393" s="10"/>
      <c r="ST393" s="10"/>
      <c r="SU393" s="10"/>
      <c r="SV393" s="10"/>
      <c r="SW393" s="10"/>
      <c r="SX393" s="10"/>
      <c r="SY393" s="10"/>
      <c r="SZ393" s="10"/>
      <c r="TA393" s="10"/>
      <c r="TB393" s="10"/>
      <c r="TC393" s="10"/>
      <c r="TD393" s="10"/>
      <c r="TE393" s="10"/>
      <c r="TF393" s="10"/>
      <c r="TG393" s="11">
        <f t="shared" si="21"/>
        <v>72</v>
      </c>
      <c r="TH393" s="9">
        <f t="shared" si="22"/>
        <v>-72</v>
      </c>
    </row>
    <row r="394" spans="1:528" ht="15.6" thickBot="1" x14ac:dyDescent="0.3">
      <c r="A394" s="25" t="s">
        <v>921</v>
      </c>
      <c r="B394" s="18" t="s">
        <v>922</v>
      </c>
      <c r="C394" s="3">
        <f>AGOSTO!D398</f>
        <v>0</v>
      </c>
      <c r="D394" s="21">
        <f t="shared" si="20"/>
        <v>0</v>
      </c>
      <c r="E394" s="10"/>
      <c r="F394" s="10"/>
      <c r="G394" s="10"/>
      <c r="H394" s="10"/>
      <c r="I394" s="10"/>
      <c r="J394" s="10"/>
      <c r="K394" s="10"/>
      <c r="L394" s="10"/>
      <c r="M394" s="10">
        <v>70</v>
      </c>
      <c r="N394" s="10"/>
      <c r="O394" s="10"/>
      <c r="P394" s="10"/>
      <c r="Q394" s="10"/>
      <c r="R394" s="10"/>
      <c r="S394" s="10"/>
      <c r="T394" s="10"/>
      <c r="U394" s="10">
        <v>2</v>
      </c>
      <c r="V394" s="10"/>
      <c r="W394" s="10"/>
      <c r="X394" s="10"/>
      <c r="Y394" s="10"/>
      <c r="Z394" s="10">
        <v>-72</v>
      </c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>
        <v>72</v>
      </c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>
        <v>-72</v>
      </c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>
        <f>72+72</f>
        <v>144</v>
      </c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>
        <v>-144</v>
      </c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0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  <c r="SB394" s="10"/>
      <c r="SC394" s="10"/>
      <c r="SD394" s="10"/>
      <c r="SE394" s="10"/>
      <c r="SF394" s="10"/>
      <c r="SG394" s="10"/>
      <c r="SH394" s="10"/>
      <c r="SI394" s="10"/>
      <c r="SJ394" s="10"/>
      <c r="SK394" s="10"/>
      <c r="SL394" s="10"/>
      <c r="SM394" s="10"/>
      <c r="SN394" s="10"/>
      <c r="SO394" s="10"/>
      <c r="SP394" s="10"/>
      <c r="SQ394" s="10"/>
      <c r="SR394" s="10"/>
      <c r="SS394" s="10"/>
      <c r="ST394" s="10"/>
      <c r="SU394" s="10"/>
      <c r="SV394" s="10"/>
      <c r="SW394" s="10"/>
      <c r="SX394" s="10"/>
      <c r="SY394" s="10"/>
      <c r="SZ394" s="10"/>
      <c r="TA394" s="10"/>
      <c r="TB394" s="10"/>
      <c r="TC394" s="10"/>
      <c r="TD394" s="10"/>
      <c r="TE394" s="10"/>
      <c r="TF394" s="10"/>
      <c r="TG394" s="11">
        <f t="shared" si="21"/>
        <v>72</v>
      </c>
      <c r="TH394" s="9">
        <f t="shared" si="22"/>
        <v>-72</v>
      </c>
    </row>
    <row r="395" spans="1:528" ht="16.2" thickBot="1" x14ac:dyDescent="0.35">
      <c r="A395" s="25"/>
      <c r="B395" s="23" t="s">
        <v>123</v>
      </c>
      <c r="C395" s="3">
        <f>AGOSTO!D399</f>
        <v>0</v>
      </c>
      <c r="D395" s="21">
        <f t="shared" si="20"/>
        <v>0</v>
      </c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0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  <c r="SB395" s="10"/>
      <c r="SC395" s="10"/>
      <c r="SD395" s="10"/>
      <c r="SE395" s="10"/>
      <c r="SF395" s="10"/>
      <c r="SG395" s="10"/>
      <c r="SH395" s="10"/>
      <c r="SI395" s="10"/>
      <c r="SJ395" s="10"/>
      <c r="SK395" s="10"/>
      <c r="SL395" s="10"/>
      <c r="SM395" s="10"/>
      <c r="SN395" s="10"/>
      <c r="SO395" s="10"/>
      <c r="SP395" s="10"/>
      <c r="SQ395" s="10"/>
      <c r="SR395" s="10"/>
      <c r="SS395" s="10"/>
      <c r="ST395" s="10"/>
      <c r="SU395" s="10"/>
      <c r="SV395" s="10"/>
      <c r="SW395" s="10"/>
      <c r="SX395" s="10"/>
      <c r="SY395" s="10"/>
      <c r="SZ395" s="10"/>
      <c r="TA395" s="10"/>
      <c r="TB395" s="10"/>
      <c r="TC395" s="10"/>
      <c r="TD395" s="10"/>
      <c r="TE395" s="10"/>
      <c r="TF395" s="10"/>
      <c r="TG395" s="11">
        <f t="shared" si="21"/>
        <v>0</v>
      </c>
      <c r="TH395" s="9">
        <f t="shared" si="22"/>
        <v>0</v>
      </c>
    </row>
    <row r="396" spans="1:528" ht="15.6" thickBot="1" x14ac:dyDescent="0.3">
      <c r="A396" s="25" t="s">
        <v>707</v>
      </c>
      <c r="B396" s="18" t="s">
        <v>124</v>
      </c>
      <c r="C396" s="3">
        <f>AGOSTO!D400</f>
        <v>0</v>
      </c>
      <c r="D396" s="55">
        <f t="shared" si="20"/>
        <v>162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>
        <v>112</v>
      </c>
      <c r="CP396" s="10">
        <v>-112</v>
      </c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>
        <v>112</v>
      </c>
      <c r="FL396" s="10"/>
      <c r="FM396" s="10">
        <v>56</v>
      </c>
      <c r="FN396" s="10">
        <v>-168</v>
      </c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>
        <f>32*7</f>
        <v>224</v>
      </c>
      <c r="GX396" s="10">
        <v>-224</v>
      </c>
      <c r="GY396" s="10"/>
      <c r="GZ396" s="10"/>
      <c r="HA396" s="10"/>
      <c r="HB396" s="10"/>
      <c r="HC396" s="10">
        <v>56</v>
      </c>
      <c r="HD396" s="10"/>
      <c r="HE396" s="10">
        <f>56</f>
        <v>56</v>
      </c>
      <c r="HF396" s="10"/>
      <c r="HG396" s="10"/>
      <c r="HH396" s="10"/>
      <c r="HI396" s="10"/>
      <c r="HJ396" s="10">
        <v>-112</v>
      </c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>
        <f>24*4</f>
        <v>96</v>
      </c>
      <c r="IR396" s="10"/>
      <c r="IS396" s="10"/>
      <c r="IT396" s="10"/>
      <c r="IU396" s="10">
        <v>32</v>
      </c>
      <c r="IV396" s="10">
        <v>-56</v>
      </c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>
        <v>29</v>
      </c>
      <c r="KV396" s="10"/>
      <c r="KW396" s="10"/>
      <c r="KX396" s="10">
        <v>-32</v>
      </c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>
        <v>-32</v>
      </c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>
        <f>16*8</f>
        <v>128</v>
      </c>
      <c r="NV396" s="10"/>
      <c r="NW396" s="10">
        <v>36</v>
      </c>
      <c r="NX396" s="10">
        <v>-64</v>
      </c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0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>
        <v>25</v>
      </c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  <c r="SB396" s="10"/>
      <c r="SC396" s="10"/>
      <c r="SD396" s="10"/>
      <c r="SE396" s="10"/>
      <c r="SF396" s="10"/>
      <c r="SG396" s="10"/>
      <c r="SH396" s="10"/>
      <c r="SI396" s="10"/>
      <c r="SJ396" s="10"/>
      <c r="SK396" s="10"/>
      <c r="SL396" s="10"/>
      <c r="SM396" s="10"/>
      <c r="SN396" s="10"/>
      <c r="SO396" s="10"/>
      <c r="SP396" s="10"/>
      <c r="SQ396" s="10"/>
      <c r="SR396" s="10"/>
      <c r="SS396" s="10"/>
      <c r="ST396" s="10"/>
      <c r="SU396" s="10"/>
      <c r="SV396" s="10"/>
      <c r="SW396" s="10"/>
      <c r="SX396" s="10"/>
      <c r="SY396" s="10"/>
      <c r="SZ396" s="10"/>
      <c r="TA396" s="10"/>
      <c r="TB396" s="10"/>
      <c r="TC396" s="10"/>
      <c r="TD396" s="10"/>
      <c r="TE396" s="10"/>
      <c r="TF396" s="10"/>
      <c r="TG396" s="11">
        <f t="shared" si="21"/>
        <v>0</v>
      </c>
      <c r="TH396" s="9">
        <f t="shared" si="22"/>
        <v>0</v>
      </c>
    </row>
    <row r="397" spans="1:528" ht="16.2" thickBot="1" x14ac:dyDescent="0.35">
      <c r="A397" s="25"/>
      <c r="B397" s="23" t="s">
        <v>140</v>
      </c>
      <c r="C397" s="3">
        <f>AGOSTO!D401</f>
        <v>0</v>
      </c>
      <c r="D397" s="21">
        <f t="shared" si="20"/>
        <v>0</v>
      </c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0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  <c r="SB397" s="10"/>
      <c r="SC397" s="10"/>
      <c r="SD397" s="10"/>
      <c r="SE397" s="10"/>
      <c r="SF397" s="10"/>
      <c r="SG397" s="10"/>
      <c r="SH397" s="10"/>
      <c r="SI397" s="10"/>
      <c r="SJ397" s="10"/>
      <c r="SK397" s="10"/>
      <c r="SL397" s="10"/>
      <c r="SM397" s="10"/>
      <c r="SN397" s="10"/>
      <c r="SO397" s="10"/>
      <c r="SP397" s="10"/>
      <c r="SQ397" s="10"/>
      <c r="SR397" s="10"/>
      <c r="SS397" s="10"/>
      <c r="ST397" s="10"/>
      <c r="SU397" s="10"/>
      <c r="SV397" s="10"/>
      <c r="SW397" s="10"/>
      <c r="SX397" s="10"/>
      <c r="SY397" s="10"/>
      <c r="SZ397" s="10"/>
      <c r="TA397" s="10"/>
      <c r="TB397" s="10"/>
      <c r="TC397" s="10"/>
      <c r="TD397" s="10"/>
      <c r="TE397" s="10"/>
      <c r="TF397" s="10"/>
      <c r="TG397" s="11">
        <f t="shared" si="21"/>
        <v>0</v>
      </c>
      <c r="TH397" s="9">
        <f t="shared" si="22"/>
        <v>0</v>
      </c>
    </row>
    <row r="398" spans="1:528" ht="15.6" thickBot="1" x14ac:dyDescent="0.3">
      <c r="A398" s="25" t="s">
        <v>1110</v>
      </c>
      <c r="B398" s="18" t="s">
        <v>1111</v>
      </c>
      <c r="C398" s="3">
        <f>AGOSTO!D402</f>
        <v>0</v>
      </c>
      <c r="D398" s="21">
        <f t="shared" si="20"/>
        <v>0</v>
      </c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>
        <f>15*48</f>
        <v>720</v>
      </c>
      <c r="EZ398" s="10"/>
      <c r="FA398" s="10">
        <f>48*13</f>
        <v>624</v>
      </c>
      <c r="FB398" s="10"/>
      <c r="FC398" s="10"/>
      <c r="FD398" s="10"/>
      <c r="FE398" s="10">
        <f>48*3+12</f>
        <v>156</v>
      </c>
      <c r="FF398" s="10">
        <v>-1500</v>
      </c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0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  <c r="SB398" s="10"/>
      <c r="SC398" s="10"/>
      <c r="SD398" s="10"/>
      <c r="SE398" s="10"/>
      <c r="SF398" s="10"/>
      <c r="SG398" s="10"/>
      <c r="SH398" s="10"/>
      <c r="SI398" s="10"/>
      <c r="SJ398" s="10"/>
      <c r="SK398" s="10"/>
      <c r="SL398" s="10"/>
      <c r="SM398" s="10"/>
      <c r="SN398" s="10"/>
      <c r="SO398" s="10"/>
      <c r="SP398" s="10"/>
      <c r="SQ398" s="10"/>
      <c r="SR398" s="10"/>
      <c r="SS398" s="10"/>
      <c r="ST398" s="10"/>
      <c r="SU398" s="10"/>
      <c r="SV398" s="10"/>
      <c r="SW398" s="10"/>
      <c r="SX398" s="10"/>
      <c r="SY398" s="10"/>
      <c r="SZ398" s="10"/>
      <c r="TA398" s="10"/>
      <c r="TB398" s="10"/>
      <c r="TC398" s="10"/>
      <c r="TD398" s="10"/>
      <c r="TE398" s="10"/>
      <c r="TF398" s="10"/>
      <c r="TG398" s="11">
        <f t="shared" si="21"/>
        <v>0</v>
      </c>
      <c r="TH398" s="9">
        <f t="shared" si="22"/>
        <v>0</v>
      </c>
    </row>
    <row r="399" spans="1:528" ht="16.2" thickBot="1" x14ac:dyDescent="0.35">
      <c r="A399" s="25"/>
      <c r="B399" s="23" t="s">
        <v>144</v>
      </c>
      <c r="C399" s="3">
        <f>AGOSTO!D403</f>
        <v>0</v>
      </c>
      <c r="D399" s="21">
        <f t="shared" si="20"/>
        <v>0</v>
      </c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0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  <c r="SB399" s="10"/>
      <c r="SC399" s="10"/>
      <c r="SD399" s="10"/>
      <c r="SE399" s="10"/>
      <c r="SF399" s="10"/>
      <c r="SG399" s="10"/>
      <c r="SH399" s="10"/>
      <c r="SI399" s="10"/>
      <c r="SJ399" s="10"/>
      <c r="SK399" s="10"/>
      <c r="SL399" s="10"/>
      <c r="SM399" s="10"/>
      <c r="SN399" s="10"/>
      <c r="SO399" s="10"/>
      <c r="SP399" s="10"/>
      <c r="SQ399" s="10"/>
      <c r="SR399" s="10"/>
      <c r="SS399" s="10"/>
      <c r="ST399" s="10"/>
      <c r="SU399" s="10"/>
      <c r="SV399" s="10"/>
      <c r="SW399" s="10"/>
      <c r="SX399" s="10"/>
      <c r="SY399" s="10"/>
      <c r="SZ399" s="10"/>
      <c r="TA399" s="10"/>
      <c r="TB399" s="10"/>
      <c r="TC399" s="10"/>
      <c r="TD399" s="10"/>
      <c r="TE399" s="10"/>
      <c r="TF399" s="10"/>
      <c r="TG399" s="11">
        <f t="shared" si="21"/>
        <v>0</v>
      </c>
      <c r="TH399" s="9">
        <f t="shared" si="22"/>
        <v>0</v>
      </c>
    </row>
    <row r="400" spans="1:528" ht="15.6" thickBot="1" x14ac:dyDescent="0.3">
      <c r="A400" s="25"/>
      <c r="B400" s="18" t="s">
        <v>145</v>
      </c>
      <c r="C400" s="3">
        <f>AGOSTO!D404</f>
        <v>0</v>
      </c>
      <c r="D400" s="21">
        <f t="shared" si="20"/>
        <v>0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0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  <c r="SB400" s="10"/>
      <c r="SC400" s="10"/>
      <c r="SD400" s="10"/>
      <c r="SE400" s="10"/>
      <c r="SF400" s="10"/>
      <c r="SG400" s="10"/>
      <c r="SH400" s="10"/>
      <c r="SI400" s="10"/>
      <c r="SJ400" s="10"/>
      <c r="SK400" s="10"/>
      <c r="SL400" s="10"/>
      <c r="SM400" s="10"/>
      <c r="SN400" s="10"/>
      <c r="SO400" s="10"/>
      <c r="SP400" s="10"/>
      <c r="SQ400" s="10"/>
      <c r="SR400" s="10"/>
      <c r="SS400" s="10"/>
      <c r="ST400" s="10"/>
      <c r="SU400" s="10"/>
      <c r="SV400" s="10"/>
      <c r="SW400" s="10"/>
      <c r="SX400" s="10"/>
      <c r="SY400" s="10"/>
      <c r="SZ400" s="10"/>
      <c r="TA400" s="10"/>
      <c r="TB400" s="10"/>
      <c r="TC400" s="10"/>
      <c r="TD400" s="10"/>
      <c r="TE400" s="10"/>
      <c r="TF400" s="10"/>
      <c r="TG400" s="11">
        <f t="shared" si="21"/>
        <v>0</v>
      </c>
      <c r="TH400" s="9">
        <f t="shared" si="22"/>
        <v>0</v>
      </c>
    </row>
    <row r="401" spans="1:528" ht="16.2" thickBot="1" x14ac:dyDescent="0.35">
      <c r="A401" s="25"/>
      <c r="B401" s="23" t="s">
        <v>154</v>
      </c>
      <c r="C401" s="3">
        <f>AGOSTO!D405</f>
        <v>0</v>
      </c>
      <c r="D401" s="21">
        <f t="shared" si="20"/>
        <v>0</v>
      </c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0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  <c r="SB401" s="10"/>
      <c r="SC401" s="10"/>
      <c r="SD401" s="10"/>
      <c r="SE401" s="10"/>
      <c r="SF401" s="10"/>
      <c r="SG401" s="10"/>
      <c r="SH401" s="10"/>
      <c r="SI401" s="10"/>
      <c r="SJ401" s="10"/>
      <c r="SK401" s="10"/>
      <c r="SL401" s="10"/>
      <c r="SM401" s="10"/>
      <c r="SN401" s="10"/>
      <c r="SO401" s="10"/>
      <c r="SP401" s="10"/>
      <c r="SQ401" s="10"/>
      <c r="SR401" s="10"/>
      <c r="SS401" s="10"/>
      <c r="ST401" s="10"/>
      <c r="SU401" s="10"/>
      <c r="SV401" s="10"/>
      <c r="SW401" s="10"/>
      <c r="SX401" s="10"/>
      <c r="SY401" s="10"/>
      <c r="SZ401" s="10"/>
      <c r="TA401" s="10"/>
      <c r="TB401" s="10"/>
      <c r="TC401" s="10"/>
      <c r="TD401" s="10"/>
      <c r="TE401" s="10"/>
      <c r="TF401" s="10"/>
      <c r="TG401" s="11">
        <f t="shared" si="21"/>
        <v>0</v>
      </c>
      <c r="TH401" s="9">
        <f t="shared" si="22"/>
        <v>0</v>
      </c>
    </row>
    <row r="402" spans="1:528" ht="15.6" thickBot="1" x14ac:dyDescent="0.3">
      <c r="A402" s="25"/>
      <c r="B402" s="18" t="s">
        <v>155</v>
      </c>
      <c r="C402" s="3">
        <f>AGOSTO!D406</f>
        <v>0</v>
      </c>
      <c r="D402" s="21">
        <f t="shared" si="20"/>
        <v>0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0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  <c r="SB402" s="10"/>
      <c r="SC402" s="10"/>
      <c r="SD402" s="10"/>
      <c r="SE402" s="10"/>
      <c r="SF402" s="10"/>
      <c r="SG402" s="10"/>
      <c r="SH402" s="10"/>
      <c r="SI402" s="10"/>
      <c r="SJ402" s="10"/>
      <c r="SK402" s="10"/>
      <c r="SL402" s="10"/>
      <c r="SM402" s="10"/>
      <c r="SN402" s="10"/>
      <c r="SO402" s="10"/>
      <c r="SP402" s="10"/>
      <c r="SQ402" s="10"/>
      <c r="SR402" s="10"/>
      <c r="SS402" s="10"/>
      <c r="ST402" s="10"/>
      <c r="SU402" s="10"/>
      <c r="SV402" s="10"/>
      <c r="SW402" s="10"/>
      <c r="SX402" s="10"/>
      <c r="SY402" s="10"/>
      <c r="SZ402" s="10"/>
      <c r="TA402" s="10"/>
      <c r="TB402" s="10"/>
      <c r="TC402" s="10"/>
      <c r="TD402" s="10"/>
      <c r="TE402" s="10"/>
      <c r="TF402" s="10"/>
      <c r="TG402" s="11">
        <f t="shared" si="21"/>
        <v>0</v>
      </c>
      <c r="TH402" s="9">
        <f t="shared" si="22"/>
        <v>0</v>
      </c>
    </row>
    <row r="403" spans="1:528" ht="16.2" thickBot="1" x14ac:dyDescent="0.35">
      <c r="A403" s="25"/>
      <c r="B403" s="23" t="s">
        <v>72</v>
      </c>
      <c r="C403" s="3">
        <f>AGOSTO!D407</f>
        <v>0</v>
      </c>
      <c r="D403" s="21">
        <f t="shared" si="20"/>
        <v>0</v>
      </c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0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  <c r="SB403" s="10"/>
      <c r="SC403" s="10"/>
      <c r="SD403" s="10"/>
      <c r="SE403" s="10"/>
      <c r="SF403" s="10"/>
      <c r="SG403" s="10"/>
      <c r="SH403" s="10"/>
      <c r="SI403" s="10"/>
      <c r="SJ403" s="10"/>
      <c r="SK403" s="10"/>
      <c r="SL403" s="10"/>
      <c r="SM403" s="10"/>
      <c r="SN403" s="10"/>
      <c r="SO403" s="10"/>
      <c r="SP403" s="10"/>
      <c r="SQ403" s="10"/>
      <c r="SR403" s="10"/>
      <c r="SS403" s="10"/>
      <c r="ST403" s="10"/>
      <c r="SU403" s="10"/>
      <c r="SV403" s="10"/>
      <c r="SW403" s="10"/>
      <c r="SX403" s="10"/>
      <c r="SY403" s="10"/>
      <c r="SZ403" s="10"/>
      <c r="TA403" s="10"/>
      <c r="TB403" s="10"/>
      <c r="TC403" s="10"/>
      <c r="TD403" s="10"/>
      <c r="TE403" s="10"/>
      <c r="TF403" s="10"/>
      <c r="TG403" s="11">
        <f t="shared" si="21"/>
        <v>0</v>
      </c>
      <c r="TH403" s="9">
        <f t="shared" si="22"/>
        <v>0</v>
      </c>
    </row>
    <row r="404" spans="1:528" ht="15.6" thickBot="1" x14ac:dyDescent="0.3">
      <c r="A404" s="25"/>
      <c r="B404" s="18" t="s">
        <v>441</v>
      </c>
      <c r="C404" s="3">
        <f>AGOSTO!D408</f>
        <v>0</v>
      </c>
      <c r="D404" s="21">
        <f>C404+SUM(E404:TF404)</f>
        <v>0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0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  <c r="SB404" s="10"/>
      <c r="SC404" s="10"/>
      <c r="SD404" s="10"/>
      <c r="SE404" s="10"/>
      <c r="SF404" s="10"/>
      <c r="SG404" s="10"/>
      <c r="SH404" s="10"/>
      <c r="SI404" s="10"/>
      <c r="SJ404" s="10"/>
      <c r="SK404" s="10"/>
      <c r="SL404" s="10"/>
      <c r="SM404" s="10"/>
      <c r="SN404" s="10"/>
      <c r="SO404" s="10"/>
      <c r="SP404" s="10"/>
      <c r="SQ404" s="10"/>
      <c r="SR404" s="10"/>
      <c r="SS404" s="10"/>
      <c r="ST404" s="10"/>
      <c r="SU404" s="10"/>
      <c r="SV404" s="10"/>
      <c r="SW404" s="10"/>
      <c r="SX404" s="10"/>
      <c r="SY404" s="10"/>
      <c r="SZ404" s="10"/>
      <c r="TA404" s="10"/>
      <c r="TB404" s="10"/>
      <c r="TC404" s="10"/>
      <c r="TD404" s="10"/>
      <c r="TE404" s="10"/>
      <c r="TF404" s="10"/>
      <c r="TG404" s="11">
        <f t="shared" si="21"/>
        <v>0</v>
      </c>
      <c r="TH404" s="9">
        <f t="shared" si="22"/>
        <v>0</v>
      </c>
    </row>
    <row r="405" spans="1:528" ht="15.6" thickBot="1" x14ac:dyDescent="0.3">
      <c r="A405" s="25"/>
      <c r="B405" s="18" t="s">
        <v>442</v>
      </c>
      <c r="C405" s="3">
        <f>AGOSTO!D409</f>
        <v>0</v>
      </c>
      <c r="D405" s="21">
        <f t="shared" si="20"/>
        <v>0</v>
      </c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0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  <c r="SB405" s="10"/>
      <c r="SC405" s="10"/>
      <c r="SD405" s="10"/>
      <c r="SE405" s="10"/>
      <c r="SF405" s="10"/>
      <c r="SG405" s="10"/>
      <c r="SH405" s="10"/>
      <c r="SI405" s="10"/>
      <c r="SJ405" s="10"/>
      <c r="SK405" s="10"/>
      <c r="SL405" s="10"/>
      <c r="SM405" s="10"/>
      <c r="SN405" s="10"/>
      <c r="SO405" s="10"/>
      <c r="SP405" s="10"/>
      <c r="SQ405" s="10"/>
      <c r="SR405" s="10"/>
      <c r="SS405" s="10"/>
      <c r="ST405" s="10"/>
      <c r="SU405" s="10"/>
      <c r="SV405" s="10"/>
      <c r="SW405" s="10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>
        <f t="shared" si="21"/>
        <v>0</v>
      </c>
      <c r="TH405" s="9">
        <f t="shared" si="22"/>
        <v>0</v>
      </c>
    </row>
    <row r="406" spans="1:528" ht="15.6" customHeight="1" thickBot="1" x14ac:dyDescent="0.3">
      <c r="A406" s="25" t="s">
        <v>1170</v>
      </c>
      <c r="B406" s="18" t="s">
        <v>1171</v>
      </c>
      <c r="C406" s="3">
        <f>AGOSTO!D410</f>
        <v>0</v>
      </c>
      <c r="D406" s="21">
        <f t="shared" si="20"/>
        <v>192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0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  <c r="SB406" s="10"/>
      <c r="SC406" s="10"/>
      <c r="SD406" s="10"/>
      <c r="SE406" s="10"/>
      <c r="SF406" s="10"/>
      <c r="SG406" s="10"/>
      <c r="SH406" s="10"/>
      <c r="SI406" s="10"/>
      <c r="SJ406" s="10"/>
      <c r="SK406" s="10"/>
      <c r="SL406" s="10"/>
      <c r="SM406" s="10"/>
      <c r="SN406" s="10"/>
      <c r="SO406" s="10"/>
      <c r="SP406" s="10"/>
      <c r="SQ406" s="10">
        <f>64*3</f>
        <v>192</v>
      </c>
      <c r="SR406" s="10"/>
      <c r="SS406" s="10"/>
      <c r="ST406" s="10"/>
      <c r="SU406" s="10"/>
      <c r="SV406" s="10"/>
      <c r="SW406" s="10"/>
      <c r="SX406" s="10"/>
      <c r="SY406" s="10"/>
      <c r="SZ406" s="10"/>
      <c r="TA406" s="10"/>
      <c r="TB406" s="10"/>
      <c r="TC406" s="10"/>
      <c r="TD406" s="10"/>
      <c r="TE406" s="10"/>
      <c r="TF406" s="10"/>
      <c r="TG406" s="11">
        <f t="shared" si="21"/>
        <v>0</v>
      </c>
      <c r="TH406" s="9">
        <f t="shared" si="22"/>
        <v>0</v>
      </c>
    </row>
    <row r="407" spans="1:528" ht="15.6" thickBot="1" x14ac:dyDescent="0.3">
      <c r="A407" s="25" t="s">
        <v>439</v>
      </c>
      <c r="B407" s="18" t="s">
        <v>440</v>
      </c>
      <c r="C407" s="3">
        <f>AGOSTO!D411</f>
        <v>36</v>
      </c>
      <c r="D407" s="21">
        <f t="shared" si="20"/>
        <v>0</v>
      </c>
      <c r="E407" s="10"/>
      <c r="F407" s="10"/>
      <c r="G407" s="10">
        <v>6</v>
      </c>
      <c r="H407" s="10">
        <v>-42</v>
      </c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0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  <c r="SB407" s="10"/>
      <c r="SC407" s="10"/>
      <c r="SD407" s="10"/>
      <c r="SE407" s="10"/>
      <c r="SF407" s="10"/>
      <c r="SG407" s="10"/>
      <c r="SH407" s="10"/>
      <c r="SI407" s="10"/>
      <c r="SJ407" s="10"/>
      <c r="SK407" s="10"/>
      <c r="SL407" s="10"/>
      <c r="SM407" s="10"/>
      <c r="SN407" s="10"/>
      <c r="SO407" s="10"/>
      <c r="SP407" s="10"/>
      <c r="SQ407" s="10"/>
      <c r="SR407" s="10"/>
      <c r="SS407" s="10"/>
      <c r="ST407" s="10"/>
      <c r="SU407" s="10"/>
      <c r="SV407" s="10"/>
      <c r="SW407" s="10"/>
      <c r="SX407" s="10"/>
      <c r="SY407" s="10"/>
      <c r="SZ407" s="10"/>
      <c r="TA407" s="10"/>
      <c r="TB407" s="10"/>
      <c r="TC407" s="10"/>
      <c r="TD407" s="10"/>
      <c r="TE407" s="10"/>
      <c r="TF407" s="10"/>
      <c r="TG407" s="11">
        <f t="shared" si="21"/>
        <v>6</v>
      </c>
      <c r="TH407" s="9">
        <f t="shared" si="22"/>
        <v>-42</v>
      </c>
    </row>
    <row r="408" spans="1:528" ht="15.6" thickBot="1" x14ac:dyDescent="0.3">
      <c r="A408" s="25" t="s">
        <v>239</v>
      </c>
      <c r="B408" s="18" t="s">
        <v>846</v>
      </c>
      <c r="C408" s="3">
        <f>AGOSTO!D412</f>
        <v>0</v>
      </c>
      <c r="D408" s="21">
        <f t="shared" si="20"/>
        <v>0</v>
      </c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0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  <c r="SB408" s="10"/>
      <c r="SC408" s="10"/>
      <c r="SD408" s="10"/>
      <c r="SE408" s="10"/>
      <c r="SF408" s="10"/>
      <c r="SG408" s="10"/>
      <c r="SH408" s="10"/>
      <c r="SI408" s="10"/>
      <c r="SJ408" s="10"/>
      <c r="SK408" s="10"/>
      <c r="SL408" s="10"/>
      <c r="SM408" s="10"/>
      <c r="SN408" s="10"/>
      <c r="SO408" s="10"/>
      <c r="SP408" s="10"/>
      <c r="SQ408" s="10"/>
      <c r="SR408" s="10"/>
      <c r="SS408" s="10"/>
      <c r="ST408" s="10"/>
      <c r="SU408" s="10"/>
      <c r="SV408" s="10"/>
      <c r="SW408" s="10"/>
      <c r="SX408" s="10"/>
      <c r="SY408" s="10"/>
      <c r="SZ408" s="10"/>
      <c r="TA408" s="10"/>
      <c r="TB408" s="10"/>
      <c r="TC408" s="10"/>
      <c r="TD408" s="10"/>
      <c r="TE408" s="10"/>
      <c r="TF408" s="10"/>
      <c r="TG408" s="11">
        <f t="shared" si="21"/>
        <v>0</v>
      </c>
      <c r="TH408" s="9">
        <f t="shared" si="22"/>
        <v>0</v>
      </c>
    </row>
    <row r="409" spans="1:528" ht="15.6" thickBot="1" x14ac:dyDescent="0.3">
      <c r="A409" s="25" t="s">
        <v>240</v>
      </c>
      <c r="B409" s="18" t="s">
        <v>237</v>
      </c>
      <c r="C409" s="3">
        <f>AGOSTO!D413</f>
        <v>288</v>
      </c>
      <c r="D409" s="21">
        <f t="shared" si="20"/>
        <v>0</v>
      </c>
      <c r="E409" s="10"/>
      <c r="F409" s="10"/>
      <c r="G409" s="10">
        <v>32</v>
      </c>
      <c r="H409" s="10">
        <v>-320</v>
      </c>
      <c r="I409" s="10">
        <v>36</v>
      </c>
      <c r="J409" s="10"/>
      <c r="K409" s="10"/>
      <c r="L409" s="10"/>
      <c r="M409" s="10"/>
      <c r="N409" s="10"/>
      <c r="O409" s="10">
        <v>32</v>
      </c>
      <c r="P409" s="10"/>
      <c r="Q409" s="10"/>
      <c r="R409" s="10"/>
      <c r="S409" s="10"/>
      <c r="T409" s="10"/>
      <c r="U409" s="10"/>
      <c r="V409" s="10">
        <v>-68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0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  <c r="SB409" s="10"/>
      <c r="SC409" s="10"/>
      <c r="SD409" s="10"/>
      <c r="SE409" s="10"/>
      <c r="SF409" s="10"/>
      <c r="SG409" s="10"/>
      <c r="SH409" s="10"/>
      <c r="SI409" s="10"/>
      <c r="SJ409" s="10"/>
      <c r="SK409" s="10"/>
      <c r="SL409" s="10"/>
      <c r="SM409" s="10"/>
      <c r="SN409" s="10"/>
      <c r="SO409" s="10"/>
      <c r="SP409" s="10"/>
      <c r="SQ409" s="10"/>
      <c r="SR409" s="10"/>
      <c r="SS409" s="10"/>
      <c r="ST409" s="10"/>
      <c r="SU409" s="10"/>
      <c r="SV409" s="10"/>
      <c r="SW409" s="10"/>
      <c r="SX409" s="10"/>
      <c r="SY409" s="10"/>
      <c r="SZ409" s="10"/>
      <c r="TA409" s="10"/>
      <c r="TB409" s="10"/>
      <c r="TC409" s="10"/>
      <c r="TD409" s="10"/>
      <c r="TE409" s="10"/>
      <c r="TF409" s="10"/>
      <c r="TG409" s="11">
        <f t="shared" si="21"/>
        <v>100</v>
      </c>
      <c r="TH409" s="9">
        <f t="shared" si="22"/>
        <v>-388</v>
      </c>
    </row>
    <row r="410" spans="1:528" ht="15.6" thickBot="1" x14ac:dyDescent="0.3">
      <c r="A410" s="25" t="s">
        <v>241</v>
      </c>
      <c r="B410" s="18" t="s">
        <v>238</v>
      </c>
      <c r="C410" s="3">
        <f>AGOSTO!D414</f>
        <v>0</v>
      </c>
      <c r="D410" s="21">
        <f t="shared" si="20"/>
        <v>0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/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0"/>
      <c r="LV410" s="10"/>
      <c r="LW410" s="10"/>
      <c r="LX410" s="10"/>
      <c r="LY410" s="10"/>
      <c r="LZ410" s="10"/>
      <c r="MA410" s="10"/>
      <c r="MB410" s="10"/>
      <c r="MC410" s="10"/>
      <c r="MD410" s="10"/>
      <c r="ME410" s="10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  <c r="PG410" s="10"/>
      <c r="PH410" s="10"/>
      <c r="PI410" s="10"/>
      <c r="PJ410" s="10"/>
      <c r="PK410" s="10"/>
      <c r="PL410" s="10"/>
      <c r="PM410" s="10"/>
      <c r="PN410" s="10"/>
      <c r="PO410" s="10"/>
      <c r="PP410" s="10"/>
      <c r="PQ410" s="10"/>
      <c r="PR410" s="10"/>
      <c r="PS410" s="10"/>
      <c r="PT410" s="10"/>
      <c r="PU410" s="10"/>
      <c r="PV410" s="10"/>
      <c r="PW410" s="10"/>
      <c r="PX410" s="10"/>
      <c r="PY410" s="10"/>
      <c r="PZ410" s="10"/>
      <c r="QA410" s="10"/>
      <c r="QB410" s="10"/>
      <c r="QC410" s="10"/>
      <c r="QD410" s="10"/>
      <c r="QE410" s="10"/>
      <c r="QF410" s="10"/>
      <c r="QG410" s="10"/>
      <c r="QH410" s="10"/>
      <c r="QI410" s="10"/>
      <c r="QJ410" s="10"/>
      <c r="QK410" s="10"/>
      <c r="QL410" s="10"/>
      <c r="QM410" s="10"/>
      <c r="QN410" s="10"/>
      <c r="QO410" s="10"/>
      <c r="QP410" s="10"/>
      <c r="QQ410" s="10"/>
      <c r="QR410" s="10"/>
      <c r="QS410" s="10"/>
      <c r="QT410" s="10"/>
      <c r="QU410" s="10"/>
      <c r="QV410" s="10"/>
      <c r="QW410" s="10"/>
      <c r="QX410" s="10"/>
      <c r="QY410" s="10"/>
      <c r="QZ410" s="10"/>
      <c r="RA410" s="10"/>
      <c r="RB410" s="10"/>
      <c r="RC410" s="10"/>
      <c r="RD410" s="10"/>
      <c r="RE410" s="10"/>
      <c r="RF410" s="10"/>
      <c r="RG410" s="10"/>
      <c r="RH410" s="10"/>
      <c r="RI410" s="10"/>
      <c r="RJ410" s="10"/>
      <c r="RK410" s="10"/>
      <c r="RL410" s="10"/>
      <c r="RM410" s="10"/>
      <c r="RN410" s="10"/>
      <c r="RO410" s="10"/>
      <c r="RP410" s="10"/>
      <c r="RQ410" s="10"/>
      <c r="RR410" s="10"/>
      <c r="RS410" s="10"/>
      <c r="RT410" s="10"/>
      <c r="RU410" s="10"/>
      <c r="RV410" s="10"/>
      <c r="RW410" s="10"/>
      <c r="RX410" s="10"/>
      <c r="RY410" s="10"/>
      <c r="RZ410" s="10"/>
      <c r="SA410" s="10"/>
      <c r="SB410" s="10"/>
      <c r="SC410" s="10"/>
      <c r="SD410" s="10"/>
      <c r="SE410" s="10"/>
      <c r="SF410" s="10"/>
      <c r="SG410" s="10"/>
      <c r="SH410" s="10"/>
      <c r="SI410" s="10"/>
      <c r="SJ410" s="10"/>
      <c r="SK410" s="10"/>
      <c r="SL410" s="10"/>
      <c r="SM410" s="10"/>
      <c r="SN410" s="10"/>
      <c r="SO410" s="10"/>
      <c r="SP410" s="10"/>
      <c r="SQ410" s="10"/>
      <c r="SR410" s="10"/>
      <c r="SS410" s="10"/>
      <c r="ST410" s="10"/>
      <c r="SU410" s="10"/>
      <c r="SV410" s="10"/>
      <c r="SW410" s="10"/>
      <c r="SX410" s="10"/>
      <c r="SY410" s="10"/>
      <c r="SZ410" s="10"/>
      <c r="TA410" s="10"/>
      <c r="TB410" s="10"/>
      <c r="TC410" s="10"/>
      <c r="TD410" s="10"/>
      <c r="TE410" s="10"/>
      <c r="TF410" s="10"/>
      <c r="TG410" s="11">
        <f t="shared" si="21"/>
        <v>0</v>
      </c>
      <c r="TH410" s="9">
        <f t="shared" si="22"/>
        <v>0</v>
      </c>
    </row>
    <row r="411" spans="1:528" ht="16.2" thickBot="1" x14ac:dyDescent="0.35">
      <c r="A411" s="25"/>
      <c r="B411" s="23" t="s">
        <v>242</v>
      </c>
      <c r="C411" s="3">
        <f>AGOSTO!D415</f>
        <v>0</v>
      </c>
      <c r="D411" s="21">
        <f t="shared" si="20"/>
        <v>0</v>
      </c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0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  <c r="SB411" s="10"/>
      <c r="SC411" s="10"/>
      <c r="SD411" s="10"/>
      <c r="SE411" s="10"/>
      <c r="SF411" s="10"/>
      <c r="SG411" s="10"/>
      <c r="SH411" s="10"/>
      <c r="SI411" s="10"/>
      <c r="SJ411" s="10"/>
      <c r="SK411" s="10"/>
      <c r="SL411" s="10"/>
      <c r="SM411" s="10"/>
      <c r="SN411" s="10"/>
      <c r="SO411" s="10"/>
      <c r="SP411" s="10"/>
      <c r="SQ411" s="10"/>
      <c r="SR411" s="10"/>
      <c r="SS411" s="10"/>
      <c r="ST411" s="10"/>
      <c r="SU411" s="10"/>
      <c r="SV411" s="10"/>
      <c r="SW411" s="10"/>
      <c r="SX411" s="10"/>
      <c r="SY411" s="10"/>
      <c r="SZ411" s="10"/>
      <c r="TA411" s="10"/>
      <c r="TB411" s="10"/>
      <c r="TC411" s="10"/>
      <c r="TD411" s="10"/>
      <c r="TE411" s="10"/>
      <c r="TF411" s="10"/>
      <c r="TG411" s="11">
        <f t="shared" si="21"/>
        <v>0</v>
      </c>
      <c r="TH411" s="9">
        <f t="shared" si="22"/>
        <v>0</v>
      </c>
    </row>
    <row r="412" spans="1:528" ht="15.6" thickBot="1" x14ac:dyDescent="0.3">
      <c r="A412" s="25" t="s">
        <v>174</v>
      </c>
      <c r="B412" s="18" t="s">
        <v>847</v>
      </c>
      <c r="C412" s="3">
        <f>AGOSTO!D416</f>
        <v>0</v>
      </c>
      <c r="D412" s="21">
        <f t="shared" si="20"/>
        <v>0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>
        <v>64</v>
      </c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>
        <v>-64</v>
      </c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>
        <v>64</v>
      </c>
      <c r="DL412" s="10"/>
      <c r="DM412" s="10"/>
      <c r="DN412" s="10"/>
      <c r="DO412" s="10"/>
      <c r="DP412" s="10">
        <v>-64</v>
      </c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1">
        <f t="shared" si="21"/>
        <v>0</v>
      </c>
      <c r="TH412" s="9">
        <f t="shared" si="22"/>
        <v>0</v>
      </c>
    </row>
    <row r="413" spans="1:528" ht="16.2" thickBot="1" x14ac:dyDescent="0.35">
      <c r="A413" s="25"/>
      <c r="B413" s="23" t="s">
        <v>936</v>
      </c>
      <c r="C413" s="3">
        <f>AGOSTO!D417</f>
        <v>0</v>
      </c>
      <c r="D413" s="21">
        <f t="shared" si="20"/>
        <v>0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1">
        <f t="shared" si="21"/>
        <v>0</v>
      </c>
      <c r="TH413" s="9">
        <f t="shared" si="22"/>
        <v>0</v>
      </c>
    </row>
    <row r="414" spans="1:528" ht="15.6" thickBot="1" x14ac:dyDescent="0.3">
      <c r="A414" s="25" t="s">
        <v>355</v>
      </c>
      <c r="B414" s="18" t="s">
        <v>273</v>
      </c>
      <c r="C414" s="3">
        <f>AGOSTO!D418</f>
        <v>65</v>
      </c>
      <c r="D414" s="21">
        <f t="shared" si="20"/>
        <v>0</v>
      </c>
      <c r="E414" s="10"/>
      <c r="F414" s="10"/>
      <c r="G414" s="10"/>
      <c r="H414" s="10"/>
      <c r="I414" s="10"/>
      <c r="J414" s="10">
        <v>-65</v>
      </c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1">
        <f t="shared" si="21"/>
        <v>0</v>
      </c>
      <c r="TH414" s="9">
        <f t="shared" si="22"/>
        <v>-65</v>
      </c>
    </row>
    <row r="415" spans="1:528" ht="15.6" thickBot="1" x14ac:dyDescent="0.3">
      <c r="A415" s="25" t="s">
        <v>525</v>
      </c>
      <c r="B415" s="18" t="s">
        <v>274</v>
      </c>
      <c r="C415" s="3">
        <f>AGOSTO!D419</f>
        <v>90</v>
      </c>
      <c r="D415" s="21">
        <f t="shared" si="20"/>
        <v>0</v>
      </c>
      <c r="E415" s="10"/>
      <c r="F415" s="10"/>
      <c r="G415" s="10"/>
      <c r="H415" s="10"/>
      <c r="I415" s="10"/>
      <c r="J415" s="10">
        <v>-90</v>
      </c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1">
        <f t="shared" si="21"/>
        <v>0</v>
      </c>
      <c r="TH415" s="9">
        <f t="shared" si="22"/>
        <v>-90</v>
      </c>
    </row>
    <row r="416" spans="1:528" ht="15.6" thickBot="1" x14ac:dyDescent="0.3">
      <c r="A416" s="25" t="s">
        <v>1044</v>
      </c>
      <c r="B416" s="18" t="s">
        <v>275</v>
      </c>
      <c r="C416" s="3">
        <f>AGOSTO!D420</f>
        <v>90</v>
      </c>
      <c r="D416" s="21">
        <f t="shared" si="20"/>
        <v>0</v>
      </c>
      <c r="E416" s="10"/>
      <c r="F416" s="10"/>
      <c r="G416" s="10"/>
      <c r="H416" s="10"/>
      <c r="I416" s="10"/>
      <c r="J416" s="10">
        <v>-90</v>
      </c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1">
        <f t="shared" si="21"/>
        <v>0</v>
      </c>
      <c r="TH416" s="9">
        <f t="shared" si="22"/>
        <v>-90</v>
      </c>
    </row>
    <row r="417" spans="1:528" ht="15.6" thickBot="1" x14ac:dyDescent="0.3">
      <c r="A417" s="25" t="s">
        <v>357</v>
      </c>
      <c r="B417" s="18" t="s">
        <v>276</v>
      </c>
      <c r="C417" s="3">
        <f>AGOSTO!D421</f>
        <v>120</v>
      </c>
      <c r="D417" s="21">
        <f t="shared" si="20"/>
        <v>0</v>
      </c>
      <c r="E417" s="10"/>
      <c r="F417" s="10"/>
      <c r="G417" s="10"/>
      <c r="H417" s="10"/>
      <c r="I417" s="10"/>
      <c r="J417" s="10">
        <v>-120</v>
      </c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1">
        <f t="shared" si="21"/>
        <v>0</v>
      </c>
      <c r="TH417" s="9">
        <f t="shared" si="22"/>
        <v>-120</v>
      </c>
    </row>
    <row r="418" spans="1:528" ht="15.6" thickBot="1" x14ac:dyDescent="0.3">
      <c r="A418" s="25" t="s">
        <v>536</v>
      </c>
      <c r="B418" s="18" t="s">
        <v>277</v>
      </c>
      <c r="C418" s="3">
        <f>AGOSTO!D422</f>
        <v>100</v>
      </c>
      <c r="D418" s="21">
        <f t="shared" si="20"/>
        <v>0</v>
      </c>
      <c r="E418" s="10"/>
      <c r="F418" s="10"/>
      <c r="G418" s="10"/>
      <c r="H418" s="10"/>
      <c r="I418" s="10"/>
      <c r="J418" s="10">
        <v>-100</v>
      </c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0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  <c r="SB418" s="10"/>
      <c r="SC418" s="10"/>
      <c r="SD418" s="10"/>
      <c r="SE418" s="10"/>
      <c r="SF418" s="10"/>
      <c r="SG418" s="10"/>
      <c r="SH418" s="10"/>
      <c r="SI418" s="10"/>
      <c r="SJ418" s="10"/>
      <c r="SK418" s="10"/>
      <c r="SL418" s="10"/>
      <c r="SM418" s="10"/>
      <c r="SN418" s="10"/>
      <c r="SO418" s="10"/>
      <c r="SP418" s="10"/>
      <c r="SQ418" s="10"/>
      <c r="SR418" s="10"/>
      <c r="SS418" s="10"/>
      <c r="ST418" s="10"/>
      <c r="SU418" s="10"/>
      <c r="SV418" s="10"/>
      <c r="SW418" s="10"/>
      <c r="SX418" s="10"/>
      <c r="SY418" s="10"/>
      <c r="SZ418" s="10"/>
      <c r="TA418" s="10"/>
      <c r="TB418" s="10"/>
      <c r="TC418" s="10"/>
      <c r="TD418" s="10"/>
      <c r="TE418" s="10"/>
      <c r="TF418" s="10"/>
      <c r="TG418" s="11">
        <f t="shared" si="21"/>
        <v>0</v>
      </c>
      <c r="TH418" s="9">
        <f t="shared" si="22"/>
        <v>-100</v>
      </c>
    </row>
    <row r="419" spans="1:528" ht="16.2" thickBot="1" x14ac:dyDescent="0.35">
      <c r="A419" s="25"/>
      <c r="B419" s="23" t="s">
        <v>280</v>
      </c>
      <c r="C419" s="3">
        <f>AGOSTO!D423</f>
        <v>0</v>
      </c>
      <c r="D419" s="21">
        <f t="shared" si="20"/>
        <v>0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0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  <c r="SB419" s="10"/>
      <c r="SC419" s="10"/>
      <c r="SD419" s="10"/>
      <c r="SE419" s="10"/>
      <c r="SF419" s="10"/>
      <c r="SG419" s="10"/>
      <c r="SH419" s="10"/>
      <c r="SI419" s="10"/>
      <c r="SJ419" s="10"/>
      <c r="SK419" s="10"/>
      <c r="SL419" s="10"/>
      <c r="SM419" s="10"/>
      <c r="SN419" s="10"/>
      <c r="SO419" s="10"/>
      <c r="SP419" s="10"/>
      <c r="SQ419" s="10"/>
      <c r="SR419" s="10"/>
      <c r="SS419" s="10"/>
      <c r="ST419" s="10"/>
      <c r="SU419" s="10"/>
      <c r="SV419" s="10"/>
      <c r="SW419" s="10"/>
      <c r="SX419" s="10"/>
      <c r="SY419" s="10"/>
      <c r="SZ419" s="10"/>
      <c r="TA419" s="10"/>
      <c r="TB419" s="10"/>
      <c r="TC419" s="10"/>
      <c r="TD419" s="10"/>
      <c r="TE419" s="10"/>
      <c r="TF419" s="10"/>
      <c r="TG419" s="11">
        <f t="shared" si="21"/>
        <v>0</v>
      </c>
      <c r="TH419" s="9">
        <f t="shared" si="22"/>
        <v>0</v>
      </c>
    </row>
    <row r="420" spans="1:528" ht="15.6" thickBot="1" x14ac:dyDescent="0.3">
      <c r="A420" s="25" t="s">
        <v>168</v>
      </c>
      <c r="B420" s="18" t="s">
        <v>107</v>
      </c>
      <c r="C420" s="3">
        <f>AGOSTO!D424</f>
        <v>0</v>
      </c>
      <c r="D420" s="21">
        <f t="shared" si="20"/>
        <v>0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0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  <c r="SB420" s="10"/>
      <c r="SC420" s="10"/>
      <c r="SD420" s="10"/>
      <c r="SE420" s="10"/>
      <c r="SF420" s="10"/>
      <c r="SG420" s="10"/>
      <c r="SH420" s="10"/>
      <c r="SI420" s="10"/>
      <c r="SJ420" s="10"/>
      <c r="SK420" s="10"/>
      <c r="SL420" s="10"/>
      <c r="SM420" s="10"/>
      <c r="SN420" s="10"/>
      <c r="SO420" s="10"/>
      <c r="SP420" s="10"/>
      <c r="SQ420" s="10"/>
      <c r="SR420" s="10"/>
      <c r="SS420" s="10"/>
      <c r="ST420" s="10"/>
      <c r="SU420" s="10"/>
      <c r="SV420" s="10"/>
      <c r="SW420" s="10"/>
      <c r="SX420" s="10"/>
      <c r="SY420" s="10"/>
      <c r="SZ420" s="10"/>
      <c r="TA420" s="10"/>
      <c r="TB420" s="10"/>
      <c r="TC420" s="10"/>
      <c r="TD420" s="10"/>
      <c r="TE420" s="10"/>
      <c r="TF420" s="10"/>
      <c r="TG420" s="11">
        <f t="shared" si="21"/>
        <v>0</v>
      </c>
      <c r="TH420" s="9">
        <f t="shared" si="22"/>
        <v>0</v>
      </c>
    </row>
    <row r="421" spans="1:528" ht="15.6" thickBot="1" x14ac:dyDescent="0.3">
      <c r="A421" s="25" t="s">
        <v>169</v>
      </c>
      <c r="B421" s="18" t="s">
        <v>11</v>
      </c>
      <c r="C421" s="3">
        <f>AGOSTO!D425</f>
        <v>0</v>
      </c>
      <c r="D421" s="21">
        <f t="shared" si="20"/>
        <v>0</v>
      </c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0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  <c r="SB421" s="10"/>
      <c r="SC421" s="10"/>
      <c r="SD421" s="10"/>
      <c r="SE421" s="10"/>
      <c r="SF421" s="10"/>
      <c r="SG421" s="10"/>
      <c r="SH421" s="10"/>
      <c r="SI421" s="10"/>
      <c r="SJ421" s="10"/>
      <c r="SK421" s="10"/>
      <c r="SL421" s="10"/>
      <c r="SM421" s="10"/>
      <c r="SN421" s="10"/>
      <c r="SO421" s="10"/>
      <c r="SP421" s="10"/>
      <c r="SQ421" s="10"/>
      <c r="SR421" s="10"/>
      <c r="SS421" s="10"/>
      <c r="ST421" s="10"/>
      <c r="SU421" s="10"/>
      <c r="SV421" s="10"/>
      <c r="SW421" s="10"/>
      <c r="SX421" s="10"/>
      <c r="SY421" s="10"/>
      <c r="SZ421" s="10"/>
      <c r="TA421" s="10"/>
      <c r="TB421" s="10"/>
      <c r="TC421" s="10"/>
      <c r="TD421" s="10"/>
      <c r="TE421" s="10"/>
      <c r="TF421" s="10"/>
      <c r="TG421" s="11">
        <f t="shared" si="21"/>
        <v>0</v>
      </c>
      <c r="TH421" s="9">
        <f t="shared" si="22"/>
        <v>0</v>
      </c>
    </row>
    <row r="422" spans="1:528" ht="15.6" thickBot="1" x14ac:dyDescent="0.3">
      <c r="A422" s="25" t="s">
        <v>170</v>
      </c>
      <c r="B422" s="18" t="s">
        <v>42</v>
      </c>
      <c r="C422" s="3">
        <f>AGOSTO!D426</f>
        <v>0</v>
      </c>
      <c r="D422" s="21">
        <f t="shared" si="20"/>
        <v>0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0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  <c r="SB422" s="10"/>
      <c r="SC422" s="10"/>
      <c r="SD422" s="10"/>
      <c r="SE422" s="10"/>
      <c r="SF422" s="10"/>
      <c r="SG422" s="10"/>
      <c r="SH422" s="10"/>
      <c r="SI422" s="10"/>
      <c r="SJ422" s="10"/>
      <c r="SK422" s="10"/>
      <c r="SL422" s="10"/>
      <c r="SM422" s="10"/>
      <c r="SN422" s="10"/>
      <c r="SO422" s="10"/>
      <c r="SP422" s="10"/>
      <c r="SQ422" s="10"/>
      <c r="SR422" s="10"/>
      <c r="SS422" s="10"/>
      <c r="ST422" s="10"/>
      <c r="SU422" s="10"/>
      <c r="SV422" s="10"/>
      <c r="SW422" s="10"/>
      <c r="SX422" s="10"/>
      <c r="SY422" s="10"/>
      <c r="SZ422" s="10"/>
      <c r="TA422" s="10"/>
      <c r="TB422" s="10"/>
      <c r="TC422" s="10"/>
      <c r="TD422" s="10"/>
      <c r="TE422" s="10"/>
      <c r="TF422" s="10"/>
      <c r="TG422" s="11">
        <f t="shared" si="21"/>
        <v>0</v>
      </c>
      <c r="TH422" s="9">
        <f t="shared" si="22"/>
        <v>0</v>
      </c>
    </row>
    <row r="423" spans="1:528" ht="15.6" thickBot="1" x14ac:dyDescent="0.3">
      <c r="A423" s="25" t="s">
        <v>171</v>
      </c>
      <c r="B423" s="18" t="s">
        <v>43</v>
      </c>
      <c r="C423" s="3">
        <f>AGOSTO!D427</f>
        <v>0</v>
      </c>
      <c r="D423" s="21">
        <f t="shared" si="20"/>
        <v>0</v>
      </c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0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  <c r="SB423" s="10"/>
      <c r="SC423" s="10"/>
      <c r="SD423" s="10"/>
      <c r="SE423" s="10"/>
      <c r="SF423" s="10"/>
      <c r="SG423" s="10"/>
      <c r="SH423" s="10"/>
      <c r="SI423" s="10"/>
      <c r="SJ423" s="10"/>
      <c r="SK423" s="10"/>
      <c r="SL423" s="10"/>
      <c r="SM423" s="10"/>
      <c r="SN423" s="10"/>
      <c r="SO423" s="10"/>
      <c r="SP423" s="10"/>
      <c r="SQ423" s="10"/>
      <c r="SR423" s="10"/>
      <c r="SS423" s="10"/>
      <c r="ST423" s="10"/>
      <c r="SU423" s="10"/>
      <c r="SV423" s="10"/>
      <c r="SW423" s="10"/>
      <c r="SX423" s="10"/>
      <c r="SY423" s="10"/>
      <c r="SZ423" s="10"/>
      <c r="TA423" s="10"/>
      <c r="TB423" s="10"/>
      <c r="TC423" s="10"/>
      <c r="TD423" s="10"/>
      <c r="TE423" s="10"/>
      <c r="TF423" s="10"/>
      <c r="TG423" s="11">
        <f t="shared" si="21"/>
        <v>0</v>
      </c>
      <c r="TH423" s="9">
        <f t="shared" si="22"/>
        <v>0</v>
      </c>
    </row>
    <row r="424" spans="1:528" ht="15.6" thickBot="1" x14ac:dyDescent="0.3">
      <c r="A424" s="25" t="s">
        <v>172</v>
      </c>
      <c r="B424" s="18" t="s">
        <v>44</v>
      </c>
      <c r="C424" s="3">
        <f>AGOSTO!D428</f>
        <v>0</v>
      </c>
      <c r="D424" s="21">
        <f t="shared" si="20"/>
        <v>0</v>
      </c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0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  <c r="SB424" s="10"/>
      <c r="SC424" s="10"/>
      <c r="SD424" s="10"/>
      <c r="SE424" s="10"/>
      <c r="SF424" s="10"/>
      <c r="SG424" s="10"/>
      <c r="SH424" s="10"/>
      <c r="SI424" s="10"/>
      <c r="SJ424" s="10"/>
      <c r="SK424" s="10"/>
      <c r="SL424" s="10"/>
      <c r="SM424" s="10"/>
      <c r="SN424" s="10"/>
      <c r="SO424" s="10"/>
      <c r="SP424" s="10"/>
      <c r="SQ424" s="10"/>
      <c r="SR424" s="10"/>
      <c r="SS424" s="10"/>
      <c r="ST424" s="10"/>
      <c r="SU424" s="10"/>
      <c r="SV424" s="10"/>
      <c r="SW424" s="10"/>
      <c r="SX424" s="10"/>
      <c r="SY424" s="10"/>
      <c r="SZ424" s="10"/>
      <c r="TA424" s="10"/>
      <c r="TB424" s="10"/>
      <c r="TC424" s="10"/>
      <c r="TD424" s="10"/>
      <c r="TE424" s="10"/>
      <c r="TF424" s="10"/>
      <c r="TG424" s="11">
        <f t="shared" si="21"/>
        <v>0</v>
      </c>
      <c r="TH424" s="9">
        <f t="shared" si="22"/>
        <v>0</v>
      </c>
    </row>
    <row r="425" spans="1:528" ht="15.6" thickBot="1" x14ac:dyDescent="0.3">
      <c r="A425" s="25" t="s">
        <v>270</v>
      </c>
      <c r="B425" s="18" t="s">
        <v>76</v>
      </c>
      <c r="C425" s="3">
        <f>AGOSTO!D429</f>
        <v>0</v>
      </c>
      <c r="D425" s="21">
        <f t="shared" si="20"/>
        <v>0</v>
      </c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0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  <c r="SB425" s="10"/>
      <c r="SC425" s="10"/>
      <c r="SD425" s="10"/>
      <c r="SE425" s="10"/>
      <c r="SF425" s="10"/>
      <c r="SG425" s="10"/>
      <c r="SH425" s="10"/>
      <c r="SI425" s="10"/>
      <c r="SJ425" s="10"/>
      <c r="SK425" s="10"/>
      <c r="SL425" s="10"/>
      <c r="SM425" s="10"/>
      <c r="SN425" s="10"/>
      <c r="SO425" s="10"/>
      <c r="SP425" s="10"/>
      <c r="SQ425" s="10"/>
      <c r="SR425" s="10"/>
      <c r="SS425" s="10"/>
      <c r="ST425" s="10"/>
      <c r="SU425" s="10"/>
      <c r="SV425" s="10"/>
      <c r="SW425" s="10"/>
      <c r="SX425" s="10"/>
      <c r="SY425" s="10"/>
      <c r="SZ425" s="10"/>
      <c r="TA425" s="10"/>
      <c r="TB425" s="10"/>
      <c r="TC425" s="10"/>
      <c r="TD425" s="10"/>
      <c r="TE425" s="10"/>
      <c r="TF425" s="10"/>
      <c r="TG425" s="11">
        <f t="shared" si="21"/>
        <v>0</v>
      </c>
      <c r="TH425" s="9">
        <f t="shared" si="22"/>
        <v>0</v>
      </c>
    </row>
    <row r="426" spans="1:528" ht="15.6" thickBot="1" x14ac:dyDescent="0.3">
      <c r="A426" s="25" t="s">
        <v>174</v>
      </c>
      <c r="B426" s="18" t="s">
        <v>77</v>
      </c>
      <c r="C426" s="3">
        <f>AGOSTO!D430</f>
        <v>0</v>
      </c>
      <c r="D426" s="21">
        <f t="shared" si="20"/>
        <v>0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0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  <c r="SB426" s="10"/>
      <c r="SC426" s="10"/>
      <c r="SD426" s="10"/>
      <c r="SE426" s="10"/>
      <c r="SF426" s="10"/>
      <c r="SG426" s="10"/>
      <c r="SH426" s="10"/>
      <c r="SI426" s="10"/>
      <c r="SJ426" s="10"/>
      <c r="SK426" s="10"/>
      <c r="SL426" s="10"/>
      <c r="SM426" s="10"/>
      <c r="SN426" s="10"/>
      <c r="SO426" s="10"/>
      <c r="SP426" s="10"/>
      <c r="SQ426" s="10"/>
      <c r="SR426" s="10"/>
      <c r="SS426" s="10"/>
      <c r="ST426" s="10"/>
      <c r="SU426" s="10"/>
      <c r="SV426" s="10"/>
      <c r="SW426" s="10"/>
      <c r="SX426" s="10"/>
      <c r="SY426" s="10"/>
      <c r="SZ426" s="10"/>
      <c r="TA426" s="10"/>
      <c r="TB426" s="10"/>
      <c r="TC426" s="10"/>
      <c r="TD426" s="10"/>
      <c r="TE426" s="10"/>
      <c r="TF426" s="10"/>
      <c r="TG426" s="11">
        <f t="shared" si="21"/>
        <v>0</v>
      </c>
      <c r="TH426" s="9">
        <f t="shared" si="22"/>
        <v>0</v>
      </c>
    </row>
    <row r="427" spans="1:528" ht="16.2" thickBot="1" x14ac:dyDescent="0.35">
      <c r="A427" s="25"/>
      <c r="B427" s="23" t="s">
        <v>281</v>
      </c>
      <c r="C427" s="3">
        <f>AGOSTO!D431</f>
        <v>0</v>
      </c>
      <c r="D427" s="21">
        <f t="shared" si="20"/>
        <v>0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1">
        <f t="shared" si="21"/>
        <v>0</v>
      </c>
      <c r="TH427" s="9">
        <f t="shared" si="22"/>
        <v>0</v>
      </c>
    </row>
    <row r="428" spans="1:528" ht="15.6" thickBot="1" x14ac:dyDescent="0.3">
      <c r="A428" s="25" t="s">
        <v>168</v>
      </c>
      <c r="B428" s="18" t="s">
        <v>107</v>
      </c>
      <c r="C428" s="3">
        <f>AGOSTO!D432</f>
        <v>0</v>
      </c>
      <c r="D428" s="21">
        <f t="shared" si="20"/>
        <v>0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1">
        <f t="shared" si="21"/>
        <v>0</v>
      </c>
      <c r="TH428" s="9">
        <f t="shared" si="22"/>
        <v>0</v>
      </c>
    </row>
    <row r="429" spans="1:528" ht="15.6" thickBot="1" x14ac:dyDescent="0.3">
      <c r="A429" s="25" t="s">
        <v>172</v>
      </c>
      <c r="B429" s="18" t="s">
        <v>44</v>
      </c>
      <c r="C429" s="3">
        <f>AGOSTO!D433</f>
        <v>0</v>
      </c>
      <c r="D429" s="21">
        <f t="shared" si="20"/>
        <v>0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0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  <c r="SB429" s="10"/>
      <c r="SC429" s="10"/>
      <c r="SD429" s="10"/>
      <c r="SE429" s="10"/>
      <c r="SF429" s="10"/>
      <c r="SG429" s="10"/>
      <c r="SH429" s="10"/>
      <c r="SI429" s="10"/>
      <c r="SJ429" s="10"/>
      <c r="SK429" s="10"/>
      <c r="SL429" s="10"/>
      <c r="SM429" s="10"/>
      <c r="SN429" s="10"/>
      <c r="SO429" s="10"/>
      <c r="SP429" s="10"/>
      <c r="SQ429" s="10"/>
      <c r="SR429" s="10"/>
      <c r="SS429" s="10"/>
      <c r="ST429" s="10"/>
      <c r="SU429" s="10"/>
      <c r="SV429" s="10"/>
      <c r="SW429" s="10"/>
      <c r="SX429" s="10"/>
      <c r="SY429" s="10"/>
      <c r="SZ429" s="10"/>
      <c r="TA429" s="10"/>
      <c r="TB429" s="10"/>
      <c r="TC429" s="10"/>
      <c r="TD429" s="10"/>
      <c r="TE429" s="10"/>
      <c r="TF429" s="10"/>
      <c r="TG429" s="11">
        <f t="shared" si="21"/>
        <v>0</v>
      </c>
      <c r="TH429" s="9">
        <f t="shared" si="22"/>
        <v>0</v>
      </c>
    </row>
    <row r="430" spans="1:528" ht="15.6" thickBot="1" x14ac:dyDescent="0.3">
      <c r="A430" s="25" t="s">
        <v>173</v>
      </c>
      <c r="B430" s="18" t="s">
        <v>45</v>
      </c>
      <c r="C430" s="3">
        <f>AGOSTO!D434</f>
        <v>0</v>
      </c>
      <c r="D430" s="21">
        <f t="shared" si="20"/>
        <v>0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0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  <c r="SB430" s="10"/>
      <c r="SC430" s="10"/>
      <c r="SD430" s="10"/>
      <c r="SE430" s="10"/>
      <c r="SF430" s="10"/>
      <c r="SG430" s="10"/>
      <c r="SH430" s="10"/>
      <c r="SI430" s="10"/>
      <c r="SJ430" s="10"/>
      <c r="SK430" s="10"/>
      <c r="SL430" s="10"/>
      <c r="SM430" s="10"/>
      <c r="SN430" s="10"/>
      <c r="SO430" s="10"/>
      <c r="SP430" s="10"/>
      <c r="SQ430" s="10"/>
      <c r="SR430" s="10"/>
      <c r="SS430" s="10"/>
      <c r="ST430" s="10"/>
      <c r="SU430" s="10"/>
      <c r="SV430" s="10"/>
      <c r="SW430" s="10"/>
      <c r="SX430" s="10"/>
      <c r="SY430" s="10"/>
      <c r="SZ430" s="10"/>
      <c r="TA430" s="10"/>
      <c r="TB430" s="10"/>
      <c r="TC430" s="10"/>
      <c r="TD430" s="10"/>
      <c r="TE430" s="10"/>
      <c r="TF430" s="10"/>
      <c r="TG430" s="11">
        <f t="shared" si="21"/>
        <v>0</v>
      </c>
      <c r="TH430" s="9">
        <f t="shared" si="22"/>
        <v>0</v>
      </c>
    </row>
    <row r="431" spans="1:528" ht="15.6" thickBot="1" x14ac:dyDescent="0.3">
      <c r="A431" s="25" t="s">
        <v>270</v>
      </c>
      <c r="B431" s="18" t="s">
        <v>76</v>
      </c>
      <c r="C431" s="3">
        <f>AGOSTO!D435</f>
        <v>0</v>
      </c>
      <c r="D431" s="21">
        <f t="shared" si="20"/>
        <v>0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0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  <c r="SB431" s="10"/>
      <c r="SC431" s="10"/>
      <c r="SD431" s="10"/>
      <c r="SE431" s="10"/>
      <c r="SF431" s="10"/>
      <c r="SG431" s="10"/>
      <c r="SH431" s="10"/>
      <c r="SI431" s="10"/>
      <c r="SJ431" s="10"/>
      <c r="SK431" s="10"/>
      <c r="SL431" s="10"/>
      <c r="SM431" s="10"/>
      <c r="SN431" s="10"/>
      <c r="SO431" s="10"/>
      <c r="SP431" s="10"/>
      <c r="SQ431" s="10"/>
      <c r="SR431" s="10"/>
      <c r="SS431" s="10"/>
      <c r="ST431" s="10"/>
      <c r="SU431" s="10"/>
      <c r="SV431" s="10"/>
      <c r="SW431" s="10"/>
      <c r="SX431" s="10"/>
      <c r="SY431" s="10"/>
      <c r="SZ431" s="10"/>
      <c r="TA431" s="10"/>
      <c r="TB431" s="10"/>
      <c r="TC431" s="10"/>
      <c r="TD431" s="10"/>
      <c r="TE431" s="10"/>
      <c r="TF431" s="10"/>
      <c r="TG431" s="11">
        <f t="shared" si="21"/>
        <v>0</v>
      </c>
      <c r="TH431" s="9">
        <f t="shared" si="22"/>
        <v>0</v>
      </c>
    </row>
    <row r="432" spans="1:528" ht="15.6" thickBot="1" x14ac:dyDescent="0.3">
      <c r="A432" s="25" t="s">
        <v>271</v>
      </c>
      <c r="B432" s="18" t="s">
        <v>272</v>
      </c>
      <c r="C432" s="3">
        <f>AGOSTO!D436</f>
        <v>0</v>
      </c>
      <c r="D432" s="21">
        <f t="shared" si="20"/>
        <v>0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0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  <c r="SB432" s="10"/>
      <c r="SC432" s="10"/>
      <c r="SD432" s="10"/>
      <c r="SE432" s="10"/>
      <c r="SF432" s="10"/>
      <c r="SG432" s="10"/>
      <c r="SH432" s="10"/>
      <c r="SI432" s="10"/>
      <c r="SJ432" s="10"/>
      <c r="SK432" s="10"/>
      <c r="SL432" s="10"/>
      <c r="SM432" s="10"/>
      <c r="SN432" s="10"/>
      <c r="SO432" s="10"/>
      <c r="SP432" s="10"/>
      <c r="SQ432" s="10"/>
      <c r="SR432" s="10"/>
      <c r="SS432" s="10"/>
      <c r="ST432" s="10"/>
      <c r="SU432" s="10"/>
      <c r="SV432" s="10"/>
      <c r="SW432" s="10"/>
      <c r="SX432" s="10"/>
      <c r="SY432" s="10"/>
      <c r="SZ432" s="10"/>
      <c r="TA432" s="10"/>
      <c r="TB432" s="10"/>
      <c r="TC432" s="10"/>
      <c r="TD432" s="10"/>
      <c r="TE432" s="10"/>
      <c r="TF432" s="10"/>
      <c r="TG432" s="11">
        <f t="shared" si="21"/>
        <v>0</v>
      </c>
      <c r="TH432" s="9">
        <f t="shared" si="22"/>
        <v>0</v>
      </c>
    </row>
    <row r="433" spans="1:528" ht="15.6" thickBot="1" x14ac:dyDescent="0.3">
      <c r="A433" s="25" t="s">
        <v>265</v>
      </c>
      <c r="B433" s="18" t="s">
        <v>1045</v>
      </c>
      <c r="C433" s="3">
        <f>AGOSTO!D437</f>
        <v>0</v>
      </c>
      <c r="D433" s="21">
        <f t="shared" si="20"/>
        <v>0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0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  <c r="SB433" s="10"/>
      <c r="SC433" s="10"/>
      <c r="SD433" s="10"/>
      <c r="SE433" s="10"/>
      <c r="SF433" s="10"/>
      <c r="SG433" s="10"/>
      <c r="SH433" s="10"/>
      <c r="SI433" s="10"/>
      <c r="SJ433" s="10"/>
      <c r="SK433" s="10"/>
      <c r="SL433" s="10"/>
      <c r="SM433" s="10"/>
      <c r="SN433" s="10"/>
      <c r="SO433" s="10"/>
      <c r="SP433" s="10"/>
      <c r="SQ433" s="10"/>
      <c r="SR433" s="10"/>
      <c r="SS433" s="10"/>
      <c r="ST433" s="10"/>
      <c r="SU433" s="10"/>
      <c r="SV433" s="10"/>
      <c r="SW433" s="10"/>
      <c r="SX433" s="10"/>
      <c r="SY433" s="10"/>
      <c r="SZ433" s="10"/>
      <c r="TA433" s="10"/>
      <c r="TB433" s="10"/>
      <c r="TC433" s="10"/>
      <c r="TD433" s="10"/>
      <c r="TE433" s="10"/>
      <c r="TF433" s="10"/>
      <c r="TG433" s="11">
        <f t="shared" si="21"/>
        <v>0</v>
      </c>
      <c r="TH433" s="9">
        <f t="shared" si="22"/>
        <v>0</v>
      </c>
    </row>
    <row r="434" spans="1:528" ht="15.6" thickBot="1" x14ac:dyDescent="0.3">
      <c r="A434" s="25" t="s">
        <v>266</v>
      </c>
      <c r="B434" s="18" t="s">
        <v>269</v>
      </c>
      <c r="C434" s="3">
        <f>AGOSTO!D438</f>
        <v>0</v>
      </c>
      <c r="D434" s="21">
        <f t="shared" si="20"/>
        <v>0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0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  <c r="SB434" s="10"/>
      <c r="SC434" s="10"/>
      <c r="SD434" s="10"/>
      <c r="SE434" s="10"/>
      <c r="SF434" s="10"/>
      <c r="SG434" s="10"/>
      <c r="SH434" s="10"/>
      <c r="SI434" s="10"/>
      <c r="SJ434" s="10"/>
      <c r="SK434" s="10"/>
      <c r="SL434" s="10"/>
      <c r="SM434" s="10"/>
      <c r="SN434" s="10"/>
      <c r="SO434" s="10"/>
      <c r="SP434" s="10"/>
      <c r="SQ434" s="10"/>
      <c r="SR434" s="10"/>
      <c r="SS434" s="10"/>
      <c r="ST434" s="10"/>
      <c r="SU434" s="10"/>
      <c r="SV434" s="10"/>
      <c r="SW434" s="10"/>
      <c r="SX434" s="10"/>
      <c r="SY434" s="10"/>
      <c r="SZ434" s="10"/>
      <c r="TA434" s="10"/>
      <c r="TB434" s="10"/>
      <c r="TC434" s="10"/>
      <c r="TD434" s="10"/>
      <c r="TE434" s="10"/>
      <c r="TF434" s="10"/>
      <c r="TG434" s="11">
        <f t="shared" si="21"/>
        <v>0</v>
      </c>
      <c r="TH434" s="9">
        <f t="shared" si="22"/>
        <v>0</v>
      </c>
    </row>
    <row r="435" spans="1:528" ht="15.6" thickBot="1" x14ac:dyDescent="0.3">
      <c r="A435" s="25" t="s">
        <v>267</v>
      </c>
      <c r="B435" s="18" t="s">
        <v>116</v>
      </c>
      <c r="C435" s="3">
        <f>AGOSTO!D439</f>
        <v>0</v>
      </c>
      <c r="D435" s="21">
        <f t="shared" si="20"/>
        <v>0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0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  <c r="SB435" s="10"/>
      <c r="SC435" s="10"/>
      <c r="SD435" s="10"/>
      <c r="SE435" s="10"/>
      <c r="SF435" s="10"/>
      <c r="SG435" s="10"/>
      <c r="SH435" s="10"/>
      <c r="SI435" s="10"/>
      <c r="SJ435" s="10"/>
      <c r="SK435" s="10"/>
      <c r="SL435" s="10"/>
      <c r="SM435" s="10"/>
      <c r="SN435" s="10"/>
      <c r="SO435" s="10"/>
      <c r="SP435" s="10"/>
      <c r="SQ435" s="10"/>
      <c r="SR435" s="10"/>
      <c r="SS435" s="10"/>
      <c r="ST435" s="10"/>
      <c r="SU435" s="10"/>
      <c r="SV435" s="10"/>
      <c r="SW435" s="10"/>
      <c r="SX435" s="10"/>
      <c r="SY435" s="10"/>
      <c r="SZ435" s="10"/>
      <c r="TA435" s="10"/>
      <c r="TB435" s="10"/>
      <c r="TC435" s="10"/>
      <c r="TD435" s="10"/>
      <c r="TE435" s="10"/>
      <c r="TF435" s="10"/>
      <c r="TG435" s="11">
        <f t="shared" si="21"/>
        <v>0</v>
      </c>
      <c r="TH435" s="9">
        <f t="shared" si="22"/>
        <v>0</v>
      </c>
    </row>
    <row r="436" spans="1:528" ht="16.2" thickBot="1" x14ac:dyDescent="0.35">
      <c r="A436" s="25"/>
      <c r="B436" s="23" t="s">
        <v>282</v>
      </c>
      <c r="C436" s="3">
        <f>AGOSTO!D440</f>
        <v>0</v>
      </c>
      <c r="D436" s="21">
        <f t="shared" si="20"/>
        <v>0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0"/>
      <c r="LV436" s="10"/>
      <c r="LW436" s="10"/>
      <c r="LX436" s="10"/>
      <c r="LY436" s="10"/>
      <c r="LZ436" s="10"/>
      <c r="MA436" s="10"/>
      <c r="MB436" s="10"/>
      <c r="MC436" s="10"/>
      <c r="MD436" s="10"/>
      <c r="ME436" s="10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  <c r="PG436" s="10"/>
      <c r="PH436" s="10"/>
      <c r="PI436" s="10"/>
      <c r="PJ436" s="10"/>
      <c r="PK436" s="10"/>
      <c r="PL436" s="10"/>
      <c r="PM436" s="10"/>
      <c r="PN436" s="10"/>
      <c r="PO436" s="10"/>
      <c r="PP436" s="10"/>
      <c r="PQ436" s="10"/>
      <c r="PR436" s="10"/>
      <c r="PS436" s="10"/>
      <c r="PT436" s="10"/>
      <c r="PU436" s="10"/>
      <c r="PV436" s="10"/>
      <c r="PW436" s="10"/>
      <c r="PX436" s="10"/>
      <c r="PY436" s="10"/>
      <c r="PZ436" s="10"/>
      <c r="QA436" s="10"/>
      <c r="QB436" s="10"/>
      <c r="QC436" s="10"/>
      <c r="QD436" s="10"/>
      <c r="QE436" s="10"/>
      <c r="QF436" s="10"/>
      <c r="QG436" s="10"/>
      <c r="QH436" s="10"/>
      <c r="QI436" s="10"/>
      <c r="QJ436" s="10"/>
      <c r="QK436" s="10"/>
      <c r="QL436" s="10"/>
      <c r="QM436" s="10"/>
      <c r="QN436" s="10"/>
      <c r="QO436" s="10"/>
      <c r="QP436" s="10"/>
      <c r="QQ436" s="10"/>
      <c r="QR436" s="10"/>
      <c r="QS436" s="10"/>
      <c r="QT436" s="10"/>
      <c r="QU436" s="10"/>
      <c r="QV436" s="10"/>
      <c r="QW436" s="10"/>
      <c r="QX436" s="10"/>
      <c r="QY436" s="10"/>
      <c r="QZ436" s="10"/>
      <c r="RA436" s="10"/>
      <c r="RB436" s="10"/>
      <c r="RC436" s="10"/>
      <c r="RD436" s="10"/>
      <c r="RE436" s="10"/>
      <c r="RF436" s="10"/>
      <c r="RG436" s="10"/>
      <c r="RH436" s="10"/>
      <c r="RI436" s="10"/>
      <c r="RJ436" s="10"/>
      <c r="RK436" s="10"/>
      <c r="RL436" s="10"/>
      <c r="RM436" s="10"/>
      <c r="RN436" s="10"/>
      <c r="RO436" s="10"/>
      <c r="RP436" s="10"/>
      <c r="RQ436" s="10"/>
      <c r="RR436" s="10"/>
      <c r="RS436" s="10"/>
      <c r="RT436" s="10"/>
      <c r="RU436" s="10"/>
      <c r="RV436" s="10"/>
      <c r="RW436" s="10"/>
      <c r="RX436" s="10"/>
      <c r="RY436" s="10"/>
      <c r="RZ436" s="10"/>
      <c r="SA436" s="10"/>
      <c r="SB436" s="10"/>
      <c r="SC436" s="10"/>
      <c r="SD436" s="10"/>
      <c r="SE436" s="10"/>
      <c r="SF436" s="10"/>
      <c r="SG436" s="10"/>
      <c r="SH436" s="10"/>
      <c r="SI436" s="10"/>
      <c r="SJ436" s="10"/>
      <c r="SK436" s="10"/>
      <c r="SL436" s="10"/>
      <c r="SM436" s="10"/>
      <c r="SN436" s="10"/>
      <c r="SO436" s="10"/>
      <c r="SP436" s="10"/>
      <c r="SQ436" s="10"/>
      <c r="SR436" s="10"/>
      <c r="SS436" s="10"/>
      <c r="ST436" s="10"/>
      <c r="SU436" s="10"/>
      <c r="SV436" s="10"/>
      <c r="SW436" s="10"/>
      <c r="SX436" s="10"/>
      <c r="SY436" s="10"/>
      <c r="SZ436" s="10"/>
      <c r="TA436" s="10"/>
      <c r="TB436" s="10"/>
      <c r="TC436" s="10"/>
      <c r="TD436" s="10"/>
      <c r="TE436" s="10"/>
      <c r="TF436" s="10"/>
      <c r="TG436" s="11">
        <f t="shared" si="21"/>
        <v>0</v>
      </c>
      <c r="TH436" s="9">
        <f t="shared" si="22"/>
        <v>0</v>
      </c>
    </row>
    <row r="437" spans="1:528" ht="15.6" thickBot="1" x14ac:dyDescent="0.3">
      <c r="A437" s="25" t="s">
        <v>283</v>
      </c>
      <c r="B437" s="18" t="s">
        <v>484</v>
      </c>
      <c r="C437" s="3">
        <f>AGOSTO!D441</f>
        <v>0</v>
      </c>
      <c r="D437" s="21">
        <f t="shared" si="20"/>
        <v>0</v>
      </c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>
        <f>6*72+24</f>
        <v>456</v>
      </c>
      <c r="DF437" s="10"/>
      <c r="DG437" s="10"/>
      <c r="DH437" s="10"/>
      <c r="DI437" s="10">
        <v>87</v>
      </c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>
        <v>-543</v>
      </c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1">
        <f t="shared" si="21"/>
        <v>0</v>
      </c>
      <c r="TH437" s="9">
        <f t="shared" si="22"/>
        <v>0</v>
      </c>
    </row>
    <row r="438" spans="1:528" ht="15.6" thickBot="1" x14ac:dyDescent="0.3">
      <c r="A438" s="25" t="s">
        <v>1165</v>
      </c>
      <c r="B438" s="18" t="s">
        <v>485</v>
      </c>
      <c r="C438" s="3">
        <f>AGOSTO!D442</f>
        <v>0</v>
      </c>
      <c r="D438" s="55">
        <f t="shared" si="20"/>
        <v>21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>
        <v>72</v>
      </c>
      <c r="DF438" s="10"/>
      <c r="DG438" s="10">
        <f>72*11</f>
        <v>792</v>
      </c>
      <c r="DH438" s="10"/>
      <c r="DI438" s="10">
        <f>72+53</f>
        <v>125</v>
      </c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>
        <f>720</f>
        <v>720</v>
      </c>
      <c r="LT438" s="10"/>
      <c r="LU438" s="10">
        <f>72*3+54</f>
        <v>270</v>
      </c>
      <c r="LV438" s="10">
        <v>-1957</v>
      </c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>
        <v>-1</v>
      </c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1">
        <f t="shared" si="21"/>
        <v>0</v>
      </c>
      <c r="TH438" s="9">
        <f t="shared" si="22"/>
        <v>0</v>
      </c>
    </row>
    <row r="439" spans="1:528" ht="16.2" thickBot="1" x14ac:dyDescent="0.35">
      <c r="A439" s="25"/>
      <c r="B439" s="23" t="s">
        <v>293</v>
      </c>
      <c r="C439" s="3">
        <f>AGOSTO!D443</f>
        <v>0</v>
      </c>
      <c r="D439" s="21">
        <f t="shared" si="20"/>
        <v>0</v>
      </c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10"/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10"/>
      <c r="KO439" s="10"/>
      <c r="KP439" s="10"/>
      <c r="KQ439" s="10"/>
      <c r="KR439" s="10"/>
      <c r="KS439" s="10"/>
      <c r="KT439" s="10"/>
      <c r="KU439" s="10"/>
      <c r="KV439" s="10"/>
      <c r="KW439" s="10"/>
      <c r="KX439" s="10"/>
      <c r="KY439" s="10"/>
      <c r="KZ439" s="10"/>
      <c r="LA439" s="10"/>
      <c r="LB439" s="10"/>
      <c r="LC439" s="10"/>
      <c r="LD439" s="10"/>
      <c r="LE439" s="10"/>
      <c r="LF439" s="10"/>
      <c r="LG439" s="10"/>
      <c r="LH439" s="10"/>
      <c r="LI439" s="10"/>
      <c r="LJ439" s="10"/>
      <c r="LK439" s="10"/>
      <c r="LL439" s="10"/>
      <c r="LM439" s="10"/>
      <c r="LN439" s="10"/>
      <c r="LO439" s="10"/>
      <c r="LP439" s="10"/>
      <c r="LQ439" s="10"/>
      <c r="LR439" s="10"/>
      <c r="LS439" s="10"/>
      <c r="LT439" s="10"/>
      <c r="LU439" s="10"/>
      <c r="LV439" s="10"/>
      <c r="LW439" s="10"/>
      <c r="LX439" s="10"/>
      <c r="LY439" s="10"/>
      <c r="LZ439" s="10"/>
      <c r="MA439" s="10"/>
      <c r="MB439" s="10"/>
      <c r="MC439" s="10"/>
      <c r="MD439" s="10"/>
      <c r="ME439" s="10"/>
      <c r="MF439" s="10"/>
      <c r="MG439" s="10"/>
      <c r="MH439" s="10"/>
      <c r="MI439" s="10"/>
      <c r="MJ439" s="10"/>
      <c r="MK439" s="10"/>
      <c r="ML439" s="10"/>
      <c r="MM439" s="10"/>
      <c r="MN439" s="10"/>
      <c r="MO439" s="10"/>
      <c r="MP439" s="10"/>
      <c r="MQ439" s="10"/>
      <c r="MR439" s="10"/>
      <c r="MS439" s="10"/>
      <c r="MT439" s="10"/>
      <c r="MU439" s="10"/>
      <c r="MV439" s="10"/>
      <c r="MW439" s="10"/>
      <c r="MX439" s="10"/>
      <c r="MY439" s="10"/>
      <c r="MZ439" s="10"/>
      <c r="NA439" s="10"/>
      <c r="NB439" s="10"/>
      <c r="NC439" s="10"/>
      <c r="ND439" s="10"/>
      <c r="NE439" s="10"/>
      <c r="NF439" s="10"/>
      <c r="NG439" s="10"/>
      <c r="NH439" s="10"/>
      <c r="NI439" s="10"/>
      <c r="NJ439" s="10"/>
      <c r="NK439" s="10"/>
      <c r="NL439" s="10"/>
      <c r="NM439" s="10"/>
      <c r="NN439" s="10"/>
      <c r="NO439" s="10"/>
      <c r="NP439" s="10"/>
      <c r="NQ439" s="10"/>
      <c r="NR439" s="10"/>
      <c r="NS439" s="10"/>
      <c r="NT439" s="10"/>
      <c r="NU439" s="10"/>
      <c r="NV439" s="10"/>
      <c r="NW439" s="10"/>
      <c r="NX439" s="10"/>
      <c r="NY439" s="10"/>
      <c r="NZ439" s="10"/>
      <c r="OA439" s="10"/>
      <c r="OB439" s="10"/>
      <c r="OC439" s="10"/>
      <c r="OD439" s="10"/>
      <c r="OE439" s="10"/>
      <c r="OF439" s="10"/>
      <c r="OG439" s="10"/>
      <c r="OH439" s="10"/>
      <c r="OI439" s="10"/>
      <c r="OJ439" s="10"/>
      <c r="OK439" s="10"/>
      <c r="OL439" s="10"/>
      <c r="OM439" s="10"/>
      <c r="ON439" s="10"/>
      <c r="OO439" s="10"/>
      <c r="OP439" s="10"/>
      <c r="OQ439" s="10"/>
      <c r="OR439" s="10"/>
      <c r="OS439" s="10"/>
      <c r="OT439" s="10"/>
      <c r="OU439" s="10"/>
      <c r="OV439" s="10"/>
      <c r="OW439" s="10"/>
      <c r="OX439" s="10"/>
      <c r="OY439" s="10"/>
      <c r="OZ439" s="10"/>
      <c r="PA439" s="10"/>
      <c r="PB439" s="10"/>
      <c r="PC439" s="10"/>
      <c r="PD439" s="10"/>
      <c r="PE439" s="10"/>
      <c r="PF439" s="10"/>
      <c r="PG439" s="10"/>
      <c r="PH439" s="10"/>
      <c r="PI439" s="10"/>
      <c r="PJ439" s="10"/>
      <c r="PK439" s="10"/>
      <c r="PL439" s="10"/>
      <c r="PM439" s="10"/>
      <c r="PN439" s="10"/>
      <c r="PO439" s="10"/>
      <c r="PP439" s="10"/>
      <c r="PQ439" s="10"/>
      <c r="PR439" s="10"/>
      <c r="PS439" s="10"/>
      <c r="PT439" s="10"/>
      <c r="PU439" s="10"/>
      <c r="PV439" s="10"/>
      <c r="PW439" s="10"/>
      <c r="PX439" s="10"/>
      <c r="PY439" s="10"/>
      <c r="PZ439" s="10"/>
      <c r="QA439" s="10"/>
      <c r="QB439" s="10"/>
      <c r="QC439" s="10"/>
      <c r="QD439" s="10"/>
      <c r="QE439" s="10"/>
      <c r="QF439" s="10"/>
      <c r="QG439" s="10"/>
      <c r="QH439" s="10"/>
      <c r="QI439" s="10"/>
      <c r="QJ439" s="10"/>
      <c r="QK439" s="10"/>
      <c r="QL439" s="10"/>
      <c r="QM439" s="10"/>
      <c r="QN439" s="10"/>
      <c r="QO439" s="10"/>
      <c r="QP439" s="10"/>
      <c r="QQ439" s="10"/>
      <c r="QR439" s="10"/>
      <c r="QS439" s="10"/>
      <c r="QT439" s="10"/>
      <c r="QU439" s="10"/>
      <c r="QV439" s="10"/>
      <c r="QW439" s="10"/>
      <c r="QX439" s="10"/>
      <c r="QY439" s="10"/>
      <c r="QZ439" s="10"/>
      <c r="RA439" s="10"/>
      <c r="RB439" s="10"/>
      <c r="RC439" s="10"/>
      <c r="RD439" s="10"/>
      <c r="RE439" s="10"/>
      <c r="RF439" s="10"/>
      <c r="RG439" s="10"/>
      <c r="RH439" s="10"/>
      <c r="RI439" s="10"/>
      <c r="RJ439" s="10"/>
      <c r="RK439" s="10"/>
      <c r="RL439" s="10"/>
      <c r="RM439" s="10"/>
      <c r="RN439" s="10"/>
      <c r="RO439" s="10"/>
      <c r="RP439" s="10"/>
      <c r="RQ439" s="10"/>
      <c r="RR439" s="10"/>
      <c r="RS439" s="10"/>
      <c r="RT439" s="10"/>
      <c r="RU439" s="10"/>
      <c r="RV439" s="10"/>
      <c r="RW439" s="10"/>
      <c r="RX439" s="10"/>
      <c r="RY439" s="10"/>
      <c r="RZ439" s="10"/>
      <c r="SA439" s="10"/>
      <c r="SB439" s="10"/>
      <c r="SC439" s="10"/>
      <c r="SD439" s="10"/>
      <c r="SE439" s="10"/>
      <c r="SF439" s="10"/>
      <c r="SG439" s="10"/>
      <c r="SH439" s="10"/>
      <c r="SI439" s="10"/>
      <c r="SJ439" s="10"/>
      <c r="SK439" s="10"/>
      <c r="SL439" s="10"/>
      <c r="SM439" s="10"/>
      <c r="SN439" s="10"/>
      <c r="SO439" s="10"/>
      <c r="SP439" s="10"/>
      <c r="SQ439" s="10"/>
      <c r="SR439" s="10"/>
      <c r="SS439" s="10"/>
      <c r="ST439" s="10"/>
      <c r="SU439" s="10"/>
      <c r="SV439" s="10"/>
      <c r="SW439" s="10"/>
      <c r="SX439" s="10"/>
      <c r="SY439" s="10"/>
      <c r="SZ439" s="10"/>
      <c r="TA439" s="10"/>
      <c r="TB439" s="10"/>
      <c r="TC439" s="10"/>
      <c r="TD439" s="10"/>
      <c r="TE439" s="10"/>
      <c r="TF439" s="10"/>
      <c r="TG439" s="11">
        <f t="shared" si="21"/>
        <v>0</v>
      </c>
      <c r="TH439" s="9">
        <f t="shared" si="22"/>
        <v>0</v>
      </c>
    </row>
    <row r="440" spans="1:528" ht="15.6" thickBot="1" x14ac:dyDescent="0.3">
      <c r="A440" s="25" t="s">
        <v>537</v>
      </c>
      <c r="B440" s="18" t="s">
        <v>483</v>
      </c>
      <c r="C440" s="3">
        <f>AGOSTO!D444</f>
        <v>6</v>
      </c>
      <c r="D440" s="21">
        <f t="shared" ref="D440:D503" si="23">C440+SUM(E440:TF440)</f>
        <v>397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>
        <v>-5</v>
      </c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0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  <c r="SB440" s="10"/>
      <c r="SC440" s="10"/>
      <c r="SD440" s="10"/>
      <c r="SE440" s="10"/>
      <c r="SF440" s="10"/>
      <c r="SG440" s="10"/>
      <c r="SH440" s="10"/>
      <c r="SI440" s="10"/>
      <c r="SJ440" s="10"/>
      <c r="SK440" s="10"/>
      <c r="SL440" s="10"/>
      <c r="SM440" s="10">
        <v>75</v>
      </c>
      <c r="SN440" s="14">
        <v>-1</v>
      </c>
      <c r="SO440" s="10">
        <f>25+6+75+28</f>
        <v>134</v>
      </c>
      <c r="SP440" s="10"/>
      <c r="SQ440" s="10">
        <f>(25+25+25+29)</f>
        <v>104</v>
      </c>
      <c r="SR440" s="10"/>
      <c r="SS440" s="10">
        <f>25+25+25+9</f>
        <v>84</v>
      </c>
      <c r="ST440" s="10"/>
      <c r="SU440" s="10"/>
      <c r="SV440" s="10"/>
      <c r="SW440" s="10"/>
      <c r="SX440" s="10"/>
      <c r="SY440" s="10"/>
      <c r="SZ440" s="10"/>
      <c r="TA440" s="10"/>
      <c r="TB440" s="10"/>
      <c r="TC440" s="10"/>
      <c r="TD440" s="10"/>
      <c r="TE440" s="10"/>
      <c r="TF440" s="10"/>
      <c r="TG440" s="11">
        <f t="shared" si="21"/>
        <v>0</v>
      </c>
      <c r="TH440" s="9">
        <f t="shared" si="22"/>
        <v>0</v>
      </c>
    </row>
    <row r="441" spans="1:528" ht="15.6" thickBot="1" x14ac:dyDescent="0.3">
      <c r="A441" s="25" t="s">
        <v>618</v>
      </c>
      <c r="B441" s="18" t="s">
        <v>619</v>
      </c>
      <c r="C441" s="3">
        <f>AGOSTO!D445</f>
        <v>842</v>
      </c>
      <c r="D441" s="21">
        <f t="shared" si="23"/>
        <v>0</v>
      </c>
      <c r="E441" s="10"/>
      <c r="F441" s="10"/>
      <c r="G441" s="10"/>
      <c r="H441" s="10">
        <v>-842</v>
      </c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0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  <c r="SB441" s="10"/>
      <c r="SC441" s="10"/>
      <c r="SD441" s="10"/>
      <c r="SE441" s="10"/>
      <c r="SF441" s="10"/>
      <c r="SG441" s="10"/>
      <c r="SH441" s="10"/>
      <c r="SI441" s="10"/>
      <c r="SJ441" s="10"/>
      <c r="SK441" s="10"/>
      <c r="SL441" s="10"/>
      <c r="SM441" s="10"/>
      <c r="SN441" s="10"/>
      <c r="SO441" s="10"/>
      <c r="SP441" s="10"/>
      <c r="SQ441" s="10"/>
      <c r="SR441" s="10"/>
      <c r="SS441" s="10"/>
      <c r="ST441" s="10"/>
      <c r="SU441" s="10"/>
      <c r="SV441" s="10"/>
      <c r="SW441" s="10"/>
      <c r="SX441" s="10"/>
      <c r="SY441" s="10"/>
      <c r="SZ441" s="10"/>
      <c r="TA441" s="10"/>
      <c r="TB441" s="10"/>
      <c r="TC441" s="10"/>
      <c r="TD441" s="10"/>
      <c r="TE441" s="10"/>
      <c r="TF441" s="10"/>
      <c r="TG441" s="11">
        <f t="shared" si="21"/>
        <v>0</v>
      </c>
      <c r="TH441" s="9">
        <f t="shared" si="22"/>
        <v>-842</v>
      </c>
    </row>
    <row r="442" spans="1:528" ht="16.2" thickBot="1" x14ac:dyDescent="0.35">
      <c r="A442" s="25"/>
      <c r="B442" s="23" t="s">
        <v>769</v>
      </c>
      <c r="C442" s="3">
        <f>AGOSTO!D446</f>
        <v>0</v>
      </c>
      <c r="D442" s="21">
        <f t="shared" si="23"/>
        <v>0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1">
        <f t="shared" si="21"/>
        <v>0</v>
      </c>
      <c r="TH442" s="9">
        <f t="shared" si="22"/>
        <v>0</v>
      </c>
    </row>
    <row r="443" spans="1:528" ht="15.6" thickBot="1" x14ac:dyDescent="0.3">
      <c r="A443" s="25" t="s">
        <v>294</v>
      </c>
      <c r="B443" s="18" t="s">
        <v>312</v>
      </c>
      <c r="C443" s="3">
        <f>AGOSTO!D447</f>
        <v>0</v>
      </c>
      <c r="D443" s="21">
        <f t="shared" si="23"/>
        <v>0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10"/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  <c r="JX443" s="10"/>
      <c r="JY443" s="10"/>
      <c r="JZ443" s="10"/>
      <c r="KA443" s="10"/>
      <c r="KB443" s="10"/>
      <c r="KC443" s="10"/>
      <c r="KD443" s="10"/>
      <c r="KE443" s="10"/>
      <c r="KF443" s="10"/>
      <c r="KG443" s="10"/>
      <c r="KH443" s="10"/>
      <c r="KI443" s="10"/>
      <c r="KJ443" s="10"/>
      <c r="KK443" s="10"/>
      <c r="KL443" s="10"/>
      <c r="KM443" s="10"/>
      <c r="KN443" s="10"/>
      <c r="KO443" s="10"/>
      <c r="KP443" s="10"/>
      <c r="KQ443" s="10"/>
      <c r="KR443" s="10"/>
      <c r="KS443" s="10"/>
      <c r="KT443" s="10"/>
      <c r="KU443" s="10"/>
      <c r="KV443" s="10"/>
      <c r="KW443" s="10"/>
      <c r="KX443" s="10"/>
      <c r="KY443" s="10"/>
      <c r="KZ443" s="10"/>
      <c r="LA443" s="10"/>
      <c r="LB443" s="10"/>
      <c r="LC443" s="10"/>
      <c r="LD443" s="10"/>
      <c r="LE443" s="10"/>
      <c r="LF443" s="10"/>
      <c r="LG443" s="10"/>
      <c r="LH443" s="10"/>
      <c r="LI443" s="10"/>
      <c r="LJ443" s="10"/>
      <c r="LK443" s="10"/>
      <c r="LL443" s="10"/>
      <c r="LM443" s="10"/>
      <c r="LN443" s="10"/>
      <c r="LO443" s="10"/>
      <c r="LP443" s="10"/>
      <c r="LQ443" s="10"/>
      <c r="LR443" s="10"/>
      <c r="LS443" s="10"/>
      <c r="LT443" s="10"/>
      <c r="LU443" s="10"/>
      <c r="LV443" s="10"/>
      <c r="LW443" s="10"/>
      <c r="LX443" s="10"/>
      <c r="LY443" s="10"/>
      <c r="LZ443" s="10"/>
      <c r="MA443" s="10"/>
      <c r="MB443" s="10"/>
      <c r="MC443" s="10"/>
      <c r="MD443" s="10"/>
      <c r="ME443" s="10"/>
      <c r="MF443" s="10"/>
      <c r="MG443" s="10"/>
      <c r="MH443" s="10"/>
      <c r="MI443" s="10"/>
      <c r="MJ443" s="10"/>
      <c r="MK443" s="10"/>
      <c r="ML443" s="10"/>
      <c r="MM443" s="10"/>
      <c r="MN443" s="10"/>
      <c r="MO443" s="10"/>
      <c r="MP443" s="10"/>
      <c r="MQ443" s="10"/>
      <c r="MR443" s="10"/>
      <c r="MS443" s="10"/>
      <c r="MT443" s="10"/>
      <c r="MU443" s="10"/>
      <c r="MV443" s="10"/>
      <c r="MW443" s="10"/>
      <c r="MX443" s="10"/>
      <c r="MY443" s="10"/>
      <c r="MZ443" s="10"/>
      <c r="NA443" s="10"/>
      <c r="NB443" s="10"/>
      <c r="NC443" s="10"/>
      <c r="ND443" s="10"/>
      <c r="NE443" s="10"/>
      <c r="NF443" s="10"/>
      <c r="NG443" s="10"/>
      <c r="NH443" s="10"/>
      <c r="NI443" s="10"/>
      <c r="NJ443" s="10"/>
      <c r="NK443" s="10"/>
      <c r="NL443" s="10"/>
      <c r="NM443" s="10"/>
      <c r="NN443" s="10"/>
      <c r="NO443" s="10"/>
      <c r="NP443" s="10"/>
      <c r="NQ443" s="10"/>
      <c r="NR443" s="10"/>
      <c r="NS443" s="10"/>
      <c r="NT443" s="10"/>
      <c r="NU443" s="10"/>
      <c r="NV443" s="10"/>
      <c r="NW443" s="10"/>
      <c r="NX443" s="10"/>
      <c r="NY443" s="10"/>
      <c r="NZ443" s="10"/>
      <c r="OA443" s="10"/>
      <c r="OB443" s="10"/>
      <c r="OC443" s="10"/>
      <c r="OD443" s="10"/>
      <c r="OE443" s="10"/>
      <c r="OF443" s="10"/>
      <c r="OG443" s="10"/>
      <c r="OH443" s="10"/>
      <c r="OI443" s="10"/>
      <c r="OJ443" s="10"/>
      <c r="OK443" s="10"/>
      <c r="OL443" s="10"/>
      <c r="OM443" s="10"/>
      <c r="ON443" s="10"/>
      <c r="OO443" s="10"/>
      <c r="OP443" s="10"/>
      <c r="OQ443" s="10"/>
      <c r="OR443" s="10"/>
      <c r="OS443" s="10"/>
      <c r="OT443" s="10"/>
      <c r="OU443" s="10"/>
      <c r="OV443" s="10"/>
      <c r="OW443" s="10"/>
      <c r="OX443" s="10"/>
      <c r="OY443" s="10"/>
      <c r="OZ443" s="10"/>
      <c r="PA443" s="10"/>
      <c r="PB443" s="10"/>
      <c r="PC443" s="10"/>
      <c r="PD443" s="10"/>
      <c r="PE443" s="10"/>
      <c r="PF443" s="10"/>
      <c r="PG443" s="10"/>
      <c r="PH443" s="10"/>
      <c r="PI443" s="10"/>
      <c r="PJ443" s="10"/>
      <c r="PK443" s="10"/>
      <c r="PL443" s="10"/>
      <c r="PM443" s="10"/>
      <c r="PN443" s="10"/>
      <c r="PO443" s="10"/>
      <c r="PP443" s="10"/>
      <c r="PQ443" s="10"/>
      <c r="PR443" s="10"/>
      <c r="PS443" s="10"/>
      <c r="PT443" s="10"/>
      <c r="PU443" s="10"/>
      <c r="PV443" s="10"/>
      <c r="PW443" s="10"/>
      <c r="PX443" s="10"/>
      <c r="PY443" s="10"/>
      <c r="PZ443" s="10"/>
      <c r="QA443" s="10"/>
      <c r="QB443" s="10"/>
      <c r="QC443" s="10"/>
      <c r="QD443" s="10"/>
      <c r="QE443" s="10"/>
      <c r="QF443" s="10"/>
      <c r="QG443" s="10"/>
      <c r="QH443" s="10"/>
      <c r="QI443" s="10"/>
      <c r="QJ443" s="10"/>
      <c r="QK443" s="10"/>
      <c r="QL443" s="10"/>
      <c r="QM443" s="10"/>
      <c r="QN443" s="10"/>
      <c r="QO443" s="10"/>
      <c r="QP443" s="10"/>
      <c r="QQ443" s="10"/>
      <c r="QR443" s="10"/>
      <c r="QS443" s="10"/>
      <c r="QT443" s="10"/>
      <c r="QU443" s="10"/>
      <c r="QV443" s="10"/>
      <c r="QW443" s="10"/>
      <c r="QX443" s="10"/>
      <c r="QY443" s="10"/>
      <c r="QZ443" s="10"/>
      <c r="RA443" s="10"/>
      <c r="RB443" s="10"/>
      <c r="RC443" s="10"/>
      <c r="RD443" s="10"/>
      <c r="RE443" s="10"/>
      <c r="RF443" s="10"/>
      <c r="RG443" s="10"/>
      <c r="RH443" s="10"/>
      <c r="RI443" s="10"/>
      <c r="RJ443" s="10"/>
      <c r="RK443" s="10"/>
      <c r="RL443" s="10"/>
      <c r="RM443" s="10"/>
      <c r="RN443" s="10"/>
      <c r="RO443" s="10"/>
      <c r="RP443" s="10"/>
      <c r="RQ443" s="10"/>
      <c r="RR443" s="10"/>
      <c r="RS443" s="10"/>
      <c r="RT443" s="10"/>
      <c r="RU443" s="10"/>
      <c r="RV443" s="10"/>
      <c r="RW443" s="10"/>
      <c r="RX443" s="10"/>
      <c r="RY443" s="10"/>
      <c r="RZ443" s="10"/>
      <c r="SA443" s="10"/>
      <c r="SB443" s="10"/>
      <c r="SC443" s="10"/>
      <c r="SD443" s="10"/>
      <c r="SE443" s="10"/>
      <c r="SF443" s="10"/>
      <c r="SG443" s="10"/>
      <c r="SH443" s="10"/>
      <c r="SI443" s="10"/>
      <c r="SJ443" s="10"/>
      <c r="SK443" s="10"/>
      <c r="SL443" s="10"/>
      <c r="SM443" s="10"/>
      <c r="SN443" s="10"/>
      <c r="SO443" s="10"/>
      <c r="SP443" s="10"/>
      <c r="SQ443" s="10"/>
      <c r="SR443" s="10"/>
      <c r="SS443" s="10"/>
      <c r="ST443" s="10"/>
      <c r="SU443" s="10"/>
      <c r="SV443" s="10"/>
      <c r="SW443" s="10"/>
      <c r="SX443" s="10"/>
      <c r="SY443" s="10"/>
      <c r="SZ443" s="10"/>
      <c r="TA443" s="10"/>
      <c r="TB443" s="10"/>
      <c r="TC443" s="10"/>
      <c r="TD443" s="10"/>
      <c r="TE443" s="10"/>
      <c r="TF443" s="10"/>
      <c r="TG443" s="11">
        <f t="shared" si="21"/>
        <v>0</v>
      </c>
      <c r="TH443" s="9">
        <f t="shared" si="22"/>
        <v>0</v>
      </c>
    </row>
    <row r="444" spans="1:528" ht="15.6" thickBot="1" x14ac:dyDescent="0.3">
      <c r="A444" s="25" t="s">
        <v>295</v>
      </c>
      <c r="B444" s="18" t="s">
        <v>313</v>
      </c>
      <c r="C444" s="3">
        <f>AGOSTO!D448</f>
        <v>0</v>
      </c>
      <c r="D444" s="21">
        <f t="shared" si="23"/>
        <v>0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0"/>
      <c r="LV444" s="10"/>
      <c r="LW444" s="10"/>
      <c r="LX444" s="10"/>
      <c r="LY444" s="10"/>
      <c r="LZ444" s="10"/>
      <c r="MA444" s="10"/>
      <c r="MB444" s="10"/>
      <c r="MC444" s="10"/>
      <c r="MD444" s="10"/>
      <c r="ME444" s="10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0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  <c r="SB444" s="10"/>
      <c r="SC444" s="10"/>
      <c r="SD444" s="10"/>
      <c r="SE444" s="10"/>
      <c r="SF444" s="10"/>
      <c r="SG444" s="10"/>
      <c r="SH444" s="10"/>
      <c r="SI444" s="10"/>
      <c r="SJ444" s="10"/>
      <c r="SK444" s="10"/>
      <c r="SL444" s="10"/>
      <c r="SM444" s="10"/>
      <c r="SN444" s="10"/>
      <c r="SO444" s="10"/>
      <c r="SP444" s="10"/>
      <c r="SQ444" s="10"/>
      <c r="SR444" s="10"/>
      <c r="SS444" s="10"/>
      <c r="ST444" s="10"/>
      <c r="SU444" s="10"/>
      <c r="SV444" s="10"/>
      <c r="SW444" s="10"/>
      <c r="SX444" s="10"/>
      <c r="SY444" s="10"/>
      <c r="SZ444" s="10"/>
      <c r="TA444" s="10"/>
      <c r="TB444" s="10"/>
      <c r="TC444" s="10"/>
      <c r="TD444" s="10"/>
      <c r="TE444" s="10"/>
      <c r="TF444" s="10"/>
      <c r="TG444" s="11">
        <f t="shared" si="21"/>
        <v>0</v>
      </c>
      <c r="TH444" s="9">
        <f t="shared" si="22"/>
        <v>0</v>
      </c>
    </row>
    <row r="445" spans="1:528" ht="15.6" thickBot="1" x14ac:dyDescent="0.3">
      <c r="A445" s="25" t="s">
        <v>296</v>
      </c>
      <c r="B445" s="18" t="s">
        <v>314</v>
      </c>
      <c r="C445" s="3">
        <f>AGOSTO!D449</f>
        <v>0</v>
      </c>
      <c r="D445" s="21">
        <f t="shared" si="23"/>
        <v>0</v>
      </c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0"/>
      <c r="LV445" s="10"/>
      <c r="LW445" s="10"/>
      <c r="LX445" s="10"/>
      <c r="LY445" s="10"/>
      <c r="LZ445" s="10"/>
      <c r="MA445" s="10"/>
      <c r="MB445" s="10"/>
      <c r="MC445" s="10"/>
      <c r="MD445" s="10"/>
      <c r="ME445" s="10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0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  <c r="SB445" s="10"/>
      <c r="SC445" s="10"/>
      <c r="SD445" s="10"/>
      <c r="SE445" s="10"/>
      <c r="SF445" s="10"/>
      <c r="SG445" s="10"/>
      <c r="SH445" s="10"/>
      <c r="SI445" s="10"/>
      <c r="SJ445" s="10"/>
      <c r="SK445" s="10"/>
      <c r="SL445" s="10"/>
      <c r="SM445" s="10"/>
      <c r="SN445" s="10"/>
      <c r="SO445" s="10"/>
      <c r="SP445" s="10"/>
      <c r="SQ445" s="10"/>
      <c r="SR445" s="10"/>
      <c r="SS445" s="10"/>
      <c r="ST445" s="10"/>
      <c r="SU445" s="10"/>
      <c r="SV445" s="10"/>
      <c r="SW445" s="10"/>
      <c r="SX445" s="10"/>
      <c r="SY445" s="10"/>
      <c r="SZ445" s="10"/>
      <c r="TA445" s="10"/>
      <c r="TB445" s="10"/>
      <c r="TC445" s="10"/>
      <c r="TD445" s="10"/>
      <c r="TE445" s="10"/>
      <c r="TF445" s="10"/>
      <c r="TG445" s="11">
        <f t="shared" si="21"/>
        <v>0</v>
      </c>
      <c r="TH445" s="9">
        <f t="shared" si="22"/>
        <v>0</v>
      </c>
    </row>
    <row r="446" spans="1:528" ht="15.6" thickBot="1" x14ac:dyDescent="0.3">
      <c r="A446" s="25" t="s">
        <v>297</v>
      </c>
      <c r="B446" s="18" t="s">
        <v>315</v>
      </c>
      <c r="C446" s="3">
        <f>AGOSTO!D450</f>
        <v>0</v>
      </c>
      <c r="D446" s="21">
        <f t="shared" si="23"/>
        <v>0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1">
        <f t="shared" si="21"/>
        <v>0</v>
      </c>
      <c r="TH446" s="9">
        <f t="shared" si="22"/>
        <v>0</v>
      </c>
    </row>
    <row r="447" spans="1:528" ht="15.6" thickBot="1" x14ac:dyDescent="0.3">
      <c r="A447" s="25" t="s">
        <v>298</v>
      </c>
      <c r="B447" s="18" t="s">
        <v>1046</v>
      </c>
      <c r="C447" s="3">
        <f>AGOSTO!D451</f>
        <v>0</v>
      </c>
      <c r="D447" s="21">
        <f t="shared" si="23"/>
        <v>0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10"/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10"/>
      <c r="KO447" s="10"/>
      <c r="KP447" s="10"/>
      <c r="KQ447" s="10"/>
      <c r="KR447" s="10"/>
      <c r="KS447" s="10"/>
      <c r="KT447" s="10"/>
      <c r="KU447" s="10"/>
      <c r="KV447" s="10"/>
      <c r="KW447" s="10"/>
      <c r="KX447" s="10"/>
      <c r="KY447" s="10"/>
      <c r="KZ447" s="10"/>
      <c r="LA447" s="10"/>
      <c r="LB447" s="10"/>
      <c r="LC447" s="10"/>
      <c r="LD447" s="10"/>
      <c r="LE447" s="10"/>
      <c r="LF447" s="10"/>
      <c r="LG447" s="10"/>
      <c r="LH447" s="10"/>
      <c r="LI447" s="10"/>
      <c r="LJ447" s="10"/>
      <c r="LK447" s="10"/>
      <c r="LL447" s="10"/>
      <c r="LM447" s="10"/>
      <c r="LN447" s="10"/>
      <c r="LO447" s="10"/>
      <c r="LP447" s="10"/>
      <c r="LQ447" s="10"/>
      <c r="LR447" s="10"/>
      <c r="LS447" s="10"/>
      <c r="LT447" s="10"/>
      <c r="LU447" s="10"/>
      <c r="LV447" s="10"/>
      <c r="LW447" s="10"/>
      <c r="LX447" s="10"/>
      <c r="LY447" s="10"/>
      <c r="LZ447" s="10"/>
      <c r="MA447" s="10"/>
      <c r="MB447" s="10"/>
      <c r="MC447" s="10"/>
      <c r="MD447" s="10"/>
      <c r="ME447" s="10"/>
      <c r="MF447" s="10"/>
      <c r="MG447" s="10"/>
      <c r="MH447" s="10"/>
      <c r="MI447" s="10"/>
      <c r="MJ447" s="10"/>
      <c r="MK447" s="10"/>
      <c r="ML447" s="10"/>
      <c r="MM447" s="10"/>
      <c r="MN447" s="10"/>
      <c r="MO447" s="10"/>
      <c r="MP447" s="10"/>
      <c r="MQ447" s="10"/>
      <c r="MR447" s="10"/>
      <c r="MS447" s="10"/>
      <c r="MT447" s="10"/>
      <c r="MU447" s="10"/>
      <c r="MV447" s="10"/>
      <c r="MW447" s="10"/>
      <c r="MX447" s="10"/>
      <c r="MY447" s="10"/>
      <c r="MZ447" s="10"/>
      <c r="NA447" s="10"/>
      <c r="NB447" s="10"/>
      <c r="NC447" s="10"/>
      <c r="ND447" s="10"/>
      <c r="NE447" s="10"/>
      <c r="NF447" s="10"/>
      <c r="NG447" s="10"/>
      <c r="NH447" s="10"/>
      <c r="NI447" s="10"/>
      <c r="NJ447" s="10"/>
      <c r="NK447" s="10"/>
      <c r="NL447" s="10"/>
      <c r="NM447" s="10"/>
      <c r="NN447" s="10"/>
      <c r="NO447" s="10"/>
      <c r="NP447" s="10"/>
      <c r="NQ447" s="10"/>
      <c r="NR447" s="10"/>
      <c r="NS447" s="10"/>
      <c r="NT447" s="10"/>
      <c r="NU447" s="10"/>
      <c r="NV447" s="10"/>
      <c r="NW447" s="10"/>
      <c r="NX447" s="10"/>
      <c r="NY447" s="10"/>
      <c r="NZ447" s="10"/>
      <c r="OA447" s="10"/>
      <c r="OB447" s="10"/>
      <c r="OC447" s="10"/>
      <c r="OD447" s="10"/>
      <c r="OE447" s="10"/>
      <c r="OF447" s="10"/>
      <c r="OG447" s="10"/>
      <c r="OH447" s="10"/>
      <c r="OI447" s="10"/>
      <c r="OJ447" s="10"/>
      <c r="OK447" s="10"/>
      <c r="OL447" s="10"/>
      <c r="OM447" s="10"/>
      <c r="ON447" s="10"/>
      <c r="OO447" s="10"/>
      <c r="OP447" s="10"/>
      <c r="OQ447" s="10"/>
      <c r="OR447" s="10"/>
      <c r="OS447" s="10"/>
      <c r="OT447" s="10"/>
      <c r="OU447" s="10"/>
      <c r="OV447" s="10"/>
      <c r="OW447" s="10"/>
      <c r="OX447" s="10"/>
      <c r="OY447" s="10"/>
      <c r="OZ447" s="10"/>
      <c r="PA447" s="10"/>
      <c r="PB447" s="10"/>
      <c r="PC447" s="10"/>
      <c r="PD447" s="10"/>
      <c r="PE447" s="10"/>
      <c r="PF447" s="10"/>
      <c r="PG447" s="10"/>
      <c r="PH447" s="10"/>
      <c r="PI447" s="10"/>
      <c r="PJ447" s="10"/>
      <c r="PK447" s="10"/>
      <c r="PL447" s="10"/>
      <c r="PM447" s="10"/>
      <c r="PN447" s="10"/>
      <c r="PO447" s="10"/>
      <c r="PP447" s="10"/>
      <c r="PQ447" s="10"/>
      <c r="PR447" s="10"/>
      <c r="PS447" s="10"/>
      <c r="PT447" s="10"/>
      <c r="PU447" s="10"/>
      <c r="PV447" s="10"/>
      <c r="PW447" s="10"/>
      <c r="PX447" s="10"/>
      <c r="PY447" s="10"/>
      <c r="PZ447" s="10"/>
      <c r="QA447" s="10"/>
      <c r="QB447" s="10"/>
      <c r="QC447" s="10"/>
      <c r="QD447" s="10"/>
      <c r="QE447" s="10"/>
      <c r="QF447" s="10"/>
      <c r="QG447" s="10"/>
      <c r="QH447" s="10"/>
      <c r="QI447" s="10"/>
      <c r="QJ447" s="10"/>
      <c r="QK447" s="10"/>
      <c r="QL447" s="10"/>
      <c r="QM447" s="10"/>
      <c r="QN447" s="10"/>
      <c r="QO447" s="10"/>
      <c r="QP447" s="10"/>
      <c r="QQ447" s="10"/>
      <c r="QR447" s="10"/>
      <c r="QS447" s="10"/>
      <c r="QT447" s="10"/>
      <c r="QU447" s="10"/>
      <c r="QV447" s="10"/>
      <c r="QW447" s="10"/>
      <c r="QX447" s="10"/>
      <c r="QY447" s="10"/>
      <c r="QZ447" s="10"/>
      <c r="RA447" s="10"/>
      <c r="RB447" s="10"/>
      <c r="RC447" s="10"/>
      <c r="RD447" s="10"/>
      <c r="RE447" s="10"/>
      <c r="RF447" s="10"/>
      <c r="RG447" s="10"/>
      <c r="RH447" s="10"/>
      <c r="RI447" s="10"/>
      <c r="RJ447" s="10"/>
      <c r="RK447" s="10"/>
      <c r="RL447" s="10"/>
      <c r="RM447" s="10"/>
      <c r="RN447" s="10"/>
      <c r="RO447" s="10"/>
      <c r="RP447" s="10"/>
      <c r="RQ447" s="10"/>
      <c r="RR447" s="10"/>
      <c r="RS447" s="10"/>
      <c r="RT447" s="10"/>
      <c r="RU447" s="10"/>
      <c r="RV447" s="10"/>
      <c r="RW447" s="10"/>
      <c r="RX447" s="10"/>
      <c r="RY447" s="10"/>
      <c r="RZ447" s="10"/>
      <c r="SA447" s="10"/>
      <c r="SB447" s="10"/>
      <c r="SC447" s="10"/>
      <c r="SD447" s="10"/>
      <c r="SE447" s="10"/>
      <c r="SF447" s="10"/>
      <c r="SG447" s="10"/>
      <c r="SH447" s="10"/>
      <c r="SI447" s="10"/>
      <c r="SJ447" s="10"/>
      <c r="SK447" s="10"/>
      <c r="SL447" s="10"/>
      <c r="SM447" s="10"/>
      <c r="SN447" s="10"/>
      <c r="SO447" s="10"/>
      <c r="SP447" s="10"/>
      <c r="SQ447" s="10"/>
      <c r="SR447" s="10"/>
      <c r="SS447" s="10"/>
      <c r="ST447" s="10"/>
      <c r="SU447" s="10"/>
      <c r="SV447" s="10"/>
      <c r="SW447" s="10"/>
      <c r="SX447" s="10"/>
      <c r="SY447" s="10"/>
      <c r="SZ447" s="10"/>
      <c r="TA447" s="10"/>
      <c r="TB447" s="10"/>
      <c r="TC447" s="10"/>
      <c r="TD447" s="10"/>
      <c r="TE447" s="10"/>
      <c r="TF447" s="10"/>
      <c r="TG447" s="11">
        <f t="shared" ref="TG447:TG510" si="24">TE447+BG447+BE447+BC447+BA447+AY447+AW447+AU447+AS447+AQ447+AO447+AM447+AK447+AI447+AG447+AE447+AC447+AA447+Y447+W447+U447+S447+Q447+O447+M447+K447+I447+G447+E447</f>
        <v>0</v>
      </c>
      <c r="TH447" s="9">
        <f t="shared" ref="TH447:TH510" si="25">TF447+BH447+BF447+BD447+BB447+AZ447+AX447+AV447+AT447+AR447+AP447+AN447+AL447+AJ447+AH447+AF447+AD447+AB447+Z447+X447+V447+T447+R447+P447+N447+L447+J447+H447+F447</f>
        <v>0</v>
      </c>
    </row>
    <row r="448" spans="1:528" ht="15.6" thickBot="1" x14ac:dyDescent="0.3">
      <c r="A448" s="25" t="s">
        <v>299</v>
      </c>
      <c r="B448" s="18" t="s">
        <v>1047</v>
      </c>
      <c r="C448" s="3">
        <f>AGOSTO!D452</f>
        <v>0</v>
      </c>
      <c r="D448" s="21">
        <f t="shared" si="23"/>
        <v>0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0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  <c r="SB448" s="10"/>
      <c r="SC448" s="10"/>
      <c r="SD448" s="10"/>
      <c r="SE448" s="10"/>
      <c r="SF448" s="10"/>
      <c r="SG448" s="10"/>
      <c r="SH448" s="10"/>
      <c r="SI448" s="10"/>
      <c r="SJ448" s="10"/>
      <c r="SK448" s="10"/>
      <c r="SL448" s="10"/>
      <c r="SM448" s="10"/>
      <c r="SN448" s="10"/>
      <c r="SO448" s="10"/>
      <c r="SP448" s="10"/>
      <c r="SQ448" s="10"/>
      <c r="SR448" s="10"/>
      <c r="SS448" s="10"/>
      <c r="ST448" s="10"/>
      <c r="SU448" s="10"/>
      <c r="SV448" s="10"/>
      <c r="SW448" s="10"/>
      <c r="SX448" s="10"/>
      <c r="SY448" s="10"/>
      <c r="SZ448" s="10"/>
      <c r="TA448" s="10"/>
      <c r="TB448" s="10"/>
      <c r="TC448" s="10"/>
      <c r="TD448" s="10"/>
      <c r="TE448" s="10"/>
      <c r="TF448" s="10"/>
      <c r="TG448" s="11">
        <f t="shared" si="24"/>
        <v>0</v>
      </c>
      <c r="TH448" s="9">
        <f t="shared" si="25"/>
        <v>0</v>
      </c>
    </row>
    <row r="449" spans="1:528" ht="15.6" thickBot="1" x14ac:dyDescent="0.3">
      <c r="A449" s="25" t="s">
        <v>300</v>
      </c>
      <c r="B449" s="18" t="s">
        <v>1048</v>
      </c>
      <c r="C449" s="3">
        <f>AGOSTO!D453</f>
        <v>0</v>
      </c>
      <c r="D449" s="21">
        <f t="shared" si="23"/>
        <v>0</v>
      </c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10"/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10"/>
      <c r="KO449" s="10"/>
      <c r="KP449" s="10"/>
      <c r="KQ449" s="10"/>
      <c r="KR449" s="10"/>
      <c r="KS449" s="10"/>
      <c r="KT449" s="10"/>
      <c r="KU449" s="10"/>
      <c r="KV449" s="10"/>
      <c r="KW449" s="10"/>
      <c r="KX449" s="10"/>
      <c r="KY449" s="10"/>
      <c r="KZ449" s="10"/>
      <c r="LA449" s="10"/>
      <c r="LB449" s="10"/>
      <c r="LC449" s="10"/>
      <c r="LD449" s="10"/>
      <c r="LE449" s="10"/>
      <c r="LF449" s="10"/>
      <c r="LG449" s="10"/>
      <c r="LH449" s="10"/>
      <c r="LI449" s="10"/>
      <c r="LJ449" s="10"/>
      <c r="LK449" s="10"/>
      <c r="LL449" s="10"/>
      <c r="LM449" s="10"/>
      <c r="LN449" s="10"/>
      <c r="LO449" s="10"/>
      <c r="LP449" s="10"/>
      <c r="LQ449" s="10"/>
      <c r="LR449" s="10"/>
      <c r="LS449" s="10"/>
      <c r="LT449" s="10"/>
      <c r="LU449" s="10"/>
      <c r="LV449" s="10"/>
      <c r="LW449" s="10"/>
      <c r="LX449" s="10"/>
      <c r="LY449" s="10"/>
      <c r="LZ449" s="10"/>
      <c r="MA449" s="10"/>
      <c r="MB449" s="10"/>
      <c r="MC449" s="10"/>
      <c r="MD449" s="10"/>
      <c r="ME449" s="10"/>
      <c r="MF449" s="10"/>
      <c r="MG449" s="10"/>
      <c r="MH449" s="10"/>
      <c r="MI449" s="10"/>
      <c r="MJ449" s="10"/>
      <c r="MK449" s="10"/>
      <c r="ML449" s="10"/>
      <c r="MM449" s="10"/>
      <c r="MN449" s="10"/>
      <c r="MO449" s="10"/>
      <c r="MP449" s="10"/>
      <c r="MQ449" s="10"/>
      <c r="MR449" s="10"/>
      <c r="MS449" s="10"/>
      <c r="MT449" s="10"/>
      <c r="MU449" s="10"/>
      <c r="MV449" s="10"/>
      <c r="MW449" s="10"/>
      <c r="MX449" s="10"/>
      <c r="MY449" s="10"/>
      <c r="MZ449" s="10"/>
      <c r="NA449" s="10"/>
      <c r="NB449" s="10"/>
      <c r="NC449" s="10"/>
      <c r="ND449" s="10"/>
      <c r="NE449" s="10"/>
      <c r="NF449" s="10"/>
      <c r="NG449" s="10"/>
      <c r="NH449" s="10"/>
      <c r="NI449" s="10"/>
      <c r="NJ449" s="10"/>
      <c r="NK449" s="10"/>
      <c r="NL449" s="10"/>
      <c r="NM449" s="10"/>
      <c r="NN449" s="10"/>
      <c r="NO449" s="10"/>
      <c r="NP449" s="10"/>
      <c r="NQ449" s="10"/>
      <c r="NR449" s="10"/>
      <c r="NS449" s="10"/>
      <c r="NT449" s="10"/>
      <c r="NU449" s="10"/>
      <c r="NV449" s="10"/>
      <c r="NW449" s="10"/>
      <c r="NX449" s="10"/>
      <c r="NY449" s="10"/>
      <c r="NZ449" s="10"/>
      <c r="OA449" s="10"/>
      <c r="OB449" s="10"/>
      <c r="OC449" s="10"/>
      <c r="OD449" s="10"/>
      <c r="OE449" s="10"/>
      <c r="OF449" s="10"/>
      <c r="OG449" s="10"/>
      <c r="OH449" s="10"/>
      <c r="OI449" s="10"/>
      <c r="OJ449" s="10"/>
      <c r="OK449" s="10"/>
      <c r="OL449" s="10"/>
      <c r="OM449" s="10"/>
      <c r="ON449" s="10"/>
      <c r="OO449" s="10"/>
      <c r="OP449" s="10"/>
      <c r="OQ449" s="10"/>
      <c r="OR449" s="10"/>
      <c r="OS449" s="10"/>
      <c r="OT449" s="10"/>
      <c r="OU449" s="10"/>
      <c r="OV449" s="10"/>
      <c r="OW449" s="10"/>
      <c r="OX449" s="10"/>
      <c r="OY449" s="10"/>
      <c r="OZ449" s="10"/>
      <c r="PA449" s="10"/>
      <c r="PB449" s="10"/>
      <c r="PC449" s="10"/>
      <c r="PD449" s="10"/>
      <c r="PE449" s="10"/>
      <c r="PF449" s="10"/>
      <c r="PG449" s="10"/>
      <c r="PH449" s="10"/>
      <c r="PI449" s="10"/>
      <c r="PJ449" s="10"/>
      <c r="PK449" s="10"/>
      <c r="PL449" s="10"/>
      <c r="PM449" s="10"/>
      <c r="PN449" s="10"/>
      <c r="PO449" s="10"/>
      <c r="PP449" s="10"/>
      <c r="PQ449" s="10"/>
      <c r="PR449" s="10"/>
      <c r="PS449" s="10"/>
      <c r="PT449" s="10"/>
      <c r="PU449" s="10"/>
      <c r="PV449" s="10"/>
      <c r="PW449" s="10"/>
      <c r="PX449" s="10"/>
      <c r="PY449" s="10"/>
      <c r="PZ449" s="10"/>
      <c r="QA449" s="10"/>
      <c r="QB449" s="10"/>
      <c r="QC449" s="10"/>
      <c r="QD449" s="10"/>
      <c r="QE449" s="10"/>
      <c r="QF449" s="10"/>
      <c r="QG449" s="10"/>
      <c r="QH449" s="10"/>
      <c r="QI449" s="10"/>
      <c r="QJ449" s="10"/>
      <c r="QK449" s="10"/>
      <c r="QL449" s="10"/>
      <c r="QM449" s="10"/>
      <c r="QN449" s="10"/>
      <c r="QO449" s="10"/>
      <c r="QP449" s="10"/>
      <c r="QQ449" s="10"/>
      <c r="QR449" s="10"/>
      <c r="QS449" s="10"/>
      <c r="QT449" s="10"/>
      <c r="QU449" s="10"/>
      <c r="QV449" s="10"/>
      <c r="QW449" s="10"/>
      <c r="QX449" s="10"/>
      <c r="QY449" s="10"/>
      <c r="QZ449" s="10"/>
      <c r="RA449" s="10"/>
      <c r="RB449" s="10"/>
      <c r="RC449" s="10"/>
      <c r="RD449" s="10"/>
      <c r="RE449" s="10"/>
      <c r="RF449" s="10"/>
      <c r="RG449" s="10"/>
      <c r="RH449" s="10"/>
      <c r="RI449" s="10"/>
      <c r="RJ449" s="10"/>
      <c r="RK449" s="10"/>
      <c r="RL449" s="10"/>
      <c r="RM449" s="10"/>
      <c r="RN449" s="10"/>
      <c r="RO449" s="10"/>
      <c r="RP449" s="10"/>
      <c r="RQ449" s="10"/>
      <c r="RR449" s="10"/>
      <c r="RS449" s="10"/>
      <c r="RT449" s="10"/>
      <c r="RU449" s="10"/>
      <c r="RV449" s="10"/>
      <c r="RW449" s="10"/>
      <c r="RX449" s="10"/>
      <c r="RY449" s="10"/>
      <c r="RZ449" s="10"/>
      <c r="SA449" s="10"/>
      <c r="SB449" s="10"/>
      <c r="SC449" s="10"/>
      <c r="SD449" s="10"/>
      <c r="SE449" s="10"/>
      <c r="SF449" s="10"/>
      <c r="SG449" s="10"/>
      <c r="SH449" s="10"/>
      <c r="SI449" s="10"/>
      <c r="SJ449" s="10"/>
      <c r="SK449" s="10"/>
      <c r="SL449" s="10"/>
      <c r="SM449" s="10"/>
      <c r="SN449" s="10"/>
      <c r="SO449" s="10"/>
      <c r="SP449" s="10"/>
      <c r="SQ449" s="10"/>
      <c r="SR449" s="10"/>
      <c r="SS449" s="10"/>
      <c r="ST449" s="10"/>
      <c r="SU449" s="10"/>
      <c r="SV449" s="10"/>
      <c r="SW449" s="10"/>
      <c r="SX449" s="10"/>
      <c r="SY449" s="10"/>
      <c r="SZ449" s="10"/>
      <c r="TA449" s="10"/>
      <c r="TB449" s="10"/>
      <c r="TC449" s="10"/>
      <c r="TD449" s="10"/>
      <c r="TE449" s="10"/>
      <c r="TF449" s="10"/>
      <c r="TG449" s="11">
        <f t="shared" si="24"/>
        <v>0</v>
      </c>
      <c r="TH449" s="9">
        <f t="shared" si="25"/>
        <v>0</v>
      </c>
    </row>
    <row r="450" spans="1:528" ht="15.6" thickBot="1" x14ac:dyDescent="0.3">
      <c r="A450" s="25" t="s">
        <v>734</v>
      </c>
      <c r="B450" s="18" t="s">
        <v>735</v>
      </c>
      <c r="C450" s="3">
        <f>AGOSTO!D454</f>
        <v>0</v>
      </c>
      <c r="D450" s="21">
        <f t="shared" si="23"/>
        <v>0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0"/>
      <c r="LV450" s="10"/>
      <c r="LW450" s="10"/>
      <c r="LX450" s="10"/>
      <c r="LY450" s="10"/>
      <c r="LZ450" s="10"/>
      <c r="MA450" s="10"/>
      <c r="MB450" s="10"/>
      <c r="MC450" s="10"/>
      <c r="MD450" s="10"/>
      <c r="ME450" s="10"/>
      <c r="MF450" s="10"/>
      <c r="MG450" s="10"/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0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  <c r="SB450" s="10"/>
      <c r="SC450" s="10"/>
      <c r="SD450" s="10"/>
      <c r="SE450" s="10"/>
      <c r="SF450" s="10"/>
      <c r="SG450" s="10"/>
      <c r="SH450" s="10"/>
      <c r="SI450" s="10"/>
      <c r="SJ450" s="10"/>
      <c r="SK450" s="10"/>
      <c r="SL450" s="10"/>
      <c r="SM450" s="10"/>
      <c r="SN450" s="10"/>
      <c r="SO450" s="10"/>
      <c r="SP450" s="10"/>
      <c r="SQ450" s="10"/>
      <c r="SR450" s="10"/>
      <c r="SS450" s="10"/>
      <c r="ST450" s="10"/>
      <c r="SU450" s="10"/>
      <c r="SV450" s="10"/>
      <c r="SW450" s="10"/>
      <c r="SX450" s="10"/>
      <c r="SY450" s="10"/>
      <c r="SZ450" s="10"/>
      <c r="TA450" s="10"/>
      <c r="TB450" s="10"/>
      <c r="TC450" s="10"/>
      <c r="TD450" s="10"/>
      <c r="TE450" s="10"/>
      <c r="TF450" s="10"/>
      <c r="TG450" s="11">
        <f t="shared" si="24"/>
        <v>0</v>
      </c>
      <c r="TH450" s="9">
        <f t="shared" si="25"/>
        <v>0</v>
      </c>
    </row>
    <row r="451" spans="1:528" ht="15.6" thickBot="1" x14ac:dyDescent="0.3">
      <c r="A451" s="25" t="s">
        <v>718</v>
      </c>
      <c r="B451" s="18" t="s">
        <v>1049</v>
      </c>
      <c r="C451" s="3">
        <f>AGOSTO!D455</f>
        <v>0</v>
      </c>
      <c r="D451" s="21">
        <f t="shared" si="23"/>
        <v>0</v>
      </c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10"/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10"/>
      <c r="KO451" s="10"/>
      <c r="KP451" s="10"/>
      <c r="KQ451" s="10"/>
      <c r="KR451" s="10"/>
      <c r="KS451" s="10"/>
      <c r="KT451" s="10"/>
      <c r="KU451" s="10"/>
      <c r="KV451" s="10"/>
      <c r="KW451" s="10"/>
      <c r="KX451" s="10"/>
      <c r="KY451" s="10"/>
      <c r="KZ451" s="10"/>
      <c r="LA451" s="10"/>
      <c r="LB451" s="10"/>
      <c r="LC451" s="10"/>
      <c r="LD451" s="10"/>
      <c r="LE451" s="10"/>
      <c r="LF451" s="10"/>
      <c r="LG451" s="10"/>
      <c r="LH451" s="10"/>
      <c r="LI451" s="10"/>
      <c r="LJ451" s="10"/>
      <c r="LK451" s="10"/>
      <c r="LL451" s="10"/>
      <c r="LM451" s="10"/>
      <c r="LN451" s="10"/>
      <c r="LO451" s="10"/>
      <c r="LP451" s="10"/>
      <c r="LQ451" s="10"/>
      <c r="LR451" s="10"/>
      <c r="LS451" s="10"/>
      <c r="LT451" s="10"/>
      <c r="LU451" s="10"/>
      <c r="LV451" s="10"/>
      <c r="LW451" s="10"/>
      <c r="LX451" s="10"/>
      <c r="LY451" s="10"/>
      <c r="LZ451" s="10"/>
      <c r="MA451" s="10"/>
      <c r="MB451" s="10"/>
      <c r="MC451" s="10"/>
      <c r="MD451" s="10"/>
      <c r="ME451" s="10"/>
      <c r="MF451" s="10"/>
      <c r="MG451" s="10"/>
      <c r="MH451" s="10"/>
      <c r="MI451" s="10"/>
      <c r="MJ451" s="10"/>
      <c r="MK451" s="10"/>
      <c r="ML451" s="10"/>
      <c r="MM451" s="10"/>
      <c r="MN451" s="10"/>
      <c r="MO451" s="10"/>
      <c r="MP451" s="10"/>
      <c r="MQ451" s="10"/>
      <c r="MR451" s="10"/>
      <c r="MS451" s="10"/>
      <c r="MT451" s="10"/>
      <c r="MU451" s="10"/>
      <c r="MV451" s="10"/>
      <c r="MW451" s="10"/>
      <c r="MX451" s="10"/>
      <c r="MY451" s="10"/>
      <c r="MZ451" s="10"/>
      <c r="NA451" s="10"/>
      <c r="NB451" s="10"/>
      <c r="NC451" s="10"/>
      <c r="ND451" s="10"/>
      <c r="NE451" s="10"/>
      <c r="NF451" s="10"/>
      <c r="NG451" s="10"/>
      <c r="NH451" s="10"/>
      <c r="NI451" s="10"/>
      <c r="NJ451" s="10"/>
      <c r="NK451" s="10"/>
      <c r="NL451" s="10"/>
      <c r="NM451" s="10"/>
      <c r="NN451" s="10"/>
      <c r="NO451" s="10"/>
      <c r="NP451" s="10"/>
      <c r="NQ451" s="10"/>
      <c r="NR451" s="10"/>
      <c r="NS451" s="10"/>
      <c r="NT451" s="10"/>
      <c r="NU451" s="10"/>
      <c r="NV451" s="10"/>
      <c r="NW451" s="10"/>
      <c r="NX451" s="10"/>
      <c r="NY451" s="10"/>
      <c r="NZ451" s="10"/>
      <c r="OA451" s="10"/>
      <c r="OB451" s="10"/>
      <c r="OC451" s="10"/>
      <c r="OD451" s="10"/>
      <c r="OE451" s="10"/>
      <c r="OF451" s="10"/>
      <c r="OG451" s="10"/>
      <c r="OH451" s="10"/>
      <c r="OI451" s="10"/>
      <c r="OJ451" s="10"/>
      <c r="OK451" s="10"/>
      <c r="OL451" s="10"/>
      <c r="OM451" s="10"/>
      <c r="ON451" s="10"/>
      <c r="OO451" s="10"/>
      <c r="OP451" s="10"/>
      <c r="OQ451" s="10"/>
      <c r="OR451" s="10"/>
      <c r="OS451" s="10"/>
      <c r="OT451" s="10"/>
      <c r="OU451" s="10"/>
      <c r="OV451" s="10"/>
      <c r="OW451" s="10"/>
      <c r="OX451" s="10"/>
      <c r="OY451" s="10"/>
      <c r="OZ451" s="10"/>
      <c r="PA451" s="10"/>
      <c r="PB451" s="10"/>
      <c r="PC451" s="10"/>
      <c r="PD451" s="10"/>
      <c r="PE451" s="10"/>
      <c r="PF451" s="10"/>
      <c r="PG451" s="10"/>
      <c r="PH451" s="10"/>
      <c r="PI451" s="10"/>
      <c r="PJ451" s="10"/>
      <c r="PK451" s="10"/>
      <c r="PL451" s="10"/>
      <c r="PM451" s="10"/>
      <c r="PN451" s="10"/>
      <c r="PO451" s="10"/>
      <c r="PP451" s="10"/>
      <c r="PQ451" s="10"/>
      <c r="PR451" s="10"/>
      <c r="PS451" s="10"/>
      <c r="PT451" s="10"/>
      <c r="PU451" s="10"/>
      <c r="PV451" s="10"/>
      <c r="PW451" s="10"/>
      <c r="PX451" s="10"/>
      <c r="PY451" s="10"/>
      <c r="PZ451" s="10"/>
      <c r="QA451" s="10"/>
      <c r="QB451" s="10"/>
      <c r="QC451" s="10"/>
      <c r="QD451" s="10"/>
      <c r="QE451" s="10"/>
      <c r="QF451" s="10"/>
      <c r="QG451" s="10"/>
      <c r="QH451" s="10"/>
      <c r="QI451" s="10"/>
      <c r="QJ451" s="10"/>
      <c r="QK451" s="10"/>
      <c r="QL451" s="10"/>
      <c r="QM451" s="10"/>
      <c r="QN451" s="10"/>
      <c r="QO451" s="10"/>
      <c r="QP451" s="10"/>
      <c r="QQ451" s="10"/>
      <c r="QR451" s="10"/>
      <c r="QS451" s="10"/>
      <c r="QT451" s="10"/>
      <c r="QU451" s="10"/>
      <c r="QV451" s="10"/>
      <c r="QW451" s="10"/>
      <c r="QX451" s="10"/>
      <c r="QY451" s="10"/>
      <c r="QZ451" s="10"/>
      <c r="RA451" s="10"/>
      <c r="RB451" s="10"/>
      <c r="RC451" s="10"/>
      <c r="RD451" s="10"/>
      <c r="RE451" s="10"/>
      <c r="RF451" s="10"/>
      <c r="RG451" s="10"/>
      <c r="RH451" s="10"/>
      <c r="RI451" s="10"/>
      <c r="RJ451" s="10"/>
      <c r="RK451" s="10"/>
      <c r="RL451" s="10"/>
      <c r="RM451" s="10"/>
      <c r="RN451" s="10"/>
      <c r="RO451" s="10"/>
      <c r="RP451" s="10"/>
      <c r="RQ451" s="10"/>
      <c r="RR451" s="10"/>
      <c r="RS451" s="10"/>
      <c r="RT451" s="10"/>
      <c r="RU451" s="10"/>
      <c r="RV451" s="10"/>
      <c r="RW451" s="10"/>
      <c r="RX451" s="10"/>
      <c r="RY451" s="10"/>
      <c r="RZ451" s="10"/>
      <c r="SA451" s="10"/>
      <c r="SB451" s="10"/>
      <c r="SC451" s="10"/>
      <c r="SD451" s="10"/>
      <c r="SE451" s="10"/>
      <c r="SF451" s="10"/>
      <c r="SG451" s="10"/>
      <c r="SH451" s="10"/>
      <c r="SI451" s="10"/>
      <c r="SJ451" s="10"/>
      <c r="SK451" s="10"/>
      <c r="SL451" s="10"/>
      <c r="SM451" s="10"/>
      <c r="SN451" s="10"/>
      <c r="SO451" s="10"/>
      <c r="SP451" s="10"/>
      <c r="SQ451" s="10"/>
      <c r="SR451" s="10"/>
      <c r="SS451" s="10"/>
      <c r="ST451" s="10"/>
      <c r="SU451" s="10"/>
      <c r="SV451" s="10"/>
      <c r="SW451" s="10"/>
      <c r="SX451" s="10"/>
      <c r="SY451" s="10"/>
      <c r="SZ451" s="10"/>
      <c r="TA451" s="10"/>
      <c r="TB451" s="10"/>
      <c r="TC451" s="10"/>
      <c r="TD451" s="10"/>
      <c r="TE451" s="10"/>
      <c r="TF451" s="10"/>
      <c r="TG451" s="11">
        <f t="shared" si="24"/>
        <v>0</v>
      </c>
      <c r="TH451" s="9">
        <f t="shared" si="25"/>
        <v>0</v>
      </c>
    </row>
    <row r="452" spans="1:528" ht="15.6" thickBot="1" x14ac:dyDescent="0.3">
      <c r="A452" s="25" t="s">
        <v>719</v>
      </c>
      <c r="B452" s="18" t="s">
        <v>1050</v>
      </c>
      <c r="C452" s="3">
        <f>AGOSTO!D456</f>
        <v>0</v>
      </c>
      <c r="D452" s="21">
        <f t="shared" si="23"/>
        <v>0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0"/>
      <c r="LV452" s="10"/>
      <c r="LW452" s="10"/>
      <c r="LX452" s="10"/>
      <c r="LY452" s="10"/>
      <c r="LZ452" s="10"/>
      <c r="MA452" s="10"/>
      <c r="MB452" s="10"/>
      <c r="MC452" s="10"/>
      <c r="MD452" s="10"/>
      <c r="ME452" s="10"/>
      <c r="MF452" s="10"/>
      <c r="MG452" s="10"/>
      <c r="MH452" s="10"/>
      <c r="MI452" s="10"/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0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  <c r="SB452" s="10"/>
      <c r="SC452" s="10"/>
      <c r="SD452" s="10"/>
      <c r="SE452" s="10"/>
      <c r="SF452" s="10"/>
      <c r="SG452" s="10"/>
      <c r="SH452" s="10"/>
      <c r="SI452" s="10"/>
      <c r="SJ452" s="10"/>
      <c r="SK452" s="10"/>
      <c r="SL452" s="10"/>
      <c r="SM452" s="10"/>
      <c r="SN452" s="10"/>
      <c r="SO452" s="10"/>
      <c r="SP452" s="10"/>
      <c r="SQ452" s="10"/>
      <c r="SR452" s="10"/>
      <c r="SS452" s="10"/>
      <c r="ST452" s="10"/>
      <c r="SU452" s="10"/>
      <c r="SV452" s="10"/>
      <c r="SW452" s="10"/>
      <c r="SX452" s="10"/>
      <c r="SY452" s="10"/>
      <c r="SZ452" s="10"/>
      <c r="TA452" s="10"/>
      <c r="TB452" s="10"/>
      <c r="TC452" s="10"/>
      <c r="TD452" s="10"/>
      <c r="TE452" s="10"/>
      <c r="TF452" s="10"/>
      <c r="TG452" s="11">
        <f t="shared" si="24"/>
        <v>0</v>
      </c>
      <c r="TH452" s="9">
        <f t="shared" si="25"/>
        <v>0</v>
      </c>
    </row>
    <row r="453" spans="1:528" ht="15.6" thickBot="1" x14ac:dyDescent="0.3">
      <c r="A453" s="25" t="s">
        <v>720</v>
      </c>
      <c r="B453" s="18" t="s">
        <v>16</v>
      </c>
      <c r="C453" s="3">
        <f>AGOSTO!D457</f>
        <v>0</v>
      </c>
      <c r="D453" s="21">
        <f t="shared" si="23"/>
        <v>0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10"/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10"/>
      <c r="KO453" s="10"/>
      <c r="KP453" s="10"/>
      <c r="KQ453" s="10"/>
      <c r="KR453" s="10"/>
      <c r="KS453" s="10"/>
      <c r="KT453" s="10"/>
      <c r="KU453" s="10"/>
      <c r="KV453" s="10"/>
      <c r="KW453" s="10"/>
      <c r="KX453" s="10"/>
      <c r="KY453" s="10"/>
      <c r="KZ453" s="10"/>
      <c r="LA453" s="10"/>
      <c r="LB453" s="10"/>
      <c r="LC453" s="10"/>
      <c r="LD453" s="10"/>
      <c r="LE453" s="10"/>
      <c r="LF453" s="10"/>
      <c r="LG453" s="10"/>
      <c r="LH453" s="10"/>
      <c r="LI453" s="10"/>
      <c r="LJ453" s="10"/>
      <c r="LK453" s="10"/>
      <c r="LL453" s="10"/>
      <c r="LM453" s="10"/>
      <c r="LN453" s="10"/>
      <c r="LO453" s="10"/>
      <c r="LP453" s="10"/>
      <c r="LQ453" s="10"/>
      <c r="LR453" s="10"/>
      <c r="LS453" s="10"/>
      <c r="LT453" s="10"/>
      <c r="LU453" s="10"/>
      <c r="LV453" s="10"/>
      <c r="LW453" s="10"/>
      <c r="LX453" s="10"/>
      <c r="LY453" s="10"/>
      <c r="LZ453" s="10"/>
      <c r="MA453" s="10"/>
      <c r="MB453" s="10"/>
      <c r="MC453" s="10"/>
      <c r="MD453" s="10"/>
      <c r="ME453" s="10"/>
      <c r="MF453" s="10"/>
      <c r="MG453" s="10"/>
      <c r="MH453" s="10"/>
      <c r="MI453" s="10"/>
      <c r="MJ453" s="10"/>
      <c r="MK453" s="10"/>
      <c r="ML453" s="10"/>
      <c r="MM453" s="10"/>
      <c r="MN453" s="10"/>
      <c r="MO453" s="10"/>
      <c r="MP453" s="10"/>
      <c r="MQ453" s="10"/>
      <c r="MR453" s="10"/>
      <c r="MS453" s="10"/>
      <c r="MT453" s="10"/>
      <c r="MU453" s="10"/>
      <c r="MV453" s="10"/>
      <c r="MW453" s="10"/>
      <c r="MX453" s="10"/>
      <c r="MY453" s="10"/>
      <c r="MZ453" s="10"/>
      <c r="NA453" s="10"/>
      <c r="NB453" s="10"/>
      <c r="NC453" s="10"/>
      <c r="ND453" s="10"/>
      <c r="NE453" s="10"/>
      <c r="NF453" s="10"/>
      <c r="NG453" s="10"/>
      <c r="NH453" s="10"/>
      <c r="NI453" s="10"/>
      <c r="NJ453" s="10"/>
      <c r="NK453" s="10"/>
      <c r="NL453" s="10"/>
      <c r="NM453" s="10"/>
      <c r="NN453" s="10"/>
      <c r="NO453" s="10"/>
      <c r="NP453" s="10"/>
      <c r="NQ453" s="10"/>
      <c r="NR453" s="10"/>
      <c r="NS453" s="10"/>
      <c r="NT453" s="10"/>
      <c r="NU453" s="10"/>
      <c r="NV453" s="10"/>
      <c r="NW453" s="10"/>
      <c r="NX453" s="10"/>
      <c r="NY453" s="10"/>
      <c r="NZ453" s="10"/>
      <c r="OA453" s="10"/>
      <c r="OB453" s="10"/>
      <c r="OC453" s="10"/>
      <c r="OD453" s="10"/>
      <c r="OE453" s="10"/>
      <c r="OF453" s="10"/>
      <c r="OG453" s="10"/>
      <c r="OH453" s="10"/>
      <c r="OI453" s="10"/>
      <c r="OJ453" s="10"/>
      <c r="OK453" s="10"/>
      <c r="OL453" s="10"/>
      <c r="OM453" s="10"/>
      <c r="ON453" s="10"/>
      <c r="OO453" s="10"/>
      <c r="OP453" s="10"/>
      <c r="OQ453" s="10"/>
      <c r="OR453" s="10"/>
      <c r="OS453" s="10"/>
      <c r="OT453" s="10"/>
      <c r="OU453" s="10"/>
      <c r="OV453" s="10"/>
      <c r="OW453" s="10"/>
      <c r="OX453" s="10"/>
      <c r="OY453" s="10"/>
      <c r="OZ453" s="10"/>
      <c r="PA453" s="10"/>
      <c r="PB453" s="10"/>
      <c r="PC453" s="10"/>
      <c r="PD453" s="10"/>
      <c r="PE453" s="10"/>
      <c r="PF453" s="10"/>
      <c r="PG453" s="10"/>
      <c r="PH453" s="10"/>
      <c r="PI453" s="10"/>
      <c r="PJ453" s="10"/>
      <c r="PK453" s="10"/>
      <c r="PL453" s="10"/>
      <c r="PM453" s="10"/>
      <c r="PN453" s="10"/>
      <c r="PO453" s="10"/>
      <c r="PP453" s="10"/>
      <c r="PQ453" s="10"/>
      <c r="PR453" s="10"/>
      <c r="PS453" s="10"/>
      <c r="PT453" s="10"/>
      <c r="PU453" s="10"/>
      <c r="PV453" s="10"/>
      <c r="PW453" s="10"/>
      <c r="PX453" s="10"/>
      <c r="PY453" s="10"/>
      <c r="PZ453" s="10"/>
      <c r="QA453" s="10"/>
      <c r="QB453" s="10"/>
      <c r="QC453" s="10"/>
      <c r="QD453" s="10"/>
      <c r="QE453" s="10"/>
      <c r="QF453" s="10"/>
      <c r="QG453" s="10"/>
      <c r="QH453" s="10"/>
      <c r="QI453" s="10"/>
      <c r="QJ453" s="10"/>
      <c r="QK453" s="10"/>
      <c r="QL453" s="10"/>
      <c r="QM453" s="10"/>
      <c r="QN453" s="10"/>
      <c r="QO453" s="10"/>
      <c r="QP453" s="10"/>
      <c r="QQ453" s="10"/>
      <c r="QR453" s="10"/>
      <c r="QS453" s="10"/>
      <c r="QT453" s="10"/>
      <c r="QU453" s="10"/>
      <c r="QV453" s="10"/>
      <c r="QW453" s="10"/>
      <c r="QX453" s="10"/>
      <c r="QY453" s="10"/>
      <c r="QZ453" s="10"/>
      <c r="RA453" s="10"/>
      <c r="RB453" s="10"/>
      <c r="RC453" s="10"/>
      <c r="RD453" s="10"/>
      <c r="RE453" s="10"/>
      <c r="RF453" s="10"/>
      <c r="RG453" s="10"/>
      <c r="RH453" s="10"/>
      <c r="RI453" s="10"/>
      <c r="RJ453" s="10"/>
      <c r="RK453" s="10"/>
      <c r="RL453" s="10"/>
      <c r="RM453" s="10"/>
      <c r="RN453" s="10"/>
      <c r="RO453" s="10"/>
      <c r="RP453" s="10"/>
      <c r="RQ453" s="10"/>
      <c r="RR453" s="10"/>
      <c r="RS453" s="10"/>
      <c r="RT453" s="10"/>
      <c r="RU453" s="10"/>
      <c r="RV453" s="10"/>
      <c r="RW453" s="10"/>
      <c r="RX453" s="10"/>
      <c r="RY453" s="10"/>
      <c r="RZ453" s="10"/>
      <c r="SA453" s="10"/>
      <c r="SB453" s="10"/>
      <c r="SC453" s="10"/>
      <c r="SD453" s="10"/>
      <c r="SE453" s="10"/>
      <c r="SF453" s="10"/>
      <c r="SG453" s="10"/>
      <c r="SH453" s="10"/>
      <c r="SI453" s="10"/>
      <c r="SJ453" s="10"/>
      <c r="SK453" s="10"/>
      <c r="SL453" s="10"/>
      <c r="SM453" s="10"/>
      <c r="SN453" s="10"/>
      <c r="SO453" s="10"/>
      <c r="SP453" s="10"/>
      <c r="SQ453" s="10"/>
      <c r="SR453" s="10"/>
      <c r="SS453" s="10"/>
      <c r="ST453" s="10"/>
      <c r="SU453" s="10"/>
      <c r="SV453" s="10"/>
      <c r="SW453" s="10"/>
      <c r="SX453" s="10"/>
      <c r="SY453" s="10"/>
      <c r="SZ453" s="10"/>
      <c r="TA453" s="10"/>
      <c r="TB453" s="10"/>
      <c r="TC453" s="10"/>
      <c r="TD453" s="10"/>
      <c r="TE453" s="10"/>
      <c r="TF453" s="10"/>
      <c r="TG453" s="11">
        <f t="shared" si="24"/>
        <v>0</v>
      </c>
      <c r="TH453" s="9">
        <f t="shared" si="25"/>
        <v>0</v>
      </c>
    </row>
    <row r="454" spans="1:528" ht="15.6" thickBot="1" x14ac:dyDescent="0.3">
      <c r="A454" s="25" t="s">
        <v>721</v>
      </c>
      <c r="B454" s="18" t="s">
        <v>17</v>
      </c>
      <c r="C454" s="3">
        <f>AGOSTO!D458</f>
        <v>0</v>
      </c>
      <c r="D454" s="21">
        <f t="shared" si="23"/>
        <v>0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0"/>
      <c r="LV454" s="10"/>
      <c r="LW454" s="10"/>
      <c r="LX454" s="10"/>
      <c r="LY454" s="10"/>
      <c r="LZ454" s="10"/>
      <c r="MA454" s="10"/>
      <c r="MB454" s="10"/>
      <c r="MC454" s="10"/>
      <c r="MD454" s="10"/>
      <c r="ME454" s="10"/>
      <c r="MF454" s="10"/>
      <c r="MG454" s="10"/>
      <c r="MH454" s="10"/>
      <c r="MI454" s="10"/>
      <c r="MJ454" s="10"/>
      <c r="MK454" s="10"/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0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  <c r="SB454" s="10"/>
      <c r="SC454" s="10"/>
      <c r="SD454" s="10"/>
      <c r="SE454" s="10"/>
      <c r="SF454" s="10"/>
      <c r="SG454" s="10"/>
      <c r="SH454" s="10"/>
      <c r="SI454" s="10"/>
      <c r="SJ454" s="10"/>
      <c r="SK454" s="10"/>
      <c r="SL454" s="10"/>
      <c r="SM454" s="10"/>
      <c r="SN454" s="10"/>
      <c r="SO454" s="10"/>
      <c r="SP454" s="10"/>
      <c r="SQ454" s="10"/>
      <c r="SR454" s="10"/>
      <c r="SS454" s="10"/>
      <c r="ST454" s="10"/>
      <c r="SU454" s="10"/>
      <c r="SV454" s="10"/>
      <c r="SW454" s="10"/>
      <c r="SX454" s="10"/>
      <c r="SY454" s="10"/>
      <c r="SZ454" s="10"/>
      <c r="TA454" s="10"/>
      <c r="TB454" s="10"/>
      <c r="TC454" s="10"/>
      <c r="TD454" s="10"/>
      <c r="TE454" s="10"/>
      <c r="TF454" s="10"/>
      <c r="TG454" s="11">
        <f t="shared" si="24"/>
        <v>0</v>
      </c>
      <c r="TH454" s="9">
        <f t="shared" si="25"/>
        <v>0</v>
      </c>
    </row>
    <row r="455" spans="1:528" ht="15.6" thickBot="1" x14ac:dyDescent="0.3">
      <c r="A455" s="25" t="s">
        <v>733</v>
      </c>
      <c r="B455" s="18" t="s">
        <v>21</v>
      </c>
      <c r="C455" s="3">
        <f>AGOSTO!D459</f>
        <v>0</v>
      </c>
      <c r="D455" s="21">
        <f t="shared" si="23"/>
        <v>0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0"/>
      <c r="LV455" s="10"/>
      <c r="LW455" s="10"/>
      <c r="LX455" s="10"/>
      <c r="LY455" s="10"/>
      <c r="LZ455" s="10"/>
      <c r="MA455" s="10"/>
      <c r="MB455" s="10"/>
      <c r="MC455" s="10"/>
      <c r="MD455" s="10"/>
      <c r="ME455" s="10"/>
      <c r="MF455" s="10"/>
      <c r="MG455" s="10"/>
      <c r="MH455" s="10"/>
      <c r="MI455" s="10"/>
      <c r="MJ455" s="10"/>
      <c r="MK455" s="10"/>
      <c r="ML455" s="10"/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0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  <c r="SB455" s="10"/>
      <c r="SC455" s="10"/>
      <c r="SD455" s="10"/>
      <c r="SE455" s="10"/>
      <c r="SF455" s="10"/>
      <c r="SG455" s="10"/>
      <c r="SH455" s="10"/>
      <c r="SI455" s="10"/>
      <c r="SJ455" s="10"/>
      <c r="SK455" s="10"/>
      <c r="SL455" s="10"/>
      <c r="SM455" s="10"/>
      <c r="SN455" s="10"/>
      <c r="SO455" s="10"/>
      <c r="SP455" s="10"/>
      <c r="SQ455" s="10"/>
      <c r="SR455" s="10"/>
      <c r="SS455" s="10"/>
      <c r="ST455" s="10"/>
      <c r="SU455" s="10"/>
      <c r="SV455" s="10"/>
      <c r="SW455" s="10"/>
      <c r="SX455" s="10"/>
      <c r="SY455" s="10"/>
      <c r="SZ455" s="10"/>
      <c r="TA455" s="10"/>
      <c r="TB455" s="10"/>
      <c r="TC455" s="10"/>
      <c r="TD455" s="10"/>
      <c r="TE455" s="10"/>
      <c r="TF455" s="10"/>
      <c r="TG455" s="11">
        <f t="shared" si="24"/>
        <v>0</v>
      </c>
      <c r="TH455" s="9">
        <f t="shared" si="25"/>
        <v>0</v>
      </c>
    </row>
    <row r="456" spans="1:528" ht="15.6" thickBot="1" x14ac:dyDescent="0.3">
      <c r="A456" s="25" t="s">
        <v>722</v>
      </c>
      <c r="B456" s="18" t="s">
        <v>20</v>
      </c>
      <c r="C456" s="3">
        <f>AGOSTO!D460</f>
        <v>0</v>
      </c>
      <c r="D456" s="21">
        <f t="shared" si="23"/>
        <v>0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1">
        <f t="shared" si="24"/>
        <v>0</v>
      </c>
      <c r="TH456" s="9">
        <f t="shared" si="25"/>
        <v>0</v>
      </c>
    </row>
    <row r="457" spans="1:528" ht="15.6" thickBot="1" x14ac:dyDescent="0.3">
      <c r="A457" s="25"/>
      <c r="B457" s="18" t="s">
        <v>1051</v>
      </c>
      <c r="C457" s="3">
        <f>AGOSTO!D461</f>
        <v>0</v>
      </c>
      <c r="D457" s="21">
        <f t="shared" si="23"/>
        <v>0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10"/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10"/>
      <c r="KO457" s="10"/>
      <c r="KP457" s="10"/>
      <c r="KQ457" s="10"/>
      <c r="KR457" s="10"/>
      <c r="KS457" s="10"/>
      <c r="KT457" s="10"/>
      <c r="KU457" s="10"/>
      <c r="KV457" s="10"/>
      <c r="KW457" s="10"/>
      <c r="KX457" s="10"/>
      <c r="KY457" s="10"/>
      <c r="KZ457" s="10"/>
      <c r="LA457" s="10"/>
      <c r="LB457" s="10"/>
      <c r="LC457" s="10"/>
      <c r="LD457" s="10"/>
      <c r="LE457" s="10"/>
      <c r="LF457" s="10"/>
      <c r="LG457" s="10"/>
      <c r="LH457" s="10"/>
      <c r="LI457" s="10"/>
      <c r="LJ457" s="10"/>
      <c r="LK457" s="10"/>
      <c r="LL457" s="10"/>
      <c r="LM457" s="10"/>
      <c r="LN457" s="10"/>
      <c r="LO457" s="10"/>
      <c r="LP457" s="10"/>
      <c r="LQ457" s="10"/>
      <c r="LR457" s="10"/>
      <c r="LS457" s="10"/>
      <c r="LT457" s="10"/>
      <c r="LU457" s="10"/>
      <c r="LV457" s="10"/>
      <c r="LW457" s="10"/>
      <c r="LX457" s="10"/>
      <c r="LY457" s="10"/>
      <c r="LZ457" s="10"/>
      <c r="MA457" s="10"/>
      <c r="MB457" s="10"/>
      <c r="MC457" s="10"/>
      <c r="MD457" s="10"/>
      <c r="ME457" s="10"/>
      <c r="MF457" s="10"/>
      <c r="MG457" s="10"/>
      <c r="MH457" s="10"/>
      <c r="MI457" s="10"/>
      <c r="MJ457" s="10"/>
      <c r="MK457" s="10"/>
      <c r="ML457" s="10"/>
      <c r="MM457" s="10"/>
      <c r="MN457" s="10"/>
      <c r="MO457" s="10"/>
      <c r="MP457" s="10"/>
      <c r="MQ457" s="10"/>
      <c r="MR457" s="10"/>
      <c r="MS457" s="10"/>
      <c r="MT457" s="10"/>
      <c r="MU457" s="10"/>
      <c r="MV457" s="10"/>
      <c r="MW457" s="10"/>
      <c r="MX457" s="10"/>
      <c r="MY457" s="10"/>
      <c r="MZ457" s="10"/>
      <c r="NA457" s="10"/>
      <c r="NB457" s="10"/>
      <c r="NC457" s="10"/>
      <c r="ND457" s="10"/>
      <c r="NE457" s="10"/>
      <c r="NF457" s="10"/>
      <c r="NG457" s="10"/>
      <c r="NH457" s="10"/>
      <c r="NI457" s="10"/>
      <c r="NJ457" s="10"/>
      <c r="NK457" s="10"/>
      <c r="NL457" s="10"/>
      <c r="NM457" s="10"/>
      <c r="NN457" s="10"/>
      <c r="NO457" s="10"/>
      <c r="NP457" s="10"/>
      <c r="NQ457" s="10"/>
      <c r="NR457" s="10"/>
      <c r="NS457" s="10"/>
      <c r="NT457" s="10"/>
      <c r="NU457" s="10"/>
      <c r="NV457" s="10"/>
      <c r="NW457" s="10"/>
      <c r="NX457" s="10"/>
      <c r="NY457" s="10"/>
      <c r="NZ457" s="10"/>
      <c r="OA457" s="10"/>
      <c r="OB457" s="10"/>
      <c r="OC457" s="10"/>
      <c r="OD457" s="10"/>
      <c r="OE457" s="10"/>
      <c r="OF457" s="10"/>
      <c r="OG457" s="10"/>
      <c r="OH457" s="10"/>
      <c r="OI457" s="10"/>
      <c r="OJ457" s="10"/>
      <c r="OK457" s="10"/>
      <c r="OL457" s="10"/>
      <c r="OM457" s="10"/>
      <c r="ON457" s="10"/>
      <c r="OO457" s="10"/>
      <c r="OP457" s="10"/>
      <c r="OQ457" s="10"/>
      <c r="OR457" s="10"/>
      <c r="OS457" s="10"/>
      <c r="OT457" s="10"/>
      <c r="OU457" s="10"/>
      <c r="OV457" s="10"/>
      <c r="OW457" s="10"/>
      <c r="OX457" s="10"/>
      <c r="OY457" s="10"/>
      <c r="OZ457" s="10"/>
      <c r="PA457" s="10"/>
      <c r="PB457" s="10"/>
      <c r="PC457" s="10"/>
      <c r="PD457" s="10"/>
      <c r="PE457" s="10"/>
      <c r="PF457" s="10"/>
      <c r="PG457" s="10"/>
      <c r="PH457" s="10"/>
      <c r="PI457" s="10"/>
      <c r="PJ457" s="10"/>
      <c r="PK457" s="10"/>
      <c r="PL457" s="10"/>
      <c r="PM457" s="10"/>
      <c r="PN457" s="10"/>
      <c r="PO457" s="10"/>
      <c r="PP457" s="10"/>
      <c r="PQ457" s="10"/>
      <c r="PR457" s="10"/>
      <c r="PS457" s="10"/>
      <c r="PT457" s="10"/>
      <c r="PU457" s="10"/>
      <c r="PV457" s="10"/>
      <c r="PW457" s="10"/>
      <c r="PX457" s="10"/>
      <c r="PY457" s="10"/>
      <c r="PZ457" s="10"/>
      <c r="QA457" s="10"/>
      <c r="QB457" s="10"/>
      <c r="QC457" s="10"/>
      <c r="QD457" s="10"/>
      <c r="QE457" s="10"/>
      <c r="QF457" s="10"/>
      <c r="QG457" s="10"/>
      <c r="QH457" s="10"/>
      <c r="QI457" s="10"/>
      <c r="QJ457" s="10"/>
      <c r="QK457" s="10"/>
      <c r="QL457" s="10"/>
      <c r="QM457" s="10"/>
      <c r="QN457" s="10"/>
      <c r="QO457" s="10"/>
      <c r="QP457" s="10"/>
      <c r="QQ457" s="10"/>
      <c r="QR457" s="10"/>
      <c r="QS457" s="10"/>
      <c r="QT457" s="10"/>
      <c r="QU457" s="10"/>
      <c r="QV457" s="10"/>
      <c r="QW457" s="10"/>
      <c r="QX457" s="10"/>
      <c r="QY457" s="10"/>
      <c r="QZ457" s="10"/>
      <c r="RA457" s="10"/>
      <c r="RB457" s="10"/>
      <c r="RC457" s="10"/>
      <c r="RD457" s="10"/>
      <c r="RE457" s="10"/>
      <c r="RF457" s="10"/>
      <c r="RG457" s="10"/>
      <c r="RH457" s="10"/>
      <c r="RI457" s="10"/>
      <c r="RJ457" s="10"/>
      <c r="RK457" s="10"/>
      <c r="RL457" s="10"/>
      <c r="RM457" s="10"/>
      <c r="RN457" s="10"/>
      <c r="RO457" s="10"/>
      <c r="RP457" s="10"/>
      <c r="RQ457" s="10"/>
      <c r="RR457" s="10"/>
      <c r="RS457" s="10"/>
      <c r="RT457" s="10"/>
      <c r="RU457" s="10"/>
      <c r="RV457" s="10"/>
      <c r="RW457" s="10"/>
      <c r="RX457" s="10"/>
      <c r="RY457" s="10"/>
      <c r="RZ457" s="10"/>
      <c r="SA457" s="10"/>
      <c r="SB457" s="10"/>
      <c r="SC457" s="10"/>
      <c r="SD457" s="10"/>
      <c r="SE457" s="10"/>
      <c r="SF457" s="10"/>
      <c r="SG457" s="10"/>
      <c r="SH457" s="10"/>
      <c r="SI457" s="10"/>
      <c r="SJ457" s="10"/>
      <c r="SK457" s="10"/>
      <c r="SL457" s="10"/>
      <c r="SM457" s="10"/>
      <c r="SN457" s="10"/>
      <c r="SO457" s="10"/>
      <c r="SP457" s="10"/>
      <c r="SQ457" s="10"/>
      <c r="SR457" s="10"/>
      <c r="SS457" s="10"/>
      <c r="ST457" s="10"/>
      <c r="SU457" s="10"/>
      <c r="SV457" s="10"/>
      <c r="SW457" s="10"/>
      <c r="SX457" s="10"/>
      <c r="SY457" s="10"/>
      <c r="SZ457" s="10"/>
      <c r="TA457" s="10"/>
      <c r="TB457" s="10"/>
      <c r="TC457" s="10"/>
      <c r="TD457" s="10"/>
      <c r="TE457" s="10"/>
      <c r="TF457" s="10"/>
      <c r="TG457" s="11">
        <f t="shared" si="24"/>
        <v>0</v>
      </c>
      <c r="TH457" s="9">
        <f t="shared" si="25"/>
        <v>0</v>
      </c>
    </row>
    <row r="458" spans="1:528" ht="15.6" thickBot="1" x14ac:dyDescent="0.3">
      <c r="A458" s="25" t="s">
        <v>724</v>
      </c>
      <c r="B458" s="18" t="s">
        <v>13</v>
      </c>
      <c r="C458" s="3">
        <f>AGOSTO!D462</f>
        <v>0</v>
      </c>
      <c r="D458" s="21">
        <f t="shared" si="23"/>
        <v>0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0"/>
      <c r="LV458" s="10"/>
      <c r="LW458" s="10"/>
      <c r="LX458" s="10"/>
      <c r="LY458" s="10"/>
      <c r="LZ458" s="10"/>
      <c r="MA458" s="10"/>
      <c r="MB458" s="10"/>
      <c r="MC458" s="10"/>
      <c r="MD458" s="10"/>
      <c r="ME458" s="10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/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0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  <c r="SB458" s="10"/>
      <c r="SC458" s="10"/>
      <c r="SD458" s="10"/>
      <c r="SE458" s="10"/>
      <c r="SF458" s="10"/>
      <c r="SG458" s="10"/>
      <c r="SH458" s="10"/>
      <c r="SI458" s="10"/>
      <c r="SJ458" s="10"/>
      <c r="SK458" s="10"/>
      <c r="SL458" s="10"/>
      <c r="SM458" s="10"/>
      <c r="SN458" s="10"/>
      <c r="SO458" s="10"/>
      <c r="SP458" s="10"/>
      <c r="SQ458" s="10"/>
      <c r="SR458" s="10"/>
      <c r="SS458" s="10"/>
      <c r="ST458" s="10"/>
      <c r="SU458" s="10"/>
      <c r="SV458" s="10"/>
      <c r="SW458" s="10"/>
      <c r="SX458" s="10"/>
      <c r="SY458" s="10"/>
      <c r="SZ458" s="10"/>
      <c r="TA458" s="10"/>
      <c r="TB458" s="10"/>
      <c r="TC458" s="10"/>
      <c r="TD458" s="10"/>
      <c r="TE458" s="10"/>
      <c r="TF458" s="10"/>
      <c r="TG458" s="11">
        <f t="shared" si="24"/>
        <v>0</v>
      </c>
      <c r="TH458" s="9">
        <f t="shared" si="25"/>
        <v>0</v>
      </c>
    </row>
    <row r="459" spans="1:528" ht="15.6" thickBot="1" x14ac:dyDescent="0.3">
      <c r="A459" s="25" t="s">
        <v>725</v>
      </c>
      <c r="B459" s="18" t="s">
        <v>14</v>
      </c>
      <c r="C459" s="3">
        <f>AGOSTO!D463</f>
        <v>0</v>
      </c>
      <c r="D459" s="21">
        <f t="shared" si="23"/>
        <v>0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0"/>
      <c r="LV459" s="10"/>
      <c r="LW459" s="10"/>
      <c r="LX459" s="10"/>
      <c r="LY459" s="10"/>
      <c r="LZ459" s="10"/>
      <c r="MA459" s="10"/>
      <c r="MB459" s="10"/>
      <c r="MC459" s="10"/>
      <c r="MD459" s="10"/>
      <c r="ME459" s="10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/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0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  <c r="SB459" s="10"/>
      <c r="SC459" s="10"/>
      <c r="SD459" s="10"/>
      <c r="SE459" s="10"/>
      <c r="SF459" s="10"/>
      <c r="SG459" s="10"/>
      <c r="SH459" s="10"/>
      <c r="SI459" s="10"/>
      <c r="SJ459" s="10"/>
      <c r="SK459" s="10"/>
      <c r="SL459" s="10"/>
      <c r="SM459" s="10"/>
      <c r="SN459" s="10"/>
      <c r="SO459" s="10"/>
      <c r="SP459" s="10"/>
      <c r="SQ459" s="10"/>
      <c r="SR459" s="10"/>
      <c r="SS459" s="10"/>
      <c r="ST459" s="10"/>
      <c r="SU459" s="10"/>
      <c r="SV459" s="10"/>
      <c r="SW459" s="10"/>
      <c r="SX459" s="10"/>
      <c r="SY459" s="10"/>
      <c r="SZ459" s="10"/>
      <c r="TA459" s="10"/>
      <c r="TB459" s="10"/>
      <c r="TC459" s="10"/>
      <c r="TD459" s="10"/>
      <c r="TE459" s="10"/>
      <c r="TF459" s="10"/>
      <c r="TG459" s="11">
        <f t="shared" si="24"/>
        <v>0</v>
      </c>
      <c r="TH459" s="9">
        <f t="shared" si="25"/>
        <v>0</v>
      </c>
    </row>
    <row r="460" spans="1:528" ht="15.6" thickBot="1" x14ac:dyDescent="0.3">
      <c r="A460" s="25" t="s">
        <v>726</v>
      </c>
      <c r="B460" s="18" t="s">
        <v>12</v>
      </c>
      <c r="C460" s="3">
        <f>AGOSTO!D464</f>
        <v>0</v>
      </c>
      <c r="D460" s="21">
        <f t="shared" si="23"/>
        <v>0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1">
        <f t="shared" si="24"/>
        <v>0</v>
      </c>
      <c r="TH460" s="9">
        <f t="shared" si="25"/>
        <v>0</v>
      </c>
    </row>
    <row r="461" spans="1:528" ht="15.6" thickBot="1" x14ac:dyDescent="0.3">
      <c r="A461" s="25" t="s">
        <v>727</v>
      </c>
      <c r="B461" s="18" t="s">
        <v>6</v>
      </c>
      <c r="C461" s="3">
        <f>AGOSTO!D465</f>
        <v>0</v>
      </c>
      <c r="D461" s="21">
        <f t="shared" si="23"/>
        <v>0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  <c r="ON461" s="10"/>
      <c r="OO461" s="10"/>
      <c r="OP461" s="10"/>
      <c r="OQ461" s="10"/>
      <c r="OR461" s="10"/>
      <c r="OS461" s="10"/>
      <c r="OT461" s="10"/>
      <c r="OU461" s="10"/>
      <c r="OV461" s="10"/>
      <c r="OW461" s="10"/>
      <c r="OX461" s="10"/>
      <c r="OY461" s="10"/>
      <c r="OZ461" s="10"/>
      <c r="PA461" s="10"/>
      <c r="PB461" s="10"/>
      <c r="PC461" s="10"/>
      <c r="PD461" s="10"/>
      <c r="PE461" s="10"/>
      <c r="PF461" s="10"/>
      <c r="PG461" s="10"/>
      <c r="PH461" s="10"/>
      <c r="PI461" s="10"/>
      <c r="PJ461" s="10"/>
      <c r="PK461" s="10"/>
      <c r="PL461" s="10"/>
      <c r="PM461" s="10"/>
      <c r="PN461" s="10"/>
      <c r="PO461" s="10"/>
      <c r="PP461" s="10"/>
      <c r="PQ461" s="10"/>
      <c r="PR461" s="10"/>
      <c r="PS461" s="10"/>
      <c r="PT461" s="10"/>
      <c r="PU461" s="10"/>
      <c r="PV461" s="10"/>
      <c r="PW461" s="10"/>
      <c r="PX461" s="10"/>
      <c r="PY461" s="10"/>
      <c r="PZ461" s="10"/>
      <c r="QA461" s="10"/>
      <c r="QB461" s="10"/>
      <c r="QC461" s="10"/>
      <c r="QD461" s="10"/>
      <c r="QE461" s="10"/>
      <c r="QF461" s="10"/>
      <c r="QG461" s="10"/>
      <c r="QH461" s="10"/>
      <c r="QI461" s="10"/>
      <c r="QJ461" s="10"/>
      <c r="QK461" s="10"/>
      <c r="QL461" s="10"/>
      <c r="QM461" s="10"/>
      <c r="QN461" s="10"/>
      <c r="QO461" s="10"/>
      <c r="QP461" s="10"/>
      <c r="QQ461" s="10"/>
      <c r="QR461" s="10"/>
      <c r="QS461" s="10"/>
      <c r="QT461" s="10"/>
      <c r="QU461" s="10"/>
      <c r="QV461" s="10"/>
      <c r="QW461" s="10"/>
      <c r="QX461" s="10"/>
      <c r="QY461" s="10"/>
      <c r="QZ461" s="10"/>
      <c r="RA461" s="10"/>
      <c r="RB461" s="10"/>
      <c r="RC461" s="10"/>
      <c r="RD461" s="10"/>
      <c r="RE461" s="10"/>
      <c r="RF461" s="10"/>
      <c r="RG461" s="10"/>
      <c r="RH461" s="10"/>
      <c r="RI461" s="10"/>
      <c r="RJ461" s="10"/>
      <c r="RK461" s="10"/>
      <c r="RL461" s="10"/>
      <c r="RM461" s="10"/>
      <c r="RN461" s="10"/>
      <c r="RO461" s="10"/>
      <c r="RP461" s="10"/>
      <c r="RQ461" s="10"/>
      <c r="RR461" s="10"/>
      <c r="RS461" s="10"/>
      <c r="RT461" s="10"/>
      <c r="RU461" s="10"/>
      <c r="RV461" s="10"/>
      <c r="RW461" s="10"/>
      <c r="RX461" s="10"/>
      <c r="RY461" s="10"/>
      <c r="RZ461" s="10"/>
      <c r="SA461" s="10"/>
      <c r="SB461" s="10"/>
      <c r="SC461" s="10"/>
      <c r="SD461" s="10"/>
      <c r="SE461" s="10"/>
      <c r="SF461" s="10"/>
      <c r="SG461" s="10"/>
      <c r="SH461" s="10"/>
      <c r="SI461" s="10"/>
      <c r="SJ461" s="10"/>
      <c r="SK461" s="10"/>
      <c r="SL461" s="10"/>
      <c r="SM461" s="10"/>
      <c r="SN461" s="10"/>
      <c r="SO461" s="10"/>
      <c r="SP461" s="10"/>
      <c r="SQ461" s="10"/>
      <c r="SR461" s="10"/>
      <c r="SS461" s="10"/>
      <c r="ST461" s="10"/>
      <c r="SU461" s="10"/>
      <c r="SV461" s="10"/>
      <c r="SW461" s="10"/>
      <c r="SX461" s="10"/>
      <c r="SY461" s="10"/>
      <c r="SZ461" s="10"/>
      <c r="TA461" s="10"/>
      <c r="TB461" s="10"/>
      <c r="TC461" s="10"/>
      <c r="TD461" s="10"/>
      <c r="TE461" s="10"/>
      <c r="TF461" s="10"/>
      <c r="TG461" s="11">
        <f t="shared" si="24"/>
        <v>0</v>
      </c>
      <c r="TH461" s="9">
        <f t="shared" si="25"/>
        <v>0</v>
      </c>
    </row>
    <row r="462" spans="1:528" ht="15.6" thickBot="1" x14ac:dyDescent="0.3">
      <c r="A462" s="25" t="s">
        <v>728</v>
      </c>
      <c r="B462" s="18" t="s">
        <v>7</v>
      </c>
      <c r="C462" s="3">
        <f>AGOSTO!D466</f>
        <v>0</v>
      </c>
      <c r="D462" s="21">
        <f t="shared" si="23"/>
        <v>0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0"/>
      <c r="LV462" s="10"/>
      <c r="LW462" s="10"/>
      <c r="LX462" s="10"/>
      <c r="LY462" s="10"/>
      <c r="LZ462" s="10"/>
      <c r="MA462" s="10"/>
      <c r="MB462" s="10"/>
      <c r="MC462" s="10"/>
      <c r="MD462" s="10"/>
      <c r="ME462" s="10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/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0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  <c r="SB462" s="10"/>
      <c r="SC462" s="10"/>
      <c r="SD462" s="10"/>
      <c r="SE462" s="10"/>
      <c r="SF462" s="10"/>
      <c r="SG462" s="10"/>
      <c r="SH462" s="10"/>
      <c r="SI462" s="10"/>
      <c r="SJ462" s="10"/>
      <c r="SK462" s="10"/>
      <c r="SL462" s="10"/>
      <c r="SM462" s="10"/>
      <c r="SN462" s="10"/>
      <c r="SO462" s="10"/>
      <c r="SP462" s="10"/>
      <c r="SQ462" s="10"/>
      <c r="SR462" s="10"/>
      <c r="SS462" s="10"/>
      <c r="ST462" s="10"/>
      <c r="SU462" s="10"/>
      <c r="SV462" s="10"/>
      <c r="SW462" s="10"/>
      <c r="SX462" s="10"/>
      <c r="SY462" s="10"/>
      <c r="SZ462" s="10"/>
      <c r="TA462" s="10"/>
      <c r="TB462" s="10"/>
      <c r="TC462" s="10"/>
      <c r="TD462" s="10"/>
      <c r="TE462" s="10"/>
      <c r="TF462" s="10"/>
      <c r="TG462" s="11">
        <f t="shared" si="24"/>
        <v>0</v>
      </c>
      <c r="TH462" s="9">
        <f t="shared" si="25"/>
        <v>0</v>
      </c>
    </row>
    <row r="463" spans="1:528" ht="15.6" thickBot="1" x14ac:dyDescent="0.3">
      <c r="A463" s="25" t="s">
        <v>729</v>
      </c>
      <c r="B463" s="18" t="s">
        <v>22</v>
      </c>
      <c r="C463" s="3">
        <f>AGOSTO!D467</f>
        <v>0</v>
      </c>
      <c r="D463" s="21">
        <f t="shared" si="23"/>
        <v>0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10"/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10"/>
      <c r="KO463" s="10"/>
      <c r="KP463" s="10"/>
      <c r="KQ463" s="10"/>
      <c r="KR463" s="10"/>
      <c r="KS463" s="10"/>
      <c r="KT463" s="10"/>
      <c r="KU463" s="10"/>
      <c r="KV463" s="10"/>
      <c r="KW463" s="10"/>
      <c r="KX463" s="10"/>
      <c r="KY463" s="10"/>
      <c r="KZ463" s="10"/>
      <c r="LA463" s="10"/>
      <c r="LB463" s="10"/>
      <c r="LC463" s="10"/>
      <c r="LD463" s="10"/>
      <c r="LE463" s="10"/>
      <c r="LF463" s="10"/>
      <c r="LG463" s="10"/>
      <c r="LH463" s="10"/>
      <c r="LI463" s="10"/>
      <c r="LJ463" s="10"/>
      <c r="LK463" s="10"/>
      <c r="LL463" s="10"/>
      <c r="LM463" s="10"/>
      <c r="LN463" s="10"/>
      <c r="LO463" s="10"/>
      <c r="LP463" s="10"/>
      <c r="LQ463" s="10"/>
      <c r="LR463" s="10"/>
      <c r="LS463" s="10"/>
      <c r="LT463" s="10"/>
      <c r="LU463" s="10"/>
      <c r="LV463" s="10"/>
      <c r="LW463" s="10"/>
      <c r="LX463" s="10"/>
      <c r="LY463" s="10"/>
      <c r="LZ463" s="10"/>
      <c r="MA463" s="10"/>
      <c r="MB463" s="10"/>
      <c r="MC463" s="10"/>
      <c r="MD463" s="10"/>
      <c r="ME463" s="10"/>
      <c r="MF463" s="10"/>
      <c r="MG463" s="10"/>
      <c r="MH463" s="10"/>
      <c r="MI463" s="10"/>
      <c r="MJ463" s="10"/>
      <c r="MK463" s="10"/>
      <c r="ML463" s="10"/>
      <c r="MM463" s="10"/>
      <c r="MN463" s="10"/>
      <c r="MO463" s="10"/>
      <c r="MP463" s="10"/>
      <c r="MQ463" s="10"/>
      <c r="MR463" s="10"/>
      <c r="MS463" s="10"/>
      <c r="MT463" s="10"/>
      <c r="MU463" s="10"/>
      <c r="MV463" s="10"/>
      <c r="MW463" s="10"/>
      <c r="MX463" s="10"/>
      <c r="MY463" s="10"/>
      <c r="MZ463" s="10"/>
      <c r="NA463" s="10"/>
      <c r="NB463" s="10"/>
      <c r="NC463" s="10"/>
      <c r="ND463" s="10"/>
      <c r="NE463" s="10"/>
      <c r="NF463" s="10"/>
      <c r="NG463" s="10"/>
      <c r="NH463" s="10"/>
      <c r="NI463" s="10"/>
      <c r="NJ463" s="10"/>
      <c r="NK463" s="10"/>
      <c r="NL463" s="10"/>
      <c r="NM463" s="10"/>
      <c r="NN463" s="10"/>
      <c r="NO463" s="10"/>
      <c r="NP463" s="10"/>
      <c r="NQ463" s="10"/>
      <c r="NR463" s="10"/>
      <c r="NS463" s="10"/>
      <c r="NT463" s="10"/>
      <c r="NU463" s="10"/>
      <c r="NV463" s="10"/>
      <c r="NW463" s="10"/>
      <c r="NX463" s="10"/>
      <c r="NY463" s="10"/>
      <c r="NZ463" s="10"/>
      <c r="OA463" s="10"/>
      <c r="OB463" s="10"/>
      <c r="OC463" s="10"/>
      <c r="OD463" s="10"/>
      <c r="OE463" s="10"/>
      <c r="OF463" s="10"/>
      <c r="OG463" s="10"/>
      <c r="OH463" s="10"/>
      <c r="OI463" s="10"/>
      <c r="OJ463" s="10"/>
      <c r="OK463" s="10"/>
      <c r="OL463" s="10"/>
      <c r="OM463" s="10"/>
      <c r="ON463" s="10"/>
      <c r="OO463" s="10"/>
      <c r="OP463" s="10"/>
      <c r="OQ463" s="10"/>
      <c r="OR463" s="10"/>
      <c r="OS463" s="10"/>
      <c r="OT463" s="10"/>
      <c r="OU463" s="10"/>
      <c r="OV463" s="10"/>
      <c r="OW463" s="10"/>
      <c r="OX463" s="10"/>
      <c r="OY463" s="10"/>
      <c r="OZ463" s="10"/>
      <c r="PA463" s="10"/>
      <c r="PB463" s="10"/>
      <c r="PC463" s="10"/>
      <c r="PD463" s="10"/>
      <c r="PE463" s="10"/>
      <c r="PF463" s="10"/>
      <c r="PG463" s="10"/>
      <c r="PH463" s="10"/>
      <c r="PI463" s="10"/>
      <c r="PJ463" s="10"/>
      <c r="PK463" s="10"/>
      <c r="PL463" s="10"/>
      <c r="PM463" s="10"/>
      <c r="PN463" s="10"/>
      <c r="PO463" s="10"/>
      <c r="PP463" s="10"/>
      <c r="PQ463" s="10"/>
      <c r="PR463" s="10"/>
      <c r="PS463" s="10"/>
      <c r="PT463" s="10"/>
      <c r="PU463" s="10"/>
      <c r="PV463" s="10"/>
      <c r="PW463" s="10"/>
      <c r="PX463" s="10"/>
      <c r="PY463" s="10"/>
      <c r="PZ463" s="10"/>
      <c r="QA463" s="10"/>
      <c r="QB463" s="10"/>
      <c r="QC463" s="10"/>
      <c r="QD463" s="10"/>
      <c r="QE463" s="10"/>
      <c r="QF463" s="10"/>
      <c r="QG463" s="10"/>
      <c r="QH463" s="10"/>
      <c r="QI463" s="10"/>
      <c r="QJ463" s="10"/>
      <c r="QK463" s="10"/>
      <c r="QL463" s="10"/>
      <c r="QM463" s="10"/>
      <c r="QN463" s="10"/>
      <c r="QO463" s="10"/>
      <c r="QP463" s="10"/>
      <c r="QQ463" s="10"/>
      <c r="QR463" s="10"/>
      <c r="QS463" s="10"/>
      <c r="QT463" s="10"/>
      <c r="QU463" s="10"/>
      <c r="QV463" s="10"/>
      <c r="QW463" s="10"/>
      <c r="QX463" s="10"/>
      <c r="QY463" s="10"/>
      <c r="QZ463" s="10"/>
      <c r="RA463" s="10"/>
      <c r="RB463" s="10"/>
      <c r="RC463" s="10"/>
      <c r="RD463" s="10"/>
      <c r="RE463" s="10"/>
      <c r="RF463" s="10"/>
      <c r="RG463" s="10"/>
      <c r="RH463" s="10"/>
      <c r="RI463" s="10"/>
      <c r="RJ463" s="10"/>
      <c r="RK463" s="10"/>
      <c r="RL463" s="10"/>
      <c r="RM463" s="10"/>
      <c r="RN463" s="10"/>
      <c r="RO463" s="10"/>
      <c r="RP463" s="10"/>
      <c r="RQ463" s="10"/>
      <c r="RR463" s="10"/>
      <c r="RS463" s="10"/>
      <c r="RT463" s="10"/>
      <c r="RU463" s="10"/>
      <c r="RV463" s="10"/>
      <c r="RW463" s="10"/>
      <c r="RX463" s="10"/>
      <c r="RY463" s="10"/>
      <c r="RZ463" s="10"/>
      <c r="SA463" s="10"/>
      <c r="SB463" s="10"/>
      <c r="SC463" s="10"/>
      <c r="SD463" s="10"/>
      <c r="SE463" s="10"/>
      <c r="SF463" s="10"/>
      <c r="SG463" s="10"/>
      <c r="SH463" s="10"/>
      <c r="SI463" s="10"/>
      <c r="SJ463" s="10"/>
      <c r="SK463" s="10"/>
      <c r="SL463" s="10"/>
      <c r="SM463" s="10"/>
      <c r="SN463" s="10"/>
      <c r="SO463" s="10"/>
      <c r="SP463" s="10"/>
      <c r="SQ463" s="10"/>
      <c r="SR463" s="10"/>
      <c r="SS463" s="10"/>
      <c r="ST463" s="10"/>
      <c r="SU463" s="10"/>
      <c r="SV463" s="10"/>
      <c r="SW463" s="10"/>
      <c r="SX463" s="10"/>
      <c r="SY463" s="10"/>
      <c r="SZ463" s="10"/>
      <c r="TA463" s="10"/>
      <c r="TB463" s="10"/>
      <c r="TC463" s="10"/>
      <c r="TD463" s="10"/>
      <c r="TE463" s="10"/>
      <c r="TF463" s="10"/>
      <c r="TG463" s="11">
        <f t="shared" si="24"/>
        <v>0</v>
      </c>
      <c r="TH463" s="9">
        <f t="shared" si="25"/>
        <v>0</v>
      </c>
    </row>
    <row r="464" spans="1:528" ht="15.6" thickBot="1" x14ac:dyDescent="0.3">
      <c r="A464" s="25" t="s">
        <v>730</v>
      </c>
      <c r="B464" s="18" t="s">
        <v>23</v>
      </c>
      <c r="C464" s="3">
        <f>AGOSTO!D468</f>
        <v>0</v>
      </c>
      <c r="D464" s="21">
        <f t="shared" si="23"/>
        <v>0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0"/>
      <c r="LV464" s="10"/>
      <c r="LW464" s="10"/>
      <c r="LX464" s="10"/>
      <c r="LY464" s="10"/>
      <c r="LZ464" s="10"/>
      <c r="MA464" s="10"/>
      <c r="MB464" s="10"/>
      <c r="MC464" s="10"/>
      <c r="MD464" s="10"/>
      <c r="ME464" s="10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/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0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  <c r="SB464" s="10"/>
      <c r="SC464" s="10"/>
      <c r="SD464" s="10"/>
      <c r="SE464" s="10"/>
      <c r="SF464" s="10"/>
      <c r="SG464" s="10"/>
      <c r="SH464" s="10"/>
      <c r="SI464" s="10"/>
      <c r="SJ464" s="10"/>
      <c r="SK464" s="10"/>
      <c r="SL464" s="10"/>
      <c r="SM464" s="10"/>
      <c r="SN464" s="10"/>
      <c r="SO464" s="10"/>
      <c r="SP464" s="10"/>
      <c r="SQ464" s="10"/>
      <c r="SR464" s="10"/>
      <c r="SS464" s="10"/>
      <c r="ST464" s="10"/>
      <c r="SU464" s="10"/>
      <c r="SV464" s="10"/>
      <c r="SW464" s="10"/>
      <c r="SX464" s="10"/>
      <c r="SY464" s="10"/>
      <c r="SZ464" s="10"/>
      <c r="TA464" s="10"/>
      <c r="TB464" s="10"/>
      <c r="TC464" s="10"/>
      <c r="TD464" s="10"/>
      <c r="TE464" s="10"/>
      <c r="TF464" s="10"/>
      <c r="TG464" s="11">
        <f t="shared" si="24"/>
        <v>0</v>
      </c>
      <c r="TH464" s="9">
        <f t="shared" si="25"/>
        <v>0</v>
      </c>
    </row>
    <row r="465" spans="1:528" ht="15.6" thickBot="1" x14ac:dyDescent="0.3">
      <c r="A465" s="25" t="s">
        <v>731</v>
      </c>
      <c r="B465" s="18" t="s">
        <v>24</v>
      </c>
      <c r="C465" s="3">
        <f>AGOSTO!D469</f>
        <v>0</v>
      </c>
      <c r="D465" s="21">
        <f t="shared" si="23"/>
        <v>0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10"/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10"/>
      <c r="KO465" s="10"/>
      <c r="KP465" s="10"/>
      <c r="KQ465" s="10"/>
      <c r="KR465" s="10"/>
      <c r="KS465" s="10"/>
      <c r="KT465" s="10"/>
      <c r="KU465" s="10"/>
      <c r="KV465" s="10"/>
      <c r="KW465" s="10"/>
      <c r="KX465" s="10"/>
      <c r="KY465" s="10"/>
      <c r="KZ465" s="10"/>
      <c r="LA465" s="10"/>
      <c r="LB465" s="10"/>
      <c r="LC465" s="10"/>
      <c r="LD465" s="10"/>
      <c r="LE465" s="10"/>
      <c r="LF465" s="10"/>
      <c r="LG465" s="10"/>
      <c r="LH465" s="10"/>
      <c r="LI465" s="10"/>
      <c r="LJ465" s="10"/>
      <c r="LK465" s="10"/>
      <c r="LL465" s="10"/>
      <c r="LM465" s="10"/>
      <c r="LN465" s="10"/>
      <c r="LO465" s="10"/>
      <c r="LP465" s="10"/>
      <c r="LQ465" s="10"/>
      <c r="LR465" s="10"/>
      <c r="LS465" s="10"/>
      <c r="LT465" s="10"/>
      <c r="LU465" s="10"/>
      <c r="LV465" s="10"/>
      <c r="LW465" s="10"/>
      <c r="LX465" s="10"/>
      <c r="LY465" s="10"/>
      <c r="LZ465" s="10"/>
      <c r="MA465" s="10"/>
      <c r="MB465" s="10"/>
      <c r="MC465" s="10"/>
      <c r="MD465" s="10"/>
      <c r="ME465" s="10"/>
      <c r="MF465" s="10"/>
      <c r="MG465" s="10"/>
      <c r="MH465" s="10"/>
      <c r="MI465" s="10"/>
      <c r="MJ465" s="10"/>
      <c r="MK465" s="10"/>
      <c r="ML465" s="10"/>
      <c r="MM465" s="10"/>
      <c r="MN465" s="10"/>
      <c r="MO465" s="10"/>
      <c r="MP465" s="10"/>
      <c r="MQ465" s="10"/>
      <c r="MR465" s="10"/>
      <c r="MS465" s="10"/>
      <c r="MT465" s="10"/>
      <c r="MU465" s="10"/>
      <c r="MV465" s="10"/>
      <c r="MW465" s="10"/>
      <c r="MX465" s="10"/>
      <c r="MY465" s="10"/>
      <c r="MZ465" s="10"/>
      <c r="NA465" s="10"/>
      <c r="NB465" s="10"/>
      <c r="NC465" s="10"/>
      <c r="ND465" s="10"/>
      <c r="NE465" s="10"/>
      <c r="NF465" s="10"/>
      <c r="NG465" s="10"/>
      <c r="NH465" s="10"/>
      <c r="NI465" s="10"/>
      <c r="NJ465" s="10"/>
      <c r="NK465" s="10"/>
      <c r="NL465" s="10"/>
      <c r="NM465" s="10"/>
      <c r="NN465" s="10"/>
      <c r="NO465" s="10"/>
      <c r="NP465" s="10"/>
      <c r="NQ465" s="10"/>
      <c r="NR465" s="10"/>
      <c r="NS465" s="10"/>
      <c r="NT465" s="10"/>
      <c r="NU465" s="10"/>
      <c r="NV465" s="10"/>
      <c r="NW465" s="10"/>
      <c r="NX465" s="10"/>
      <c r="NY465" s="10"/>
      <c r="NZ465" s="10"/>
      <c r="OA465" s="10"/>
      <c r="OB465" s="10"/>
      <c r="OC465" s="10"/>
      <c r="OD465" s="10"/>
      <c r="OE465" s="10"/>
      <c r="OF465" s="10"/>
      <c r="OG465" s="10"/>
      <c r="OH465" s="10"/>
      <c r="OI465" s="10"/>
      <c r="OJ465" s="10"/>
      <c r="OK465" s="10"/>
      <c r="OL465" s="10"/>
      <c r="OM465" s="10"/>
      <c r="ON465" s="10"/>
      <c r="OO465" s="10"/>
      <c r="OP465" s="10"/>
      <c r="OQ465" s="10"/>
      <c r="OR465" s="10"/>
      <c r="OS465" s="10"/>
      <c r="OT465" s="10"/>
      <c r="OU465" s="10"/>
      <c r="OV465" s="10"/>
      <c r="OW465" s="10"/>
      <c r="OX465" s="10"/>
      <c r="OY465" s="10"/>
      <c r="OZ465" s="10"/>
      <c r="PA465" s="10"/>
      <c r="PB465" s="10"/>
      <c r="PC465" s="10"/>
      <c r="PD465" s="10"/>
      <c r="PE465" s="10"/>
      <c r="PF465" s="10"/>
      <c r="PG465" s="10"/>
      <c r="PH465" s="10"/>
      <c r="PI465" s="10"/>
      <c r="PJ465" s="10"/>
      <c r="PK465" s="10"/>
      <c r="PL465" s="10"/>
      <c r="PM465" s="10"/>
      <c r="PN465" s="10"/>
      <c r="PO465" s="10"/>
      <c r="PP465" s="10"/>
      <c r="PQ465" s="10"/>
      <c r="PR465" s="10"/>
      <c r="PS465" s="10"/>
      <c r="PT465" s="10"/>
      <c r="PU465" s="10"/>
      <c r="PV465" s="10"/>
      <c r="PW465" s="10"/>
      <c r="PX465" s="10"/>
      <c r="PY465" s="10"/>
      <c r="PZ465" s="10"/>
      <c r="QA465" s="10"/>
      <c r="QB465" s="10"/>
      <c r="QC465" s="10"/>
      <c r="QD465" s="10"/>
      <c r="QE465" s="10"/>
      <c r="QF465" s="10"/>
      <c r="QG465" s="10"/>
      <c r="QH465" s="10"/>
      <c r="QI465" s="10"/>
      <c r="QJ465" s="10"/>
      <c r="QK465" s="10"/>
      <c r="QL465" s="10"/>
      <c r="QM465" s="10"/>
      <c r="QN465" s="10"/>
      <c r="QO465" s="10"/>
      <c r="QP465" s="10"/>
      <c r="QQ465" s="10"/>
      <c r="QR465" s="10"/>
      <c r="QS465" s="10"/>
      <c r="QT465" s="10"/>
      <c r="QU465" s="10"/>
      <c r="QV465" s="10"/>
      <c r="QW465" s="10"/>
      <c r="QX465" s="10"/>
      <c r="QY465" s="10"/>
      <c r="QZ465" s="10"/>
      <c r="RA465" s="10"/>
      <c r="RB465" s="10"/>
      <c r="RC465" s="10"/>
      <c r="RD465" s="10"/>
      <c r="RE465" s="10"/>
      <c r="RF465" s="10"/>
      <c r="RG465" s="10"/>
      <c r="RH465" s="10"/>
      <c r="RI465" s="10"/>
      <c r="RJ465" s="10"/>
      <c r="RK465" s="10"/>
      <c r="RL465" s="10"/>
      <c r="RM465" s="10"/>
      <c r="RN465" s="10"/>
      <c r="RO465" s="10"/>
      <c r="RP465" s="10"/>
      <c r="RQ465" s="10"/>
      <c r="RR465" s="10"/>
      <c r="RS465" s="10"/>
      <c r="RT465" s="10"/>
      <c r="RU465" s="10"/>
      <c r="RV465" s="10"/>
      <c r="RW465" s="10"/>
      <c r="RX465" s="10"/>
      <c r="RY465" s="10"/>
      <c r="RZ465" s="10"/>
      <c r="SA465" s="10"/>
      <c r="SB465" s="10"/>
      <c r="SC465" s="10"/>
      <c r="SD465" s="10"/>
      <c r="SE465" s="10"/>
      <c r="SF465" s="10"/>
      <c r="SG465" s="10"/>
      <c r="SH465" s="10"/>
      <c r="SI465" s="10"/>
      <c r="SJ465" s="10"/>
      <c r="SK465" s="10"/>
      <c r="SL465" s="10"/>
      <c r="SM465" s="10"/>
      <c r="SN465" s="10"/>
      <c r="SO465" s="10"/>
      <c r="SP465" s="10"/>
      <c r="SQ465" s="10"/>
      <c r="SR465" s="10"/>
      <c r="SS465" s="10"/>
      <c r="ST465" s="10"/>
      <c r="SU465" s="10"/>
      <c r="SV465" s="10"/>
      <c r="SW465" s="10"/>
      <c r="SX465" s="10"/>
      <c r="SY465" s="10"/>
      <c r="SZ465" s="10"/>
      <c r="TA465" s="10"/>
      <c r="TB465" s="10"/>
      <c r="TC465" s="10"/>
      <c r="TD465" s="10"/>
      <c r="TE465" s="10"/>
      <c r="TF465" s="10"/>
      <c r="TG465" s="11">
        <f t="shared" si="24"/>
        <v>0</v>
      </c>
      <c r="TH465" s="9">
        <f t="shared" si="25"/>
        <v>0</v>
      </c>
    </row>
    <row r="466" spans="1:528" ht="15.6" thickBot="1" x14ac:dyDescent="0.3">
      <c r="A466" s="25" t="s">
        <v>732</v>
      </c>
      <c r="B466" s="18" t="s">
        <v>210</v>
      </c>
      <c r="C466" s="3">
        <f>AGOSTO!D470</f>
        <v>0</v>
      </c>
      <c r="D466" s="21">
        <f t="shared" si="23"/>
        <v>0</v>
      </c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0"/>
      <c r="LV466" s="10"/>
      <c r="LW466" s="10"/>
      <c r="LX466" s="10"/>
      <c r="LY466" s="10"/>
      <c r="LZ466" s="10"/>
      <c r="MA466" s="10"/>
      <c r="MB466" s="10"/>
      <c r="MC466" s="10"/>
      <c r="MD466" s="10"/>
      <c r="ME466" s="10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/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0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  <c r="SB466" s="10"/>
      <c r="SC466" s="10"/>
      <c r="SD466" s="10"/>
      <c r="SE466" s="10"/>
      <c r="SF466" s="10"/>
      <c r="SG466" s="10"/>
      <c r="SH466" s="10"/>
      <c r="SI466" s="10"/>
      <c r="SJ466" s="10"/>
      <c r="SK466" s="10"/>
      <c r="SL466" s="10"/>
      <c r="SM466" s="10"/>
      <c r="SN466" s="10"/>
      <c r="SO466" s="10"/>
      <c r="SP466" s="10"/>
      <c r="SQ466" s="10"/>
      <c r="SR466" s="10"/>
      <c r="SS466" s="10"/>
      <c r="ST466" s="10"/>
      <c r="SU466" s="10"/>
      <c r="SV466" s="10"/>
      <c r="SW466" s="10"/>
      <c r="SX466" s="10"/>
      <c r="SY466" s="10"/>
      <c r="SZ466" s="10"/>
      <c r="TA466" s="10"/>
      <c r="TB466" s="10"/>
      <c r="TC466" s="10"/>
      <c r="TD466" s="10"/>
      <c r="TE466" s="10"/>
      <c r="TF466" s="10"/>
      <c r="TG466" s="11">
        <f t="shared" si="24"/>
        <v>0</v>
      </c>
      <c r="TH466" s="9">
        <f t="shared" si="25"/>
        <v>0</v>
      </c>
    </row>
    <row r="467" spans="1:528" ht="16.2" thickBot="1" x14ac:dyDescent="0.35">
      <c r="A467" s="25"/>
      <c r="B467" s="23" t="s">
        <v>301</v>
      </c>
      <c r="C467" s="3">
        <f>AGOSTO!D471</f>
        <v>0</v>
      </c>
      <c r="D467" s="21">
        <f t="shared" si="23"/>
        <v>0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10"/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10"/>
      <c r="KO467" s="10"/>
      <c r="KP467" s="10"/>
      <c r="KQ467" s="10"/>
      <c r="KR467" s="10"/>
      <c r="KS467" s="10"/>
      <c r="KT467" s="10"/>
      <c r="KU467" s="10"/>
      <c r="KV467" s="10"/>
      <c r="KW467" s="10"/>
      <c r="KX467" s="10"/>
      <c r="KY467" s="10"/>
      <c r="KZ467" s="10"/>
      <c r="LA467" s="10"/>
      <c r="LB467" s="10"/>
      <c r="LC467" s="10"/>
      <c r="LD467" s="10"/>
      <c r="LE467" s="10"/>
      <c r="LF467" s="10"/>
      <c r="LG467" s="10"/>
      <c r="LH467" s="10"/>
      <c r="LI467" s="10"/>
      <c r="LJ467" s="10"/>
      <c r="LK467" s="10"/>
      <c r="LL467" s="10"/>
      <c r="LM467" s="10"/>
      <c r="LN467" s="10"/>
      <c r="LO467" s="10"/>
      <c r="LP467" s="10"/>
      <c r="LQ467" s="10"/>
      <c r="LR467" s="10"/>
      <c r="LS467" s="10"/>
      <c r="LT467" s="10"/>
      <c r="LU467" s="10"/>
      <c r="LV467" s="10"/>
      <c r="LW467" s="10"/>
      <c r="LX467" s="10"/>
      <c r="LY467" s="10"/>
      <c r="LZ467" s="10"/>
      <c r="MA467" s="10"/>
      <c r="MB467" s="10"/>
      <c r="MC467" s="10"/>
      <c r="MD467" s="10"/>
      <c r="ME467" s="10"/>
      <c r="MF467" s="10"/>
      <c r="MG467" s="10"/>
      <c r="MH467" s="10"/>
      <c r="MI467" s="10"/>
      <c r="MJ467" s="10"/>
      <c r="MK467" s="10"/>
      <c r="ML467" s="10"/>
      <c r="MM467" s="10"/>
      <c r="MN467" s="10"/>
      <c r="MO467" s="10"/>
      <c r="MP467" s="10"/>
      <c r="MQ467" s="10"/>
      <c r="MR467" s="10"/>
      <c r="MS467" s="10"/>
      <c r="MT467" s="10"/>
      <c r="MU467" s="10"/>
      <c r="MV467" s="10"/>
      <c r="MW467" s="10"/>
      <c r="MX467" s="10"/>
      <c r="MY467" s="10"/>
      <c r="MZ467" s="10"/>
      <c r="NA467" s="10"/>
      <c r="NB467" s="10"/>
      <c r="NC467" s="10"/>
      <c r="ND467" s="10"/>
      <c r="NE467" s="10"/>
      <c r="NF467" s="10"/>
      <c r="NG467" s="10"/>
      <c r="NH467" s="10"/>
      <c r="NI467" s="10"/>
      <c r="NJ467" s="10"/>
      <c r="NK467" s="10"/>
      <c r="NL467" s="10"/>
      <c r="NM467" s="10"/>
      <c r="NN467" s="10"/>
      <c r="NO467" s="10"/>
      <c r="NP467" s="10"/>
      <c r="NQ467" s="10"/>
      <c r="NR467" s="10"/>
      <c r="NS467" s="10"/>
      <c r="NT467" s="10"/>
      <c r="NU467" s="10"/>
      <c r="NV467" s="10"/>
      <c r="NW467" s="10"/>
      <c r="NX467" s="10"/>
      <c r="NY467" s="10"/>
      <c r="NZ467" s="10"/>
      <c r="OA467" s="10"/>
      <c r="OB467" s="10"/>
      <c r="OC467" s="10"/>
      <c r="OD467" s="10"/>
      <c r="OE467" s="10"/>
      <c r="OF467" s="10"/>
      <c r="OG467" s="10"/>
      <c r="OH467" s="10"/>
      <c r="OI467" s="10"/>
      <c r="OJ467" s="10"/>
      <c r="OK467" s="10"/>
      <c r="OL467" s="10"/>
      <c r="OM467" s="10"/>
      <c r="ON467" s="10"/>
      <c r="OO467" s="10"/>
      <c r="OP467" s="10"/>
      <c r="OQ467" s="10"/>
      <c r="OR467" s="10"/>
      <c r="OS467" s="10"/>
      <c r="OT467" s="10"/>
      <c r="OU467" s="10"/>
      <c r="OV467" s="10"/>
      <c r="OW467" s="10"/>
      <c r="OX467" s="10"/>
      <c r="OY467" s="10"/>
      <c r="OZ467" s="10"/>
      <c r="PA467" s="10"/>
      <c r="PB467" s="10"/>
      <c r="PC467" s="10"/>
      <c r="PD467" s="10"/>
      <c r="PE467" s="10"/>
      <c r="PF467" s="10"/>
      <c r="PG467" s="10"/>
      <c r="PH467" s="10"/>
      <c r="PI467" s="10"/>
      <c r="PJ467" s="10"/>
      <c r="PK467" s="10"/>
      <c r="PL467" s="10"/>
      <c r="PM467" s="10"/>
      <c r="PN467" s="10"/>
      <c r="PO467" s="10"/>
      <c r="PP467" s="10"/>
      <c r="PQ467" s="10"/>
      <c r="PR467" s="10"/>
      <c r="PS467" s="10"/>
      <c r="PT467" s="10"/>
      <c r="PU467" s="10"/>
      <c r="PV467" s="10"/>
      <c r="PW467" s="10"/>
      <c r="PX467" s="10"/>
      <c r="PY467" s="10"/>
      <c r="PZ467" s="10"/>
      <c r="QA467" s="10"/>
      <c r="QB467" s="10"/>
      <c r="QC467" s="10"/>
      <c r="QD467" s="10"/>
      <c r="QE467" s="10"/>
      <c r="QF467" s="10"/>
      <c r="QG467" s="10"/>
      <c r="QH467" s="10"/>
      <c r="QI467" s="10"/>
      <c r="QJ467" s="10"/>
      <c r="QK467" s="10"/>
      <c r="QL467" s="10"/>
      <c r="QM467" s="10"/>
      <c r="QN467" s="10"/>
      <c r="QO467" s="10"/>
      <c r="QP467" s="10"/>
      <c r="QQ467" s="10"/>
      <c r="QR467" s="10"/>
      <c r="QS467" s="10"/>
      <c r="QT467" s="10"/>
      <c r="QU467" s="10"/>
      <c r="QV467" s="10"/>
      <c r="QW467" s="10"/>
      <c r="QX467" s="10"/>
      <c r="QY467" s="10"/>
      <c r="QZ467" s="10"/>
      <c r="RA467" s="10"/>
      <c r="RB467" s="10"/>
      <c r="RC467" s="10"/>
      <c r="RD467" s="10"/>
      <c r="RE467" s="10"/>
      <c r="RF467" s="10"/>
      <c r="RG467" s="10"/>
      <c r="RH467" s="10"/>
      <c r="RI467" s="10"/>
      <c r="RJ467" s="10"/>
      <c r="RK467" s="10"/>
      <c r="RL467" s="10"/>
      <c r="RM467" s="10"/>
      <c r="RN467" s="10"/>
      <c r="RO467" s="10"/>
      <c r="RP467" s="10"/>
      <c r="RQ467" s="10"/>
      <c r="RR467" s="10"/>
      <c r="RS467" s="10"/>
      <c r="RT467" s="10"/>
      <c r="RU467" s="10"/>
      <c r="RV467" s="10"/>
      <c r="RW467" s="10"/>
      <c r="RX467" s="10"/>
      <c r="RY467" s="10"/>
      <c r="RZ467" s="10"/>
      <c r="SA467" s="10"/>
      <c r="SB467" s="10"/>
      <c r="SC467" s="10"/>
      <c r="SD467" s="10"/>
      <c r="SE467" s="10"/>
      <c r="SF467" s="10"/>
      <c r="SG467" s="10"/>
      <c r="SH467" s="10"/>
      <c r="SI467" s="10"/>
      <c r="SJ467" s="10"/>
      <c r="SK467" s="10"/>
      <c r="SL467" s="10"/>
      <c r="SM467" s="10"/>
      <c r="SN467" s="10"/>
      <c r="SO467" s="10"/>
      <c r="SP467" s="10"/>
      <c r="SQ467" s="10"/>
      <c r="SR467" s="10"/>
      <c r="SS467" s="10"/>
      <c r="ST467" s="10"/>
      <c r="SU467" s="10"/>
      <c r="SV467" s="10"/>
      <c r="SW467" s="10"/>
      <c r="SX467" s="10"/>
      <c r="SY467" s="10"/>
      <c r="SZ467" s="10"/>
      <c r="TA467" s="10"/>
      <c r="TB467" s="10"/>
      <c r="TC467" s="10"/>
      <c r="TD467" s="10"/>
      <c r="TE467" s="10"/>
      <c r="TF467" s="10"/>
      <c r="TG467" s="11">
        <f t="shared" si="24"/>
        <v>0</v>
      </c>
      <c r="TH467" s="9">
        <f t="shared" si="25"/>
        <v>0</v>
      </c>
    </row>
    <row r="468" spans="1:528" ht="15.6" thickBot="1" x14ac:dyDescent="0.3">
      <c r="A468" s="25" t="s">
        <v>302</v>
      </c>
      <c r="B468" s="18" t="s">
        <v>307</v>
      </c>
      <c r="C468" s="3">
        <f>AGOSTO!D472</f>
        <v>0</v>
      </c>
      <c r="D468" s="21">
        <f t="shared" si="23"/>
        <v>0</v>
      </c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0"/>
      <c r="LV468" s="10"/>
      <c r="LW468" s="10"/>
      <c r="LX468" s="10"/>
      <c r="LY468" s="10"/>
      <c r="LZ468" s="10"/>
      <c r="MA468" s="10"/>
      <c r="MB468" s="10"/>
      <c r="MC468" s="10"/>
      <c r="MD468" s="10"/>
      <c r="ME468" s="10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/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0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  <c r="SB468" s="10"/>
      <c r="SC468" s="10"/>
      <c r="SD468" s="10"/>
      <c r="SE468" s="10"/>
      <c r="SF468" s="10"/>
      <c r="SG468" s="10"/>
      <c r="SH468" s="10"/>
      <c r="SI468" s="10"/>
      <c r="SJ468" s="10"/>
      <c r="SK468" s="10"/>
      <c r="SL468" s="10"/>
      <c r="SM468" s="10"/>
      <c r="SN468" s="10"/>
      <c r="SO468" s="10"/>
      <c r="SP468" s="10"/>
      <c r="SQ468" s="10"/>
      <c r="SR468" s="10"/>
      <c r="SS468" s="10"/>
      <c r="ST468" s="10"/>
      <c r="SU468" s="10"/>
      <c r="SV468" s="10"/>
      <c r="SW468" s="10"/>
      <c r="SX468" s="10"/>
      <c r="SY468" s="10"/>
      <c r="SZ468" s="10"/>
      <c r="TA468" s="10"/>
      <c r="TB468" s="10"/>
      <c r="TC468" s="10"/>
      <c r="TD468" s="10"/>
      <c r="TE468" s="10"/>
      <c r="TF468" s="10"/>
      <c r="TG468" s="11">
        <f t="shared" si="24"/>
        <v>0</v>
      </c>
      <c r="TH468" s="9">
        <f t="shared" si="25"/>
        <v>0</v>
      </c>
    </row>
    <row r="469" spans="1:528" ht="15.6" thickBot="1" x14ac:dyDescent="0.3">
      <c r="A469" s="25" t="s">
        <v>303</v>
      </c>
      <c r="B469" s="18" t="s">
        <v>308</v>
      </c>
      <c r="C469" s="3">
        <f>AGOSTO!D473</f>
        <v>0</v>
      </c>
      <c r="D469" s="21">
        <f t="shared" si="23"/>
        <v>0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10"/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10"/>
      <c r="KO469" s="10"/>
      <c r="KP469" s="10"/>
      <c r="KQ469" s="10"/>
      <c r="KR469" s="10"/>
      <c r="KS469" s="10"/>
      <c r="KT469" s="10"/>
      <c r="KU469" s="10"/>
      <c r="KV469" s="10"/>
      <c r="KW469" s="10"/>
      <c r="KX469" s="10"/>
      <c r="KY469" s="10"/>
      <c r="KZ469" s="10"/>
      <c r="LA469" s="10"/>
      <c r="LB469" s="10"/>
      <c r="LC469" s="10"/>
      <c r="LD469" s="10"/>
      <c r="LE469" s="10"/>
      <c r="LF469" s="10"/>
      <c r="LG469" s="10"/>
      <c r="LH469" s="10"/>
      <c r="LI469" s="10"/>
      <c r="LJ469" s="10"/>
      <c r="LK469" s="10"/>
      <c r="LL469" s="10"/>
      <c r="LM469" s="10"/>
      <c r="LN469" s="10"/>
      <c r="LO469" s="10"/>
      <c r="LP469" s="10"/>
      <c r="LQ469" s="10"/>
      <c r="LR469" s="10"/>
      <c r="LS469" s="10"/>
      <c r="LT469" s="10"/>
      <c r="LU469" s="10"/>
      <c r="LV469" s="10"/>
      <c r="LW469" s="10"/>
      <c r="LX469" s="10"/>
      <c r="LY469" s="10"/>
      <c r="LZ469" s="10"/>
      <c r="MA469" s="10"/>
      <c r="MB469" s="10"/>
      <c r="MC469" s="10"/>
      <c r="MD469" s="10"/>
      <c r="ME469" s="10"/>
      <c r="MF469" s="10"/>
      <c r="MG469" s="10"/>
      <c r="MH469" s="10"/>
      <c r="MI469" s="10"/>
      <c r="MJ469" s="10"/>
      <c r="MK469" s="10"/>
      <c r="ML469" s="10"/>
      <c r="MM469" s="10"/>
      <c r="MN469" s="10"/>
      <c r="MO469" s="10"/>
      <c r="MP469" s="10"/>
      <c r="MQ469" s="10"/>
      <c r="MR469" s="10"/>
      <c r="MS469" s="10"/>
      <c r="MT469" s="10"/>
      <c r="MU469" s="10"/>
      <c r="MV469" s="10"/>
      <c r="MW469" s="10"/>
      <c r="MX469" s="10"/>
      <c r="MY469" s="10"/>
      <c r="MZ469" s="10"/>
      <c r="NA469" s="10"/>
      <c r="NB469" s="10"/>
      <c r="NC469" s="10"/>
      <c r="ND469" s="10"/>
      <c r="NE469" s="10"/>
      <c r="NF469" s="10"/>
      <c r="NG469" s="10"/>
      <c r="NH469" s="10"/>
      <c r="NI469" s="10"/>
      <c r="NJ469" s="10"/>
      <c r="NK469" s="10"/>
      <c r="NL469" s="10"/>
      <c r="NM469" s="10"/>
      <c r="NN469" s="10"/>
      <c r="NO469" s="10"/>
      <c r="NP469" s="10"/>
      <c r="NQ469" s="10"/>
      <c r="NR469" s="10"/>
      <c r="NS469" s="10"/>
      <c r="NT469" s="10"/>
      <c r="NU469" s="10"/>
      <c r="NV469" s="10"/>
      <c r="NW469" s="10"/>
      <c r="NX469" s="10"/>
      <c r="NY469" s="10"/>
      <c r="NZ469" s="10"/>
      <c r="OA469" s="10"/>
      <c r="OB469" s="10"/>
      <c r="OC469" s="10"/>
      <c r="OD469" s="10"/>
      <c r="OE469" s="10"/>
      <c r="OF469" s="10"/>
      <c r="OG469" s="10"/>
      <c r="OH469" s="10"/>
      <c r="OI469" s="10"/>
      <c r="OJ469" s="10"/>
      <c r="OK469" s="10"/>
      <c r="OL469" s="10"/>
      <c r="OM469" s="10"/>
      <c r="ON469" s="10"/>
      <c r="OO469" s="10"/>
      <c r="OP469" s="10"/>
      <c r="OQ469" s="10"/>
      <c r="OR469" s="10"/>
      <c r="OS469" s="10"/>
      <c r="OT469" s="10"/>
      <c r="OU469" s="10"/>
      <c r="OV469" s="10"/>
      <c r="OW469" s="10"/>
      <c r="OX469" s="10"/>
      <c r="OY469" s="10"/>
      <c r="OZ469" s="10"/>
      <c r="PA469" s="10"/>
      <c r="PB469" s="10"/>
      <c r="PC469" s="10"/>
      <c r="PD469" s="10"/>
      <c r="PE469" s="10"/>
      <c r="PF469" s="10"/>
      <c r="PG469" s="10"/>
      <c r="PH469" s="10"/>
      <c r="PI469" s="10"/>
      <c r="PJ469" s="10"/>
      <c r="PK469" s="10"/>
      <c r="PL469" s="10"/>
      <c r="PM469" s="10"/>
      <c r="PN469" s="10"/>
      <c r="PO469" s="10"/>
      <c r="PP469" s="10"/>
      <c r="PQ469" s="10"/>
      <c r="PR469" s="10"/>
      <c r="PS469" s="10"/>
      <c r="PT469" s="10"/>
      <c r="PU469" s="10"/>
      <c r="PV469" s="10"/>
      <c r="PW469" s="10"/>
      <c r="PX469" s="10"/>
      <c r="PY469" s="10"/>
      <c r="PZ469" s="10"/>
      <c r="QA469" s="10"/>
      <c r="QB469" s="10"/>
      <c r="QC469" s="10"/>
      <c r="QD469" s="10"/>
      <c r="QE469" s="10"/>
      <c r="QF469" s="10"/>
      <c r="QG469" s="10"/>
      <c r="QH469" s="10"/>
      <c r="QI469" s="10"/>
      <c r="QJ469" s="10"/>
      <c r="QK469" s="10"/>
      <c r="QL469" s="10"/>
      <c r="QM469" s="10"/>
      <c r="QN469" s="10"/>
      <c r="QO469" s="10"/>
      <c r="QP469" s="10"/>
      <c r="QQ469" s="10"/>
      <c r="QR469" s="10"/>
      <c r="QS469" s="10"/>
      <c r="QT469" s="10"/>
      <c r="QU469" s="10"/>
      <c r="QV469" s="10"/>
      <c r="QW469" s="10"/>
      <c r="QX469" s="10"/>
      <c r="QY469" s="10"/>
      <c r="QZ469" s="10"/>
      <c r="RA469" s="10"/>
      <c r="RB469" s="10"/>
      <c r="RC469" s="10"/>
      <c r="RD469" s="10"/>
      <c r="RE469" s="10"/>
      <c r="RF469" s="10"/>
      <c r="RG469" s="10"/>
      <c r="RH469" s="10"/>
      <c r="RI469" s="10"/>
      <c r="RJ469" s="10"/>
      <c r="RK469" s="10"/>
      <c r="RL469" s="10"/>
      <c r="RM469" s="10"/>
      <c r="RN469" s="10"/>
      <c r="RO469" s="10"/>
      <c r="RP469" s="10"/>
      <c r="RQ469" s="10"/>
      <c r="RR469" s="10"/>
      <c r="RS469" s="10"/>
      <c r="RT469" s="10"/>
      <c r="RU469" s="10"/>
      <c r="RV469" s="10"/>
      <c r="RW469" s="10"/>
      <c r="RX469" s="10"/>
      <c r="RY469" s="10"/>
      <c r="RZ469" s="10"/>
      <c r="SA469" s="10"/>
      <c r="SB469" s="10"/>
      <c r="SC469" s="10"/>
      <c r="SD469" s="10"/>
      <c r="SE469" s="10"/>
      <c r="SF469" s="10"/>
      <c r="SG469" s="10"/>
      <c r="SH469" s="10"/>
      <c r="SI469" s="10"/>
      <c r="SJ469" s="10"/>
      <c r="SK469" s="10"/>
      <c r="SL469" s="10"/>
      <c r="SM469" s="10"/>
      <c r="SN469" s="10"/>
      <c r="SO469" s="10"/>
      <c r="SP469" s="10"/>
      <c r="SQ469" s="10"/>
      <c r="SR469" s="10"/>
      <c r="SS469" s="10"/>
      <c r="ST469" s="10"/>
      <c r="SU469" s="10"/>
      <c r="SV469" s="10"/>
      <c r="SW469" s="10"/>
      <c r="SX469" s="10"/>
      <c r="SY469" s="10"/>
      <c r="SZ469" s="10"/>
      <c r="TA469" s="10"/>
      <c r="TB469" s="10"/>
      <c r="TC469" s="10"/>
      <c r="TD469" s="10"/>
      <c r="TE469" s="10"/>
      <c r="TF469" s="10"/>
      <c r="TG469" s="11">
        <f t="shared" si="24"/>
        <v>0</v>
      </c>
      <c r="TH469" s="9">
        <f t="shared" si="25"/>
        <v>0</v>
      </c>
    </row>
    <row r="470" spans="1:528" ht="15.6" thickBot="1" x14ac:dyDescent="0.3">
      <c r="A470" s="25" t="s">
        <v>304</v>
      </c>
      <c r="B470" s="18" t="s">
        <v>309</v>
      </c>
      <c r="C470" s="3">
        <f>AGOSTO!D474</f>
        <v>0</v>
      </c>
      <c r="D470" s="21">
        <f t="shared" si="23"/>
        <v>0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0"/>
      <c r="LV470" s="10"/>
      <c r="LW470" s="10"/>
      <c r="LX470" s="10"/>
      <c r="LY470" s="10"/>
      <c r="LZ470" s="10"/>
      <c r="MA470" s="10"/>
      <c r="MB470" s="10"/>
      <c r="MC470" s="10"/>
      <c r="MD470" s="10"/>
      <c r="ME470" s="10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/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0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  <c r="SB470" s="10"/>
      <c r="SC470" s="10"/>
      <c r="SD470" s="10"/>
      <c r="SE470" s="10"/>
      <c r="SF470" s="10"/>
      <c r="SG470" s="10"/>
      <c r="SH470" s="10"/>
      <c r="SI470" s="10"/>
      <c r="SJ470" s="10"/>
      <c r="SK470" s="10"/>
      <c r="SL470" s="10"/>
      <c r="SM470" s="10"/>
      <c r="SN470" s="10"/>
      <c r="SO470" s="10"/>
      <c r="SP470" s="10"/>
      <c r="SQ470" s="10"/>
      <c r="SR470" s="10"/>
      <c r="SS470" s="10"/>
      <c r="ST470" s="10"/>
      <c r="SU470" s="10"/>
      <c r="SV470" s="10"/>
      <c r="SW470" s="10"/>
      <c r="SX470" s="10"/>
      <c r="SY470" s="10"/>
      <c r="SZ470" s="10"/>
      <c r="TA470" s="10"/>
      <c r="TB470" s="10"/>
      <c r="TC470" s="10"/>
      <c r="TD470" s="10"/>
      <c r="TE470" s="10"/>
      <c r="TF470" s="10"/>
      <c r="TG470" s="11">
        <f t="shared" si="24"/>
        <v>0</v>
      </c>
      <c r="TH470" s="9">
        <f t="shared" si="25"/>
        <v>0</v>
      </c>
    </row>
    <row r="471" spans="1:528" ht="15.6" thickBot="1" x14ac:dyDescent="0.3">
      <c r="A471" s="25" t="s">
        <v>305</v>
      </c>
      <c r="B471" s="18" t="s">
        <v>310</v>
      </c>
      <c r="C471" s="3">
        <f>AGOSTO!D475</f>
        <v>0</v>
      </c>
      <c r="D471" s="21">
        <f t="shared" si="23"/>
        <v>0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10"/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10"/>
      <c r="KO471" s="10"/>
      <c r="KP471" s="10"/>
      <c r="KQ471" s="10"/>
      <c r="KR471" s="10"/>
      <c r="KS471" s="10"/>
      <c r="KT471" s="10"/>
      <c r="KU471" s="10"/>
      <c r="KV471" s="10"/>
      <c r="KW471" s="10"/>
      <c r="KX471" s="10"/>
      <c r="KY471" s="10"/>
      <c r="KZ471" s="10"/>
      <c r="LA471" s="10"/>
      <c r="LB471" s="10"/>
      <c r="LC471" s="10"/>
      <c r="LD471" s="10"/>
      <c r="LE471" s="10"/>
      <c r="LF471" s="10"/>
      <c r="LG471" s="10"/>
      <c r="LH471" s="10"/>
      <c r="LI471" s="10"/>
      <c r="LJ471" s="10"/>
      <c r="LK471" s="10"/>
      <c r="LL471" s="10"/>
      <c r="LM471" s="10"/>
      <c r="LN471" s="10"/>
      <c r="LO471" s="10"/>
      <c r="LP471" s="10"/>
      <c r="LQ471" s="10"/>
      <c r="LR471" s="10"/>
      <c r="LS471" s="10"/>
      <c r="LT471" s="10"/>
      <c r="LU471" s="10"/>
      <c r="LV471" s="10"/>
      <c r="LW471" s="10"/>
      <c r="LX471" s="10"/>
      <c r="LY471" s="10"/>
      <c r="LZ471" s="10"/>
      <c r="MA471" s="10"/>
      <c r="MB471" s="10"/>
      <c r="MC471" s="10"/>
      <c r="MD471" s="10"/>
      <c r="ME471" s="10"/>
      <c r="MF471" s="10"/>
      <c r="MG471" s="10"/>
      <c r="MH471" s="10"/>
      <c r="MI471" s="10"/>
      <c r="MJ471" s="10"/>
      <c r="MK471" s="10"/>
      <c r="ML471" s="10"/>
      <c r="MM471" s="10"/>
      <c r="MN471" s="10"/>
      <c r="MO471" s="10"/>
      <c r="MP471" s="10"/>
      <c r="MQ471" s="10"/>
      <c r="MR471" s="10"/>
      <c r="MS471" s="10"/>
      <c r="MT471" s="10"/>
      <c r="MU471" s="10"/>
      <c r="MV471" s="10"/>
      <c r="MW471" s="10"/>
      <c r="MX471" s="10"/>
      <c r="MY471" s="10"/>
      <c r="MZ471" s="10"/>
      <c r="NA471" s="10"/>
      <c r="NB471" s="10"/>
      <c r="NC471" s="10"/>
      <c r="ND471" s="10"/>
      <c r="NE471" s="10"/>
      <c r="NF471" s="10"/>
      <c r="NG471" s="10"/>
      <c r="NH471" s="10"/>
      <c r="NI471" s="10"/>
      <c r="NJ471" s="10"/>
      <c r="NK471" s="10"/>
      <c r="NL471" s="10"/>
      <c r="NM471" s="10"/>
      <c r="NN471" s="10"/>
      <c r="NO471" s="10"/>
      <c r="NP471" s="10"/>
      <c r="NQ471" s="10"/>
      <c r="NR471" s="10"/>
      <c r="NS471" s="10"/>
      <c r="NT471" s="10"/>
      <c r="NU471" s="10"/>
      <c r="NV471" s="10"/>
      <c r="NW471" s="10"/>
      <c r="NX471" s="10"/>
      <c r="NY471" s="10"/>
      <c r="NZ471" s="10"/>
      <c r="OA471" s="10"/>
      <c r="OB471" s="10"/>
      <c r="OC471" s="10"/>
      <c r="OD471" s="10"/>
      <c r="OE471" s="10"/>
      <c r="OF471" s="10"/>
      <c r="OG471" s="10"/>
      <c r="OH471" s="10"/>
      <c r="OI471" s="10"/>
      <c r="OJ471" s="10"/>
      <c r="OK471" s="10"/>
      <c r="OL471" s="10"/>
      <c r="OM471" s="10"/>
      <c r="ON471" s="10"/>
      <c r="OO471" s="10"/>
      <c r="OP471" s="10"/>
      <c r="OQ471" s="10"/>
      <c r="OR471" s="10"/>
      <c r="OS471" s="10"/>
      <c r="OT471" s="10"/>
      <c r="OU471" s="10"/>
      <c r="OV471" s="10"/>
      <c r="OW471" s="10"/>
      <c r="OX471" s="10"/>
      <c r="OY471" s="10"/>
      <c r="OZ471" s="10"/>
      <c r="PA471" s="10"/>
      <c r="PB471" s="10"/>
      <c r="PC471" s="10"/>
      <c r="PD471" s="10"/>
      <c r="PE471" s="10"/>
      <c r="PF471" s="10"/>
      <c r="PG471" s="10"/>
      <c r="PH471" s="10"/>
      <c r="PI471" s="10"/>
      <c r="PJ471" s="10"/>
      <c r="PK471" s="10"/>
      <c r="PL471" s="10"/>
      <c r="PM471" s="10"/>
      <c r="PN471" s="10"/>
      <c r="PO471" s="10"/>
      <c r="PP471" s="10"/>
      <c r="PQ471" s="10"/>
      <c r="PR471" s="10"/>
      <c r="PS471" s="10"/>
      <c r="PT471" s="10"/>
      <c r="PU471" s="10"/>
      <c r="PV471" s="10"/>
      <c r="PW471" s="10"/>
      <c r="PX471" s="10"/>
      <c r="PY471" s="10"/>
      <c r="PZ471" s="10"/>
      <c r="QA471" s="10"/>
      <c r="QB471" s="10"/>
      <c r="QC471" s="10"/>
      <c r="QD471" s="10"/>
      <c r="QE471" s="10"/>
      <c r="QF471" s="10"/>
      <c r="QG471" s="10"/>
      <c r="QH471" s="10"/>
      <c r="QI471" s="10"/>
      <c r="QJ471" s="10"/>
      <c r="QK471" s="10"/>
      <c r="QL471" s="10"/>
      <c r="QM471" s="10"/>
      <c r="QN471" s="10"/>
      <c r="QO471" s="10"/>
      <c r="QP471" s="10"/>
      <c r="QQ471" s="10"/>
      <c r="QR471" s="10"/>
      <c r="QS471" s="10"/>
      <c r="QT471" s="10"/>
      <c r="QU471" s="10"/>
      <c r="QV471" s="10"/>
      <c r="QW471" s="10"/>
      <c r="QX471" s="10"/>
      <c r="QY471" s="10"/>
      <c r="QZ471" s="10"/>
      <c r="RA471" s="10"/>
      <c r="RB471" s="10"/>
      <c r="RC471" s="10"/>
      <c r="RD471" s="10"/>
      <c r="RE471" s="10"/>
      <c r="RF471" s="10"/>
      <c r="RG471" s="10"/>
      <c r="RH471" s="10"/>
      <c r="RI471" s="10"/>
      <c r="RJ471" s="10"/>
      <c r="RK471" s="10"/>
      <c r="RL471" s="10"/>
      <c r="RM471" s="10"/>
      <c r="RN471" s="10"/>
      <c r="RO471" s="10"/>
      <c r="RP471" s="10"/>
      <c r="RQ471" s="10"/>
      <c r="RR471" s="10"/>
      <c r="RS471" s="10"/>
      <c r="RT471" s="10"/>
      <c r="RU471" s="10"/>
      <c r="RV471" s="10"/>
      <c r="RW471" s="10"/>
      <c r="RX471" s="10"/>
      <c r="RY471" s="10"/>
      <c r="RZ471" s="10"/>
      <c r="SA471" s="10"/>
      <c r="SB471" s="10"/>
      <c r="SC471" s="10"/>
      <c r="SD471" s="10"/>
      <c r="SE471" s="10"/>
      <c r="SF471" s="10"/>
      <c r="SG471" s="10"/>
      <c r="SH471" s="10"/>
      <c r="SI471" s="10"/>
      <c r="SJ471" s="10"/>
      <c r="SK471" s="10"/>
      <c r="SL471" s="10"/>
      <c r="SM471" s="10"/>
      <c r="SN471" s="10"/>
      <c r="SO471" s="10"/>
      <c r="SP471" s="10"/>
      <c r="SQ471" s="10"/>
      <c r="SR471" s="10"/>
      <c r="SS471" s="10"/>
      <c r="ST471" s="10"/>
      <c r="SU471" s="10"/>
      <c r="SV471" s="10"/>
      <c r="SW471" s="10"/>
      <c r="SX471" s="10"/>
      <c r="SY471" s="10"/>
      <c r="SZ471" s="10"/>
      <c r="TA471" s="10"/>
      <c r="TB471" s="10"/>
      <c r="TC471" s="10"/>
      <c r="TD471" s="10"/>
      <c r="TE471" s="10"/>
      <c r="TF471" s="10"/>
      <c r="TG471" s="11">
        <f t="shared" si="24"/>
        <v>0</v>
      </c>
      <c r="TH471" s="9">
        <f t="shared" si="25"/>
        <v>0</v>
      </c>
    </row>
    <row r="472" spans="1:528" ht="15.6" thickBot="1" x14ac:dyDescent="0.3">
      <c r="A472" s="25" t="s">
        <v>306</v>
      </c>
      <c r="B472" s="18" t="s">
        <v>311</v>
      </c>
      <c r="C472" s="3">
        <f>AGOSTO!D476</f>
        <v>0</v>
      </c>
      <c r="D472" s="21">
        <f t="shared" si="23"/>
        <v>0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0"/>
      <c r="LV472" s="10"/>
      <c r="LW472" s="10"/>
      <c r="LX472" s="10"/>
      <c r="LY472" s="10"/>
      <c r="LZ472" s="10"/>
      <c r="MA472" s="10"/>
      <c r="MB472" s="10"/>
      <c r="MC472" s="10"/>
      <c r="MD472" s="10"/>
      <c r="ME472" s="10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/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0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  <c r="SB472" s="10"/>
      <c r="SC472" s="10"/>
      <c r="SD472" s="10"/>
      <c r="SE472" s="10"/>
      <c r="SF472" s="10"/>
      <c r="SG472" s="10"/>
      <c r="SH472" s="10"/>
      <c r="SI472" s="10"/>
      <c r="SJ472" s="10"/>
      <c r="SK472" s="10"/>
      <c r="SL472" s="10"/>
      <c r="SM472" s="10"/>
      <c r="SN472" s="10"/>
      <c r="SO472" s="10"/>
      <c r="SP472" s="10"/>
      <c r="SQ472" s="10"/>
      <c r="SR472" s="10"/>
      <c r="SS472" s="10"/>
      <c r="ST472" s="10"/>
      <c r="SU472" s="10"/>
      <c r="SV472" s="10"/>
      <c r="SW472" s="10"/>
      <c r="SX472" s="10"/>
      <c r="SY472" s="10"/>
      <c r="SZ472" s="10"/>
      <c r="TA472" s="10"/>
      <c r="TB472" s="10"/>
      <c r="TC472" s="10"/>
      <c r="TD472" s="10"/>
      <c r="TE472" s="10"/>
      <c r="TF472" s="10"/>
      <c r="TG472" s="11">
        <f t="shared" si="24"/>
        <v>0</v>
      </c>
      <c r="TH472" s="9">
        <f t="shared" si="25"/>
        <v>0</v>
      </c>
    </row>
    <row r="473" spans="1:528" ht="16.2" thickBot="1" x14ac:dyDescent="0.35">
      <c r="A473" s="25"/>
      <c r="B473" s="23" t="s">
        <v>318</v>
      </c>
      <c r="C473" s="3">
        <f>AGOSTO!D477</f>
        <v>0</v>
      </c>
      <c r="D473" s="21">
        <f t="shared" si="23"/>
        <v>0</v>
      </c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10"/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10"/>
      <c r="KO473" s="10"/>
      <c r="KP473" s="10"/>
      <c r="KQ473" s="10"/>
      <c r="KR473" s="10"/>
      <c r="KS473" s="10"/>
      <c r="KT473" s="10"/>
      <c r="KU473" s="10"/>
      <c r="KV473" s="10"/>
      <c r="KW473" s="10"/>
      <c r="KX473" s="10"/>
      <c r="KY473" s="10"/>
      <c r="KZ473" s="10"/>
      <c r="LA473" s="10"/>
      <c r="LB473" s="10"/>
      <c r="LC473" s="10"/>
      <c r="LD473" s="10"/>
      <c r="LE473" s="10"/>
      <c r="LF473" s="10"/>
      <c r="LG473" s="10"/>
      <c r="LH473" s="10"/>
      <c r="LI473" s="10"/>
      <c r="LJ473" s="10"/>
      <c r="LK473" s="10"/>
      <c r="LL473" s="10"/>
      <c r="LM473" s="10"/>
      <c r="LN473" s="10"/>
      <c r="LO473" s="10"/>
      <c r="LP473" s="10"/>
      <c r="LQ473" s="10"/>
      <c r="LR473" s="10"/>
      <c r="LS473" s="10"/>
      <c r="LT473" s="10"/>
      <c r="LU473" s="10"/>
      <c r="LV473" s="10"/>
      <c r="LW473" s="10"/>
      <c r="LX473" s="10"/>
      <c r="LY473" s="10"/>
      <c r="LZ473" s="10"/>
      <c r="MA473" s="10"/>
      <c r="MB473" s="10"/>
      <c r="MC473" s="10"/>
      <c r="MD473" s="10"/>
      <c r="ME473" s="10"/>
      <c r="MF473" s="10"/>
      <c r="MG473" s="10"/>
      <c r="MH473" s="10"/>
      <c r="MI473" s="10"/>
      <c r="MJ473" s="10"/>
      <c r="MK473" s="10"/>
      <c r="ML473" s="10"/>
      <c r="MM473" s="10"/>
      <c r="MN473" s="10"/>
      <c r="MO473" s="10"/>
      <c r="MP473" s="10"/>
      <c r="MQ473" s="10"/>
      <c r="MR473" s="10"/>
      <c r="MS473" s="10"/>
      <c r="MT473" s="10"/>
      <c r="MU473" s="10"/>
      <c r="MV473" s="10"/>
      <c r="MW473" s="10"/>
      <c r="MX473" s="10"/>
      <c r="MY473" s="10"/>
      <c r="MZ473" s="10"/>
      <c r="NA473" s="10"/>
      <c r="NB473" s="10"/>
      <c r="NC473" s="10"/>
      <c r="ND473" s="10"/>
      <c r="NE473" s="10"/>
      <c r="NF473" s="10"/>
      <c r="NG473" s="10"/>
      <c r="NH473" s="10"/>
      <c r="NI473" s="10"/>
      <c r="NJ473" s="10"/>
      <c r="NK473" s="10"/>
      <c r="NL473" s="10"/>
      <c r="NM473" s="10"/>
      <c r="NN473" s="10"/>
      <c r="NO473" s="10"/>
      <c r="NP473" s="10"/>
      <c r="NQ473" s="10"/>
      <c r="NR473" s="10"/>
      <c r="NS473" s="10"/>
      <c r="NT473" s="10"/>
      <c r="NU473" s="10"/>
      <c r="NV473" s="10"/>
      <c r="NW473" s="10"/>
      <c r="NX473" s="10"/>
      <c r="NY473" s="10"/>
      <c r="NZ473" s="10"/>
      <c r="OA473" s="10"/>
      <c r="OB473" s="10"/>
      <c r="OC473" s="10"/>
      <c r="OD473" s="10"/>
      <c r="OE473" s="10"/>
      <c r="OF473" s="10"/>
      <c r="OG473" s="10"/>
      <c r="OH473" s="10"/>
      <c r="OI473" s="10"/>
      <c r="OJ473" s="10"/>
      <c r="OK473" s="10"/>
      <c r="OL473" s="10"/>
      <c r="OM473" s="10"/>
      <c r="ON473" s="10"/>
      <c r="OO473" s="10"/>
      <c r="OP473" s="10"/>
      <c r="OQ473" s="10"/>
      <c r="OR473" s="10"/>
      <c r="OS473" s="10"/>
      <c r="OT473" s="10"/>
      <c r="OU473" s="10"/>
      <c r="OV473" s="10"/>
      <c r="OW473" s="10"/>
      <c r="OX473" s="10"/>
      <c r="OY473" s="10"/>
      <c r="OZ473" s="10"/>
      <c r="PA473" s="10"/>
      <c r="PB473" s="10"/>
      <c r="PC473" s="10"/>
      <c r="PD473" s="10"/>
      <c r="PE473" s="10"/>
      <c r="PF473" s="10"/>
      <c r="PG473" s="10"/>
      <c r="PH473" s="10"/>
      <c r="PI473" s="10"/>
      <c r="PJ473" s="10"/>
      <c r="PK473" s="10"/>
      <c r="PL473" s="10"/>
      <c r="PM473" s="10"/>
      <c r="PN473" s="10"/>
      <c r="PO473" s="10"/>
      <c r="PP473" s="10"/>
      <c r="PQ473" s="10"/>
      <c r="PR473" s="10"/>
      <c r="PS473" s="10"/>
      <c r="PT473" s="10"/>
      <c r="PU473" s="10"/>
      <c r="PV473" s="10"/>
      <c r="PW473" s="10"/>
      <c r="PX473" s="10"/>
      <c r="PY473" s="10"/>
      <c r="PZ473" s="10"/>
      <c r="QA473" s="10"/>
      <c r="QB473" s="10"/>
      <c r="QC473" s="10"/>
      <c r="QD473" s="10"/>
      <c r="QE473" s="10"/>
      <c r="QF473" s="10"/>
      <c r="QG473" s="10"/>
      <c r="QH473" s="10"/>
      <c r="QI473" s="10"/>
      <c r="QJ473" s="10"/>
      <c r="QK473" s="10"/>
      <c r="QL473" s="10"/>
      <c r="QM473" s="10"/>
      <c r="QN473" s="10"/>
      <c r="QO473" s="10"/>
      <c r="QP473" s="10"/>
      <c r="QQ473" s="10"/>
      <c r="QR473" s="10"/>
      <c r="QS473" s="10"/>
      <c r="QT473" s="10"/>
      <c r="QU473" s="10"/>
      <c r="QV473" s="10"/>
      <c r="QW473" s="10"/>
      <c r="QX473" s="10"/>
      <c r="QY473" s="10"/>
      <c r="QZ473" s="10"/>
      <c r="RA473" s="10"/>
      <c r="RB473" s="10"/>
      <c r="RC473" s="10"/>
      <c r="RD473" s="10"/>
      <c r="RE473" s="10"/>
      <c r="RF473" s="10"/>
      <c r="RG473" s="10"/>
      <c r="RH473" s="10"/>
      <c r="RI473" s="10"/>
      <c r="RJ473" s="10"/>
      <c r="RK473" s="10"/>
      <c r="RL473" s="10"/>
      <c r="RM473" s="10"/>
      <c r="RN473" s="10"/>
      <c r="RO473" s="10"/>
      <c r="RP473" s="10"/>
      <c r="RQ473" s="10"/>
      <c r="RR473" s="10"/>
      <c r="RS473" s="10"/>
      <c r="RT473" s="10"/>
      <c r="RU473" s="10"/>
      <c r="RV473" s="10"/>
      <c r="RW473" s="10"/>
      <c r="RX473" s="10"/>
      <c r="RY473" s="10"/>
      <c r="RZ473" s="10"/>
      <c r="SA473" s="10"/>
      <c r="SB473" s="10"/>
      <c r="SC473" s="10"/>
      <c r="SD473" s="10"/>
      <c r="SE473" s="10"/>
      <c r="SF473" s="10"/>
      <c r="SG473" s="10"/>
      <c r="SH473" s="10"/>
      <c r="SI473" s="10"/>
      <c r="SJ473" s="10"/>
      <c r="SK473" s="10"/>
      <c r="SL473" s="10"/>
      <c r="SM473" s="10"/>
      <c r="SN473" s="10"/>
      <c r="SO473" s="10"/>
      <c r="SP473" s="10"/>
      <c r="SQ473" s="10"/>
      <c r="SR473" s="10"/>
      <c r="SS473" s="10"/>
      <c r="ST473" s="10"/>
      <c r="SU473" s="10"/>
      <c r="SV473" s="10"/>
      <c r="SW473" s="10"/>
      <c r="SX473" s="10"/>
      <c r="SY473" s="10"/>
      <c r="SZ473" s="10"/>
      <c r="TA473" s="10"/>
      <c r="TB473" s="10"/>
      <c r="TC473" s="10"/>
      <c r="TD473" s="10"/>
      <c r="TE473" s="10"/>
      <c r="TF473" s="10"/>
      <c r="TG473" s="11">
        <f t="shared" si="24"/>
        <v>0</v>
      </c>
      <c r="TH473" s="9">
        <f t="shared" si="25"/>
        <v>0</v>
      </c>
    </row>
    <row r="474" spans="1:528" ht="15.6" thickBot="1" x14ac:dyDescent="0.3">
      <c r="A474" s="25" t="s">
        <v>797</v>
      </c>
      <c r="B474" s="18" t="s">
        <v>798</v>
      </c>
      <c r="C474" s="3">
        <f>AGOSTO!D478</f>
        <v>0</v>
      </c>
      <c r="D474" s="21">
        <f t="shared" si="23"/>
        <v>3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>
        <v>4</v>
      </c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>
        <v>-4</v>
      </c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>
        <v>10</v>
      </c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>
        <v>-7</v>
      </c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0"/>
      <c r="LV474" s="10"/>
      <c r="LW474" s="10"/>
      <c r="LX474" s="10"/>
      <c r="LY474" s="10"/>
      <c r="LZ474" s="10"/>
      <c r="MA474" s="10"/>
      <c r="MB474" s="10"/>
      <c r="MC474" s="10"/>
      <c r="MD474" s="10"/>
      <c r="ME474" s="10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/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0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  <c r="SB474" s="10"/>
      <c r="SC474" s="10"/>
      <c r="SD474" s="10"/>
      <c r="SE474" s="10"/>
      <c r="SF474" s="10"/>
      <c r="SG474" s="10"/>
      <c r="SH474" s="10"/>
      <c r="SI474" s="10"/>
      <c r="SJ474" s="10"/>
      <c r="SK474" s="10"/>
      <c r="SL474" s="10"/>
      <c r="SM474" s="10"/>
      <c r="SN474" s="10"/>
      <c r="SO474" s="10"/>
      <c r="SP474" s="10"/>
      <c r="SQ474" s="10"/>
      <c r="SR474" s="10"/>
      <c r="SS474" s="10"/>
      <c r="ST474" s="10"/>
      <c r="SU474" s="10"/>
      <c r="SV474" s="10"/>
      <c r="SW474" s="10"/>
      <c r="SX474" s="10"/>
      <c r="SY474" s="10"/>
      <c r="SZ474" s="10"/>
      <c r="TA474" s="10"/>
      <c r="TB474" s="10"/>
      <c r="TC474" s="10"/>
      <c r="TD474" s="10"/>
      <c r="TE474" s="10"/>
      <c r="TF474" s="10"/>
      <c r="TG474" s="11">
        <f t="shared" si="24"/>
        <v>0</v>
      </c>
      <c r="TH474" s="9">
        <f t="shared" si="25"/>
        <v>0</v>
      </c>
    </row>
    <row r="475" spans="1:528" ht="15.6" thickBot="1" x14ac:dyDescent="0.3">
      <c r="A475" s="25" t="s">
        <v>568</v>
      </c>
      <c r="B475" s="18" t="s">
        <v>316</v>
      </c>
      <c r="C475" s="3">
        <f>AGOSTO!D479</f>
        <v>0</v>
      </c>
      <c r="D475" s="21">
        <f t="shared" si="23"/>
        <v>1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>
        <v>5</v>
      </c>
      <c r="CB475" s="10"/>
      <c r="CC475" s="10"/>
      <c r="CD475" s="10">
        <v>-3</v>
      </c>
      <c r="CE475" s="10">
        <v>1</v>
      </c>
      <c r="CF475" s="10">
        <v>-2</v>
      </c>
      <c r="CG475" s="10">
        <v>3</v>
      </c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>
        <v>-3</v>
      </c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10"/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10"/>
      <c r="KO475" s="10"/>
      <c r="KP475" s="10"/>
      <c r="KQ475" s="10"/>
      <c r="KR475" s="10"/>
      <c r="KS475" s="10"/>
      <c r="KT475" s="10"/>
      <c r="KU475" s="10"/>
      <c r="KV475" s="10"/>
      <c r="KW475" s="10"/>
      <c r="KX475" s="10"/>
      <c r="KY475" s="10"/>
      <c r="KZ475" s="10"/>
      <c r="LA475" s="10"/>
      <c r="LB475" s="10"/>
      <c r="LC475" s="10"/>
      <c r="LD475" s="10"/>
      <c r="LE475" s="10"/>
      <c r="LF475" s="10"/>
      <c r="LG475" s="10"/>
      <c r="LH475" s="10"/>
      <c r="LI475" s="10"/>
      <c r="LJ475" s="10"/>
      <c r="LK475" s="10"/>
      <c r="LL475" s="10"/>
      <c r="LM475" s="10"/>
      <c r="LN475" s="10"/>
      <c r="LO475" s="10"/>
      <c r="LP475" s="10"/>
      <c r="LQ475" s="10"/>
      <c r="LR475" s="10"/>
      <c r="LS475" s="10"/>
      <c r="LT475" s="10"/>
      <c r="LU475" s="10"/>
      <c r="LV475" s="10"/>
      <c r="LW475" s="10"/>
      <c r="LX475" s="10"/>
      <c r="LY475" s="10"/>
      <c r="LZ475" s="10"/>
      <c r="MA475" s="10"/>
      <c r="MB475" s="10"/>
      <c r="MC475" s="10"/>
      <c r="MD475" s="10"/>
      <c r="ME475" s="10"/>
      <c r="MF475" s="10"/>
      <c r="MG475" s="10"/>
      <c r="MH475" s="10"/>
      <c r="MI475" s="10"/>
      <c r="MJ475" s="10"/>
      <c r="MK475" s="10"/>
      <c r="ML475" s="10"/>
      <c r="MM475" s="10"/>
      <c r="MN475" s="10"/>
      <c r="MO475" s="10"/>
      <c r="MP475" s="10"/>
      <c r="MQ475" s="10"/>
      <c r="MR475" s="10"/>
      <c r="MS475" s="10"/>
      <c r="MT475" s="10"/>
      <c r="MU475" s="10"/>
      <c r="MV475" s="10"/>
      <c r="MW475" s="10"/>
      <c r="MX475" s="10"/>
      <c r="MY475" s="10"/>
      <c r="MZ475" s="10"/>
      <c r="NA475" s="10"/>
      <c r="NB475" s="10"/>
      <c r="NC475" s="10"/>
      <c r="ND475" s="10"/>
      <c r="NE475" s="10"/>
      <c r="NF475" s="10"/>
      <c r="NG475" s="10"/>
      <c r="NH475" s="10"/>
      <c r="NI475" s="10"/>
      <c r="NJ475" s="10"/>
      <c r="NK475" s="10"/>
      <c r="NL475" s="10"/>
      <c r="NM475" s="10"/>
      <c r="NN475" s="10"/>
      <c r="NO475" s="10"/>
      <c r="NP475" s="10"/>
      <c r="NQ475" s="10"/>
      <c r="NR475" s="10"/>
      <c r="NS475" s="10"/>
      <c r="NT475" s="10"/>
      <c r="NU475" s="10"/>
      <c r="NV475" s="10"/>
      <c r="NW475" s="10"/>
      <c r="NX475" s="10"/>
      <c r="NY475" s="10"/>
      <c r="NZ475" s="10"/>
      <c r="OA475" s="10"/>
      <c r="OB475" s="10"/>
      <c r="OC475" s="10"/>
      <c r="OD475" s="10"/>
      <c r="OE475" s="10"/>
      <c r="OF475" s="10"/>
      <c r="OG475" s="10"/>
      <c r="OH475" s="10"/>
      <c r="OI475" s="10"/>
      <c r="OJ475" s="10"/>
      <c r="OK475" s="10"/>
      <c r="OL475" s="10"/>
      <c r="OM475" s="10"/>
      <c r="ON475" s="10"/>
      <c r="OO475" s="10"/>
      <c r="OP475" s="10"/>
      <c r="OQ475" s="10"/>
      <c r="OR475" s="10"/>
      <c r="OS475" s="10"/>
      <c r="OT475" s="10"/>
      <c r="OU475" s="10"/>
      <c r="OV475" s="10"/>
      <c r="OW475" s="10"/>
      <c r="OX475" s="10"/>
      <c r="OY475" s="10"/>
      <c r="OZ475" s="10"/>
      <c r="PA475" s="10"/>
      <c r="PB475" s="10"/>
      <c r="PC475" s="10"/>
      <c r="PD475" s="10"/>
      <c r="PE475" s="10"/>
      <c r="PF475" s="10"/>
      <c r="PG475" s="10"/>
      <c r="PH475" s="10"/>
      <c r="PI475" s="10"/>
      <c r="PJ475" s="10"/>
      <c r="PK475" s="10"/>
      <c r="PL475" s="10"/>
      <c r="PM475" s="10"/>
      <c r="PN475" s="10"/>
      <c r="PO475" s="10"/>
      <c r="PP475" s="10"/>
      <c r="PQ475" s="10"/>
      <c r="PR475" s="10"/>
      <c r="PS475" s="10"/>
      <c r="PT475" s="10"/>
      <c r="PU475" s="10"/>
      <c r="PV475" s="10"/>
      <c r="PW475" s="10"/>
      <c r="PX475" s="10"/>
      <c r="PY475" s="10"/>
      <c r="PZ475" s="10"/>
      <c r="QA475" s="10"/>
      <c r="QB475" s="10"/>
      <c r="QC475" s="10"/>
      <c r="QD475" s="10"/>
      <c r="QE475" s="10"/>
      <c r="QF475" s="10"/>
      <c r="QG475" s="10"/>
      <c r="QH475" s="10"/>
      <c r="QI475" s="10"/>
      <c r="QJ475" s="10"/>
      <c r="QK475" s="10"/>
      <c r="QL475" s="10"/>
      <c r="QM475" s="10"/>
      <c r="QN475" s="10"/>
      <c r="QO475" s="10"/>
      <c r="QP475" s="10"/>
      <c r="QQ475" s="10"/>
      <c r="QR475" s="10"/>
      <c r="QS475" s="10"/>
      <c r="QT475" s="10"/>
      <c r="QU475" s="10"/>
      <c r="QV475" s="10"/>
      <c r="QW475" s="10"/>
      <c r="QX475" s="10"/>
      <c r="QY475" s="10"/>
      <c r="QZ475" s="10"/>
      <c r="RA475" s="10"/>
      <c r="RB475" s="10"/>
      <c r="RC475" s="10"/>
      <c r="RD475" s="10"/>
      <c r="RE475" s="10"/>
      <c r="RF475" s="10"/>
      <c r="RG475" s="10"/>
      <c r="RH475" s="10"/>
      <c r="RI475" s="10"/>
      <c r="RJ475" s="10"/>
      <c r="RK475" s="10"/>
      <c r="RL475" s="10"/>
      <c r="RM475" s="10"/>
      <c r="RN475" s="10"/>
      <c r="RO475" s="10"/>
      <c r="RP475" s="10"/>
      <c r="RQ475" s="10"/>
      <c r="RR475" s="10"/>
      <c r="RS475" s="10"/>
      <c r="RT475" s="10"/>
      <c r="RU475" s="10"/>
      <c r="RV475" s="10"/>
      <c r="RW475" s="10"/>
      <c r="RX475" s="10"/>
      <c r="RY475" s="10"/>
      <c r="RZ475" s="10"/>
      <c r="SA475" s="10"/>
      <c r="SB475" s="10"/>
      <c r="SC475" s="10"/>
      <c r="SD475" s="10"/>
      <c r="SE475" s="10"/>
      <c r="SF475" s="10"/>
      <c r="SG475" s="10"/>
      <c r="SH475" s="10"/>
      <c r="SI475" s="10"/>
      <c r="SJ475" s="10"/>
      <c r="SK475" s="10"/>
      <c r="SL475" s="10"/>
      <c r="SM475" s="10"/>
      <c r="SN475" s="10"/>
      <c r="SO475" s="10"/>
      <c r="SP475" s="10"/>
      <c r="SQ475" s="10"/>
      <c r="SR475" s="10"/>
      <c r="SS475" s="10"/>
      <c r="ST475" s="10"/>
      <c r="SU475" s="10"/>
      <c r="SV475" s="10"/>
      <c r="SW475" s="10"/>
      <c r="SX475" s="10"/>
      <c r="SY475" s="10"/>
      <c r="SZ475" s="10"/>
      <c r="TA475" s="10"/>
      <c r="TB475" s="10"/>
      <c r="TC475" s="10"/>
      <c r="TD475" s="10"/>
      <c r="TE475" s="10"/>
      <c r="TF475" s="10"/>
      <c r="TG475" s="11">
        <f t="shared" si="24"/>
        <v>0</v>
      </c>
      <c r="TH475" s="9">
        <f t="shared" si="25"/>
        <v>0</v>
      </c>
    </row>
    <row r="476" spans="1:528" ht="15.6" thickBot="1" x14ac:dyDescent="0.3">
      <c r="A476" s="25" t="s">
        <v>567</v>
      </c>
      <c r="B476" s="18" t="s">
        <v>317</v>
      </c>
      <c r="C476" s="3">
        <f>AGOSTO!D480</f>
        <v>0</v>
      </c>
      <c r="D476" s="21">
        <f t="shared" si="23"/>
        <v>28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>
        <v>6</v>
      </c>
      <c r="CB476" s="10"/>
      <c r="CC476" s="10"/>
      <c r="CD476" s="10">
        <v>-3</v>
      </c>
      <c r="CE476" s="10">
        <v>3</v>
      </c>
      <c r="CF476" s="10">
        <v>-3</v>
      </c>
      <c r="CG476" s="10"/>
      <c r="CH476" s="10"/>
      <c r="CI476" s="10"/>
      <c r="CJ476" s="10"/>
      <c r="CK476" s="10"/>
      <c r="CL476" s="10"/>
      <c r="CM476" s="10">
        <v>5</v>
      </c>
      <c r="CN476" s="10"/>
      <c r="CO476" s="10"/>
      <c r="CP476" s="10"/>
      <c r="CQ476" s="10">
        <v>6</v>
      </c>
      <c r="CR476" s="10">
        <v>-6</v>
      </c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>
        <v>-2</v>
      </c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>
        <v>-1</v>
      </c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>
        <v>13</v>
      </c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>
        <v>13</v>
      </c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>
        <v>-3</v>
      </c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0"/>
      <c r="LV476" s="10"/>
      <c r="LW476" s="10"/>
      <c r="LX476" s="10"/>
      <c r="LY476" s="10"/>
      <c r="LZ476" s="10"/>
      <c r="MA476" s="10"/>
      <c r="MB476" s="10"/>
      <c r="MC476" s="10"/>
      <c r="MD476" s="10"/>
      <c r="ME476" s="10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/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0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  <c r="SB476" s="10"/>
      <c r="SC476" s="10"/>
      <c r="SD476" s="10"/>
      <c r="SE476" s="10"/>
      <c r="SF476" s="10"/>
      <c r="SG476" s="10"/>
      <c r="SH476" s="10"/>
      <c r="SI476" s="10"/>
      <c r="SJ476" s="10"/>
      <c r="SK476" s="10"/>
      <c r="SL476" s="10"/>
      <c r="SM476" s="10"/>
      <c r="SN476" s="10"/>
      <c r="SO476" s="10"/>
      <c r="SP476" s="10"/>
      <c r="SQ476" s="10"/>
      <c r="SR476" s="10"/>
      <c r="SS476" s="10"/>
      <c r="ST476" s="10"/>
      <c r="SU476" s="10"/>
      <c r="SV476" s="10"/>
      <c r="SW476" s="10"/>
      <c r="SX476" s="10"/>
      <c r="SY476" s="10"/>
      <c r="SZ476" s="10"/>
      <c r="TA476" s="10"/>
      <c r="TB476" s="10"/>
      <c r="TC476" s="10"/>
      <c r="TD476" s="10"/>
      <c r="TE476" s="10"/>
      <c r="TF476" s="10"/>
      <c r="TG476" s="11">
        <f t="shared" si="24"/>
        <v>0</v>
      </c>
      <c r="TH476" s="9">
        <f t="shared" si="25"/>
        <v>0</v>
      </c>
    </row>
    <row r="477" spans="1:528" ht="15.6" thickBot="1" x14ac:dyDescent="0.3">
      <c r="A477" s="25" t="s">
        <v>709</v>
      </c>
      <c r="B477" s="18" t="s">
        <v>361</v>
      </c>
      <c r="C477" s="3">
        <f>AGOSTO!D481</f>
        <v>0</v>
      </c>
      <c r="D477" s="21">
        <f t="shared" si="23"/>
        <v>0</v>
      </c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>
        <v>13</v>
      </c>
      <c r="AN477" s="10">
        <v>-13</v>
      </c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>
        <v>12</v>
      </c>
      <c r="CB477" s="10"/>
      <c r="CC477" s="10"/>
      <c r="CD477" s="10">
        <v>-6</v>
      </c>
      <c r="CE477" s="10">
        <v>3</v>
      </c>
      <c r="CF477" s="10">
        <v>-9</v>
      </c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>
        <v>3</v>
      </c>
      <c r="DF477" s="10">
        <v>-3</v>
      </c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>
        <v>12</v>
      </c>
      <c r="EV477" s="10"/>
      <c r="EW477" s="10"/>
      <c r="EX477" s="10">
        <v>-12</v>
      </c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10"/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10"/>
      <c r="KO477" s="10"/>
      <c r="KP477" s="10"/>
      <c r="KQ477" s="10"/>
      <c r="KR477" s="10"/>
      <c r="KS477" s="10"/>
      <c r="KT477" s="10"/>
      <c r="KU477" s="10"/>
      <c r="KV477" s="10"/>
      <c r="KW477" s="10"/>
      <c r="KX477" s="10"/>
      <c r="KY477" s="10"/>
      <c r="KZ477" s="10"/>
      <c r="LA477" s="10"/>
      <c r="LB477" s="10"/>
      <c r="LC477" s="10"/>
      <c r="LD477" s="10"/>
      <c r="LE477" s="10"/>
      <c r="LF477" s="10"/>
      <c r="LG477" s="10"/>
      <c r="LH477" s="10"/>
      <c r="LI477" s="10"/>
      <c r="LJ477" s="10"/>
      <c r="LK477" s="10"/>
      <c r="LL477" s="10"/>
      <c r="LM477" s="10"/>
      <c r="LN477" s="10"/>
      <c r="LO477" s="10"/>
      <c r="LP477" s="10"/>
      <c r="LQ477" s="10"/>
      <c r="LR477" s="10"/>
      <c r="LS477" s="10"/>
      <c r="LT477" s="10"/>
      <c r="LU477" s="10"/>
      <c r="LV477" s="10"/>
      <c r="LW477" s="10"/>
      <c r="LX477" s="10"/>
      <c r="LY477" s="10"/>
      <c r="LZ477" s="10"/>
      <c r="MA477" s="10"/>
      <c r="MB477" s="10"/>
      <c r="MC477" s="10"/>
      <c r="MD477" s="10"/>
      <c r="ME477" s="10"/>
      <c r="MF477" s="10"/>
      <c r="MG477" s="10"/>
      <c r="MH477" s="10"/>
      <c r="MI477" s="10"/>
      <c r="MJ477" s="10"/>
      <c r="MK477" s="10"/>
      <c r="ML477" s="10"/>
      <c r="MM477" s="10"/>
      <c r="MN477" s="10"/>
      <c r="MO477" s="10"/>
      <c r="MP477" s="10"/>
      <c r="MQ477" s="10"/>
      <c r="MR477" s="10"/>
      <c r="MS477" s="10"/>
      <c r="MT477" s="10"/>
      <c r="MU477" s="10"/>
      <c r="MV477" s="10"/>
      <c r="MW477" s="10"/>
      <c r="MX477" s="10"/>
      <c r="MY477" s="10"/>
      <c r="MZ477" s="10"/>
      <c r="NA477" s="10"/>
      <c r="NB477" s="10"/>
      <c r="NC477" s="10"/>
      <c r="ND477" s="10"/>
      <c r="NE477" s="10"/>
      <c r="NF477" s="10"/>
      <c r="NG477" s="10"/>
      <c r="NH477" s="10"/>
      <c r="NI477" s="10"/>
      <c r="NJ477" s="10"/>
      <c r="NK477" s="10"/>
      <c r="NL477" s="10"/>
      <c r="NM477" s="10"/>
      <c r="NN477" s="10"/>
      <c r="NO477" s="10"/>
      <c r="NP477" s="10"/>
      <c r="NQ477" s="10"/>
      <c r="NR477" s="10"/>
      <c r="NS477" s="10"/>
      <c r="NT477" s="10"/>
      <c r="NU477" s="10"/>
      <c r="NV477" s="10"/>
      <c r="NW477" s="10"/>
      <c r="NX477" s="10"/>
      <c r="NY477" s="10"/>
      <c r="NZ477" s="10"/>
      <c r="OA477" s="10"/>
      <c r="OB477" s="10"/>
      <c r="OC477" s="10"/>
      <c r="OD477" s="10"/>
      <c r="OE477" s="10"/>
      <c r="OF477" s="10"/>
      <c r="OG477" s="10"/>
      <c r="OH477" s="10"/>
      <c r="OI477" s="10"/>
      <c r="OJ477" s="10"/>
      <c r="OK477" s="10"/>
      <c r="OL477" s="10"/>
      <c r="OM477" s="10"/>
      <c r="ON477" s="10"/>
      <c r="OO477" s="10"/>
      <c r="OP477" s="10"/>
      <c r="OQ477" s="10"/>
      <c r="OR477" s="10"/>
      <c r="OS477" s="10"/>
      <c r="OT477" s="10"/>
      <c r="OU477" s="10"/>
      <c r="OV477" s="10"/>
      <c r="OW477" s="10"/>
      <c r="OX477" s="10"/>
      <c r="OY477" s="10"/>
      <c r="OZ477" s="10"/>
      <c r="PA477" s="10"/>
      <c r="PB477" s="10"/>
      <c r="PC477" s="10"/>
      <c r="PD477" s="10"/>
      <c r="PE477" s="10"/>
      <c r="PF477" s="10"/>
      <c r="PG477" s="10"/>
      <c r="PH477" s="10"/>
      <c r="PI477" s="10"/>
      <c r="PJ477" s="10"/>
      <c r="PK477" s="10"/>
      <c r="PL477" s="10"/>
      <c r="PM477" s="10"/>
      <c r="PN477" s="10"/>
      <c r="PO477" s="10"/>
      <c r="PP477" s="10"/>
      <c r="PQ477" s="10"/>
      <c r="PR477" s="10"/>
      <c r="PS477" s="10"/>
      <c r="PT477" s="10"/>
      <c r="PU477" s="10"/>
      <c r="PV477" s="10"/>
      <c r="PW477" s="10"/>
      <c r="PX477" s="10"/>
      <c r="PY477" s="10"/>
      <c r="PZ477" s="10"/>
      <c r="QA477" s="10"/>
      <c r="QB477" s="10"/>
      <c r="QC477" s="10"/>
      <c r="QD477" s="10"/>
      <c r="QE477" s="10"/>
      <c r="QF477" s="10"/>
      <c r="QG477" s="10"/>
      <c r="QH477" s="10"/>
      <c r="QI477" s="10"/>
      <c r="QJ477" s="10"/>
      <c r="QK477" s="10"/>
      <c r="QL477" s="10"/>
      <c r="QM477" s="10"/>
      <c r="QN477" s="10"/>
      <c r="QO477" s="10"/>
      <c r="QP477" s="10"/>
      <c r="QQ477" s="10"/>
      <c r="QR477" s="10"/>
      <c r="QS477" s="10"/>
      <c r="QT477" s="10"/>
      <c r="QU477" s="10"/>
      <c r="QV477" s="10"/>
      <c r="QW477" s="10"/>
      <c r="QX477" s="10"/>
      <c r="QY477" s="10"/>
      <c r="QZ477" s="10"/>
      <c r="RA477" s="10"/>
      <c r="RB477" s="10"/>
      <c r="RC477" s="10"/>
      <c r="RD477" s="10"/>
      <c r="RE477" s="10"/>
      <c r="RF477" s="10"/>
      <c r="RG477" s="10"/>
      <c r="RH477" s="10"/>
      <c r="RI477" s="10"/>
      <c r="RJ477" s="10"/>
      <c r="RK477" s="10"/>
      <c r="RL477" s="10"/>
      <c r="RM477" s="10"/>
      <c r="RN477" s="10"/>
      <c r="RO477" s="10"/>
      <c r="RP477" s="10"/>
      <c r="RQ477" s="10"/>
      <c r="RR477" s="10"/>
      <c r="RS477" s="10"/>
      <c r="RT477" s="10"/>
      <c r="RU477" s="10"/>
      <c r="RV477" s="10"/>
      <c r="RW477" s="10"/>
      <c r="RX477" s="10"/>
      <c r="RY477" s="10"/>
      <c r="RZ477" s="10"/>
      <c r="SA477" s="10"/>
      <c r="SB477" s="10"/>
      <c r="SC477" s="10"/>
      <c r="SD477" s="10"/>
      <c r="SE477" s="10"/>
      <c r="SF477" s="10"/>
      <c r="SG477" s="10"/>
      <c r="SH477" s="10"/>
      <c r="SI477" s="10"/>
      <c r="SJ477" s="10"/>
      <c r="SK477" s="10"/>
      <c r="SL477" s="10"/>
      <c r="SM477" s="10"/>
      <c r="SN477" s="10"/>
      <c r="SO477" s="10"/>
      <c r="SP477" s="10"/>
      <c r="SQ477" s="10"/>
      <c r="SR477" s="10"/>
      <c r="SS477" s="10"/>
      <c r="ST477" s="10"/>
      <c r="SU477" s="10"/>
      <c r="SV477" s="10"/>
      <c r="SW477" s="10"/>
      <c r="SX477" s="10"/>
      <c r="SY477" s="10"/>
      <c r="SZ477" s="10"/>
      <c r="TA477" s="10"/>
      <c r="TB477" s="10"/>
      <c r="TC477" s="10"/>
      <c r="TD477" s="10"/>
      <c r="TE477" s="10"/>
      <c r="TF477" s="10"/>
      <c r="TG477" s="11">
        <f t="shared" si="24"/>
        <v>13</v>
      </c>
      <c r="TH477" s="9">
        <f t="shared" si="25"/>
        <v>-13</v>
      </c>
    </row>
    <row r="478" spans="1:528" ht="15.6" thickBot="1" x14ac:dyDescent="0.3">
      <c r="A478" s="25" t="s">
        <v>1112</v>
      </c>
      <c r="B478" s="18" t="s">
        <v>1113</v>
      </c>
      <c r="C478" s="3">
        <f>AGOSTO!D482</f>
        <v>0</v>
      </c>
      <c r="D478" s="21">
        <f t="shared" si="23"/>
        <v>0</v>
      </c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0"/>
      <c r="LV478" s="10"/>
      <c r="LW478" s="10"/>
      <c r="LX478" s="10"/>
      <c r="LY478" s="10"/>
      <c r="LZ478" s="10"/>
      <c r="MA478" s="10"/>
      <c r="MB478" s="10"/>
      <c r="MC478" s="10"/>
      <c r="MD478" s="10"/>
      <c r="ME478" s="10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/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0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  <c r="SB478" s="10"/>
      <c r="SC478" s="10"/>
      <c r="SD478" s="10"/>
      <c r="SE478" s="10"/>
      <c r="SF478" s="10"/>
      <c r="SG478" s="10"/>
      <c r="SH478" s="10"/>
      <c r="SI478" s="10"/>
      <c r="SJ478" s="10"/>
      <c r="SK478" s="10"/>
      <c r="SL478" s="10"/>
      <c r="SM478" s="10"/>
      <c r="SN478" s="10"/>
      <c r="SO478" s="10"/>
      <c r="SP478" s="10"/>
      <c r="SQ478" s="10"/>
      <c r="SR478" s="10"/>
      <c r="SS478" s="10"/>
      <c r="ST478" s="10"/>
      <c r="SU478" s="10"/>
      <c r="SV478" s="10"/>
      <c r="SW478" s="10"/>
      <c r="SX478" s="10"/>
      <c r="SY478" s="10"/>
      <c r="SZ478" s="10"/>
      <c r="TA478" s="10"/>
      <c r="TB478" s="10"/>
      <c r="TC478" s="10"/>
      <c r="TD478" s="10"/>
      <c r="TE478" s="10"/>
      <c r="TF478" s="10"/>
      <c r="TG478" s="11">
        <f t="shared" si="24"/>
        <v>0</v>
      </c>
      <c r="TH478" s="9">
        <f t="shared" si="25"/>
        <v>0</v>
      </c>
    </row>
    <row r="479" spans="1:528" ht="15.6" thickBot="1" x14ac:dyDescent="0.3">
      <c r="A479" s="25" t="s">
        <v>349</v>
      </c>
      <c r="B479" s="18" t="s">
        <v>350</v>
      </c>
      <c r="C479" s="3">
        <f>AGOSTO!D483</f>
        <v>0</v>
      </c>
      <c r="D479" s="21">
        <f t="shared" si="23"/>
        <v>0</v>
      </c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10"/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10"/>
      <c r="KO479" s="10"/>
      <c r="KP479" s="10"/>
      <c r="KQ479" s="10"/>
      <c r="KR479" s="10"/>
      <c r="KS479" s="10"/>
      <c r="KT479" s="10"/>
      <c r="KU479" s="10"/>
      <c r="KV479" s="10"/>
      <c r="KW479" s="10"/>
      <c r="KX479" s="10"/>
      <c r="KY479" s="10"/>
      <c r="KZ479" s="10"/>
      <c r="LA479" s="10"/>
      <c r="LB479" s="10"/>
      <c r="LC479" s="10"/>
      <c r="LD479" s="10"/>
      <c r="LE479" s="10"/>
      <c r="LF479" s="10"/>
      <c r="LG479" s="10"/>
      <c r="LH479" s="10"/>
      <c r="LI479" s="10"/>
      <c r="LJ479" s="10"/>
      <c r="LK479" s="10"/>
      <c r="LL479" s="10"/>
      <c r="LM479" s="10"/>
      <c r="LN479" s="10"/>
      <c r="LO479" s="10"/>
      <c r="LP479" s="10"/>
      <c r="LQ479" s="10"/>
      <c r="LR479" s="10"/>
      <c r="LS479" s="10"/>
      <c r="LT479" s="10"/>
      <c r="LU479" s="10"/>
      <c r="LV479" s="10"/>
      <c r="LW479" s="10"/>
      <c r="LX479" s="10"/>
      <c r="LY479" s="10"/>
      <c r="LZ479" s="10"/>
      <c r="MA479" s="10"/>
      <c r="MB479" s="10"/>
      <c r="MC479" s="10"/>
      <c r="MD479" s="10"/>
      <c r="ME479" s="10"/>
      <c r="MF479" s="10"/>
      <c r="MG479" s="10"/>
      <c r="MH479" s="10"/>
      <c r="MI479" s="10"/>
      <c r="MJ479" s="10"/>
      <c r="MK479" s="10"/>
      <c r="ML479" s="10"/>
      <c r="MM479" s="10"/>
      <c r="MN479" s="10"/>
      <c r="MO479" s="10"/>
      <c r="MP479" s="10"/>
      <c r="MQ479" s="10"/>
      <c r="MR479" s="10"/>
      <c r="MS479" s="10"/>
      <c r="MT479" s="10"/>
      <c r="MU479" s="10"/>
      <c r="MV479" s="10"/>
      <c r="MW479" s="10"/>
      <c r="MX479" s="10"/>
      <c r="MY479" s="10"/>
      <c r="MZ479" s="10"/>
      <c r="NA479" s="10"/>
      <c r="NB479" s="10"/>
      <c r="NC479" s="10"/>
      <c r="ND479" s="10"/>
      <c r="NE479" s="10"/>
      <c r="NF479" s="10"/>
      <c r="NG479" s="10"/>
      <c r="NH479" s="10"/>
      <c r="NI479" s="10"/>
      <c r="NJ479" s="10"/>
      <c r="NK479" s="10"/>
      <c r="NL479" s="10"/>
      <c r="NM479" s="10"/>
      <c r="NN479" s="10"/>
      <c r="NO479" s="10"/>
      <c r="NP479" s="10"/>
      <c r="NQ479" s="10"/>
      <c r="NR479" s="10"/>
      <c r="NS479" s="10"/>
      <c r="NT479" s="10"/>
      <c r="NU479" s="10"/>
      <c r="NV479" s="10"/>
      <c r="NW479" s="10"/>
      <c r="NX479" s="10"/>
      <c r="NY479" s="10"/>
      <c r="NZ479" s="10"/>
      <c r="OA479" s="10"/>
      <c r="OB479" s="10"/>
      <c r="OC479" s="10"/>
      <c r="OD479" s="10"/>
      <c r="OE479" s="10"/>
      <c r="OF479" s="10"/>
      <c r="OG479" s="10"/>
      <c r="OH479" s="10"/>
      <c r="OI479" s="10"/>
      <c r="OJ479" s="10"/>
      <c r="OK479" s="10"/>
      <c r="OL479" s="10"/>
      <c r="OM479" s="10"/>
      <c r="ON479" s="10"/>
      <c r="OO479" s="10"/>
      <c r="OP479" s="10"/>
      <c r="OQ479" s="10"/>
      <c r="OR479" s="10"/>
      <c r="OS479" s="10"/>
      <c r="OT479" s="10"/>
      <c r="OU479" s="10"/>
      <c r="OV479" s="10"/>
      <c r="OW479" s="10"/>
      <c r="OX479" s="10"/>
      <c r="OY479" s="10"/>
      <c r="OZ479" s="10"/>
      <c r="PA479" s="10"/>
      <c r="PB479" s="10"/>
      <c r="PC479" s="10"/>
      <c r="PD479" s="10"/>
      <c r="PE479" s="10"/>
      <c r="PF479" s="10"/>
      <c r="PG479" s="10"/>
      <c r="PH479" s="10"/>
      <c r="PI479" s="10"/>
      <c r="PJ479" s="10"/>
      <c r="PK479" s="10"/>
      <c r="PL479" s="10"/>
      <c r="PM479" s="10"/>
      <c r="PN479" s="10"/>
      <c r="PO479" s="10"/>
      <c r="PP479" s="10"/>
      <c r="PQ479" s="10"/>
      <c r="PR479" s="10"/>
      <c r="PS479" s="10"/>
      <c r="PT479" s="10"/>
      <c r="PU479" s="10"/>
      <c r="PV479" s="10"/>
      <c r="PW479" s="10"/>
      <c r="PX479" s="10"/>
      <c r="PY479" s="10"/>
      <c r="PZ479" s="10"/>
      <c r="QA479" s="10"/>
      <c r="QB479" s="10"/>
      <c r="QC479" s="10"/>
      <c r="QD479" s="10"/>
      <c r="QE479" s="10"/>
      <c r="QF479" s="10"/>
      <c r="QG479" s="10"/>
      <c r="QH479" s="10"/>
      <c r="QI479" s="10"/>
      <c r="QJ479" s="10"/>
      <c r="QK479" s="10"/>
      <c r="QL479" s="10"/>
      <c r="QM479" s="10"/>
      <c r="QN479" s="10"/>
      <c r="QO479" s="10"/>
      <c r="QP479" s="10"/>
      <c r="QQ479" s="10"/>
      <c r="QR479" s="10"/>
      <c r="QS479" s="10"/>
      <c r="QT479" s="10"/>
      <c r="QU479" s="10"/>
      <c r="QV479" s="10"/>
      <c r="QW479" s="10"/>
      <c r="QX479" s="10"/>
      <c r="QY479" s="10"/>
      <c r="QZ479" s="10"/>
      <c r="RA479" s="10"/>
      <c r="RB479" s="10"/>
      <c r="RC479" s="10"/>
      <c r="RD479" s="10"/>
      <c r="RE479" s="10"/>
      <c r="RF479" s="10"/>
      <c r="RG479" s="10"/>
      <c r="RH479" s="10"/>
      <c r="RI479" s="10"/>
      <c r="RJ479" s="10"/>
      <c r="RK479" s="10"/>
      <c r="RL479" s="10"/>
      <c r="RM479" s="10"/>
      <c r="RN479" s="10"/>
      <c r="RO479" s="10"/>
      <c r="RP479" s="10"/>
      <c r="RQ479" s="10"/>
      <c r="RR479" s="10"/>
      <c r="RS479" s="10"/>
      <c r="RT479" s="10"/>
      <c r="RU479" s="10"/>
      <c r="RV479" s="10"/>
      <c r="RW479" s="10"/>
      <c r="RX479" s="10"/>
      <c r="RY479" s="10"/>
      <c r="RZ479" s="10"/>
      <c r="SA479" s="10"/>
      <c r="SB479" s="10"/>
      <c r="SC479" s="10"/>
      <c r="SD479" s="10"/>
      <c r="SE479" s="10"/>
      <c r="SF479" s="10"/>
      <c r="SG479" s="10"/>
      <c r="SH479" s="10"/>
      <c r="SI479" s="10"/>
      <c r="SJ479" s="10"/>
      <c r="SK479" s="10"/>
      <c r="SL479" s="10"/>
      <c r="SM479" s="10"/>
      <c r="SN479" s="10"/>
      <c r="SO479" s="10"/>
      <c r="SP479" s="10"/>
      <c r="SQ479" s="10"/>
      <c r="SR479" s="10"/>
      <c r="SS479" s="10"/>
      <c r="ST479" s="10"/>
      <c r="SU479" s="10"/>
      <c r="SV479" s="10"/>
      <c r="SW479" s="10"/>
      <c r="SX479" s="10"/>
      <c r="SY479" s="10"/>
      <c r="SZ479" s="10"/>
      <c r="TA479" s="10"/>
      <c r="TB479" s="10"/>
      <c r="TC479" s="10"/>
      <c r="TD479" s="10"/>
      <c r="TE479" s="10"/>
      <c r="TF479" s="10"/>
      <c r="TG479" s="11">
        <f t="shared" si="24"/>
        <v>0</v>
      </c>
      <c r="TH479" s="9">
        <f t="shared" si="25"/>
        <v>0</v>
      </c>
    </row>
    <row r="480" spans="1:528" ht="15.6" thickBot="1" x14ac:dyDescent="0.3">
      <c r="A480" s="25" t="s">
        <v>351</v>
      </c>
      <c r="B480" s="18" t="s">
        <v>352</v>
      </c>
      <c r="C480" s="3">
        <f>AGOSTO!D484</f>
        <v>0</v>
      </c>
      <c r="D480" s="21">
        <f t="shared" si="23"/>
        <v>0</v>
      </c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0"/>
      <c r="LV480" s="10"/>
      <c r="LW480" s="10"/>
      <c r="LX480" s="10"/>
      <c r="LY480" s="10"/>
      <c r="LZ480" s="10"/>
      <c r="MA480" s="10"/>
      <c r="MB480" s="10"/>
      <c r="MC480" s="10"/>
      <c r="MD480" s="10"/>
      <c r="ME480" s="10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/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0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  <c r="SB480" s="10"/>
      <c r="SC480" s="10"/>
      <c r="SD480" s="10"/>
      <c r="SE480" s="10"/>
      <c r="SF480" s="10"/>
      <c r="SG480" s="10"/>
      <c r="SH480" s="10"/>
      <c r="SI480" s="10"/>
      <c r="SJ480" s="10"/>
      <c r="SK480" s="10"/>
      <c r="SL480" s="10"/>
      <c r="SM480" s="10"/>
      <c r="SN480" s="10"/>
      <c r="SO480" s="10"/>
      <c r="SP480" s="10"/>
      <c r="SQ480" s="10"/>
      <c r="SR480" s="10"/>
      <c r="SS480" s="10"/>
      <c r="ST480" s="10"/>
      <c r="SU480" s="10"/>
      <c r="SV480" s="10"/>
      <c r="SW480" s="10"/>
      <c r="SX480" s="10"/>
      <c r="SY480" s="10"/>
      <c r="SZ480" s="10"/>
      <c r="TA480" s="10"/>
      <c r="TB480" s="10"/>
      <c r="TC480" s="10"/>
      <c r="TD480" s="10"/>
      <c r="TE480" s="10"/>
      <c r="TF480" s="10"/>
      <c r="TG480" s="11">
        <f t="shared" si="24"/>
        <v>0</v>
      </c>
      <c r="TH480" s="9">
        <f t="shared" si="25"/>
        <v>0</v>
      </c>
    </row>
    <row r="481" spans="1:528" ht="16.2" thickBot="1" x14ac:dyDescent="0.35">
      <c r="A481" s="25"/>
      <c r="B481" s="23" t="s">
        <v>364</v>
      </c>
      <c r="C481" s="3">
        <f>AGOSTO!D485</f>
        <v>0</v>
      </c>
      <c r="D481" s="21">
        <f t="shared" si="23"/>
        <v>0</v>
      </c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10"/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10"/>
      <c r="KO481" s="10"/>
      <c r="KP481" s="10"/>
      <c r="KQ481" s="10"/>
      <c r="KR481" s="10"/>
      <c r="KS481" s="10"/>
      <c r="KT481" s="10"/>
      <c r="KU481" s="10"/>
      <c r="KV481" s="10"/>
      <c r="KW481" s="10"/>
      <c r="KX481" s="10"/>
      <c r="KY481" s="10"/>
      <c r="KZ481" s="10"/>
      <c r="LA481" s="10"/>
      <c r="LB481" s="10"/>
      <c r="LC481" s="10"/>
      <c r="LD481" s="10"/>
      <c r="LE481" s="10"/>
      <c r="LF481" s="10"/>
      <c r="LG481" s="10"/>
      <c r="LH481" s="10"/>
      <c r="LI481" s="10"/>
      <c r="LJ481" s="10"/>
      <c r="LK481" s="10"/>
      <c r="LL481" s="10"/>
      <c r="LM481" s="10"/>
      <c r="LN481" s="10"/>
      <c r="LO481" s="10"/>
      <c r="LP481" s="10"/>
      <c r="LQ481" s="10"/>
      <c r="LR481" s="10"/>
      <c r="LS481" s="10"/>
      <c r="LT481" s="10"/>
      <c r="LU481" s="10"/>
      <c r="LV481" s="10"/>
      <c r="LW481" s="10"/>
      <c r="LX481" s="10"/>
      <c r="LY481" s="10"/>
      <c r="LZ481" s="10"/>
      <c r="MA481" s="10"/>
      <c r="MB481" s="10"/>
      <c r="MC481" s="10"/>
      <c r="MD481" s="10"/>
      <c r="ME481" s="10"/>
      <c r="MF481" s="10"/>
      <c r="MG481" s="10"/>
      <c r="MH481" s="10"/>
      <c r="MI481" s="10"/>
      <c r="MJ481" s="10"/>
      <c r="MK481" s="10"/>
      <c r="ML481" s="10"/>
      <c r="MM481" s="10"/>
      <c r="MN481" s="10"/>
      <c r="MO481" s="10"/>
      <c r="MP481" s="10"/>
      <c r="MQ481" s="10"/>
      <c r="MR481" s="10"/>
      <c r="MS481" s="10"/>
      <c r="MT481" s="10"/>
      <c r="MU481" s="10"/>
      <c r="MV481" s="10"/>
      <c r="MW481" s="10"/>
      <c r="MX481" s="10"/>
      <c r="MY481" s="10"/>
      <c r="MZ481" s="10"/>
      <c r="NA481" s="10"/>
      <c r="NB481" s="10"/>
      <c r="NC481" s="10"/>
      <c r="ND481" s="10"/>
      <c r="NE481" s="10"/>
      <c r="NF481" s="10"/>
      <c r="NG481" s="10"/>
      <c r="NH481" s="10"/>
      <c r="NI481" s="10"/>
      <c r="NJ481" s="10"/>
      <c r="NK481" s="10"/>
      <c r="NL481" s="10"/>
      <c r="NM481" s="10"/>
      <c r="NN481" s="10"/>
      <c r="NO481" s="10"/>
      <c r="NP481" s="10"/>
      <c r="NQ481" s="10"/>
      <c r="NR481" s="10"/>
      <c r="NS481" s="10"/>
      <c r="NT481" s="10"/>
      <c r="NU481" s="10"/>
      <c r="NV481" s="10"/>
      <c r="NW481" s="10"/>
      <c r="NX481" s="10"/>
      <c r="NY481" s="10"/>
      <c r="NZ481" s="10"/>
      <c r="OA481" s="10"/>
      <c r="OB481" s="10"/>
      <c r="OC481" s="10"/>
      <c r="OD481" s="10"/>
      <c r="OE481" s="10"/>
      <c r="OF481" s="10"/>
      <c r="OG481" s="10"/>
      <c r="OH481" s="10"/>
      <c r="OI481" s="10"/>
      <c r="OJ481" s="10"/>
      <c r="OK481" s="10"/>
      <c r="OL481" s="10"/>
      <c r="OM481" s="10"/>
      <c r="ON481" s="10"/>
      <c r="OO481" s="10"/>
      <c r="OP481" s="10"/>
      <c r="OQ481" s="10"/>
      <c r="OR481" s="10"/>
      <c r="OS481" s="10"/>
      <c r="OT481" s="10"/>
      <c r="OU481" s="10"/>
      <c r="OV481" s="10"/>
      <c r="OW481" s="10"/>
      <c r="OX481" s="10"/>
      <c r="OY481" s="10"/>
      <c r="OZ481" s="10"/>
      <c r="PA481" s="10"/>
      <c r="PB481" s="10"/>
      <c r="PC481" s="10"/>
      <c r="PD481" s="10"/>
      <c r="PE481" s="10"/>
      <c r="PF481" s="10"/>
      <c r="PG481" s="10"/>
      <c r="PH481" s="10"/>
      <c r="PI481" s="10"/>
      <c r="PJ481" s="10"/>
      <c r="PK481" s="10"/>
      <c r="PL481" s="10"/>
      <c r="PM481" s="10"/>
      <c r="PN481" s="10"/>
      <c r="PO481" s="10"/>
      <c r="PP481" s="10"/>
      <c r="PQ481" s="10"/>
      <c r="PR481" s="10"/>
      <c r="PS481" s="10"/>
      <c r="PT481" s="10"/>
      <c r="PU481" s="10"/>
      <c r="PV481" s="10"/>
      <c r="PW481" s="10"/>
      <c r="PX481" s="10"/>
      <c r="PY481" s="10"/>
      <c r="PZ481" s="10"/>
      <c r="QA481" s="10"/>
      <c r="QB481" s="10"/>
      <c r="QC481" s="10"/>
      <c r="QD481" s="10"/>
      <c r="QE481" s="10"/>
      <c r="QF481" s="10"/>
      <c r="QG481" s="10"/>
      <c r="QH481" s="10"/>
      <c r="QI481" s="10"/>
      <c r="QJ481" s="10"/>
      <c r="QK481" s="10"/>
      <c r="QL481" s="10"/>
      <c r="QM481" s="10"/>
      <c r="QN481" s="10"/>
      <c r="QO481" s="10"/>
      <c r="QP481" s="10"/>
      <c r="QQ481" s="10"/>
      <c r="QR481" s="10"/>
      <c r="QS481" s="10"/>
      <c r="QT481" s="10"/>
      <c r="QU481" s="10"/>
      <c r="QV481" s="10"/>
      <c r="QW481" s="10"/>
      <c r="QX481" s="10"/>
      <c r="QY481" s="10"/>
      <c r="QZ481" s="10"/>
      <c r="RA481" s="10"/>
      <c r="RB481" s="10"/>
      <c r="RC481" s="10"/>
      <c r="RD481" s="10"/>
      <c r="RE481" s="10"/>
      <c r="RF481" s="10"/>
      <c r="RG481" s="10"/>
      <c r="RH481" s="10"/>
      <c r="RI481" s="10"/>
      <c r="RJ481" s="10"/>
      <c r="RK481" s="10"/>
      <c r="RL481" s="10"/>
      <c r="RM481" s="10"/>
      <c r="RN481" s="10"/>
      <c r="RO481" s="10"/>
      <c r="RP481" s="10"/>
      <c r="RQ481" s="10"/>
      <c r="RR481" s="10"/>
      <c r="RS481" s="10"/>
      <c r="RT481" s="10"/>
      <c r="RU481" s="10"/>
      <c r="RV481" s="10"/>
      <c r="RW481" s="10"/>
      <c r="RX481" s="10"/>
      <c r="RY481" s="10"/>
      <c r="RZ481" s="10"/>
      <c r="SA481" s="10"/>
      <c r="SB481" s="10"/>
      <c r="SC481" s="10"/>
      <c r="SD481" s="10"/>
      <c r="SE481" s="10"/>
      <c r="SF481" s="10"/>
      <c r="SG481" s="10"/>
      <c r="SH481" s="10"/>
      <c r="SI481" s="10"/>
      <c r="SJ481" s="10"/>
      <c r="SK481" s="10"/>
      <c r="SL481" s="10"/>
      <c r="SM481" s="10"/>
      <c r="SN481" s="10"/>
      <c r="SO481" s="10"/>
      <c r="SP481" s="10"/>
      <c r="SQ481" s="10"/>
      <c r="SR481" s="10"/>
      <c r="SS481" s="10"/>
      <c r="ST481" s="10"/>
      <c r="SU481" s="10"/>
      <c r="SV481" s="10"/>
      <c r="SW481" s="10"/>
      <c r="SX481" s="10"/>
      <c r="SY481" s="10"/>
      <c r="SZ481" s="10"/>
      <c r="TA481" s="10"/>
      <c r="TB481" s="10"/>
      <c r="TC481" s="10"/>
      <c r="TD481" s="10"/>
      <c r="TE481" s="10"/>
      <c r="TF481" s="10"/>
      <c r="TG481" s="11">
        <f t="shared" si="24"/>
        <v>0</v>
      </c>
      <c r="TH481" s="9">
        <f t="shared" si="25"/>
        <v>0</v>
      </c>
    </row>
    <row r="482" spans="1:528" ht="15.6" thickBot="1" x14ac:dyDescent="0.3">
      <c r="A482" s="25" t="s">
        <v>757</v>
      </c>
      <c r="B482" s="18" t="s">
        <v>1052</v>
      </c>
      <c r="C482" s="3">
        <f>AGOSTO!D486</f>
        <v>0</v>
      </c>
      <c r="D482" s="21">
        <f t="shared" si="23"/>
        <v>0</v>
      </c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0"/>
      <c r="LV482" s="10"/>
      <c r="LW482" s="10"/>
      <c r="LX482" s="10"/>
      <c r="LY482" s="10"/>
      <c r="LZ482" s="10"/>
      <c r="MA482" s="10"/>
      <c r="MB482" s="10"/>
      <c r="MC482" s="10"/>
      <c r="MD482" s="10"/>
      <c r="ME482" s="10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/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0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  <c r="SB482" s="10"/>
      <c r="SC482" s="10"/>
      <c r="SD482" s="10"/>
      <c r="SE482" s="10"/>
      <c r="SF482" s="10"/>
      <c r="SG482" s="10"/>
      <c r="SH482" s="10"/>
      <c r="SI482" s="10"/>
      <c r="SJ482" s="10"/>
      <c r="SK482" s="10"/>
      <c r="SL482" s="10"/>
      <c r="SM482" s="10"/>
      <c r="SN482" s="10"/>
      <c r="SO482" s="10"/>
      <c r="SP482" s="10"/>
      <c r="SQ482" s="10"/>
      <c r="SR482" s="10"/>
      <c r="SS482" s="10"/>
      <c r="ST482" s="10"/>
      <c r="SU482" s="10"/>
      <c r="SV482" s="10"/>
      <c r="SW482" s="10"/>
      <c r="SX482" s="10"/>
      <c r="SY482" s="10"/>
      <c r="SZ482" s="10"/>
      <c r="TA482" s="10"/>
      <c r="TB482" s="10"/>
      <c r="TC482" s="10"/>
      <c r="TD482" s="10"/>
      <c r="TE482" s="10"/>
      <c r="TF482" s="10"/>
      <c r="TG482" s="11">
        <f t="shared" si="24"/>
        <v>0</v>
      </c>
      <c r="TH482" s="9">
        <f t="shared" si="25"/>
        <v>0</v>
      </c>
    </row>
    <row r="483" spans="1:528" ht="15.6" thickBot="1" x14ac:dyDescent="0.3">
      <c r="A483" s="25" t="s">
        <v>824</v>
      </c>
      <c r="B483" s="18" t="s">
        <v>763</v>
      </c>
      <c r="C483" s="3">
        <f>AGOSTO!D487</f>
        <v>0</v>
      </c>
      <c r="D483" s="21">
        <f t="shared" si="23"/>
        <v>0</v>
      </c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10"/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10"/>
      <c r="KO483" s="10"/>
      <c r="KP483" s="10"/>
      <c r="KQ483" s="10"/>
      <c r="KR483" s="10"/>
      <c r="KS483" s="10"/>
      <c r="KT483" s="10"/>
      <c r="KU483" s="10"/>
      <c r="KV483" s="10"/>
      <c r="KW483" s="10"/>
      <c r="KX483" s="10"/>
      <c r="KY483" s="10"/>
      <c r="KZ483" s="10"/>
      <c r="LA483" s="10"/>
      <c r="LB483" s="10"/>
      <c r="LC483" s="10"/>
      <c r="LD483" s="10"/>
      <c r="LE483" s="10"/>
      <c r="LF483" s="10"/>
      <c r="LG483" s="10"/>
      <c r="LH483" s="10"/>
      <c r="LI483" s="10"/>
      <c r="LJ483" s="10"/>
      <c r="LK483" s="10"/>
      <c r="LL483" s="10"/>
      <c r="LM483" s="10"/>
      <c r="LN483" s="10"/>
      <c r="LO483" s="10"/>
      <c r="LP483" s="10"/>
      <c r="LQ483" s="10"/>
      <c r="LR483" s="10"/>
      <c r="LS483" s="10"/>
      <c r="LT483" s="10"/>
      <c r="LU483" s="10"/>
      <c r="LV483" s="10"/>
      <c r="LW483" s="10"/>
      <c r="LX483" s="10"/>
      <c r="LY483" s="10"/>
      <c r="LZ483" s="10"/>
      <c r="MA483" s="10"/>
      <c r="MB483" s="10"/>
      <c r="MC483" s="10"/>
      <c r="MD483" s="10"/>
      <c r="ME483" s="10"/>
      <c r="MF483" s="10"/>
      <c r="MG483" s="10"/>
      <c r="MH483" s="10"/>
      <c r="MI483" s="10"/>
      <c r="MJ483" s="10"/>
      <c r="MK483" s="10"/>
      <c r="ML483" s="10"/>
      <c r="MM483" s="10"/>
      <c r="MN483" s="10"/>
      <c r="MO483" s="10"/>
      <c r="MP483" s="10"/>
      <c r="MQ483" s="10"/>
      <c r="MR483" s="10"/>
      <c r="MS483" s="10"/>
      <c r="MT483" s="10"/>
      <c r="MU483" s="10"/>
      <c r="MV483" s="10"/>
      <c r="MW483" s="10"/>
      <c r="MX483" s="10"/>
      <c r="MY483" s="10"/>
      <c r="MZ483" s="10"/>
      <c r="NA483" s="10"/>
      <c r="NB483" s="10"/>
      <c r="NC483" s="10"/>
      <c r="ND483" s="10"/>
      <c r="NE483" s="10"/>
      <c r="NF483" s="10"/>
      <c r="NG483" s="10"/>
      <c r="NH483" s="10"/>
      <c r="NI483" s="10"/>
      <c r="NJ483" s="10"/>
      <c r="NK483" s="10"/>
      <c r="NL483" s="10"/>
      <c r="NM483" s="10"/>
      <c r="NN483" s="10"/>
      <c r="NO483" s="10"/>
      <c r="NP483" s="10"/>
      <c r="NQ483" s="10"/>
      <c r="NR483" s="10"/>
      <c r="NS483" s="10"/>
      <c r="NT483" s="10"/>
      <c r="NU483" s="10"/>
      <c r="NV483" s="10"/>
      <c r="NW483" s="10"/>
      <c r="NX483" s="10"/>
      <c r="NY483" s="10"/>
      <c r="NZ483" s="10"/>
      <c r="OA483" s="10"/>
      <c r="OB483" s="10"/>
      <c r="OC483" s="10"/>
      <c r="OD483" s="10"/>
      <c r="OE483" s="10"/>
      <c r="OF483" s="10"/>
      <c r="OG483" s="10"/>
      <c r="OH483" s="10"/>
      <c r="OI483" s="10"/>
      <c r="OJ483" s="10"/>
      <c r="OK483" s="10"/>
      <c r="OL483" s="10"/>
      <c r="OM483" s="10"/>
      <c r="ON483" s="10"/>
      <c r="OO483" s="10"/>
      <c r="OP483" s="10"/>
      <c r="OQ483" s="10"/>
      <c r="OR483" s="10"/>
      <c r="OS483" s="10"/>
      <c r="OT483" s="10"/>
      <c r="OU483" s="10"/>
      <c r="OV483" s="10"/>
      <c r="OW483" s="10"/>
      <c r="OX483" s="10"/>
      <c r="OY483" s="10"/>
      <c r="OZ483" s="10"/>
      <c r="PA483" s="10"/>
      <c r="PB483" s="10"/>
      <c r="PC483" s="10"/>
      <c r="PD483" s="10"/>
      <c r="PE483" s="10"/>
      <c r="PF483" s="10"/>
      <c r="PG483" s="10"/>
      <c r="PH483" s="10"/>
      <c r="PI483" s="10"/>
      <c r="PJ483" s="10"/>
      <c r="PK483" s="10"/>
      <c r="PL483" s="10"/>
      <c r="PM483" s="10"/>
      <c r="PN483" s="10"/>
      <c r="PO483" s="10"/>
      <c r="PP483" s="10"/>
      <c r="PQ483" s="10"/>
      <c r="PR483" s="10"/>
      <c r="PS483" s="10"/>
      <c r="PT483" s="10"/>
      <c r="PU483" s="10"/>
      <c r="PV483" s="10"/>
      <c r="PW483" s="10"/>
      <c r="PX483" s="10"/>
      <c r="PY483" s="10"/>
      <c r="PZ483" s="10"/>
      <c r="QA483" s="10"/>
      <c r="QB483" s="10"/>
      <c r="QC483" s="10"/>
      <c r="QD483" s="10"/>
      <c r="QE483" s="10"/>
      <c r="QF483" s="10"/>
      <c r="QG483" s="10"/>
      <c r="QH483" s="10"/>
      <c r="QI483" s="10"/>
      <c r="QJ483" s="10"/>
      <c r="QK483" s="10"/>
      <c r="QL483" s="10"/>
      <c r="QM483" s="10"/>
      <c r="QN483" s="10"/>
      <c r="QO483" s="10"/>
      <c r="QP483" s="10"/>
      <c r="QQ483" s="10"/>
      <c r="QR483" s="10"/>
      <c r="QS483" s="10"/>
      <c r="QT483" s="10"/>
      <c r="QU483" s="10"/>
      <c r="QV483" s="10"/>
      <c r="QW483" s="10"/>
      <c r="QX483" s="10"/>
      <c r="QY483" s="10"/>
      <c r="QZ483" s="10"/>
      <c r="RA483" s="10"/>
      <c r="RB483" s="10"/>
      <c r="RC483" s="10"/>
      <c r="RD483" s="10"/>
      <c r="RE483" s="10"/>
      <c r="RF483" s="10"/>
      <c r="RG483" s="10"/>
      <c r="RH483" s="10"/>
      <c r="RI483" s="10"/>
      <c r="RJ483" s="10"/>
      <c r="RK483" s="10"/>
      <c r="RL483" s="10"/>
      <c r="RM483" s="10"/>
      <c r="RN483" s="10"/>
      <c r="RO483" s="10"/>
      <c r="RP483" s="10"/>
      <c r="RQ483" s="10"/>
      <c r="RR483" s="10"/>
      <c r="RS483" s="10"/>
      <c r="RT483" s="10"/>
      <c r="RU483" s="10"/>
      <c r="RV483" s="10"/>
      <c r="RW483" s="10"/>
      <c r="RX483" s="10"/>
      <c r="RY483" s="10"/>
      <c r="RZ483" s="10"/>
      <c r="SA483" s="10"/>
      <c r="SB483" s="10"/>
      <c r="SC483" s="10"/>
      <c r="SD483" s="10"/>
      <c r="SE483" s="10"/>
      <c r="SF483" s="10"/>
      <c r="SG483" s="10"/>
      <c r="SH483" s="10"/>
      <c r="SI483" s="10"/>
      <c r="SJ483" s="10"/>
      <c r="SK483" s="10"/>
      <c r="SL483" s="10"/>
      <c r="SM483" s="10"/>
      <c r="SN483" s="10"/>
      <c r="SO483" s="10"/>
      <c r="SP483" s="10"/>
      <c r="SQ483" s="10"/>
      <c r="SR483" s="10"/>
      <c r="SS483" s="10"/>
      <c r="ST483" s="10"/>
      <c r="SU483" s="10"/>
      <c r="SV483" s="10"/>
      <c r="SW483" s="10"/>
      <c r="SX483" s="10"/>
      <c r="SY483" s="10"/>
      <c r="SZ483" s="10"/>
      <c r="TA483" s="10"/>
      <c r="TB483" s="10"/>
      <c r="TC483" s="10"/>
      <c r="TD483" s="10"/>
      <c r="TE483" s="10"/>
      <c r="TF483" s="10"/>
      <c r="TG483" s="11">
        <f t="shared" si="24"/>
        <v>0</v>
      </c>
      <c r="TH483" s="9">
        <f t="shared" si="25"/>
        <v>0</v>
      </c>
    </row>
    <row r="484" spans="1:528" ht="15.6" thickBot="1" x14ac:dyDescent="0.3">
      <c r="A484" s="25" t="s">
        <v>710</v>
      </c>
      <c r="B484" s="18" t="s">
        <v>1053</v>
      </c>
      <c r="C484" s="3">
        <f>AGOSTO!D488</f>
        <v>0</v>
      </c>
      <c r="D484" s="21">
        <f t="shared" si="23"/>
        <v>0</v>
      </c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0"/>
      <c r="LV484" s="10"/>
      <c r="LW484" s="10"/>
      <c r="LX484" s="10"/>
      <c r="LY484" s="10"/>
      <c r="LZ484" s="10"/>
      <c r="MA484" s="10"/>
      <c r="MB484" s="10"/>
      <c r="MC484" s="10"/>
      <c r="MD484" s="10"/>
      <c r="ME484" s="10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/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0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  <c r="SB484" s="10"/>
      <c r="SC484" s="10"/>
      <c r="SD484" s="10"/>
      <c r="SE484" s="10"/>
      <c r="SF484" s="10"/>
      <c r="SG484" s="10"/>
      <c r="SH484" s="10"/>
      <c r="SI484" s="10"/>
      <c r="SJ484" s="10"/>
      <c r="SK484" s="10"/>
      <c r="SL484" s="10"/>
      <c r="SM484" s="10"/>
      <c r="SN484" s="10"/>
      <c r="SO484" s="10"/>
      <c r="SP484" s="10"/>
      <c r="SQ484" s="10"/>
      <c r="SR484" s="10"/>
      <c r="SS484" s="10"/>
      <c r="ST484" s="10"/>
      <c r="SU484" s="10"/>
      <c r="SV484" s="10"/>
      <c r="SW484" s="10"/>
      <c r="SX484" s="10"/>
      <c r="SY484" s="10"/>
      <c r="SZ484" s="10"/>
      <c r="TA484" s="10"/>
      <c r="TB484" s="10"/>
      <c r="TC484" s="10"/>
      <c r="TD484" s="10"/>
      <c r="TE484" s="10"/>
      <c r="TF484" s="10"/>
      <c r="TG484" s="11">
        <f t="shared" si="24"/>
        <v>0</v>
      </c>
      <c r="TH484" s="9">
        <f t="shared" si="25"/>
        <v>0</v>
      </c>
    </row>
    <row r="485" spans="1:528" ht="15.6" thickBot="1" x14ac:dyDescent="0.3">
      <c r="A485" s="25" t="s">
        <v>764</v>
      </c>
      <c r="B485" s="18" t="s">
        <v>375</v>
      </c>
      <c r="C485" s="3">
        <f>AGOSTO!D489</f>
        <v>0</v>
      </c>
      <c r="D485" s="21">
        <f t="shared" si="23"/>
        <v>0</v>
      </c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>
        <v>168</v>
      </c>
      <c r="DP485" s="10"/>
      <c r="DQ485" s="10"/>
      <c r="DR485" s="10"/>
      <c r="DS485" s="10">
        <v>62</v>
      </c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>
        <v>38</v>
      </c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>
        <v>-268</v>
      </c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>
        <v>5</v>
      </c>
      <c r="FX485" s="10"/>
      <c r="FY485" s="10"/>
      <c r="FZ485" s="10">
        <v>-5</v>
      </c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10"/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10"/>
      <c r="KO485" s="10"/>
      <c r="KP485" s="10"/>
      <c r="KQ485" s="10"/>
      <c r="KR485" s="10"/>
      <c r="KS485" s="10"/>
      <c r="KT485" s="10"/>
      <c r="KU485" s="10"/>
      <c r="KV485" s="10"/>
      <c r="KW485" s="10"/>
      <c r="KX485" s="10"/>
      <c r="KY485" s="10"/>
      <c r="KZ485" s="10"/>
      <c r="LA485" s="10"/>
      <c r="LB485" s="10"/>
      <c r="LC485" s="10"/>
      <c r="LD485" s="10"/>
      <c r="LE485" s="10"/>
      <c r="LF485" s="10"/>
      <c r="LG485" s="10"/>
      <c r="LH485" s="10"/>
      <c r="LI485" s="10"/>
      <c r="LJ485" s="10"/>
      <c r="LK485" s="10"/>
      <c r="LL485" s="10"/>
      <c r="LM485" s="10"/>
      <c r="LN485" s="10"/>
      <c r="LO485" s="10"/>
      <c r="LP485" s="10"/>
      <c r="LQ485" s="10"/>
      <c r="LR485" s="10"/>
      <c r="LS485" s="10"/>
      <c r="LT485" s="10"/>
      <c r="LU485" s="10"/>
      <c r="LV485" s="10"/>
      <c r="LW485" s="10"/>
      <c r="LX485" s="10"/>
      <c r="LY485" s="10"/>
      <c r="LZ485" s="10"/>
      <c r="MA485" s="10"/>
      <c r="MB485" s="10"/>
      <c r="MC485" s="10"/>
      <c r="MD485" s="10"/>
      <c r="ME485" s="10"/>
      <c r="MF485" s="10"/>
      <c r="MG485" s="10"/>
      <c r="MH485" s="10"/>
      <c r="MI485" s="10"/>
      <c r="MJ485" s="10"/>
      <c r="MK485" s="10"/>
      <c r="ML485" s="10"/>
      <c r="MM485" s="10"/>
      <c r="MN485" s="10"/>
      <c r="MO485" s="10"/>
      <c r="MP485" s="10"/>
      <c r="MQ485" s="10"/>
      <c r="MR485" s="10"/>
      <c r="MS485" s="10"/>
      <c r="MT485" s="10"/>
      <c r="MU485" s="10"/>
      <c r="MV485" s="10"/>
      <c r="MW485" s="10"/>
      <c r="MX485" s="10"/>
      <c r="MY485" s="10"/>
      <c r="MZ485" s="10"/>
      <c r="NA485" s="10"/>
      <c r="NB485" s="10"/>
      <c r="NC485" s="10"/>
      <c r="ND485" s="10"/>
      <c r="NE485" s="10"/>
      <c r="NF485" s="10"/>
      <c r="NG485" s="10"/>
      <c r="NH485" s="10"/>
      <c r="NI485" s="10"/>
      <c r="NJ485" s="10"/>
      <c r="NK485" s="10"/>
      <c r="NL485" s="10"/>
      <c r="NM485" s="10"/>
      <c r="NN485" s="10"/>
      <c r="NO485" s="10"/>
      <c r="NP485" s="10"/>
      <c r="NQ485" s="10"/>
      <c r="NR485" s="10"/>
      <c r="NS485" s="10"/>
      <c r="NT485" s="10"/>
      <c r="NU485" s="10"/>
      <c r="NV485" s="10"/>
      <c r="NW485" s="10"/>
      <c r="NX485" s="10"/>
      <c r="NY485" s="10"/>
      <c r="NZ485" s="10"/>
      <c r="OA485" s="10"/>
      <c r="OB485" s="10"/>
      <c r="OC485" s="10"/>
      <c r="OD485" s="10"/>
      <c r="OE485" s="10"/>
      <c r="OF485" s="10"/>
      <c r="OG485" s="10"/>
      <c r="OH485" s="10"/>
      <c r="OI485" s="10"/>
      <c r="OJ485" s="10"/>
      <c r="OK485" s="10"/>
      <c r="OL485" s="10"/>
      <c r="OM485" s="10"/>
      <c r="ON485" s="10"/>
      <c r="OO485" s="10"/>
      <c r="OP485" s="10"/>
      <c r="OQ485" s="10"/>
      <c r="OR485" s="10"/>
      <c r="OS485" s="10"/>
      <c r="OT485" s="10"/>
      <c r="OU485" s="10"/>
      <c r="OV485" s="10"/>
      <c r="OW485" s="10"/>
      <c r="OX485" s="10"/>
      <c r="OY485" s="10"/>
      <c r="OZ485" s="10"/>
      <c r="PA485" s="10"/>
      <c r="PB485" s="10"/>
      <c r="PC485" s="10"/>
      <c r="PD485" s="10"/>
      <c r="PE485" s="10"/>
      <c r="PF485" s="10"/>
      <c r="PG485" s="10"/>
      <c r="PH485" s="10"/>
      <c r="PI485" s="10"/>
      <c r="PJ485" s="10"/>
      <c r="PK485" s="10"/>
      <c r="PL485" s="10"/>
      <c r="PM485" s="10"/>
      <c r="PN485" s="10"/>
      <c r="PO485" s="10"/>
      <c r="PP485" s="10"/>
      <c r="PQ485" s="10"/>
      <c r="PR485" s="10"/>
      <c r="PS485" s="10"/>
      <c r="PT485" s="10"/>
      <c r="PU485" s="10"/>
      <c r="PV485" s="10"/>
      <c r="PW485" s="10"/>
      <c r="PX485" s="10"/>
      <c r="PY485" s="10"/>
      <c r="PZ485" s="10"/>
      <c r="QA485" s="10"/>
      <c r="QB485" s="10"/>
      <c r="QC485" s="10"/>
      <c r="QD485" s="10"/>
      <c r="QE485" s="10"/>
      <c r="QF485" s="10"/>
      <c r="QG485" s="10"/>
      <c r="QH485" s="10"/>
      <c r="QI485" s="10"/>
      <c r="QJ485" s="10"/>
      <c r="QK485" s="10"/>
      <c r="QL485" s="10"/>
      <c r="QM485" s="10"/>
      <c r="QN485" s="10"/>
      <c r="QO485" s="10"/>
      <c r="QP485" s="10"/>
      <c r="QQ485" s="10"/>
      <c r="QR485" s="10"/>
      <c r="QS485" s="10"/>
      <c r="QT485" s="10"/>
      <c r="QU485" s="10"/>
      <c r="QV485" s="10"/>
      <c r="QW485" s="10"/>
      <c r="QX485" s="10"/>
      <c r="QY485" s="10"/>
      <c r="QZ485" s="10"/>
      <c r="RA485" s="10"/>
      <c r="RB485" s="10"/>
      <c r="RC485" s="10"/>
      <c r="RD485" s="10"/>
      <c r="RE485" s="10"/>
      <c r="RF485" s="10"/>
      <c r="RG485" s="10"/>
      <c r="RH485" s="10"/>
      <c r="RI485" s="10"/>
      <c r="RJ485" s="10"/>
      <c r="RK485" s="10"/>
      <c r="RL485" s="10"/>
      <c r="RM485" s="10"/>
      <c r="RN485" s="10"/>
      <c r="RO485" s="10"/>
      <c r="RP485" s="10"/>
      <c r="RQ485" s="10"/>
      <c r="RR485" s="10"/>
      <c r="RS485" s="10"/>
      <c r="RT485" s="10"/>
      <c r="RU485" s="10"/>
      <c r="RV485" s="10"/>
      <c r="RW485" s="10"/>
      <c r="RX485" s="10"/>
      <c r="RY485" s="10"/>
      <c r="RZ485" s="10"/>
      <c r="SA485" s="10"/>
      <c r="SB485" s="10"/>
      <c r="SC485" s="10"/>
      <c r="SD485" s="10"/>
      <c r="SE485" s="10"/>
      <c r="SF485" s="10"/>
      <c r="SG485" s="10"/>
      <c r="SH485" s="10"/>
      <c r="SI485" s="10"/>
      <c r="SJ485" s="10"/>
      <c r="SK485" s="10"/>
      <c r="SL485" s="10"/>
      <c r="SM485" s="10"/>
      <c r="SN485" s="10"/>
      <c r="SO485" s="10"/>
      <c r="SP485" s="10"/>
      <c r="SQ485" s="10"/>
      <c r="SR485" s="10"/>
      <c r="SS485" s="10"/>
      <c r="ST485" s="10"/>
      <c r="SU485" s="10"/>
      <c r="SV485" s="10"/>
      <c r="SW485" s="10"/>
      <c r="SX485" s="10"/>
      <c r="SY485" s="10"/>
      <c r="SZ485" s="10"/>
      <c r="TA485" s="10"/>
      <c r="TB485" s="10"/>
      <c r="TC485" s="10"/>
      <c r="TD485" s="10"/>
      <c r="TE485" s="10"/>
      <c r="TF485" s="10"/>
      <c r="TG485" s="11">
        <f t="shared" si="24"/>
        <v>0</v>
      </c>
      <c r="TH485" s="9">
        <f t="shared" si="25"/>
        <v>0</v>
      </c>
    </row>
    <row r="486" spans="1:528" ht="15.6" thickBot="1" x14ac:dyDescent="0.3">
      <c r="A486" s="25" t="s">
        <v>765</v>
      </c>
      <c r="B486" s="18" t="s">
        <v>376</v>
      </c>
      <c r="C486" s="3">
        <f>AGOSTO!D490</f>
        <v>0</v>
      </c>
      <c r="D486" s="21">
        <f t="shared" si="23"/>
        <v>0</v>
      </c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0"/>
      <c r="LV486" s="10"/>
      <c r="LW486" s="10"/>
      <c r="LX486" s="10"/>
      <c r="LY486" s="10"/>
      <c r="LZ486" s="10"/>
      <c r="MA486" s="10"/>
      <c r="MB486" s="10"/>
      <c r="MC486" s="10"/>
      <c r="MD486" s="10"/>
      <c r="ME486" s="10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/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0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  <c r="SB486" s="10"/>
      <c r="SC486" s="10"/>
      <c r="SD486" s="10"/>
      <c r="SE486" s="10"/>
      <c r="SF486" s="10"/>
      <c r="SG486" s="10"/>
      <c r="SH486" s="10"/>
      <c r="SI486" s="10"/>
      <c r="SJ486" s="10"/>
      <c r="SK486" s="10"/>
      <c r="SL486" s="10"/>
      <c r="SM486" s="10"/>
      <c r="SN486" s="10"/>
      <c r="SO486" s="10"/>
      <c r="SP486" s="10"/>
      <c r="SQ486" s="10"/>
      <c r="SR486" s="10"/>
      <c r="SS486" s="10"/>
      <c r="ST486" s="10"/>
      <c r="SU486" s="10"/>
      <c r="SV486" s="10"/>
      <c r="SW486" s="10"/>
      <c r="SX486" s="10"/>
      <c r="SY486" s="10"/>
      <c r="SZ486" s="10"/>
      <c r="TA486" s="10"/>
      <c r="TB486" s="10"/>
      <c r="TC486" s="10"/>
      <c r="TD486" s="10"/>
      <c r="TE486" s="10"/>
      <c r="TF486" s="10"/>
      <c r="TG486" s="11">
        <f t="shared" si="24"/>
        <v>0</v>
      </c>
      <c r="TH486" s="9">
        <f t="shared" si="25"/>
        <v>0</v>
      </c>
    </row>
    <row r="487" spans="1:528" ht="15.6" thickBot="1" x14ac:dyDescent="0.3">
      <c r="A487" s="25" t="s">
        <v>766</v>
      </c>
      <c r="B487" s="18" t="s">
        <v>377</v>
      </c>
      <c r="C487" s="3">
        <f>AGOSTO!D491</f>
        <v>0</v>
      </c>
      <c r="D487" s="21">
        <f t="shared" si="23"/>
        <v>0</v>
      </c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>
        <v>33</v>
      </c>
      <c r="ER487" s="10">
        <v>-33</v>
      </c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>
        <v>10</v>
      </c>
      <c r="FL487" s="10"/>
      <c r="FM487" s="10"/>
      <c r="FN487" s="10">
        <v>-10</v>
      </c>
      <c r="FO487" s="10"/>
      <c r="FP487" s="10"/>
      <c r="FQ487" s="10"/>
      <c r="FR487" s="10"/>
      <c r="FS487" s="10"/>
      <c r="FT487" s="10"/>
      <c r="FU487" s="10"/>
      <c r="FV487" s="10"/>
      <c r="FW487" s="10">
        <v>4</v>
      </c>
      <c r="FX487" s="10"/>
      <c r="FY487" s="10"/>
      <c r="FZ487" s="10">
        <v>-4</v>
      </c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10"/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10"/>
      <c r="KO487" s="10"/>
      <c r="KP487" s="10"/>
      <c r="KQ487" s="10"/>
      <c r="KR487" s="10"/>
      <c r="KS487" s="10"/>
      <c r="KT487" s="10"/>
      <c r="KU487" s="10"/>
      <c r="KV487" s="10"/>
      <c r="KW487" s="10"/>
      <c r="KX487" s="10"/>
      <c r="KY487" s="10"/>
      <c r="KZ487" s="10"/>
      <c r="LA487" s="10"/>
      <c r="LB487" s="10"/>
      <c r="LC487" s="10"/>
      <c r="LD487" s="10"/>
      <c r="LE487" s="10"/>
      <c r="LF487" s="10"/>
      <c r="LG487" s="10"/>
      <c r="LH487" s="10"/>
      <c r="LI487" s="10"/>
      <c r="LJ487" s="10"/>
      <c r="LK487" s="10"/>
      <c r="LL487" s="10"/>
      <c r="LM487" s="10"/>
      <c r="LN487" s="10"/>
      <c r="LO487" s="10"/>
      <c r="LP487" s="10"/>
      <c r="LQ487" s="10"/>
      <c r="LR487" s="10"/>
      <c r="LS487" s="10"/>
      <c r="LT487" s="10"/>
      <c r="LU487" s="10"/>
      <c r="LV487" s="10"/>
      <c r="LW487" s="10"/>
      <c r="LX487" s="10"/>
      <c r="LY487" s="10"/>
      <c r="LZ487" s="10"/>
      <c r="MA487" s="10"/>
      <c r="MB487" s="10"/>
      <c r="MC487" s="10"/>
      <c r="MD487" s="10"/>
      <c r="ME487" s="10"/>
      <c r="MF487" s="10"/>
      <c r="MG487" s="10"/>
      <c r="MH487" s="10"/>
      <c r="MI487" s="10"/>
      <c r="MJ487" s="10"/>
      <c r="MK487" s="10"/>
      <c r="ML487" s="10"/>
      <c r="MM487" s="10"/>
      <c r="MN487" s="10"/>
      <c r="MO487" s="10"/>
      <c r="MP487" s="10"/>
      <c r="MQ487" s="10"/>
      <c r="MR487" s="10"/>
      <c r="MS487" s="10"/>
      <c r="MT487" s="10"/>
      <c r="MU487" s="10"/>
      <c r="MV487" s="10"/>
      <c r="MW487" s="10"/>
      <c r="MX487" s="10"/>
      <c r="MY487" s="10"/>
      <c r="MZ487" s="10"/>
      <c r="NA487" s="10"/>
      <c r="NB487" s="10"/>
      <c r="NC487" s="10"/>
      <c r="ND487" s="10"/>
      <c r="NE487" s="10"/>
      <c r="NF487" s="10"/>
      <c r="NG487" s="10"/>
      <c r="NH487" s="10"/>
      <c r="NI487" s="10"/>
      <c r="NJ487" s="10"/>
      <c r="NK487" s="10"/>
      <c r="NL487" s="10"/>
      <c r="NM487" s="10"/>
      <c r="NN487" s="10"/>
      <c r="NO487" s="10"/>
      <c r="NP487" s="10"/>
      <c r="NQ487" s="10"/>
      <c r="NR487" s="10"/>
      <c r="NS487" s="10"/>
      <c r="NT487" s="10"/>
      <c r="NU487" s="10"/>
      <c r="NV487" s="10"/>
      <c r="NW487" s="10"/>
      <c r="NX487" s="10"/>
      <c r="NY487" s="10"/>
      <c r="NZ487" s="10"/>
      <c r="OA487" s="10"/>
      <c r="OB487" s="10"/>
      <c r="OC487" s="10"/>
      <c r="OD487" s="10"/>
      <c r="OE487" s="10"/>
      <c r="OF487" s="10"/>
      <c r="OG487" s="10"/>
      <c r="OH487" s="10"/>
      <c r="OI487" s="10"/>
      <c r="OJ487" s="10"/>
      <c r="OK487" s="10"/>
      <c r="OL487" s="10"/>
      <c r="OM487" s="10"/>
      <c r="ON487" s="10"/>
      <c r="OO487" s="10"/>
      <c r="OP487" s="10"/>
      <c r="OQ487" s="10"/>
      <c r="OR487" s="10"/>
      <c r="OS487" s="10"/>
      <c r="OT487" s="10"/>
      <c r="OU487" s="10"/>
      <c r="OV487" s="10"/>
      <c r="OW487" s="10"/>
      <c r="OX487" s="10"/>
      <c r="OY487" s="10"/>
      <c r="OZ487" s="10"/>
      <c r="PA487" s="10"/>
      <c r="PB487" s="10"/>
      <c r="PC487" s="10"/>
      <c r="PD487" s="10"/>
      <c r="PE487" s="10"/>
      <c r="PF487" s="10"/>
      <c r="PG487" s="10"/>
      <c r="PH487" s="10"/>
      <c r="PI487" s="10"/>
      <c r="PJ487" s="10"/>
      <c r="PK487" s="10"/>
      <c r="PL487" s="10"/>
      <c r="PM487" s="10"/>
      <c r="PN487" s="10"/>
      <c r="PO487" s="10"/>
      <c r="PP487" s="10"/>
      <c r="PQ487" s="10"/>
      <c r="PR487" s="10"/>
      <c r="PS487" s="10"/>
      <c r="PT487" s="10"/>
      <c r="PU487" s="10"/>
      <c r="PV487" s="10"/>
      <c r="PW487" s="10"/>
      <c r="PX487" s="10"/>
      <c r="PY487" s="10"/>
      <c r="PZ487" s="10"/>
      <c r="QA487" s="10"/>
      <c r="QB487" s="10"/>
      <c r="QC487" s="10"/>
      <c r="QD487" s="10"/>
      <c r="QE487" s="10"/>
      <c r="QF487" s="10"/>
      <c r="QG487" s="10"/>
      <c r="QH487" s="10"/>
      <c r="QI487" s="10"/>
      <c r="QJ487" s="10"/>
      <c r="QK487" s="10"/>
      <c r="QL487" s="10"/>
      <c r="QM487" s="10"/>
      <c r="QN487" s="10"/>
      <c r="QO487" s="10"/>
      <c r="QP487" s="10"/>
      <c r="QQ487" s="10"/>
      <c r="QR487" s="10"/>
      <c r="QS487" s="10"/>
      <c r="QT487" s="10"/>
      <c r="QU487" s="10"/>
      <c r="QV487" s="10"/>
      <c r="QW487" s="10"/>
      <c r="QX487" s="10"/>
      <c r="QY487" s="10"/>
      <c r="QZ487" s="10"/>
      <c r="RA487" s="10"/>
      <c r="RB487" s="10"/>
      <c r="RC487" s="10"/>
      <c r="RD487" s="10"/>
      <c r="RE487" s="10"/>
      <c r="RF487" s="10"/>
      <c r="RG487" s="10"/>
      <c r="RH487" s="10"/>
      <c r="RI487" s="10"/>
      <c r="RJ487" s="10"/>
      <c r="RK487" s="10"/>
      <c r="RL487" s="10"/>
      <c r="RM487" s="10"/>
      <c r="RN487" s="10"/>
      <c r="RO487" s="10"/>
      <c r="RP487" s="10"/>
      <c r="RQ487" s="10"/>
      <c r="RR487" s="10"/>
      <c r="RS487" s="10"/>
      <c r="RT487" s="10"/>
      <c r="RU487" s="10"/>
      <c r="RV487" s="10"/>
      <c r="RW487" s="10"/>
      <c r="RX487" s="10"/>
      <c r="RY487" s="10"/>
      <c r="RZ487" s="10"/>
      <c r="SA487" s="10"/>
      <c r="SB487" s="10"/>
      <c r="SC487" s="10"/>
      <c r="SD487" s="10"/>
      <c r="SE487" s="10"/>
      <c r="SF487" s="10"/>
      <c r="SG487" s="10"/>
      <c r="SH487" s="10"/>
      <c r="SI487" s="10"/>
      <c r="SJ487" s="10"/>
      <c r="SK487" s="10"/>
      <c r="SL487" s="10"/>
      <c r="SM487" s="10"/>
      <c r="SN487" s="10"/>
      <c r="SO487" s="10"/>
      <c r="SP487" s="10"/>
      <c r="SQ487" s="10"/>
      <c r="SR487" s="10"/>
      <c r="SS487" s="10"/>
      <c r="ST487" s="10"/>
      <c r="SU487" s="10"/>
      <c r="SV487" s="10"/>
      <c r="SW487" s="10"/>
      <c r="SX487" s="10"/>
      <c r="SY487" s="10"/>
      <c r="SZ487" s="10"/>
      <c r="TA487" s="10"/>
      <c r="TB487" s="10"/>
      <c r="TC487" s="10"/>
      <c r="TD487" s="10"/>
      <c r="TE487" s="10"/>
      <c r="TF487" s="10"/>
      <c r="TG487" s="11">
        <f t="shared" si="24"/>
        <v>0</v>
      </c>
      <c r="TH487" s="9">
        <f t="shared" si="25"/>
        <v>0</v>
      </c>
    </row>
    <row r="488" spans="1:528" ht="15.6" thickBot="1" x14ac:dyDescent="0.3">
      <c r="A488" s="25" t="s">
        <v>767</v>
      </c>
      <c r="B488" s="18" t="s">
        <v>393</v>
      </c>
      <c r="C488" s="3">
        <f>AGOSTO!D492</f>
        <v>0</v>
      </c>
      <c r="D488" s="21">
        <f t="shared" si="23"/>
        <v>2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>
        <v>49</v>
      </c>
      <c r="EL488" s="10"/>
      <c r="EM488" s="10"/>
      <c r="EN488" s="10"/>
      <c r="EO488" s="10"/>
      <c r="EP488" s="10"/>
      <c r="EQ488" s="10"/>
      <c r="ER488" s="10">
        <v>-38</v>
      </c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>
        <v>-9</v>
      </c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0"/>
      <c r="LV488" s="10"/>
      <c r="LW488" s="10"/>
      <c r="LX488" s="10"/>
      <c r="LY488" s="10"/>
      <c r="LZ488" s="10"/>
      <c r="MA488" s="10"/>
      <c r="MB488" s="10"/>
      <c r="MC488" s="10"/>
      <c r="MD488" s="10"/>
      <c r="ME488" s="10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/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0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  <c r="SB488" s="10"/>
      <c r="SC488" s="10"/>
      <c r="SD488" s="10"/>
      <c r="SE488" s="10"/>
      <c r="SF488" s="10"/>
      <c r="SG488" s="10"/>
      <c r="SH488" s="10"/>
      <c r="SI488" s="10"/>
      <c r="SJ488" s="10"/>
      <c r="SK488" s="10"/>
      <c r="SL488" s="10"/>
      <c r="SM488" s="10"/>
      <c r="SN488" s="10"/>
      <c r="SO488" s="10"/>
      <c r="SP488" s="10"/>
      <c r="SQ488" s="10"/>
      <c r="SR488" s="10"/>
      <c r="SS488" s="10"/>
      <c r="ST488" s="10"/>
      <c r="SU488" s="10"/>
      <c r="SV488" s="10"/>
      <c r="SW488" s="10"/>
      <c r="SX488" s="10"/>
      <c r="SY488" s="10"/>
      <c r="SZ488" s="10"/>
      <c r="TA488" s="10"/>
      <c r="TB488" s="10"/>
      <c r="TC488" s="10"/>
      <c r="TD488" s="10"/>
      <c r="TE488" s="10"/>
      <c r="TF488" s="10"/>
      <c r="TG488" s="11">
        <f t="shared" si="24"/>
        <v>0</v>
      </c>
      <c r="TH488" s="9">
        <f t="shared" si="25"/>
        <v>0</v>
      </c>
    </row>
    <row r="489" spans="1:528" ht="15.6" thickBot="1" x14ac:dyDescent="0.3">
      <c r="A489" s="25" t="s">
        <v>768</v>
      </c>
      <c r="B489" s="18" t="s">
        <v>1054</v>
      </c>
      <c r="C489" s="3">
        <f>AGOSTO!D493</f>
        <v>0</v>
      </c>
      <c r="D489" s="21">
        <f t="shared" si="23"/>
        <v>0</v>
      </c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10"/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10"/>
      <c r="KO489" s="10"/>
      <c r="KP489" s="10"/>
      <c r="KQ489" s="10"/>
      <c r="KR489" s="10"/>
      <c r="KS489" s="10"/>
      <c r="KT489" s="10"/>
      <c r="KU489" s="10"/>
      <c r="KV489" s="10"/>
      <c r="KW489" s="10"/>
      <c r="KX489" s="10"/>
      <c r="KY489" s="10"/>
      <c r="KZ489" s="10"/>
      <c r="LA489" s="10"/>
      <c r="LB489" s="10"/>
      <c r="LC489" s="10"/>
      <c r="LD489" s="10"/>
      <c r="LE489" s="10"/>
      <c r="LF489" s="10"/>
      <c r="LG489" s="10"/>
      <c r="LH489" s="10"/>
      <c r="LI489" s="10"/>
      <c r="LJ489" s="10"/>
      <c r="LK489" s="10"/>
      <c r="LL489" s="10"/>
      <c r="LM489" s="10"/>
      <c r="LN489" s="10"/>
      <c r="LO489" s="10"/>
      <c r="LP489" s="10"/>
      <c r="LQ489" s="10"/>
      <c r="LR489" s="10"/>
      <c r="LS489" s="10"/>
      <c r="LT489" s="10"/>
      <c r="LU489" s="10"/>
      <c r="LV489" s="10"/>
      <c r="LW489" s="10"/>
      <c r="LX489" s="10"/>
      <c r="LY489" s="10"/>
      <c r="LZ489" s="10"/>
      <c r="MA489" s="10"/>
      <c r="MB489" s="10"/>
      <c r="MC489" s="10"/>
      <c r="MD489" s="10"/>
      <c r="ME489" s="10"/>
      <c r="MF489" s="10"/>
      <c r="MG489" s="10"/>
      <c r="MH489" s="10"/>
      <c r="MI489" s="10"/>
      <c r="MJ489" s="10"/>
      <c r="MK489" s="10"/>
      <c r="ML489" s="10"/>
      <c r="MM489" s="10"/>
      <c r="MN489" s="10"/>
      <c r="MO489" s="10"/>
      <c r="MP489" s="10"/>
      <c r="MQ489" s="10"/>
      <c r="MR489" s="10"/>
      <c r="MS489" s="10"/>
      <c r="MT489" s="10"/>
      <c r="MU489" s="10"/>
      <c r="MV489" s="10"/>
      <c r="MW489" s="10"/>
      <c r="MX489" s="10"/>
      <c r="MY489" s="10"/>
      <c r="MZ489" s="10"/>
      <c r="NA489" s="10"/>
      <c r="NB489" s="10"/>
      <c r="NC489" s="10"/>
      <c r="ND489" s="10"/>
      <c r="NE489" s="10"/>
      <c r="NF489" s="10"/>
      <c r="NG489" s="10"/>
      <c r="NH489" s="10"/>
      <c r="NI489" s="10"/>
      <c r="NJ489" s="10"/>
      <c r="NK489" s="10"/>
      <c r="NL489" s="10"/>
      <c r="NM489" s="10"/>
      <c r="NN489" s="10"/>
      <c r="NO489" s="10"/>
      <c r="NP489" s="10"/>
      <c r="NQ489" s="10"/>
      <c r="NR489" s="10"/>
      <c r="NS489" s="10"/>
      <c r="NT489" s="10"/>
      <c r="NU489" s="10"/>
      <c r="NV489" s="10"/>
      <c r="NW489" s="10"/>
      <c r="NX489" s="10"/>
      <c r="NY489" s="10"/>
      <c r="NZ489" s="10"/>
      <c r="OA489" s="10"/>
      <c r="OB489" s="10"/>
      <c r="OC489" s="10"/>
      <c r="OD489" s="10"/>
      <c r="OE489" s="10"/>
      <c r="OF489" s="10"/>
      <c r="OG489" s="10"/>
      <c r="OH489" s="10"/>
      <c r="OI489" s="10"/>
      <c r="OJ489" s="10"/>
      <c r="OK489" s="10"/>
      <c r="OL489" s="10"/>
      <c r="OM489" s="10"/>
      <c r="ON489" s="10"/>
      <c r="OO489" s="10"/>
      <c r="OP489" s="10"/>
      <c r="OQ489" s="10"/>
      <c r="OR489" s="10"/>
      <c r="OS489" s="10"/>
      <c r="OT489" s="10"/>
      <c r="OU489" s="10"/>
      <c r="OV489" s="10"/>
      <c r="OW489" s="10"/>
      <c r="OX489" s="10"/>
      <c r="OY489" s="10"/>
      <c r="OZ489" s="10"/>
      <c r="PA489" s="10"/>
      <c r="PB489" s="10"/>
      <c r="PC489" s="10"/>
      <c r="PD489" s="10"/>
      <c r="PE489" s="10"/>
      <c r="PF489" s="10"/>
      <c r="PG489" s="10"/>
      <c r="PH489" s="10"/>
      <c r="PI489" s="10"/>
      <c r="PJ489" s="10"/>
      <c r="PK489" s="10"/>
      <c r="PL489" s="10"/>
      <c r="PM489" s="10"/>
      <c r="PN489" s="10"/>
      <c r="PO489" s="10"/>
      <c r="PP489" s="10"/>
      <c r="PQ489" s="10"/>
      <c r="PR489" s="10"/>
      <c r="PS489" s="10"/>
      <c r="PT489" s="10"/>
      <c r="PU489" s="10"/>
      <c r="PV489" s="10"/>
      <c r="PW489" s="10"/>
      <c r="PX489" s="10"/>
      <c r="PY489" s="10"/>
      <c r="PZ489" s="10"/>
      <c r="QA489" s="10"/>
      <c r="QB489" s="10"/>
      <c r="QC489" s="10"/>
      <c r="QD489" s="10"/>
      <c r="QE489" s="10"/>
      <c r="QF489" s="10"/>
      <c r="QG489" s="10"/>
      <c r="QH489" s="10"/>
      <c r="QI489" s="10"/>
      <c r="QJ489" s="10"/>
      <c r="QK489" s="10"/>
      <c r="QL489" s="10"/>
      <c r="QM489" s="10"/>
      <c r="QN489" s="10"/>
      <c r="QO489" s="10"/>
      <c r="QP489" s="10"/>
      <c r="QQ489" s="10"/>
      <c r="QR489" s="10"/>
      <c r="QS489" s="10"/>
      <c r="QT489" s="10"/>
      <c r="QU489" s="10"/>
      <c r="QV489" s="10"/>
      <c r="QW489" s="10"/>
      <c r="QX489" s="10"/>
      <c r="QY489" s="10"/>
      <c r="QZ489" s="10"/>
      <c r="RA489" s="10"/>
      <c r="RB489" s="10"/>
      <c r="RC489" s="10"/>
      <c r="RD489" s="10"/>
      <c r="RE489" s="10"/>
      <c r="RF489" s="10"/>
      <c r="RG489" s="10"/>
      <c r="RH489" s="10"/>
      <c r="RI489" s="10"/>
      <c r="RJ489" s="10"/>
      <c r="RK489" s="10"/>
      <c r="RL489" s="10"/>
      <c r="RM489" s="10"/>
      <c r="RN489" s="10"/>
      <c r="RO489" s="10"/>
      <c r="RP489" s="10"/>
      <c r="RQ489" s="10"/>
      <c r="RR489" s="10"/>
      <c r="RS489" s="10"/>
      <c r="RT489" s="10"/>
      <c r="RU489" s="10"/>
      <c r="RV489" s="10"/>
      <c r="RW489" s="10"/>
      <c r="RX489" s="10"/>
      <c r="RY489" s="10"/>
      <c r="RZ489" s="10"/>
      <c r="SA489" s="10"/>
      <c r="SB489" s="10"/>
      <c r="SC489" s="10"/>
      <c r="SD489" s="10"/>
      <c r="SE489" s="10"/>
      <c r="SF489" s="10"/>
      <c r="SG489" s="10"/>
      <c r="SH489" s="10"/>
      <c r="SI489" s="10"/>
      <c r="SJ489" s="10"/>
      <c r="SK489" s="10"/>
      <c r="SL489" s="10"/>
      <c r="SM489" s="10"/>
      <c r="SN489" s="10"/>
      <c r="SO489" s="10"/>
      <c r="SP489" s="10"/>
      <c r="SQ489" s="10"/>
      <c r="SR489" s="10"/>
      <c r="SS489" s="10"/>
      <c r="ST489" s="10"/>
      <c r="SU489" s="10"/>
      <c r="SV489" s="10"/>
      <c r="SW489" s="10"/>
      <c r="SX489" s="10"/>
      <c r="SY489" s="10"/>
      <c r="SZ489" s="10"/>
      <c r="TA489" s="10"/>
      <c r="TB489" s="10"/>
      <c r="TC489" s="10"/>
      <c r="TD489" s="10"/>
      <c r="TE489" s="10"/>
      <c r="TF489" s="10"/>
      <c r="TG489" s="11">
        <f t="shared" si="24"/>
        <v>0</v>
      </c>
      <c r="TH489" s="9">
        <f t="shared" si="25"/>
        <v>0</v>
      </c>
    </row>
    <row r="490" spans="1:528" ht="15.6" thickBot="1" x14ac:dyDescent="0.3">
      <c r="A490" s="35">
        <v>99400101001024</v>
      </c>
      <c r="B490" s="18" t="s">
        <v>1055</v>
      </c>
      <c r="C490" s="3">
        <f>AGOSTO!D494</f>
        <v>0</v>
      </c>
      <c r="D490" s="21">
        <f t="shared" si="23"/>
        <v>25</v>
      </c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>
        <v>74</v>
      </c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>
        <v>-13</v>
      </c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>
        <v>-36</v>
      </c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0"/>
      <c r="LV490" s="10"/>
      <c r="LW490" s="10"/>
      <c r="LX490" s="10"/>
      <c r="LY490" s="10"/>
      <c r="LZ490" s="10"/>
      <c r="MA490" s="10"/>
      <c r="MB490" s="10"/>
      <c r="MC490" s="10"/>
      <c r="MD490" s="10"/>
      <c r="ME490" s="10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/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0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  <c r="SB490" s="10"/>
      <c r="SC490" s="10"/>
      <c r="SD490" s="10"/>
      <c r="SE490" s="10"/>
      <c r="SF490" s="10"/>
      <c r="SG490" s="10"/>
      <c r="SH490" s="10"/>
      <c r="SI490" s="10"/>
      <c r="SJ490" s="10"/>
      <c r="SK490" s="10"/>
      <c r="SL490" s="10"/>
      <c r="SM490" s="10"/>
      <c r="SN490" s="10"/>
      <c r="SO490" s="10"/>
      <c r="SP490" s="10"/>
      <c r="SQ490" s="10"/>
      <c r="SR490" s="10"/>
      <c r="SS490" s="10"/>
      <c r="ST490" s="10"/>
      <c r="SU490" s="10"/>
      <c r="SV490" s="10"/>
      <c r="SW490" s="10"/>
      <c r="SX490" s="10"/>
      <c r="SY490" s="10"/>
      <c r="SZ490" s="10"/>
      <c r="TA490" s="10"/>
      <c r="TB490" s="10"/>
      <c r="TC490" s="10"/>
      <c r="TD490" s="10"/>
      <c r="TE490" s="10"/>
      <c r="TF490" s="10"/>
      <c r="TG490" s="11">
        <f t="shared" si="24"/>
        <v>0</v>
      </c>
      <c r="TH490" s="9">
        <f t="shared" si="25"/>
        <v>0</v>
      </c>
    </row>
    <row r="491" spans="1:528" ht="15.6" thickBot="1" x14ac:dyDescent="0.3">
      <c r="A491" s="35">
        <v>99400171001024</v>
      </c>
      <c r="B491" s="18" t="s">
        <v>1131</v>
      </c>
      <c r="C491" s="3">
        <f>AGOSTO!D495</f>
        <v>0</v>
      </c>
      <c r="D491" s="21">
        <f t="shared" si="23"/>
        <v>2</v>
      </c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>
        <v>54</v>
      </c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>
        <v>-44</v>
      </c>
      <c r="EE491" s="10"/>
      <c r="EF491" s="10"/>
      <c r="EG491" s="10"/>
      <c r="EH491" s="10"/>
      <c r="EI491" s="10"/>
      <c r="EJ491" s="10"/>
      <c r="EK491" s="10">
        <v>25</v>
      </c>
      <c r="EL491" s="10"/>
      <c r="EM491" s="10"/>
      <c r="EN491" s="10"/>
      <c r="EO491" s="10"/>
      <c r="EP491" s="10"/>
      <c r="EQ491" s="10"/>
      <c r="ER491" s="10">
        <v>-19</v>
      </c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>
        <v>-14</v>
      </c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10"/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10"/>
      <c r="KO491" s="10"/>
      <c r="KP491" s="10"/>
      <c r="KQ491" s="10"/>
      <c r="KR491" s="10"/>
      <c r="KS491" s="10"/>
      <c r="KT491" s="10"/>
      <c r="KU491" s="10"/>
      <c r="KV491" s="10"/>
      <c r="KW491" s="10"/>
      <c r="KX491" s="10"/>
      <c r="KY491" s="10"/>
      <c r="KZ491" s="10"/>
      <c r="LA491" s="10"/>
      <c r="LB491" s="10"/>
      <c r="LC491" s="10"/>
      <c r="LD491" s="10"/>
      <c r="LE491" s="10"/>
      <c r="LF491" s="10"/>
      <c r="LG491" s="10"/>
      <c r="LH491" s="10"/>
      <c r="LI491" s="10"/>
      <c r="LJ491" s="10"/>
      <c r="LK491" s="10"/>
      <c r="LL491" s="10"/>
      <c r="LM491" s="10"/>
      <c r="LN491" s="10"/>
      <c r="LO491" s="10"/>
      <c r="LP491" s="10"/>
      <c r="LQ491" s="10"/>
      <c r="LR491" s="10"/>
      <c r="LS491" s="10"/>
      <c r="LT491" s="10"/>
      <c r="LU491" s="10"/>
      <c r="LV491" s="10"/>
      <c r="LW491" s="10"/>
      <c r="LX491" s="10"/>
      <c r="LY491" s="10"/>
      <c r="LZ491" s="10"/>
      <c r="MA491" s="10"/>
      <c r="MB491" s="10"/>
      <c r="MC491" s="10"/>
      <c r="MD491" s="10"/>
      <c r="ME491" s="10"/>
      <c r="MF491" s="10"/>
      <c r="MG491" s="10"/>
      <c r="MH491" s="10"/>
      <c r="MI491" s="10"/>
      <c r="MJ491" s="10"/>
      <c r="MK491" s="10"/>
      <c r="ML491" s="10"/>
      <c r="MM491" s="10"/>
      <c r="MN491" s="10"/>
      <c r="MO491" s="10"/>
      <c r="MP491" s="10"/>
      <c r="MQ491" s="10"/>
      <c r="MR491" s="10"/>
      <c r="MS491" s="10"/>
      <c r="MT491" s="10"/>
      <c r="MU491" s="10"/>
      <c r="MV491" s="10"/>
      <c r="MW491" s="10"/>
      <c r="MX491" s="10"/>
      <c r="MY491" s="10"/>
      <c r="MZ491" s="10"/>
      <c r="NA491" s="10"/>
      <c r="NB491" s="10"/>
      <c r="NC491" s="10"/>
      <c r="ND491" s="10"/>
      <c r="NE491" s="10"/>
      <c r="NF491" s="10"/>
      <c r="NG491" s="10"/>
      <c r="NH491" s="10"/>
      <c r="NI491" s="10"/>
      <c r="NJ491" s="10"/>
      <c r="NK491" s="10"/>
      <c r="NL491" s="10"/>
      <c r="NM491" s="10"/>
      <c r="NN491" s="10"/>
      <c r="NO491" s="10"/>
      <c r="NP491" s="10"/>
      <c r="NQ491" s="10"/>
      <c r="NR491" s="10"/>
      <c r="NS491" s="10"/>
      <c r="NT491" s="10"/>
      <c r="NU491" s="10"/>
      <c r="NV491" s="10"/>
      <c r="NW491" s="10"/>
      <c r="NX491" s="10"/>
      <c r="NY491" s="10"/>
      <c r="NZ491" s="10"/>
      <c r="OA491" s="10"/>
      <c r="OB491" s="10"/>
      <c r="OC491" s="10"/>
      <c r="OD491" s="10"/>
      <c r="OE491" s="10"/>
      <c r="OF491" s="10"/>
      <c r="OG491" s="10"/>
      <c r="OH491" s="10"/>
      <c r="OI491" s="10"/>
      <c r="OJ491" s="10"/>
      <c r="OK491" s="10"/>
      <c r="OL491" s="10"/>
      <c r="OM491" s="10"/>
      <c r="ON491" s="10"/>
      <c r="OO491" s="10"/>
      <c r="OP491" s="10"/>
      <c r="OQ491" s="10"/>
      <c r="OR491" s="10"/>
      <c r="OS491" s="10"/>
      <c r="OT491" s="10"/>
      <c r="OU491" s="10"/>
      <c r="OV491" s="10"/>
      <c r="OW491" s="10"/>
      <c r="OX491" s="10"/>
      <c r="OY491" s="10"/>
      <c r="OZ491" s="10"/>
      <c r="PA491" s="10"/>
      <c r="PB491" s="10"/>
      <c r="PC491" s="10"/>
      <c r="PD491" s="10"/>
      <c r="PE491" s="10"/>
      <c r="PF491" s="10"/>
      <c r="PG491" s="10"/>
      <c r="PH491" s="10"/>
      <c r="PI491" s="10"/>
      <c r="PJ491" s="10"/>
      <c r="PK491" s="10"/>
      <c r="PL491" s="10"/>
      <c r="PM491" s="10"/>
      <c r="PN491" s="10"/>
      <c r="PO491" s="10"/>
      <c r="PP491" s="10"/>
      <c r="PQ491" s="10"/>
      <c r="PR491" s="10"/>
      <c r="PS491" s="10"/>
      <c r="PT491" s="10"/>
      <c r="PU491" s="10"/>
      <c r="PV491" s="10"/>
      <c r="PW491" s="10"/>
      <c r="PX491" s="10"/>
      <c r="PY491" s="10"/>
      <c r="PZ491" s="10"/>
      <c r="QA491" s="10"/>
      <c r="QB491" s="10"/>
      <c r="QC491" s="10"/>
      <c r="QD491" s="10"/>
      <c r="QE491" s="10"/>
      <c r="QF491" s="10"/>
      <c r="QG491" s="10"/>
      <c r="QH491" s="10"/>
      <c r="QI491" s="10"/>
      <c r="QJ491" s="10"/>
      <c r="QK491" s="10"/>
      <c r="QL491" s="10"/>
      <c r="QM491" s="10"/>
      <c r="QN491" s="10"/>
      <c r="QO491" s="10"/>
      <c r="QP491" s="10"/>
      <c r="QQ491" s="10"/>
      <c r="QR491" s="10"/>
      <c r="QS491" s="10"/>
      <c r="QT491" s="10"/>
      <c r="QU491" s="10"/>
      <c r="QV491" s="10"/>
      <c r="QW491" s="10"/>
      <c r="QX491" s="10"/>
      <c r="QY491" s="10"/>
      <c r="QZ491" s="10"/>
      <c r="RA491" s="10"/>
      <c r="RB491" s="10"/>
      <c r="RC491" s="10"/>
      <c r="RD491" s="10"/>
      <c r="RE491" s="10"/>
      <c r="RF491" s="10"/>
      <c r="RG491" s="10"/>
      <c r="RH491" s="10"/>
      <c r="RI491" s="10"/>
      <c r="RJ491" s="10"/>
      <c r="RK491" s="10"/>
      <c r="RL491" s="10"/>
      <c r="RM491" s="10"/>
      <c r="RN491" s="10"/>
      <c r="RO491" s="10"/>
      <c r="RP491" s="10"/>
      <c r="RQ491" s="10"/>
      <c r="RR491" s="10"/>
      <c r="RS491" s="10"/>
      <c r="RT491" s="10"/>
      <c r="RU491" s="10"/>
      <c r="RV491" s="10"/>
      <c r="RW491" s="10"/>
      <c r="RX491" s="10"/>
      <c r="RY491" s="10"/>
      <c r="RZ491" s="10"/>
      <c r="SA491" s="10"/>
      <c r="SB491" s="10"/>
      <c r="SC491" s="10"/>
      <c r="SD491" s="10"/>
      <c r="SE491" s="10"/>
      <c r="SF491" s="10"/>
      <c r="SG491" s="10"/>
      <c r="SH491" s="10"/>
      <c r="SI491" s="10"/>
      <c r="SJ491" s="10"/>
      <c r="SK491" s="10"/>
      <c r="SL491" s="10"/>
      <c r="SM491" s="10"/>
      <c r="SN491" s="10"/>
      <c r="SO491" s="10"/>
      <c r="SP491" s="10"/>
      <c r="SQ491" s="10"/>
      <c r="SR491" s="10"/>
      <c r="SS491" s="10"/>
      <c r="ST491" s="10"/>
      <c r="SU491" s="10"/>
      <c r="SV491" s="10"/>
      <c r="SW491" s="10"/>
      <c r="SX491" s="10"/>
      <c r="SY491" s="10"/>
      <c r="SZ491" s="10"/>
      <c r="TA491" s="10"/>
      <c r="TB491" s="10"/>
      <c r="TC491" s="10"/>
      <c r="TD491" s="10"/>
      <c r="TE491" s="10"/>
      <c r="TF491" s="10"/>
      <c r="TG491" s="11">
        <f t="shared" si="24"/>
        <v>0</v>
      </c>
      <c r="TH491" s="9">
        <f t="shared" si="25"/>
        <v>0</v>
      </c>
    </row>
    <row r="492" spans="1:528" ht="15.6" thickBot="1" x14ac:dyDescent="0.3">
      <c r="A492" s="38">
        <v>99400161001024</v>
      </c>
      <c r="B492" s="18" t="s">
        <v>949</v>
      </c>
      <c r="C492" s="3">
        <f>AGOSTO!D496</f>
        <v>0</v>
      </c>
      <c r="D492" s="21">
        <f t="shared" si="23"/>
        <v>4</v>
      </c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>
        <v>48</v>
      </c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>
        <v>-44</v>
      </c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0"/>
      <c r="LV492" s="10"/>
      <c r="LW492" s="10"/>
      <c r="LX492" s="10"/>
      <c r="LY492" s="10"/>
      <c r="LZ492" s="10"/>
      <c r="MA492" s="10"/>
      <c r="MB492" s="10"/>
      <c r="MC492" s="10"/>
      <c r="MD492" s="10"/>
      <c r="ME492" s="10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/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0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  <c r="SB492" s="10"/>
      <c r="SC492" s="10"/>
      <c r="SD492" s="10"/>
      <c r="SE492" s="10"/>
      <c r="SF492" s="10"/>
      <c r="SG492" s="10"/>
      <c r="SH492" s="10"/>
      <c r="SI492" s="10"/>
      <c r="SJ492" s="10"/>
      <c r="SK492" s="10"/>
      <c r="SL492" s="10"/>
      <c r="SM492" s="10"/>
      <c r="SN492" s="10"/>
      <c r="SO492" s="10"/>
      <c r="SP492" s="10"/>
      <c r="SQ492" s="10"/>
      <c r="SR492" s="10"/>
      <c r="SS492" s="10"/>
      <c r="ST492" s="10"/>
      <c r="SU492" s="10"/>
      <c r="SV492" s="10"/>
      <c r="SW492" s="10"/>
      <c r="SX492" s="10"/>
      <c r="SY492" s="10"/>
      <c r="SZ492" s="10"/>
      <c r="TA492" s="10"/>
      <c r="TB492" s="10"/>
      <c r="TC492" s="10"/>
      <c r="TD492" s="10"/>
      <c r="TE492" s="10"/>
      <c r="TF492" s="10"/>
      <c r="TG492" s="11">
        <f t="shared" si="24"/>
        <v>0</v>
      </c>
      <c r="TH492" s="9">
        <f t="shared" si="25"/>
        <v>0</v>
      </c>
    </row>
    <row r="493" spans="1:528" ht="16.2" thickBot="1" x14ac:dyDescent="0.35">
      <c r="A493" s="25"/>
      <c r="B493" s="23" t="s">
        <v>378</v>
      </c>
      <c r="C493" s="3">
        <f>AGOSTO!D497</f>
        <v>0</v>
      </c>
      <c r="D493" s="21">
        <f t="shared" si="23"/>
        <v>0</v>
      </c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10"/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10"/>
      <c r="KO493" s="10"/>
      <c r="KP493" s="10"/>
      <c r="KQ493" s="10"/>
      <c r="KR493" s="10"/>
      <c r="KS493" s="10"/>
      <c r="KT493" s="10"/>
      <c r="KU493" s="10"/>
      <c r="KV493" s="10"/>
      <c r="KW493" s="10"/>
      <c r="KX493" s="10"/>
      <c r="KY493" s="10"/>
      <c r="KZ493" s="10"/>
      <c r="LA493" s="10"/>
      <c r="LB493" s="10"/>
      <c r="LC493" s="10"/>
      <c r="LD493" s="10"/>
      <c r="LE493" s="10"/>
      <c r="LF493" s="10"/>
      <c r="LG493" s="10"/>
      <c r="LH493" s="10"/>
      <c r="LI493" s="10"/>
      <c r="LJ493" s="10"/>
      <c r="LK493" s="10"/>
      <c r="LL493" s="10"/>
      <c r="LM493" s="10"/>
      <c r="LN493" s="10"/>
      <c r="LO493" s="10"/>
      <c r="LP493" s="10"/>
      <c r="LQ493" s="10"/>
      <c r="LR493" s="10"/>
      <c r="LS493" s="10"/>
      <c r="LT493" s="10"/>
      <c r="LU493" s="10"/>
      <c r="LV493" s="10"/>
      <c r="LW493" s="10"/>
      <c r="LX493" s="10"/>
      <c r="LY493" s="10"/>
      <c r="LZ493" s="10"/>
      <c r="MA493" s="10"/>
      <c r="MB493" s="10"/>
      <c r="MC493" s="10"/>
      <c r="MD493" s="10"/>
      <c r="ME493" s="10"/>
      <c r="MF493" s="10"/>
      <c r="MG493" s="10"/>
      <c r="MH493" s="10"/>
      <c r="MI493" s="10"/>
      <c r="MJ493" s="10"/>
      <c r="MK493" s="10"/>
      <c r="ML493" s="10"/>
      <c r="MM493" s="10"/>
      <c r="MN493" s="10"/>
      <c r="MO493" s="10"/>
      <c r="MP493" s="10"/>
      <c r="MQ493" s="10"/>
      <c r="MR493" s="10"/>
      <c r="MS493" s="10"/>
      <c r="MT493" s="10"/>
      <c r="MU493" s="10"/>
      <c r="MV493" s="10"/>
      <c r="MW493" s="10"/>
      <c r="MX493" s="10"/>
      <c r="MY493" s="10"/>
      <c r="MZ493" s="10"/>
      <c r="NA493" s="10"/>
      <c r="NB493" s="10"/>
      <c r="NC493" s="10"/>
      <c r="ND493" s="10"/>
      <c r="NE493" s="10"/>
      <c r="NF493" s="10"/>
      <c r="NG493" s="10"/>
      <c r="NH493" s="10"/>
      <c r="NI493" s="10"/>
      <c r="NJ493" s="10"/>
      <c r="NK493" s="10"/>
      <c r="NL493" s="10"/>
      <c r="NM493" s="10"/>
      <c r="NN493" s="10"/>
      <c r="NO493" s="10"/>
      <c r="NP493" s="10"/>
      <c r="NQ493" s="10"/>
      <c r="NR493" s="10"/>
      <c r="NS493" s="10"/>
      <c r="NT493" s="10"/>
      <c r="NU493" s="10"/>
      <c r="NV493" s="10"/>
      <c r="NW493" s="10"/>
      <c r="NX493" s="10"/>
      <c r="NY493" s="10"/>
      <c r="NZ493" s="10"/>
      <c r="OA493" s="10"/>
      <c r="OB493" s="10"/>
      <c r="OC493" s="10"/>
      <c r="OD493" s="10"/>
      <c r="OE493" s="10"/>
      <c r="OF493" s="10"/>
      <c r="OG493" s="10"/>
      <c r="OH493" s="10"/>
      <c r="OI493" s="10"/>
      <c r="OJ493" s="10"/>
      <c r="OK493" s="10"/>
      <c r="OL493" s="10"/>
      <c r="OM493" s="10"/>
      <c r="ON493" s="10"/>
      <c r="OO493" s="10"/>
      <c r="OP493" s="10"/>
      <c r="OQ493" s="10"/>
      <c r="OR493" s="10"/>
      <c r="OS493" s="10"/>
      <c r="OT493" s="10"/>
      <c r="OU493" s="10"/>
      <c r="OV493" s="10"/>
      <c r="OW493" s="10"/>
      <c r="OX493" s="10"/>
      <c r="OY493" s="10"/>
      <c r="OZ493" s="10"/>
      <c r="PA493" s="10"/>
      <c r="PB493" s="10"/>
      <c r="PC493" s="10"/>
      <c r="PD493" s="10"/>
      <c r="PE493" s="10"/>
      <c r="PF493" s="10"/>
      <c r="PG493" s="10"/>
      <c r="PH493" s="10"/>
      <c r="PI493" s="10"/>
      <c r="PJ493" s="10"/>
      <c r="PK493" s="10"/>
      <c r="PL493" s="10"/>
      <c r="PM493" s="10"/>
      <c r="PN493" s="10"/>
      <c r="PO493" s="10"/>
      <c r="PP493" s="10"/>
      <c r="PQ493" s="10"/>
      <c r="PR493" s="10"/>
      <c r="PS493" s="10"/>
      <c r="PT493" s="10"/>
      <c r="PU493" s="10"/>
      <c r="PV493" s="10"/>
      <c r="PW493" s="10"/>
      <c r="PX493" s="10"/>
      <c r="PY493" s="10"/>
      <c r="PZ493" s="10"/>
      <c r="QA493" s="10"/>
      <c r="QB493" s="10"/>
      <c r="QC493" s="10"/>
      <c r="QD493" s="10"/>
      <c r="QE493" s="10"/>
      <c r="QF493" s="10"/>
      <c r="QG493" s="10"/>
      <c r="QH493" s="10"/>
      <c r="QI493" s="10"/>
      <c r="QJ493" s="10"/>
      <c r="QK493" s="10"/>
      <c r="QL493" s="10"/>
      <c r="QM493" s="10"/>
      <c r="QN493" s="10"/>
      <c r="QO493" s="10"/>
      <c r="QP493" s="10"/>
      <c r="QQ493" s="10"/>
      <c r="QR493" s="10"/>
      <c r="QS493" s="10"/>
      <c r="QT493" s="10"/>
      <c r="QU493" s="10"/>
      <c r="QV493" s="10"/>
      <c r="QW493" s="10"/>
      <c r="QX493" s="10"/>
      <c r="QY493" s="10"/>
      <c r="QZ493" s="10"/>
      <c r="RA493" s="10"/>
      <c r="RB493" s="10"/>
      <c r="RC493" s="10"/>
      <c r="RD493" s="10"/>
      <c r="RE493" s="10"/>
      <c r="RF493" s="10"/>
      <c r="RG493" s="10"/>
      <c r="RH493" s="10"/>
      <c r="RI493" s="10"/>
      <c r="RJ493" s="10"/>
      <c r="RK493" s="10"/>
      <c r="RL493" s="10"/>
      <c r="RM493" s="10"/>
      <c r="RN493" s="10"/>
      <c r="RO493" s="10"/>
      <c r="RP493" s="10"/>
      <c r="RQ493" s="10"/>
      <c r="RR493" s="10"/>
      <c r="RS493" s="10"/>
      <c r="RT493" s="10"/>
      <c r="RU493" s="10"/>
      <c r="RV493" s="10"/>
      <c r="RW493" s="10"/>
      <c r="RX493" s="10"/>
      <c r="RY493" s="10"/>
      <c r="RZ493" s="10"/>
      <c r="SA493" s="10"/>
      <c r="SB493" s="10"/>
      <c r="SC493" s="10"/>
      <c r="SD493" s="10"/>
      <c r="SE493" s="10"/>
      <c r="SF493" s="10"/>
      <c r="SG493" s="10"/>
      <c r="SH493" s="10"/>
      <c r="SI493" s="10"/>
      <c r="SJ493" s="10"/>
      <c r="SK493" s="10"/>
      <c r="SL493" s="10"/>
      <c r="SM493" s="10"/>
      <c r="SN493" s="10"/>
      <c r="SO493" s="10"/>
      <c r="SP493" s="10"/>
      <c r="SQ493" s="10"/>
      <c r="SR493" s="10"/>
      <c r="SS493" s="10"/>
      <c r="ST493" s="10"/>
      <c r="SU493" s="10"/>
      <c r="SV493" s="10"/>
      <c r="SW493" s="10"/>
      <c r="SX493" s="10"/>
      <c r="SY493" s="10"/>
      <c r="SZ493" s="10"/>
      <c r="TA493" s="10"/>
      <c r="TB493" s="10"/>
      <c r="TC493" s="10"/>
      <c r="TD493" s="10"/>
      <c r="TE493" s="10"/>
      <c r="TF493" s="10"/>
      <c r="TG493" s="11">
        <f t="shared" si="24"/>
        <v>0</v>
      </c>
      <c r="TH493" s="9">
        <f t="shared" si="25"/>
        <v>0</v>
      </c>
    </row>
    <row r="494" spans="1:528" ht="15.6" thickBot="1" x14ac:dyDescent="0.3">
      <c r="A494" s="25" t="s">
        <v>813</v>
      </c>
      <c r="B494" s="18" t="s">
        <v>799</v>
      </c>
      <c r="C494" s="3">
        <f>AGOSTO!D498</f>
        <v>0</v>
      </c>
      <c r="D494" s="21">
        <f t="shared" si="23"/>
        <v>0</v>
      </c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0"/>
      <c r="LV494" s="10"/>
      <c r="LW494" s="10"/>
      <c r="LX494" s="10"/>
      <c r="LY494" s="10"/>
      <c r="LZ494" s="10"/>
      <c r="MA494" s="10"/>
      <c r="MB494" s="10"/>
      <c r="MC494" s="10"/>
      <c r="MD494" s="10"/>
      <c r="ME494" s="10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/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0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  <c r="SB494" s="10"/>
      <c r="SC494" s="10"/>
      <c r="SD494" s="10"/>
      <c r="SE494" s="10"/>
      <c r="SF494" s="10"/>
      <c r="SG494" s="10"/>
      <c r="SH494" s="10"/>
      <c r="SI494" s="10"/>
      <c r="SJ494" s="10"/>
      <c r="SK494" s="10"/>
      <c r="SL494" s="10"/>
      <c r="SM494" s="10"/>
      <c r="SN494" s="10"/>
      <c r="SO494" s="10"/>
      <c r="SP494" s="10"/>
      <c r="SQ494" s="10"/>
      <c r="SR494" s="10"/>
      <c r="SS494" s="10"/>
      <c r="ST494" s="10"/>
      <c r="SU494" s="10"/>
      <c r="SV494" s="10"/>
      <c r="SW494" s="10"/>
      <c r="SX494" s="10"/>
      <c r="SY494" s="10"/>
      <c r="SZ494" s="10"/>
      <c r="TA494" s="10"/>
      <c r="TB494" s="10"/>
      <c r="TC494" s="10"/>
      <c r="TD494" s="10"/>
      <c r="TE494" s="10"/>
      <c r="TF494" s="10"/>
      <c r="TG494" s="11">
        <f t="shared" si="24"/>
        <v>0</v>
      </c>
      <c r="TH494" s="9">
        <f t="shared" si="25"/>
        <v>0</v>
      </c>
    </row>
    <row r="495" spans="1:528" ht="15.6" thickBot="1" x14ac:dyDescent="0.3">
      <c r="A495" s="25" t="s">
        <v>1056</v>
      </c>
      <c r="B495" s="18" t="s">
        <v>796</v>
      </c>
      <c r="C495" s="3">
        <f>AGOSTO!D499</f>
        <v>0</v>
      </c>
      <c r="D495" s="21">
        <f t="shared" si="23"/>
        <v>0</v>
      </c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>
        <v>61</v>
      </c>
      <c r="DF495" s="10"/>
      <c r="DG495" s="10"/>
      <c r="DH495" s="10"/>
      <c r="DI495" s="10">
        <v>20</v>
      </c>
      <c r="DJ495" s="10">
        <v>-61</v>
      </c>
      <c r="DK495" s="10"/>
      <c r="DL495" s="10"/>
      <c r="DM495" s="10"/>
      <c r="DN495" s="10"/>
      <c r="DO495" s="10"/>
      <c r="DP495" s="10">
        <v>-20</v>
      </c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>
        <v>34</v>
      </c>
      <c r="GP495" s="10">
        <v>-34</v>
      </c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10"/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10"/>
      <c r="KO495" s="10"/>
      <c r="KP495" s="10"/>
      <c r="KQ495" s="10"/>
      <c r="KR495" s="10"/>
      <c r="KS495" s="10"/>
      <c r="KT495" s="10"/>
      <c r="KU495" s="10"/>
      <c r="KV495" s="10"/>
      <c r="KW495" s="10"/>
      <c r="KX495" s="10"/>
      <c r="KY495" s="10"/>
      <c r="KZ495" s="10"/>
      <c r="LA495" s="10"/>
      <c r="LB495" s="10"/>
      <c r="LC495" s="10"/>
      <c r="LD495" s="10"/>
      <c r="LE495" s="10"/>
      <c r="LF495" s="10"/>
      <c r="LG495" s="10"/>
      <c r="LH495" s="10"/>
      <c r="LI495" s="10"/>
      <c r="LJ495" s="10"/>
      <c r="LK495" s="10"/>
      <c r="LL495" s="10"/>
      <c r="LM495" s="10"/>
      <c r="LN495" s="10"/>
      <c r="LO495" s="10"/>
      <c r="LP495" s="10"/>
      <c r="LQ495" s="10"/>
      <c r="LR495" s="10"/>
      <c r="LS495" s="10"/>
      <c r="LT495" s="10"/>
      <c r="LU495" s="10"/>
      <c r="LV495" s="10"/>
      <c r="LW495" s="10"/>
      <c r="LX495" s="10"/>
      <c r="LY495" s="10"/>
      <c r="LZ495" s="10"/>
      <c r="MA495" s="10"/>
      <c r="MB495" s="10"/>
      <c r="MC495" s="10"/>
      <c r="MD495" s="10"/>
      <c r="ME495" s="10"/>
      <c r="MF495" s="10"/>
      <c r="MG495" s="10"/>
      <c r="MH495" s="10"/>
      <c r="MI495" s="10"/>
      <c r="MJ495" s="10"/>
      <c r="MK495" s="10"/>
      <c r="ML495" s="10"/>
      <c r="MM495" s="10"/>
      <c r="MN495" s="10"/>
      <c r="MO495" s="10"/>
      <c r="MP495" s="10"/>
      <c r="MQ495" s="10"/>
      <c r="MR495" s="10"/>
      <c r="MS495" s="10"/>
      <c r="MT495" s="10"/>
      <c r="MU495" s="10"/>
      <c r="MV495" s="10"/>
      <c r="MW495" s="10"/>
      <c r="MX495" s="10"/>
      <c r="MY495" s="10"/>
      <c r="MZ495" s="10"/>
      <c r="NA495" s="10"/>
      <c r="NB495" s="10"/>
      <c r="NC495" s="10"/>
      <c r="ND495" s="10"/>
      <c r="NE495" s="10"/>
      <c r="NF495" s="10"/>
      <c r="NG495" s="10"/>
      <c r="NH495" s="10"/>
      <c r="NI495" s="10"/>
      <c r="NJ495" s="10"/>
      <c r="NK495" s="10"/>
      <c r="NL495" s="10"/>
      <c r="NM495" s="10"/>
      <c r="NN495" s="10"/>
      <c r="NO495" s="10"/>
      <c r="NP495" s="10"/>
      <c r="NQ495" s="10"/>
      <c r="NR495" s="10"/>
      <c r="NS495" s="10"/>
      <c r="NT495" s="10"/>
      <c r="NU495" s="10"/>
      <c r="NV495" s="10"/>
      <c r="NW495" s="10"/>
      <c r="NX495" s="10"/>
      <c r="NY495" s="10"/>
      <c r="NZ495" s="10"/>
      <c r="OA495" s="10"/>
      <c r="OB495" s="10"/>
      <c r="OC495" s="10"/>
      <c r="OD495" s="10"/>
      <c r="OE495" s="10"/>
      <c r="OF495" s="10"/>
      <c r="OG495" s="10"/>
      <c r="OH495" s="10"/>
      <c r="OI495" s="10"/>
      <c r="OJ495" s="10"/>
      <c r="OK495" s="10"/>
      <c r="OL495" s="10"/>
      <c r="OM495" s="10"/>
      <c r="ON495" s="10"/>
      <c r="OO495" s="10"/>
      <c r="OP495" s="10"/>
      <c r="OQ495" s="10"/>
      <c r="OR495" s="10"/>
      <c r="OS495" s="10"/>
      <c r="OT495" s="10"/>
      <c r="OU495" s="10"/>
      <c r="OV495" s="10"/>
      <c r="OW495" s="10"/>
      <c r="OX495" s="10"/>
      <c r="OY495" s="10"/>
      <c r="OZ495" s="10"/>
      <c r="PA495" s="10"/>
      <c r="PB495" s="10"/>
      <c r="PC495" s="10"/>
      <c r="PD495" s="10"/>
      <c r="PE495" s="10"/>
      <c r="PF495" s="10"/>
      <c r="PG495" s="10"/>
      <c r="PH495" s="10"/>
      <c r="PI495" s="10"/>
      <c r="PJ495" s="10"/>
      <c r="PK495" s="10"/>
      <c r="PL495" s="10"/>
      <c r="PM495" s="10"/>
      <c r="PN495" s="10"/>
      <c r="PO495" s="10"/>
      <c r="PP495" s="10"/>
      <c r="PQ495" s="10"/>
      <c r="PR495" s="10"/>
      <c r="PS495" s="10"/>
      <c r="PT495" s="10"/>
      <c r="PU495" s="10"/>
      <c r="PV495" s="10"/>
      <c r="PW495" s="10"/>
      <c r="PX495" s="10"/>
      <c r="PY495" s="10"/>
      <c r="PZ495" s="10"/>
      <c r="QA495" s="10"/>
      <c r="QB495" s="10"/>
      <c r="QC495" s="10"/>
      <c r="QD495" s="10"/>
      <c r="QE495" s="10"/>
      <c r="QF495" s="10"/>
      <c r="QG495" s="10"/>
      <c r="QH495" s="10"/>
      <c r="QI495" s="10"/>
      <c r="QJ495" s="10"/>
      <c r="QK495" s="10"/>
      <c r="QL495" s="10"/>
      <c r="QM495" s="10"/>
      <c r="QN495" s="10"/>
      <c r="QO495" s="10"/>
      <c r="QP495" s="10"/>
      <c r="QQ495" s="10"/>
      <c r="QR495" s="10"/>
      <c r="QS495" s="10"/>
      <c r="QT495" s="10"/>
      <c r="QU495" s="10"/>
      <c r="QV495" s="10"/>
      <c r="QW495" s="10"/>
      <c r="QX495" s="10"/>
      <c r="QY495" s="10"/>
      <c r="QZ495" s="10"/>
      <c r="RA495" s="10"/>
      <c r="RB495" s="10"/>
      <c r="RC495" s="10"/>
      <c r="RD495" s="10"/>
      <c r="RE495" s="10"/>
      <c r="RF495" s="10"/>
      <c r="RG495" s="10"/>
      <c r="RH495" s="10"/>
      <c r="RI495" s="10"/>
      <c r="RJ495" s="10"/>
      <c r="RK495" s="10"/>
      <c r="RL495" s="10"/>
      <c r="RM495" s="10"/>
      <c r="RN495" s="10"/>
      <c r="RO495" s="10"/>
      <c r="RP495" s="10"/>
      <c r="RQ495" s="10"/>
      <c r="RR495" s="10"/>
      <c r="RS495" s="10"/>
      <c r="RT495" s="10"/>
      <c r="RU495" s="10"/>
      <c r="RV495" s="10"/>
      <c r="RW495" s="10"/>
      <c r="RX495" s="10"/>
      <c r="RY495" s="10"/>
      <c r="RZ495" s="10"/>
      <c r="SA495" s="10"/>
      <c r="SB495" s="10"/>
      <c r="SC495" s="10"/>
      <c r="SD495" s="10"/>
      <c r="SE495" s="10"/>
      <c r="SF495" s="10"/>
      <c r="SG495" s="10"/>
      <c r="SH495" s="10"/>
      <c r="SI495" s="10"/>
      <c r="SJ495" s="10"/>
      <c r="SK495" s="10"/>
      <c r="SL495" s="10"/>
      <c r="SM495" s="10"/>
      <c r="SN495" s="10"/>
      <c r="SO495" s="10"/>
      <c r="SP495" s="10"/>
      <c r="SQ495" s="10"/>
      <c r="SR495" s="10"/>
      <c r="SS495" s="10"/>
      <c r="ST495" s="10"/>
      <c r="SU495" s="10"/>
      <c r="SV495" s="10"/>
      <c r="SW495" s="10"/>
      <c r="SX495" s="10"/>
      <c r="SY495" s="10"/>
      <c r="SZ495" s="10"/>
      <c r="TA495" s="10"/>
      <c r="TB495" s="10"/>
      <c r="TC495" s="10"/>
      <c r="TD495" s="10"/>
      <c r="TE495" s="10"/>
      <c r="TF495" s="10"/>
      <c r="TG495" s="11">
        <f t="shared" si="24"/>
        <v>0</v>
      </c>
      <c r="TH495" s="9">
        <f t="shared" si="25"/>
        <v>0</v>
      </c>
    </row>
    <row r="496" spans="1:528" ht="15.6" thickBot="1" x14ac:dyDescent="0.3">
      <c r="A496" s="25" t="s">
        <v>820</v>
      </c>
      <c r="B496" s="18" t="s">
        <v>1145</v>
      </c>
      <c r="C496" s="3">
        <f>AGOSTO!D500</f>
        <v>0</v>
      </c>
      <c r="D496" s="21">
        <f t="shared" si="23"/>
        <v>0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>
        <v>56</v>
      </c>
      <c r="FX496" s="10"/>
      <c r="FY496" s="10">
        <f>112+32</f>
        <v>144</v>
      </c>
      <c r="FZ496" s="10">
        <v>-200</v>
      </c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0"/>
      <c r="LV496" s="10"/>
      <c r="LW496" s="10"/>
      <c r="LX496" s="10"/>
      <c r="LY496" s="10"/>
      <c r="LZ496" s="10"/>
      <c r="MA496" s="10"/>
      <c r="MB496" s="10"/>
      <c r="MC496" s="10"/>
      <c r="MD496" s="10"/>
      <c r="ME496" s="10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/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0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  <c r="SB496" s="10"/>
      <c r="SC496" s="10"/>
      <c r="SD496" s="10"/>
      <c r="SE496" s="10"/>
      <c r="SF496" s="10"/>
      <c r="SG496" s="10"/>
      <c r="SH496" s="10"/>
      <c r="SI496" s="10"/>
      <c r="SJ496" s="10"/>
      <c r="SK496" s="10"/>
      <c r="SL496" s="10"/>
      <c r="SM496" s="10"/>
      <c r="SN496" s="10"/>
      <c r="SO496" s="10"/>
      <c r="SP496" s="10"/>
      <c r="SQ496" s="10"/>
      <c r="SR496" s="10"/>
      <c r="SS496" s="10"/>
      <c r="ST496" s="10"/>
      <c r="SU496" s="10"/>
      <c r="SV496" s="10"/>
      <c r="SW496" s="10"/>
      <c r="SX496" s="10"/>
      <c r="SY496" s="10"/>
      <c r="SZ496" s="10"/>
      <c r="TA496" s="10"/>
      <c r="TB496" s="10"/>
      <c r="TC496" s="10"/>
      <c r="TD496" s="10"/>
      <c r="TE496" s="10"/>
      <c r="TF496" s="10"/>
      <c r="TG496" s="11">
        <f t="shared" si="24"/>
        <v>0</v>
      </c>
      <c r="TH496" s="9">
        <f t="shared" si="25"/>
        <v>0</v>
      </c>
    </row>
    <row r="497" spans="1:528" ht="15.6" thickBot="1" x14ac:dyDescent="0.3">
      <c r="A497" s="25"/>
      <c r="B497" s="18" t="s">
        <v>475</v>
      </c>
      <c r="C497" s="3">
        <f>AGOSTO!D501</f>
        <v>0</v>
      </c>
      <c r="D497" s="21">
        <f t="shared" si="23"/>
        <v>0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10"/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10"/>
      <c r="KO497" s="10"/>
      <c r="KP497" s="10"/>
      <c r="KQ497" s="10"/>
      <c r="KR497" s="10"/>
      <c r="KS497" s="10"/>
      <c r="KT497" s="10"/>
      <c r="KU497" s="10"/>
      <c r="KV497" s="10"/>
      <c r="KW497" s="10"/>
      <c r="KX497" s="10"/>
      <c r="KY497" s="10"/>
      <c r="KZ497" s="10"/>
      <c r="LA497" s="10"/>
      <c r="LB497" s="10"/>
      <c r="LC497" s="10"/>
      <c r="LD497" s="10"/>
      <c r="LE497" s="10"/>
      <c r="LF497" s="10"/>
      <c r="LG497" s="10"/>
      <c r="LH497" s="10"/>
      <c r="LI497" s="10"/>
      <c r="LJ497" s="10"/>
      <c r="LK497" s="10"/>
      <c r="LL497" s="10"/>
      <c r="LM497" s="10"/>
      <c r="LN497" s="10"/>
      <c r="LO497" s="10"/>
      <c r="LP497" s="10"/>
      <c r="LQ497" s="10"/>
      <c r="LR497" s="10"/>
      <c r="LS497" s="10"/>
      <c r="LT497" s="10"/>
      <c r="LU497" s="10"/>
      <c r="LV497" s="10"/>
      <c r="LW497" s="10"/>
      <c r="LX497" s="10"/>
      <c r="LY497" s="10"/>
      <c r="LZ497" s="10"/>
      <c r="MA497" s="10"/>
      <c r="MB497" s="10"/>
      <c r="MC497" s="10"/>
      <c r="MD497" s="10"/>
      <c r="ME497" s="10"/>
      <c r="MF497" s="10"/>
      <c r="MG497" s="10"/>
      <c r="MH497" s="10"/>
      <c r="MI497" s="10"/>
      <c r="MJ497" s="10"/>
      <c r="MK497" s="10"/>
      <c r="ML497" s="10"/>
      <c r="MM497" s="10"/>
      <c r="MN497" s="10"/>
      <c r="MO497" s="10"/>
      <c r="MP497" s="10"/>
      <c r="MQ497" s="10"/>
      <c r="MR497" s="10"/>
      <c r="MS497" s="10"/>
      <c r="MT497" s="10"/>
      <c r="MU497" s="10"/>
      <c r="MV497" s="10"/>
      <c r="MW497" s="10"/>
      <c r="MX497" s="10"/>
      <c r="MY497" s="10"/>
      <c r="MZ497" s="10"/>
      <c r="NA497" s="10"/>
      <c r="NB497" s="10"/>
      <c r="NC497" s="10"/>
      <c r="ND497" s="10"/>
      <c r="NE497" s="10"/>
      <c r="NF497" s="10"/>
      <c r="NG497" s="10"/>
      <c r="NH497" s="10"/>
      <c r="NI497" s="10"/>
      <c r="NJ497" s="10"/>
      <c r="NK497" s="10"/>
      <c r="NL497" s="10"/>
      <c r="NM497" s="10"/>
      <c r="NN497" s="10"/>
      <c r="NO497" s="10"/>
      <c r="NP497" s="10"/>
      <c r="NQ497" s="10"/>
      <c r="NR497" s="10"/>
      <c r="NS497" s="10"/>
      <c r="NT497" s="10"/>
      <c r="NU497" s="10"/>
      <c r="NV497" s="10"/>
      <c r="NW497" s="10"/>
      <c r="NX497" s="10"/>
      <c r="NY497" s="10"/>
      <c r="NZ497" s="10"/>
      <c r="OA497" s="10"/>
      <c r="OB497" s="10"/>
      <c r="OC497" s="10"/>
      <c r="OD497" s="10"/>
      <c r="OE497" s="10"/>
      <c r="OF497" s="10"/>
      <c r="OG497" s="10"/>
      <c r="OH497" s="10"/>
      <c r="OI497" s="10"/>
      <c r="OJ497" s="10"/>
      <c r="OK497" s="10"/>
      <c r="OL497" s="10"/>
      <c r="OM497" s="10"/>
      <c r="ON497" s="10"/>
      <c r="OO497" s="10"/>
      <c r="OP497" s="10"/>
      <c r="OQ497" s="10"/>
      <c r="OR497" s="10"/>
      <c r="OS497" s="10"/>
      <c r="OT497" s="10"/>
      <c r="OU497" s="10"/>
      <c r="OV497" s="10"/>
      <c r="OW497" s="10"/>
      <c r="OX497" s="10"/>
      <c r="OY497" s="10"/>
      <c r="OZ497" s="10"/>
      <c r="PA497" s="10"/>
      <c r="PB497" s="10"/>
      <c r="PC497" s="10"/>
      <c r="PD497" s="10"/>
      <c r="PE497" s="10"/>
      <c r="PF497" s="10"/>
      <c r="PG497" s="10"/>
      <c r="PH497" s="10"/>
      <c r="PI497" s="10"/>
      <c r="PJ497" s="10"/>
      <c r="PK497" s="10"/>
      <c r="PL497" s="10"/>
      <c r="PM497" s="10"/>
      <c r="PN497" s="10"/>
      <c r="PO497" s="10"/>
      <c r="PP497" s="10"/>
      <c r="PQ497" s="10"/>
      <c r="PR497" s="10"/>
      <c r="PS497" s="10"/>
      <c r="PT497" s="10"/>
      <c r="PU497" s="10"/>
      <c r="PV497" s="10"/>
      <c r="PW497" s="10"/>
      <c r="PX497" s="10"/>
      <c r="PY497" s="10"/>
      <c r="PZ497" s="10"/>
      <c r="QA497" s="10"/>
      <c r="QB497" s="10"/>
      <c r="QC497" s="10"/>
      <c r="QD497" s="10"/>
      <c r="QE497" s="10"/>
      <c r="QF497" s="10"/>
      <c r="QG497" s="10"/>
      <c r="QH497" s="10"/>
      <c r="QI497" s="10"/>
      <c r="QJ497" s="10"/>
      <c r="QK497" s="10"/>
      <c r="QL497" s="10"/>
      <c r="QM497" s="10"/>
      <c r="QN497" s="10"/>
      <c r="QO497" s="10"/>
      <c r="QP497" s="10"/>
      <c r="QQ497" s="10"/>
      <c r="QR497" s="10"/>
      <c r="QS497" s="10"/>
      <c r="QT497" s="10"/>
      <c r="QU497" s="10"/>
      <c r="QV497" s="10"/>
      <c r="QW497" s="10"/>
      <c r="QX497" s="10"/>
      <c r="QY497" s="10"/>
      <c r="QZ497" s="10"/>
      <c r="RA497" s="10"/>
      <c r="RB497" s="10"/>
      <c r="RC497" s="10"/>
      <c r="RD497" s="10"/>
      <c r="RE497" s="10"/>
      <c r="RF497" s="10"/>
      <c r="RG497" s="10"/>
      <c r="RH497" s="10"/>
      <c r="RI497" s="10"/>
      <c r="RJ497" s="10"/>
      <c r="RK497" s="10"/>
      <c r="RL497" s="10"/>
      <c r="RM497" s="10"/>
      <c r="RN497" s="10"/>
      <c r="RO497" s="10"/>
      <c r="RP497" s="10"/>
      <c r="RQ497" s="10"/>
      <c r="RR497" s="10"/>
      <c r="RS497" s="10"/>
      <c r="RT497" s="10"/>
      <c r="RU497" s="10"/>
      <c r="RV497" s="10"/>
      <c r="RW497" s="10"/>
      <c r="RX497" s="10"/>
      <c r="RY497" s="10"/>
      <c r="RZ497" s="10"/>
      <c r="SA497" s="10"/>
      <c r="SB497" s="10"/>
      <c r="SC497" s="10"/>
      <c r="SD497" s="10"/>
      <c r="SE497" s="10"/>
      <c r="SF497" s="10"/>
      <c r="SG497" s="10"/>
      <c r="SH497" s="10"/>
      <c r="SI497" s="10"/>
      <c r="SJ497" s="10"/>
      <c r="SK497" s="10"/>
      <c r="SL497" s="10"/>
      <c r="SM497" s="10"/>
      <c r="SN497" s="10"/>
      <c r="SO497" s="10"/>
      <c r="SP497" s="10"/>
      <c r="SQ497" s="10"/>
      <c r="SR497" s="10"/>
      <c r="SS497" s="10"/>
      <c r="ST497" s="10"/>
      <c r="SU497" s="10"/>
      <c r="SV497" s="10"/>
      <c r="SW497" s="10"/>
      <c r="SX497" s="10"/>
      <c r="SY497" s="10"/>
      <c r="SZ497" s="10"/>
      <c r="TA497" s="10"/>
      <c r="TB497" s="10"/>
      <c r="TC497" s="10"/>
      <c r="TD497" s="10"/>
      <c r="TE497" s="10"/>
      <c r="TF497" s="10"/>
      <c r="TG497" s="11">
        <f t="shared" si="24"/>
        <v>0</v>
      </c>
      <c r="TH497" s="9">
        <f t="shared" si="25"/>
        <v>0</v>
      </c>
    </row>
    <row r="498" spans="1:528" ht="15.6" thickBot="1" x14ac:dyDescent="0.3">
      <c r="A498" s="25"/>
      <c r="B498" s="18" t="s">
        <v>1057</v>
      </c>
      <c r="C498" s="3">
        <f>AGOSTO!D502</f>
        <v>0</v>
      </c>
      <c r="D498" s="21">
        <f t="shared" si="23"/>
        <v>0</v>
      </c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0"/>
      <c r="LV498" s="10"/>
      <c r="LW498" s="10"/>
      <c r="LX498" s="10"/>
      <c r="LY498" s="10"/>
      <c r="LZ498" s="10"/>
      <c r="MA498" s="10"/>
      <c r="MB498" s="10"/>
      <c r="MC498" s="10"/>
      <c r="MD498" s="10"/>
      <c r="ME498" s="10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0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  <c r="SB498" s="10"/>
      <c r="SC498" s="10"/>
      <c r="SD498" s="10"/>
      <c r="SE498" s="10"/>
      <c r="SF498" s="10"/>
      <c r="SG498" s="10"/>
      <c r="SH498" s="10"/>
      <c r="SI498" s="10"/>
      <c r="SJ498" s="10"/>
      <c r="SK498" s="10"/>
      <c r="SL498" s="10"/>
      <c r="SM498" s="10"/>
      <c r="SN498" s="10"/>
      <c r="SO498" s="10"/>
      <c r="SP498" s="10"/>
      <c r="SQ498" s="10"/>
      <c r="SR498" s="10"/>
      <c r="SS498" s="10"/>
      <c r="ST498" s="10"/>
      <c r="SU498" s="10"/>
      <c r="SV498" s="10"/>
      <c r="SW498" s="10"/>
      <c r="SX498" s="10"/>
      <c r="SY498" s="10"/>
      <c r="SZ498" s="10"/>
      <c r="TA498" s="10"/>
      <c r="TB498" s="10"/>
      <c r="TC498" s="10"/>
      <c r="TD498" s="10"/>
      <c r="TE498" s="10"/>
      <c r="TF498" s="10"/>
      <c r="TG498" s="11">
        <f t="shared" si="24"/>
        <v>0</v>
      </c>
      <c r="TH498" s="9">
        <f t="shared" si="25"/>
        <v>0</v>
      </c>
    </row>
    <row r="499" spans="1:528" ht="15.6" thickBot="1" x14ac:dyDescent="0.3">
      <c r="A499" s="25" t="s">
        <v>640</v>
      </c>
      <c r="B499" s="18" t="s">
        <v>641</v>
      </c>
      <c r="C499" s="3">
        <f>AGOSTO!D503</f>
        <v>0</v>
      </c>
      <c r="D499" s="21">
        <f t="shared" si="23"/>
        <v>0</v>
      </c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10"/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10"/>
      <c r="KO499" s="10"/>
      <c r="KP499" s="10"/>
      <c r="KQ499" s="10"/>
      <c r="KR499" s="10"/>
      <c r="KS499" s="10"/>
      <c r="KT499" s="10"/>
      <c r="KU499" s="10"/>
      <c r="KV499" s="10"/>
      <c r="KW499" s="10"/>
      <c r="KX499" s="10"/>
      <c r="KY499" s="10"/>
      <c r="KZ499" s="10"/>
      <c r="LA499" s="10"/>
      <c r="LB499" s="10"/>
      <c r="LC499" s="10"/>
      <c r="LD499" s="10"/>
      <c r="LE499" s="10"/>
      <c r="LF499" s="10"/>
      <c r="LG499" s="10"/>
      <c r="LH499" s="10"/>
      <c r="LI499" s="10"/>
      <c r="LJ499" s="10"/>
      <c r="LK499" s="10"/>
      <c r="LL499" s="10"/>
      <c r="LM499" s="10"/>
      <c r="LN499" s="10"/>
      <c r="LO499" s="10"/>
      <c r="LP499" s="10"/>
      <c r="LQ499" s="10"/>
      <c r="LR499" s="10"/>
      <c r="LS499" s="10"/>
      <c r="LT499" s="10"/>
      <c r="LU499" s="10"/>
      <c r="LV499" s="10"/>
      <c r="LW499" s="10"/>
      <c r="LX499" s="10"/>
      <c r="LY499" s="10"/>
      <c r="LZ499" s="10"/>
      <c r="MA499" s="10"/>
      <c r="MB499" s="10"/>
      <c r="MC499" s="10"/>
      <c r="MD499" s="10"/>
      <c r="ME499" s="10"/>
      <c r="MF499" s="10"/>
      <c r="MG499" s="10"/>
      <c r="MH499" s="10"/>
      <c r="MI499" s="10"/>
      <c r="MJ499" s="10"/>
      <c r="MK499" s="10"/>
      <c r="ML499" s="10"/>
      <c r="MM499" s="10"/>
      <c r="MN499" s="10"/>
      <c r="MO499" s="10"/>
      <c r="MP499" s="10"/>
      <c r="MQ499" s="10"/>
      <c r="MR499" s="10"/>
      <c r="MS499" s="10"/>
      <c r="MT499" s="10"/>
      <c r="MU499" s="10"/>
      <c r="MV499" s="10"/>
      <c r="MW499" s="10"/>
      <c r="MX499" s="10"/>
      <c r="MY499" s="10"/>
      <c r="MZ499" s="10"/>
      <c r="NA499" s="10"/>
      <c r="NB499" s="10"/>
      <c r="NC499" s="10"/>
      <c r="ND499" s="10"/>
      <c r="NE499" s="10"/>
      <c r="NF499" s="10"/>
      <c r="NG499" s="10"/>
      <c r="NH499" s="10"/>
      <c r="NI499" s="10"/>
      <c r="NJ499" s="10"/>
      <c r="NK499" s="10"/>
      <c r="NL499" s="10"/>
      <c r="NM499" s="10"/>
      <c r="NN499" s="10"/>
      <c r="NO499" s="10"/>
      <c r="NP499" s="10"/>
      <c r="NQ499" s="10"/>
      <c r="NR499" s="10"/>
      <c r="NS499" s="10"/>
      <c r="NT499" s="10"/>
      <c r="NU499" s="10"/>
      <c r="NV499" s="10"/>
      <c r="NW499" s="10"/>
      <c r="NX499" s="10"/>
      <c r="NY499" s="10"/>
      <c r="NZ499" s="10"/>
      <c r="OA499" s="10"/>
      <c r="OB499" s="10"/>
      <c r="OC499" s="10"/>
      <c r="OD499" s="10"/>
      <c r="OE499" s="10"/>
      <c r="OF499" s="10"/>
      <c r="OG499" s="10"/>
      <c r="OH499" s="10"/>
      <c r="OI499" s="10"/>
      <c r="OJ499" s="10"/>
      <c r="OK499" s="10"/>
      <c r="OL499" s="10"/>
      <c r="OM499" s="10"/>
      <c r="ON499" s="10"/>
      <c r="OO499" s="10"/>
      <c r="OP499" s="10"/>
      <c r="OQ499" s="10"/>
      <c r="OR499" s="10"/>
      <c r="OS499" s="10"/>
      <c r="OT499" s="10"/>
      <c r="OU499" s="10"/>
      <c r="OV499" s="10"/>
      <c r="OW499" s="10"/>
      <c r="OX499" s="10"/>
      <c r="OY499" s="10"/>
      <c r="OZ499" s="10"/>
      <c r="PA499" s="10"/>
      <c r="PB499" s="10"/>
      <c r="PC499" s="10"/>
      <c r="PD499" s="10"/>
      <c r="PE499" s="10"/>
      <c r="PF499" s="10"/>
      <c r="PG499" s="10"/>
      <c r="PH499" s="10"/>
      <c r="PI499" s="10"/>
      <c r="PJ499" s="10"/>
      <c r="PK499" s="10"/>
      <c r="PL499" s="10"/>
      <c r="PM499" s="10"/>
      <c r="PN499" s="10"/>
      <c r="PO499" s="10"/>
      <c r="PP499" s="10"/>
      <c r="PQ499" s="10"/>
      <c r="PR499" s="10"/>
      <c r="PS499" s="10"/>
      <c r="PT499" s="10"/>
      <c r="PU499" s="10"/>
      <c r="PV499" s="10"/>
      <c r="PW499" s="10"/>
      <c r="PX499" s="10"/>
      <c r="PY499" s="10"/>
      <c r="PZ499" s="10"/>
      <c r="QA499" s="10"/>
      <c r="QB499" s="10"/>
      <c r="QC499" s="10"/>
      <c r="QD499" s="10"/>
      <c r="QE499" s="10"/>
      <c r="QF499" s="10"/>
      <c r="QG499" s="10"/>
      <c r="QH499" s="10"/>
      <c r="QI499" s="10"/>
      <c r="QJ499" s="10"/>
      <c r="QK499" s="10"/>
      <c r="QL499" s="10"/>
      <c r="QM499" s="10"/>
      <c r="QN499" s="10"/>
      <c r="QO499" s="10"/>
      <c r="QP499" s="10"/>
      <c r="QQ499" s="10"/>
      <c r="QR499" s="10"/>
      <c r="QS499" s="10"/>
      <c r="QT499" s="10"/>
      <c r="QU499" s="10"/>
      <c r="QV499" s="10"/>
      <c r="QW499" s="10"/>
      <c r="QX499" s="10"/>
      <c r="QY499" s="10"/>
      <c r="QZ499" s="10"/>
      <c r="RA499" s="10"/>
      <c r="RB499" s="10"/>
      <c r="RC499" s="10"/>
      <c r="RD499" s="10"/>
      <c r="RE499" s="10"/>
      <c r="RF499" s="10"/>
      <c r="RG499" s="10"/>
      <c r="RH499" s="10"/>
      <c r="RI499" s="10"/>
      <c r="RJ499" s="10"/>
      <c r="RK499" s="10"/>
      <c r="RL499" s="10"/>
      <c r="RM499" s="10"/>
      <c r="RN499" s="10"/>
      <c r="RO499" s="10"/>
      <c r="RP499" s="10"/>
      <c r="RQ499" s="10"/>
      <c r="RR499" s="10"/>
      <c r="RS499" s="10"/>
      <c r="RT499" s="10"/>
      <c r="RU499" s="10"/>
      <c r="RV499" s="10"/>
      <c r="RW499" s="10"/>
      <c r="RX499" s="10"/>
      <c r="RY499" s="10"/>
      <c r="RZ499" s="10"/>
      <c r="SA499" s="10"/>
      <c r="SB499" s="10"/>
      <c r="SC499" s="10"/>
      <c r="SD499" s="10"/>
      <c r="SE499" s="10"/>
      <c r="SF499" s="10"/>
      <c r="SG499" s="10"/>
      <c r="SH499" s="10"/>
      <c r="SI499" s="10"/>
      <c r="SJ499" s="10"/>
      <c r="SK499" s="10"/>
      <c r="SL499" s="10"/>
      <c r="SM499" s="10"/>
      <c r="SN499" s="10"/>
      <c r="SO499" s="10"/>
      <c r="SP499" s="10"/>
      <c r="SQ499" s="10"/>
      <c r="SR499" s="10"/>
      <c r="SS499" s="10"/>
      <c r="ST499" s="10"/>
      <c r="SU499" s="10"/>
      <c r="SV499" s="10"/>
      <c r="SW499" s="10"/>
      <c r="SX499" s="10"/>
      <c r="SY499" s="10"/>
      <c r="SZ499" s="10"/>
      <c r="TA499" s="10"/>
      <c r="TB499" s="10"/>
      <c r="TC499" s="10"/>
      <c r="TD499" s="10"/>
      <c r="TE499" s="10"/>
      <c r="TF499" s="10"/>
      <c r="TG499" s="11">
        <f t="shared" si="24"/>
        <v>0</v>
      </c>
      <c r="TH499" s="9">
        <f t="shared" si="25"/>
        <v>0</v>
      </c>
    </row>
    <row r="500" spans="1:528" ht="16.2" thickBot="1" x14ac:dyDescent="0.35">
      <c r="A500" s="25"/>
      <c r="B500" s="23" t="s">
        <v>1090</v>
      </c>
      <c r="C500" s="3">
        <f>AGOSTO!D504</f>
        <v>0</v>
      </c>
      <c r="D500" s="21">
        <f t="shared" si="23"/>
        <v>0</v>
      </c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0"/>
      <c r="LV500" s="10"/>
      <c r="LW500" s="10"/>
      <c r="LX500" s="10"/>
      <c r="LY500" s="10"/>
      <c r="LZ500" s="10"/>
      <c r="MA500" s="10"/>
      <c r="MB500" s="10"/>
      <c r="MC500" s="10"/>
      <c r="MD500" s="10"/>
      <c r="ME500" s="10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/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0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  <c r="SB500" s="10"/>
      <c r="SC500" s="10"/>
      <c r="SD500" s="10"/>
      <c r="SE500" s="10"/>
      <c r="SF500" s="10"/>
      <c r="SG500" s="10"/>
      <c r="SH500" s="10"/>
      <c r="SI500" s="10"/>
      <c r="SJ500" s="10"/>
      <c r="SK500" s="10"/>
      <c r="SL500" s="10"/>
      <c r="SM500" s="10"/>
      <c r="SN500" s="10"/>
      <c r="SO500" s="10"/>
      <c r="SP500" s="10"/>
      <c r="SQ500" s="10"/>
      <c r="SR500" s="10"/>
      <c r="SS500" s="10"/>
      <c r="ST500" s="10"/>
      <c r="SU500" s="10"/>
      <c r="SV500" s="10"/>
      <c r="SW500" s="10"/>
      <c r="SX500" s="10"/>
      <c r="SY500" s="10"/>
      <c r="SZ500" s="10"/>
      <c r="TA500" s="10"/>
      <c r="TB500" s="10"/>
      <c r="TC500" s="10"/>
      <c r="TD500" s="10"/>
      <c r="TE500" s="10"/>
      <c r="TF500" s="10"/>
      <c r="TG500" s="11">
        <f t="shared" si="24"/>
        <v>0</v>
      </c>
      <c r="TH500" s="9">
        <f t="shared" si="25"/>
        <v>0</v>
      </c>
    </row>
    <row r="501" spans="1:528" ht="15.6" thickBot="1" x14ac:dyDescent="0.3">
      <c r="A501" s="25"/>
      <c r="B501" s="18" t="s">
        <v>1091</v>
      </c>
      <c r="C501" s="3">
        <f>AGOSTO!D505</f>
        <v>0</v>
      </c>
      <c r="D501" s="21">
        <f t="shared" si="23"/>
        <v>0</v>
      </c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10"/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10"/>
      <c r="KO501" s="10"/>
      <c r="KP501" s="10"/>
      <c r="KQ501" s="10"/>
      <c r="KR501" s="10"/>
      <c r="KS501" s="10"/>
      <c r="KT501" s="10"/>
      <c r="KU501" s="10"/>
      <c r="KV501" s="10"/>
      <c r="KW501" s="10"/>
      <c r="KX501" s="10"/>
      <c r="KY501" s="10"/>
      <c r="KZ501" s="10"/>
      <c r="LA501" s="10"/>
      <c r="LB501" s="10"/>
      <c r="LC501" s="10"/>
      <c r="LD501" s="10"/>
      <c r="LE501" s="10"/>
      <c r="LF501" s="10"/>
      <c r="LG501" s="10"/>
      <c r="LH501" s="10"/>
      <c r="LI501" s="10"/>
      <c r="LJ501" s="10"/>
      <c r="LK501" s="10"/>
      <c r="LL501" s="10"/>
      <c r="LM501" s="10"/>
      <c r="LN501" s="10"/>
      <c r="LO501" s="10"/>
      <c r="LP501" s="10"/>
      <c r="LQ501" s="10"/>
      <c r="LR501" s="10"/>
      <c r="LS501" s="10"/>
      <c r="LT501" s="10"/>
      <c r="LU501" s="10"/>
      <c r="LV501" s="10"/>
      <c r="LW501" s="10"/>
      <c r="LX501" s="10"/>
      <c r="LY501" s="10"/>
      <c r="LZ501" s="10"/>
      <c r="MA501" s="10"/>
      <c r="MB501" s="10"/>
      <c r="MC501" s="10"/>
      <c r="MD501" s="10"/>
      <c r="ME501" s="10"/>
      <c r="MF501" s="10"/>
      <c r="MG501" s="10"/>
      <c r="MH501" s="10"/>
      <c r="MI501" s="10"/>
      <c r="MJ501" s="10"/>
      <c r="MK501" s="10"/>
      <c r="ML501" s="10"/>
      <c r="MM501" s="10"/>
      <c r="MN501" s="10"/>
      <c r="MO501" s="10"/>
      <c r="MP501" s="10"/>
      <c r="MQ501" s="10"/>
      <c r="MR501" s="10"/>
      <c r="MS501" s="10"/>
      <c r="MT501" s="10"/>
      <c r="MU501" s="10"/>
      <c r="MV501" s="10"/>
      <c r="MW501" s="10"/>
      <c r="MX501" s="10"/>
      <c r="MY501" s="10"/>
      <c r="MZ501" s="10"/>
      <c r="NA501" s="10"/>
      <c r="NB501" s="10"/>
      <c r="NC501" s="10"/>
      <c r="ND501" s="10"/>
      <c r="NE501" s="10"/>
      <c r="NF501" s="10"/>
      <c r="NG501" s="10"/>
      <c r="NH501" s="10"/>
      <c r="NI501" s="10"/>
      <c r="NJ501" s="10"/>
      <c r="NK501" s="10"/>
      <c r="NL501" s="10"/>
      <c r="NM501" s="10"/>
      <c r="NN501" s="10"/>
      <c r="NO501" s="10"/>
      <c r="NP501" s="10"/>
      <c r="NQ501" s="10"/>
      <c r="NR501" s="10"/>
      <c r="NS501" s="10"/>
      <c r="NT501" s="10"/>
      <c r="NU501" s="10"/>
      <c r="NV501" s="10"/>
      <c r="NW501" s="10"/>
      <c r="NX501" s="10"/>
      <c r="NY501" s="10"/>
      <c r="NZ501" s="10"/>
      <c r="OA501" s="10"/>
      <c r="OB501" s="10"/>
      <c r="OC501" s="10"/>
      <c r="OD501" s="10"/>
      <c r="OE501" s="10"/>
      <c r="OF501" s="10"/>
      <c r="OG501" s="10"/>
      <c r="OH501" s="10"/>
      <c r="OI501" s="10"/>
      <c r="OJ501" s="10"/>
      <c r="OK501" s="10"/>
      <c r="OL501" s="10"/>
      <c r="OM501" s="10"/>
      <c r="ON501" s="10"/>
      <c r="OO501" s="10"/>
      <c r="OP501" s="10"/>
      <c r="OQ501" s="10"/>
      <c r="OR501" s="10"/>
      <c r="OS501" s="10"/>
      <c r="OT501" s="10"/>
      <c r="OU501" s="10"/>
      <c r="OV501" s="10"/>
      <c r="OW501" s="10"/>
      <c r="OX501" s="10"/>
      <c r="OY501" s="10"/>
      <c r="OZ501" s="10"/>
      <c r="PA501" s="10"/>
      <c r="PB501" s="10"/>
      <c r="PC501" s="10"/>
      <c r="PD501" s="10"/>
      <c r="PE501" s="10"/>
      <c r="PF501" s="10"/>
      <c r="PG501" s="10"/>
      <c r="PH501" s="10"/>
      <c r="PI501" s="10"/>
      <c r="PJ501" s="10"/>
      <c r="PK501" s="10"/>
      <c r="PL501" s="10"/>
      <c r="PM501" s="10"/>
      <c r="PN501" s="10"/>
      <c r="PO501" s="10"/>
      <c r="PP501" s="10"/>
      <c r="PQ501" s="10"/>
      <c r="PR501" s="10"/>
      <c r="PS501" s="10"/>
      <c r="PT501" s="10"/>
      <c r="PU501" s="10"/>
      <c r="PV501" s="10"/>
      <c r="PW501" s="10"/>
      <c r="PX501" s="10"/>
      <c r="PY501" s="10"/>
      <c r="PZ501" s="10"/>
      <c r="QA501" s="10"/>
      <c r="QB501" s="10"/>
      <c r="QC501" s="10"/>
      <c r="QD501" s="10"/>
      <c r="QE501" s="10"/>
      <c r="QF501" s="10"/>
      <c r="QG501" s="10"/>
      <c r="QH501" s="10"/>
      <c r="QI501" s="10"/>
      <c r="QJ501" s="10"/>
      <c r="QK501" s="10"/>
      <c r="QL501" s="10"/>
      <c r="QM501" s="10"/>
      <c r="QN501" s="10"/>
      <c r="QO501" s="10"/>
      <c r="QP501" s="10"/>
      <c r="QQ501" s="10"/>
      <c r="QR501" s="10"/>
      <c r="QS501" s="10"/>
      <c r="QT501" s="10"/>
      <c r="QU501" s="10"/>
      <c r="QV501" s="10"/>
      <c r="QW501" s="10"/>
      <c r="QX501" s="10"/>
      <c r="QY501" s="10"/>
      <c r="QZ501" s="10"/>
      <c r="RA501" s="10"/>
      <c r="RB501" s="10"/>
      <c r="RC501" s="10"/>
      <c r="RD501" s="10"/>
      <c r="RE501" s="10"/>
      <c r="RF501" s="10"/>
      <c r="RG501" s="10"/>
      <c r="RH501" s="10"/>
      <c r="RI501" s="10"/>
      <c r="RJ501" s="10"/>
      <c r="RK501" s="10"/>
      <c r="RL501" s="10"/>
      <c r="RM501" s="10"/>
      <c r="RN501" s="10"/>
      <c r="RO501" s="10"/>
      <c r="RP501" s="10"/>
      <c r="RQ501" s="10"/>
      <c r="RR501" s="10"/>
      <c r="RS501" s="10"/>
      <c r="RT501" s="10"/>
      <c r="RU501" s="10"/>
      <c r="RV501" s="10"/>
      <c r="RW501" s="10"/>
      <c r="RX501" s="10"/>
      <c r="RY501" s="10"/>
      <c r="RZ501" s="10"/>
      <c r="SA501" s="10"/>
      <c r="SB501" s="10"/>
      <c r="SC501" s="10"/>
      <c r="SD501" s="10"/>
      <c r="SE501" s="10"/>
      <c r="SF501" s="10"/>
      <c r="SG501" s="10"/>
      <c r="SH501" s="10"/>
      <c r="SI501" s="10"/>
      <c r="SJ501" s="10"/>
      <c r="SK501" s="10"/>
      <c r="SL501" s="10"/>
      <c r="SM501" s="10"/>
      <c r="SN501" s="10"/>
      <c r="SO501" s="10"/>
      <c r="SP501" s="10"/>
      <c r="SQ501" s="10"/>
      <c r="SR501" s="10"/>
      <c r="SS501" s="10"/>
      <c r="ST501" s="10"/>
      <c r="SU501" s="10"/>
      <c r="SV501" s="10"/>
      <c r="SW501" s="10"/>
      <c r="SX501" s="10"/>
      <c r="SY501" s="10"/>
      <c r="SZ501" s="10"/>
      <c r="TA501" s="10"/>
      <c r="TB501" s="10"/>
      <c r="TC501" s="10"/>
      <c r="TD501" s="10"/>
      <c r="TE501" s="10"/>
      <c r="TF501" s="10"/>
      <c r="TG501" s="11">
        <f t="shared" si="24"/>
        <v>0</v>
      </c>
      <c r="TH501" s="9">
        <f t="shared" si="25"/>
        <v>0</v>
      </c>
    </row>
    <row r="502" spans="1:528" ht="15.6" thickBot="1" x14ac:dyDescent="0.3">
      <c r="A502" s="25"/>
      <c r="B502" s="18" t="s">
        <v>1092</v>
      </c>
      <c r="C502" s="3">
        <f>AGOSTO!D506</f>
        <v>0</v>
      </c>
      <c r="D502" s="21">
        <f t="shared" si="23"/>
        <v>0</v>
      </c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0"/>
      <c r="LV502" s="10"/>
      <c r="LW502" s="10"/>
      <c r="LX502" s="10"/>
      <c r="LY502" s="10"/>
      <c r="LZ502" s="10"/>
      <c r="MA502" s="10"/>
      <c r="MB502" s="10"/>
      <c r="MC502" s="10"/>
      <c r="MD502" s="10"/>
      <c r="ME502" s="10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/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0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  <c r="SB502" s="10"/>
      <c r="SC502" s="10"/>
      <c r="SD502" s="10"/>
      <c r="SE502" s="10"/>
      <c r="SF502" s="10"/>
      <c r="SG502" s="10"/>
      <c r="SH502" s="10"/>
      <c r="SI502" s="10"/>
      <c r="SJ502" s="10"/>
      <c r="SK502" s="10"/>
      <c r="SL502" s="10"/>
      <c r="SM502" s="10"/>
      <c r="SN502" s="10"/>
      <c r="SO502" s="10"/>
      <c r="SP502" s="10"/>
      <c r="SQ502" s="10"/>
      <c r="SR502" s="10"/>
      <c r="SS502" s="10"/>
      <c r="ST502" s="10"/>
      <c r="SU502" s="10"/>
      <c r="SV502" s="10"/>
      <c r="SW502" s="10"/>
      <c r="SX502" s="10"/>
      <c r="SY502" s="10"/>
      <c r="SZ502" s="10"/>
      <c r="TA502" s="10"/>
      <c r="TB502" s="10"/>
      <c r="TC502" s="10"/>
      <c r="TD502" s="10"/>
      <c r="TE502" s="10"/>
      <c r="TF502" s="10"/>
      <c r="TG502" s="11">
        <f t="shared" si="24"/>
        <v>0</v>
      </c>
      <c r="TH502" s="9">
        <f t="shared" si="25"/>
        <v>0</v>
      </c>
    </row>
    <row r="503" spans="1:528" ht="15.6" thickBot="1" x14ac:dyDescent="0.3">
      <c r="A503" s="25"/>
      <c r="B503" s="18" t="s">
        <v>1093</v>
      </c>
      <c r="C503" s="3">
        <f>AGOSTO!D507</f>
        <v>0</v>
      </c>
      <c r="D503" s="21">
        <f t="shared" si="23"/>
        <v>0</v>
      </c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10"/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10"/>
      <c r="KO503" s="10"/>
      <c r="KP503" s="10"/>
      <c r="KQ503" s="10"/>
      <c r="KR503" s="10"/>
      <c r="KS503" s="10"/>
      <c r="KT503" s="10"/>
      <c r="KU503" s="10"/>
      <c r="KV503" s="10"/>
      <c r="KW503" s="10"/>
      <c r="KX503" s="10"/>
      <c r="KY503" s="10"/>
      <c r="KZ503" s="10"/>
      <c r="LA503" s="10"/>
      <c r="LB503" s="10"/>
      <c r="LC503" s="10"/>
      <c r="LD503" s="10"/>
      <c r="LE503" s="10"/>
      <c r="LF503" s="10"/>
      <c r="LG503" s="10"/>
      <c r="LH503" s="10"/>
      <c r="LI503" s="10"/>
      <c r="LJ503" s="10"/>
      <c r="LK503" s="10"/>
      <c r="LL503" s="10"/>
      <c r="LM503" s="10"/>
      <c r="LN503" s="10"/>
      <c r="LO503" s="10"/>
      <c r="LP503" s="10"/>
      <c r="LQ503" s="10"/>
      <c r="LR503" s="10"/>
      <c r="LS503" s="10"/>
      <c r="LT503" s="10"/>
      <c r="LU503" s="10"/>
      <c r="LV503" s="10"/>
      <c r="LW503" s="10"/>
      <c r="LX503" s="10"/>
      <c r="LY503" s="10"/>
      <c r="LZ503" s="10"/>
      <c r="MA503" s="10"/>
      <c r="MB503" s="10"/>
      <c r="MC503" s="10"/>
      <c r="MD503" s="10"/>
      <c r="ME503" s="10"/>
      <c r="MF503" s="10"/>
      <c r="MG503" s="10"/>
      <c r="MH503" s="10"/>
      <c r="MI503" s="10"/>
      <c r="MJ503" s="10"/>
      <c r="MK503" s="10"/>
      <c r="ML503" s="10"/>
      <c r="MM503" s="10"/>
      <c r="MN503" s="10"/>
      <c r="MO503" s="10"/>
      <c r="MP503" s="10"/>
      <c r="MQ503" s="10"/>
      <c r="MR503" s="10"/>
      <c r="MS503" s="10"/>
      <c r="MT503" s="10"/>
      <c r="MU503" s="10"/>
      <c r="MV503" s="10"/>
      <c r="MW503" s="10"/>
      <c r="MX503" s="10"/>
      <c r="MY503" s="10"/>
      <c r="MZ503" s="10"/>
      <c r="NA503" s="10"/>
      <c r="NB503" s="10"/>
      <c r="NC503" s="10"/>
      <c r="ND503" s="10"/>
      <c r="NE503" s="10"/>
      <c r="NF503" s="10"/>
      <c r="NG503" s="10"/>
      <c r="NH503" s="10"/>
      <c r="NI503" s="10"/>
      <c r="NJ503" s="10"/>
      <c r="NK503" s="10"/>
      <c r="NL503" s="10"/>
      <c r="NM503" s="10"/>
      <c r="NN503" s="10"/>
      <c r="NO503" s="10"/>
      <c r="NP503" s="10"/>
      <c r="NQ503" s="10"/>
      <c r="NR503" s="10"/>
      <c r="NS503" s="10"/>
      <c r="NT503" s="10"/>
      <c r="NU503" s="10"/>
      <c r="NV503" s="10"/>
      <c r="NW503" s="10"/>
      <c r="NX503" s="10"/>
      <c r="NY503" s="10"/>
      <c r="NZ503" s="10"/>
      <c r="OA503" s="10"/>
      <c r="OB503" s="10"/>
      <c r="OC503" s="10"/>
      <c r="OD503" s="10"/>
      <c r="OE503" s="10"/>
      <c r="OF503" s="10"/>
      <c r="OG503" s="10"/>
      <c r="OH503" s="10"/>
      <c r="OI503" s="10"/>
      <c r="OJ503" s="10"/>
      <c r="OK503" s="10"/>
      <c r="OL503" s="10"/>
      <c r="OM503" s="10"/>
      <c r="ON503" s="10"/>
      <c r="OO503" s="10"/>
      <c r="OP503" s="10"/>
      <c r="OQ503" s="10"/>
      <c r="OR503" s="10"/>
      <c r="OS503" s="10"/>
      <c r="OT503" s="10"/>
      <c r="OU503" s="10"/>
      <c r="OV503" s="10"/>
      <c r="OW503" s="10"/>
      <c r="OX503" s="10"/>
      <c r="OY503" s="10"/>
      <c r="OZ503" s="10"/>
      <c r="PA503" s="10"/>
      <c r="PB503" s="10"/>
      <c r="PC503" s="10"/>
      <c r="PD503" s="10"/>
      <c r="PE503" s="10"/>
      <c r="PF503" s="10"/>
      <c r="PG503" s="10"/>
      <c r="PH503" s="10"/>
      <c r="PI503" s="10"/>
      <c r="PJ503" s="10"/>
      <c r="PK503" s="10"/>
      <c r="PL503" s="10"/>
      <c r="PM503" s="10"/>
      <c r="PN503" s="10"/>
      <c r="PO503" s="10"/>
      <c r="PP503" s="10"/>
      <c r="PQ503" s="10"/>
      <c r="PR503" s="10"/>
      <c r="PS503" s="10"/>
      <c r="PT503" s="10"/>
      <c r="PU503" s="10"/>
      <c r="PV503" s="10"/>
      <c r="PW503" s="10"/>
      <c r="PX503" s="10"/>
      <c r="PY503" s="10"/>
      <c r="PZ503" s="10"/>
      <c r="QA503" s="10"/>
      <c r="QB503" s="10"/>
      <c r="QC503" s="10"/>
      <c r="QD503" s="10"/>
      <c r="QE503" s="10"/>
      <c r="QF503" s="10"/>
      <c r="QG503" s="10"/>
      <c r="QH503" s="10"/>
      <c r="QI503" s="10"/>
      <c r="QJ503" s="10"/>
      <c r="QK503" s="10"/>
      <c r="QL503" s="10"/>
      <c r="QM503" s="10"/>
      <c r="QN503" s="10"/>
      <c r="QO503" s="10"/>
      <c r="QP503" s="10"/>
      <c r="QQ503" s="10"/>
      <c r="QR503" s="10"/>
      <c r="QS503" s="10"/>
      <c r="QT503" s="10"/>
      <c r="QU503" s="10"/>
      <c r="QV503" s="10"/>
      <c r="QW503" s="10"/>
      <c r="QX503" s="10"/>
      <c r="QY503" s="10"/>
      <c r="QZ503" s="10"/>
      <c r="RA503" s="10"/>
      <c r="RB503" s="10"/>
      <c r="RC503" s="10"/>
      <c r="RD503" s="10"/>
      <c r="RE503" s="10"/>
      <c r="RF503" s="10"/>
      <c r="RG503" s="10"/>
      <c r="RH503" s="10"/>
      <c r="RI503" s="10"/>
      <c r="RJ503" s="10"/>
      <c r="RK503" s="10"/>
      <c r="RL503" s="10"/>
      <c r="RM503" s="10"/>
      <c r="RN503" s="10"/>
      <c r="RO503" s="10"/>
      <c r="RP503" s="10"/>
      <c r="RQ503" s="10"/>
      <c r="RR503" s="10"/>
      <c r="RS503" s="10"/>
      <c r="RT503" s="10"/>
      <c r="RU503" s="10"/>
      <c r="RV503" s="10"/>
      <c r="RW503" s="10"/>
      <c r="RX503" s="10"/>
      <c r="RY503" s="10"/>
      <c r="RZ503" s="10"/>
      <c r="SA503" s="10"/>
      <c r="SB503" s="10"/>
      <c r="SC503" s="10"/>
      <c r="SD503" s="10"/>
      <c r="SE503" s="10"/>
      <c r="SF503" s="10"/>
      <c r="SG503" s="10"/>
      <c r="SH503" s="10"/>
      <c r="SI503" s="10"/>
      <c r="SJ503" s="10"/>
      <c r="SK503" s="10"/>
      <c r="SL503" s="10"/>
      <c r="SM503" s="10"/>
      <c r="SN503" s="10"/>
      <c r="SO503" s="10"/>
      <c r="SP503" s="10"/>
      <c r="SQ503" s="10"/>
      <c r="SR503" s="10"/>
      <c r="SS503" s="10"/>
      <c r="ST503" s="10"/>
      <c r="SU503" s="10"/>
      <c r="SV503" s="10"/>
      <c r="SW503" s="10"/>
      <c r="SX503" s="10"/>
      <c r="SY503" s="10"/>
      <c r="SZ503" s="10"/>
      <c r="TA503" s="10"/>
      <c r="TB503" s="10"/>
      <c r="TC503" s="10"/>
      <c r="TD503" s="10"/>
      <c r="TE503" s="10"/>
      <c r="TF503" s="10"/>
      <c r="TG503" s="11">
        <f t="shared" si="24"/>
        <v>0</v>
      </c>
      <c r="TH503" s="9">
        <f t="shared" si="25"/>
        <v>0</v>
      </c>
    </row>
    <row r="504" spans="1:528" ht="15.6" thickBot="1" x14ac:dyDescent="0.3">
      <c r="A504" s="25"/>
      <c r="B504" s="18" t="s">
        <v>1094</v>
      </c>
      <c r="C504" s="3">
        <f>AGOSTO!D508</f>
        <v>0</v>
      </c>
      <c r="D504" s="21">
        <f t="shared" ref="D504:D558" si="26">C504+SUM(E504:TF504)</f>
        <v>0</v>
      </c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0"/>
      <c r="LV504" s="10"/>
      <c r="LW504" s="10"/>
      <c r="LX504" s="10"/>
      <c r="LY504" s="10"/>
      <c r="LZ504" s="10"/>
      <c r="MA504" s="10"/>
      <c r="MB504" s="10"/>
      <c r="MC504" s="10"/>
      <c r="MD504" s="10"/>
      <c r="ME504" s="10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/>
      <c r="OJ504" s="10"/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0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  <c r="SB504" s="10"/>
      <c r="SC504" s="10"/>
      <c r="SD504" s="10"/>
      <c r="SE504" s="10"/>
      <c r="SF504" s="10"/>
      <c r="SG504" s="10"/>
      <c r="SH504" s="10"/>
      <c r="SI504" s="10"/>
      <c r="SJ504" s="10"/>
      <c r="SK504" s="10"/>
      <c r="SL504" s="10"/>
      <c r="SM504" s="10"/>
      <c r="SN504" s="10"/>
      <c r="SO504" s="10"/>
      <c r="SP504" s="10"/>
      <c r="SQ504" s="10"/>
      <c r="SR504" s="10"/>
      <c r="SS504" s="10"/>
      <c r="ST504" s="10"/>
      <c r="SU504" s="10"/>
      <c r="SV504" s="10"/>
      <c r="SW504" s="10"/>
      <c r="SX504" s="10"/>
      <c r="SY504" s="10"/>
      <c r="SZ504" s="10"/>
      <c r="TA504" s="10"/>
      <c r="TB504" s="10"/>
      <c r="TC504" s="10"/>
      <c r="TD504" s="10"/>
      <c r="TE504" s="10"/>
      <c r="TF504" s="10"/>
      <c r="TG504" s="11">
        <f t="shared" si="24"/>
        <v>0</v>
      </c>
      <c r="TH504" s="9">
        <f t="shared" si="25"/>
        <v>0</v>
      </c>
    </row>
    <row r="505" spans="1:528" ht="16.2" thickBot="1" x14ac:dyDescent="0.35">
      <c r="A505" s="25"/>
      <c r="B505" s="23" t="s">
        <v>389</v>
      </c>
      <c r="C505" s="3">
        <f>AGOSTO!D509</f>
        <v>0</v>
      </c>
      <c r="D505" s="21">
        <f t="shared" si="26"/>
        <v>0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10"/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10"/>
      <c r="KO505" s="10"/>
      <c r="KP505" s="10"/>
      <c r="KQ505" s="10"/>
      <c r="KR505" s="10"/>
      <c r="KS505" s="10"/>
      <c r="KT505" s="10"/>
      <c r="KU505" s="10"/>
      <c r="KV505" s="10"/>
      <c r="KW505" s="10"/>
      <c r="KX505" s="10"/>
      <c r="KY505" s="10"/>
      <c r="KZ505" s="10"/>
      <c r="LA505" s="10"/>
      <c r="LB505" s="10"/>
      <c r="LC505" s="10"/>
      <c r="LD505" s="10"/>
      <c r="LE505" s="10"/>
      <c r="LF505" s="10"/>
      <c r="LG505" s="10"/>
      <c r="LH505" s="10"/>
      <c r="LI505" s="10"/>
      <c r="LJ505" s="10"/>
      <c r="LK505" s="10"/>
      <c r="LL505" s="10"/>
      <c r="LM505" s="10"/>
      <c r="LN505" s="10"/>
      <c r="LO505" s="10"/>
      <c r="LP505" s="10"/>
      <c r="LQ505" s="10"/>
      <c r="LR505" s="10"/>
      <c r="LS505" s="10"/>
      <c r="LT505" s="10"/>
      <c r="LU505" s="10"/>
      <c r="LV505" s="10"/>
      <c r="LW505" s="10"/>
      <c r="LX505" s="10"/>
      <c r="LY505" s="10"/>
      <c r="LZ505" s="10"/>
      <c r="MA505" s="10"/>
      <c r="MB505" s="10"/>
      <c r="MC505" s="10"/>
      <c r="MD505" s="10"/>
      <c r="ME505" s="10"/>
      <c r="MF505" s="10"/>
      <c r="MG505" s="10"/>
      <c r="MH505" s="10"/>
      <c r="MI505" s="10"/>
      <c r="MJ505" s="10"/>
      <c r="MK505" s="10"/>
      <c r="ML505" s="10"/>
      <c r="MM505" s="10"/>
      <c r="MN505" s="10"/>
      <c r="MO505" s="10"/>
      <c r="MP505" s="10"/>
      <c r="MQ505" s="10"/>
      <c r="MR505" s="10"/>
      <c r="MS505" s="10"/>
      <c r="MT505" s="10"/>
      <c r="MU505" s="10"/>
      <c r="MV505" s="10"/>
      <c r="MW505" s="10"/>
      <c r="MX505" s="10"/>
      <c r="MY505" s="10"/>
      <c r="MZ505" s="10"/>
      <c r="NA505" s="10"/>
      <c r="NB505" s="10"/>
      <c r="NC505" s="10"/>
      <c r="ND505" s="10"/>
      <c r="NE505" s="10"/>
      <c r="NF505" s="10"/>
      <c r="NG505" s="10"/>
      <c r="NH505" s="10"/>
      <c r="NI505" s="10"/>
      <c r="NJ505" s="10"/>
      <c r="NK505" s="10"/>
      <c r="NL505" s="10"/>
      <c r="NM505" s="10"/>
      <c r="NN505" s="10"/>
      <c r="NO505" s="10"/>
      <c r="NP505" s="10"/>
      <c r="NQ505" s="10"/>
      <c r="NR505" s="10"/>
      <c r="NS505" s="10"/>
      <c r="NT505" s="10"/>
      <c r="NU505" s="10"/>
      <c r="NV505" s="10"/>
      <c r="NW505" s="10"/>
      <c r="NX505" s="10"/>
      <c r="NY505" s="10"/>
      <c r="NZ505" s="10"/>
      <c r="OA505" s="10"/>
      <c r="OB505" s="10"/>
      <c r="OC505" s="10"/>
      <c r="OD505" s="10"/>
      <c r="OE505" s="10"/>
      <c r="OF505" s="10"/>
      <c r="OG505" s="10"/>
      <c r="OH505" s="10"/>
      <c r="OI505" s="10"/>
      <c r="OJ505" s="10"/>
      <c r="OK505" s="10"/>
      <c r="OL505" s="10"/>
      <c r="OM505" s="10"/>
      <c r="ON505" s="10"/>
      <c r="OO505" s="10"/>
      <c r="OP505" s="10"/>
      <c r="OQ505" s="10"/>
      <c r="OR505" s="10"/>
      <c r="OS505" s="10"/>
      <c r="OT505" s="10"/>
      <c r="OU505" s="10"/>
      <c r="OV505" s="10"/>
      <c r="OW505" s="10"/>
      <c r="OX505" s="10"/>
      <c r="OY505" s="10"/>
      <c r="OZ505" s="10"/>
      <c r="PA505" s="10"/>
      <c r="PB505" s="10"/>
      <c r="PC505" s="10"/>
      <c r="PD505" s="10"/>
      <c r="PE505" s="10"/>
      <c r="PF505" s="10"/>
      <c r="PG505" s="10"/>
      <c r="PH505" s="10"/>
      <c r="PI505" s="10"/>
      <c r="PJ505" s="10"/>
      <c r="PK505" s="10"/>
      <c r="PL505" s="10"/>
      <c r="PM505" s="10"/>
      <c r="PN505" s="10"/>
      <c r="PO505" s="10"/>
      <c r="PP505" s="10"/>
      <c r="PQ505" s="10"/>
      <c r="PR505" s="10"/>
      <c r="PS505" s="10"/>
      <c r="PT505" s="10"/>
      <c r="PU505" s="10"/>
      <c r="PV505" s="10"/>
      <c r="PW505" s="10"/>
      <c r="PX505" s="10"/>
      <c r="PY505" s="10"/>
      <c r="PZ505" s="10"/>
      <c r="QA505" s="10"/>
      <c r="QB505" s="10"/>
      <c r="QC505" s="10"/>
      <c r="QD505" s="10"/>
      <c r="QE505" s="10"/>
      <c r="QF505" s="10"/>
      <c r="QG505" s="10"/>
      <c r="QH505" s="10"/>
      <c r="QI505" s="10"/>
      <c r="QJ505" s="10"/>
      <c r="QK505" s="10"/>
      <c r="QL505" s="10"/>
      <c r="QM505" s="10"/>
      <c r="QN505" s="10"/>
      <c r="QO505" s="10"/>
      <c r="QP505" s="10"/>
      <c r="QQ505" s="10"/>
      <c r="QR505" s="10"/>
      <c r="QS505" s="10"/>
      <c r="QT505" s="10"/>
      <c r="QU505" s="10"/>
      <c r="QV505" s="10"/>
      <c r="QW505" s="10"/>
      <c r="QX505" s="10"/>
      <c r="QY505" s="10"/>
      <c r="QZ505" s="10"/>
      <c r="RA505" s="10"/>
      <c r="RB505" s="10"/>
      <c r="RC505" s="10"/>
      <c r="RD505" s="10"/>
      <c r="RE505" s="10"/>
      <c r="RF505" s="10"/>
      <c r="RG505" s="10"/>
      <c r="RH505" s="10"/>
      <c r="RI505" s="10"/>
      <c r="RJ505" s="10"/>
      <c r="RK505" s="10"/>
      <c r="RL505" s="10"/>
      <c r="RM505" s="10"/>
      <c r="RN505" s="10"/>
      <c r="RO505" s="10"/>
      <c r="RP505" s="10"/>
      <c r="RQ505" s="10"/>
      <c r="RR505" s="10"/>
      <c r="RS505" s="10"/>
      <c r="RT505" s="10"/>
      <c r="RU505" s="10"/>
      <c r="RV505" s="10"/>
      <c r="RW505" s="10"/>
      <c r="RX505" s="10"/>
      <c r="RY505" s="10"/>
      <c r="RZ505" s="10"/>
      <c r="SA505" s="10"/>
      <c r="SB505" s="10"/>
      <c r="SC505" s="10"/>
      <c r="SD505" s="10"/>
      <c r="SE505" s="10"/>
      <c r="SF505" s="10"/>
      <c r="SG505" s="10"/>
      <c r="SH505" s="10"/>
      <c r="SI505" s="10"/>
      <c r="SJ505" s="10"/>
      <c r="SK505" s="10"/>
      <c r="SL505" s="10"/>
      <c r="SM505" s="10"/>
      <c r="SN505" s="10"/>
      <c r="SO505" s="10"/>
      <c r="SP505" s="10"/>
      <c r="SQ505" s="10"/>
      <c r="SR505" s="10"/>
      <c r="SS505" s="10"/>
      <c r="ST505" s="10"/>
      <c r="SU505" s="10"/>
      <c r="SV505" s="10"/>
      <c r="SW505" s="10"/>
      <c r="SX505" s="10"/>
      <c r="SY505" s="10"/>
      <c r="SZ505" s="10"/>
      <c r="TA505" s="10"/>
      <c r="TB505" s="10"/>
      <c r="TC505" s="10"/>
      <c r="TD505" s="10"/>
      <c r="TE505" s="10"/>
      <c r="TF505" s="10"/>
      <c r="TG505" s="11">
        <f t="shared" si="24"/>
        <v>0</v>
      </c>
      <c r="TH505" s="9">
        <f t="shared" si="25"/>
        <v>0</v>
      </c>
    </row>
    <row r="506" spans="1:528" ht="15.6" thickBot="1" x14ac:dyDescent="0.3">
      <c r="A506" s="25" t="s">
        <v>711</v>
      </c>
      <c r="B506" s="18" t="s">
        <v>1058</v>
      </c>
      <c r="C506" s="3">
        <f>AGOSTO!D510</f>
        <v>0</v>
      </c>
      <c r="D506" s="21">
        <f t="shared" si="26"/>
        <v>0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>
        <f>56*4</f>
        <v>224</v>
      </c>
      <c r="CV506" s="10"/>
      <c r="CW506" s="10">
        <f>56*3+25</f>
        <v>193</v>
      </c>
      <c r="CX506" s="10">
        <v>-417</v>
      </c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>
        <v>56</v>
      </c>
      <c r="GV506" s="10">
        <v>-134</v>
      </c>
      <c r="GW506" s="10">
        <f>56+22</f>
        <v>78</v>
      </c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0"/>
      <c r="LV506" s="10"/>
      <c r="LW506" s="10"/>
      <c r="LX506" s="10"/>
      <c r="LY506" s="10"/>
      <c r="LZ506" s="10"/>
      <c r="MA506" s="10"/>
      <c r="MB506" s="10"/>
      <c r="MC506" s="10"/>
      <c r="MD506" s="10"/>
      <c r="ME506" s="10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/>
      <c r="OM506" s="10"/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0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  <c r="SB506" s="10"/>
      <c r="SC506" s="10"/>
      <c r="SD506" s="10"/>
      <c r="SE506" s="10"/>
      <c r="SF506" s="10"/>
      <c r="SG506" s="10"/>
      <c r="SH506" s="10"/>
      <c r="SI506" s="10"/>
      <c r="SJ506" s="10"/>
      <c r="SK506" s="10"/>
      <c r="SL506" s="10"/>
      <c r="SM506" s="10"/>
      <c r="SN506" s="10"/>
      <c r="SO506" s="10"/>
      <c r="SP506" s="10"/>
      <c r="SQ506" s="10"/>
      <c r="SR506" s="10"/>
      <c r="SS506" s="10"/>
      <c r="ST506" s="10"/>
      <c r="SU506" s="10"/>
      <c r="SV506" s="10"/>
      <c r="SW506" s="10"/>
      <c r="SX506" s="10"/>
      <c r="SY506" s="10"/>
      <c r="SZ506" s="10"/>
      <c r="TA506" s="10"/>
      <c r="TB506" s="10"/>
      <c r="TC506" s="10"/>
      <c r="TD506" s="10"/>
      <c r="TE506" s="10"/>
      <c r="TF506" s="10"/>
      <c r="TG506" s="11">
        <f t="shared" si="24"/>
        <v>0</v>
      </c>
      <c r="TH506" s="9">
        <f t="shared" si="25"/>
        <v>0</v>
      </c>
    </row>
    <row r="507" spans="1:528" ht="14.25" customHeight="1" thickBot="1" x14ac:dyDescent="0.35">
      <c r="A507" s="25"/>
      <c r="B507" s="23" t="s">
        <v>390</v>
      </c>
      <c r="C507" s="3">
        <f>AGOSTO!D511</f>
        <v>0</v>
      </c>
      <c r="D507" s="21">
        <f t="shared" si="26"/>
        <v>0</v>
      </c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10"/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10"/>
      <c r="KO507" s="10"/>
      <c r="KP507" s="10"/>
      <c r="KQ507" s="10"/>
      <c r="KR507" s="10"/>
      <c r="KS507" s="10"/>
      <c r="KT507" s="10"/>
      <c r="KU507" s="10"/>
      <c r="KV507" s="10"/>
      <c r="KW507" s="10"/>
      <c r="KX507" s="10"/>
      <c r="KY507" s="10"/>
      <c r="KZ507" s="10"/>
      <c r="LA507" s="10"/>
      <c r="LB507" s="10"/>
      <c r="LC507" s="10"/>
      <c r="LD507" s="10"/>
      <c r="LE507" s="10"/>
      <c r="LF507" s="10"/>
      <c r="LG507" s="10"/>
      <c r="LH507" s="10"/>
      <c r="LI507" s="10"/>
      <c r="LJ507" s="10"/>
      <c r="LK507" s="10"/>
      <c r="LL507" s="10"/>
      <c r="LM507" s="10"/>
      <c r="LN507" s="10"/>
      <c r="LO507" s="10"/>
      <c r="LP507" s="10"/>
      <c r="LQ507" s="10"/>
      <c r="LR507" s="10"/>
      <c r="LS507" s="10"/>
      <c r="LT507" s="10"/>
      <c r="LU507" s="10"/>
      <c r="LV507" s="10"/>
      <c r="LW507" s="10"/>
      <c r="LX507" s="10"/>
      <c r="LY507" s="10"/>
      <c r="LZ507" s="10"/>
      <c r="MA507" s="10"/>
      <c r="MB507" s="10"/>
      <c r="MC507" s="10"/>
      <c r="MD507" s="10"/>
      <c r="ME507" s="10"/>
      <c r="MF507" s="10"/>
      <c r="MG507" s="10"/>
      <c r="MH507" s="10"/>
      <c r="MI507" s="10"/>
      <c r="MJ507" s="10"/>
      <c r="MK507" s="10"/>
      <c r="ML507" s="10"/>
      <c r="MM507" s="10"/>
      <c r="MN507" s="10"/>
      <c r="MO507" s="10"/>
      <c r="MP507" s="10"/>
      <c r="MQ507" s="10"/>
      <c r="MR507" s="10"/>
      <c r="MS507" s="10"/>
      <c r="MT507" s="10"/>
      <c r="MU507" s="10"/>
      <c r="MV507" s="10"/>
      <c r="MW507" s="10"/>
      <c r="MX507" s="10"/>
      <c r="MY507" s="10"/>
      <c r="MZ507" s="10"/>
      <c r="NA507" s="10"/>
      <c r="NB507" s="10"/>
      <c r="NC507" s="10"/>
      <c r="ND507" s="10"/>
      <c r="NE507" s="10"/>
      <c r="NF507" s="10"/>
      <c r="NG507" s="10"/>
      <c r="NH507" s="10"/>
      <c r="NI507" s="10"/>
      <c r="NJ507" s="10"/>
      <c r="NK507" s="10"/>
      <c r="NL507" s="10"/>
      <c r="NM507" s="10"/>
      <c r="NN507" s="10"/>
      <c r="NO507" s="10"/>
      <c r="NP507" s="10"/>
      <c r="NQ507" s="10"/>
      <c r="NR507" s="10"/>
      <c r="NS507" s="10"/>
      <c r="NT507" s="10"/>
      <c r="NU507" s="10"/>
      <c r="NV507" s="10"/>
      <c r="NW507" s="10"/>
      <c r="NX507" s="10"/>
      <c r="NY507" s="10"/>
      <c r="NZ507" s="10"/>
      <c r="OA507" s="10"/>
      <c r="OB507" s="10"/>
      <c r="OC507" s="10"/>
      <c r="OD507" s="10"/>
      <c r="OE507" s="10"/>
      <c r="OF507" s="10"/>
      <c r="OG507" s="10"/>
      <c r="OH507" s="10"/>
      <c r="OI507" s="10"/>
      <c r="OJ507" s="10"/>
      <c r="OK507" s="10"/>
      <c r="OL507" s="10"/>
      <c r="OM507" s="10"/>
      <c r="ON507" s="10"/>
      <c r="OO507" s="10"/>
      <c r="OP507" s="10"/>
      <c r="OQ507" s="10"/>
      <c r="OR507" s="10"/>
      <c r="OS507" s="10"/>
      <c r="OT507" s="10"/>
      <c r="OU507" s="10"/>
      <c r="OV507" s="10"/>
      <c r="OW507" s="10"/>
      <c r="OX507" s="10"/>
      <c r="OY507" s="10"/>
      <c r="OZ507" s="10"/>
      <c r="PA507" s="10"/>
      <c r="PB507" s="10"/>
      <c r="PC507" s="10"/>
      <c r="PD507" s="10"/>
      <c r="PE507" s="10"/>
      <c r="PF507" s="10"/>
      <c r="PG507" s="10"/>
      <c r="PH507" s="10"/>
      <c r="PI507" s="10"/>
      <c r="PJ507" s="10"/>
      <c r="PK507" s="10"/>
      <c r="PL507" s="10"/>
      <c r="PM507" s="10"/>
      <c r="PN507" s="10"/>
      <c r="PO507" s="10"/>
      <c r="PP507" s="10"/>
      <c r="PQ507" s="10"/>
      <c r="PR507" s="10"/>
      <c r="PS507" s="10"/>
      <c r="PT507" s="10"/>
      <c r="PU507" s="10"/>
      <c r="PV507" s="10"/>
      <c r="PW507" s="10"/>
      <c r="PX507" s="10"/>
      <c r="PY507" s="10"/>
      <c r="PZ507" s="10"/>
      <c r="QA507" s="10"/>
      <c r="QB507" s="10"/>
      <c r="QC507" s="10"/>
      <c r="QD507" s="10"/>
      <c r="QE507" s="10"/>
      <c r="QF507" s="10"/>
      <c r="QG507" s="10"/>
      <c r="QH507" s="10"/>
      <c r="QI507" s="10"/>
      <c r="QJ507" s="10"/>
      <c r="QK507" s="10"/>
      <c r="QL507" s="10"/>
      <c r="QM507" s="10"/>
      <c r="QN507" s="10"/>
      <c r="QO507" s="10"/>
      <c r="QP507" s="10"/>
      <c r="QQ507" s="10"/>
      <c r="QR507" s="10"/>
      <c r="QS507" s="10"/>
      <c r="QT507" s="10"/>
      <c r="QU507" s="10"/>
      <c r="QV507" s="10"/>
      <c r="QW507" s="10"/>
      <c r="QX507" s="10"/>
      <c r="QY507" s="10"/>
      <c r="QZ507" s="10"/>
      <c r="RA507" s="10"/>
      <c r="RB507" s="10"/>
      <c r="RC507" s="10"/>
      <c r="RD507" s="10"/>
      <c r="RE507" s="10"/>
      <c r="RF507" s="10"/>
      <c r="RG507" s="10"/>
      <c r="RH507" s="10"/>
      <c r="RI507" s="10"/>
      <c r="RJ507" s="10"/>
      <c r="RK507" s="10"/>
      <c r="RL507" s="10"/>
      <c r="RM507" s="10"/>
      <c r="RN507" s="10"/>
      <c r="RO507" s="10"/>
      <c r="RP507" s="10"/>
      <c r="RQ507" s="10"/>
      <c r="RR507" s="10"/>
      <c r="RS507" s="10"/>
      <c r="RT507" s="10"/>
      <c r="RU507" s="10"/>
      <c r="RV507" s="10"/>
      <c r="RW507" s="10"/>
      <c r="RX507" s="10"/>
      <c r="RY507" s="10"/>
      <c r="RZ507" s="10"/>
      <c r="SA507" s="10"/>
      <c r="SB507" s="10"/>
      <c r="SC507" s="10"/>
      <c r="SD507" s="10"/>
      <c r="SE507" s="10"/>
      <c r="SF507" s="10"/>
      <c r="SG507" s="10"/>
      <c r="SH507" s="10"/>
      <c r="SI507" s="10"/>
      <c r="SJ507" s="10"/>
      <c r="SK507" s="10"/>
      <c r="SL507" s="10"/>
      <c r="SM507" s="10"/>
      <c r="SN507" s="10"/>
      <c r="SO507" s="10"/>
      <c r="SP507" s="10"/>
      <c r="SQ507" s="10"/>
      <c r="SR507" s="10"/>
      <c r="SS507" s="10"/>
      <c r="ST507" s="10"/>
      <c r="SU507" s="10"/>
      <c r="SV507" s="10"/>
      <c r="SW507" s="10"/>
      <c r="SX507" s="10"/>
      <c r="SY507" s="10"/>
      <c r="SZ507" s="10"/>
      <c r="TA507" s="10"/>
      <c r="TB507" s="10"/>
      <c r="TC507" s="10"/>
      <c r="TD507" s="10"/>
      <c r="TE507" s="10"/>
      <c r="TF507" s="10"/>
      <c r="TG507" s="11">
        <f t="shared" si="24"/>
        <v>0</v>
      </c>
      <c r="TH507" s="9">
        <f t="shared" si="25"/>
        <v>0</v>
      </c>
    </row>
    <row r="508" spans="1:528" ht="15.6" thickBot="1" x14ac:dyDescent="0.3">
      <c r="A508" s="25" t="s">
        <v>745</v>
      </c>
      <c r="B508" s="18" t="s">
        <v>391</v>
      </c>
      <c r="C508" s="3">
        <f>AGOSTO!D512</f>
        <v>0</v>
      </c>
      <c r="D508" s="21">
        <f t="shared" si="26"/>
        <v>0</v>
      </c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0"/>
      <c r="LV508" s="10"/>
      <c r="LW508" s="10"/>
      <c r="LX508" s="10"/>
      <c r="LY508" s="10"/>
      <c r="LZ508" s="10"/>
      <c r="MA508" s="10"/>
      <c r="MB508" s="10"/>
      <c r="MC508" s="10"/>
      <c r="MD508" s="10"/>
      <c r="ME508" s="10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/>
      <c r="OQ508" s="10"/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0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  <c r="SB508" s="10"/>
      <c r="SC508" s="10"/>
      <c r="SD508" s="10"/>
      <c r="SE508" s="10"/>
      <c r="SF508" s="10"/>
      <c r="SG508" s="10"/>
      <c r="SH508" s="10"/>
      <c r="SI508" s="10"/>
      <c r="SJ508" s="10"/>
      <c r="SK508" s="10"/>
      <c r="SL508" s="10"/>
      <c r="SM508" s="10"/>
      <c r="SN508" s="10"/>
      <c r="SO508" s="10"/>
      <c r="SP508" s="10"/>
      <c r="SQ508" s="10"/>
      <c r="SR508" s="10"/>
      <c r="SS508" s="10"/>
      <c r="ST508" s="10"/>
      <c r="SU508" s="10"/>
      <c r="SV508" s="10"/>
      <c r="SW508" s="10"/>
      <c r="SX508" s="10"/>
      <c r="SY508" s="10"/>
      <c r="SZ508" s="10"/>
      <c r="TA508" s="10"/>
      <c r="TB508" s="10"/>
      <c r="TC508" s="10"/>
      <c r="TD508" s="10"/>
      <c r="TE508" s="10"/>
      <c r="TF508" s="10"/>
      <c r="TG508" s="11">
        <f t="shared" si="24"/>
        <v>0</v>
      </c>
      <c r="TH508" s="9">
        <f t="shared" si="25"/>
        <v>0</v>
      </c>
    </row>
    <row r="509" spans="1:528" ht="15.6" thickBot="1" x14ac:dyDescent="0.3">
      <c r="A509" s="25" t="s">
        <v>746</v>
      </c>
      <c r="B509" s="18" t="s">
        <v>392</v>
      </c>
      <c r="C509" s="3">
        <f>AGOSTO!D513</f>
        <v>0</v>
      </c>
      <c r="D509" s="21">
        <f t="shared" si="26"/>
        <v>0</v>
      </c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10"/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10"/>
      <c r="KO509" s="10"/>
      <c r="KP509" s="10"/>
      <c r="KQ509" s="10"/>
      <c r="KR509" s="10"/>
      <c r="KS509" s="10"/>
      <c r="KT509" s="10"/>
      <c r="KU509" s="10"/>
      <c r="KV509" s="10"/>
      <c r="KW509" s="10"/>
      <c r="KX509" s="10"/>
      <c r="KY509" s="10"/>
      <c r="KZ509" s="10"/>
      <c r="LA509" s="10"/>
      <c r="LB509" s="10"/>
      <c r="LC509" s="10"/>
      <c r="LD509" s="10"/>
      <c r="LE509" s="10"/>
      <c r="LF509" s="10"/>
      <c r="LG509" s="10"/>
      <c r="LH509" s="10"/>
      <c r="LI509" s="10"/>
      <c r="LJ509" s="10"/>
      <c r="LK509" s="10"/>
      <c r="LL509" s="10"/>
      <c r="LM509" s="10"/>
      <c r="LN509" s="10"/>
      <c r="LO509" s="10"/>
      <c r="LP509" s="10"/>
      <c r="LQ509" s="10"/>
      <c r="LR509" s="10"/>
      <c r="LS509" s="10"/>
      <c r="LT509" s="10"/>
      <c r="LU509" s="10"/>
      <c r="LV509" s="10"/>
      <c r="LW509" s="10"/>
      <c r="LX509" s="10"/>
      <c r="LY509" s="10"/>
      <c r="LZ509" s="10"/>
      <c r="MA509" s="10"/>
      <c r="MB509" s="10"/>
      <c r="MC509" s="10"/>
      <c r="MD509" s="10"/>
      <c r="ME509" s="10"/>
      <c r="MF509" s="10"/>
      <c r="MG509" s="10"/>
      <c r="MH509" s="10"/>
      <c r="MI509" s="10"/>
      <c r="MJ509" s="10"/>
      <c r="MK509" s="10"/>
      <c r="ML509" s="10"/>
      <c r="MM509" s="10"/>
      <c r="MN509" s="10"/>
      <c r="MO509" s="10"/>
      <c r="MP509" s="10"/>
      <c r="MQ509" s="10"/>
      <c r="MR509" s="10"/>
      <c r="MS509" s="10"/>
      <c r="MT509" s="10"/>
      <c r="MU509" s="10"/>
      <c r="MV509" s="10"/>
      <c r="MW509" s="10"/>
      <c r="MX509" s="10"/>
      <c r="MY509" s="10"/>
      <c r="MZ509" s="10"/>
      <c r="NA509" s="10"/>
      <c r="NB509" s="10"/>
      <c r="NC509" s="10"/>
      <c r="ND509" s="10"/>
      <c r="NE509" s="10"/>
      <c r="NF509" s="10"/>
      <c r="NG509" s="10"/>
      <c r="NH509" s="10"/>
      <c r="NI509" s="10"/>
      <c r="NJ509" s="10"/>
      <c r="NK509" s="10"/>
      <c r="NL509" s="10"/>
      <c r="NM509" s="10"/>
      <c r="NN509" s="10"/>
      <c r="NO509" s="10"/>
      <c r="NP509" s="10"/>
      <c r="NQ509" s="10"/>
      <c r="NR509" s="10"/>
      <c r="NS509" s="10"/>
      <c r="NT509" s="10"/>
      <c r="NU509" s="10"/>
      <c r="NV509" s="10"/>
      <c r="NW509" s="10"/>
      <c r="NX509" s="10"/>
      <c r="NY509" s="10"/>
      <c r="NZ509" s="10"/>
      <c r="OA509" s="10"/>
      <c r="OB509" s="10"/>
      <c r="OC509" s="10"/>
      <c r="OD509" s="10"/>
      <c r="OE509" s="10"/>
      <c r="OF509" s="10"/>
      <c r="OG509" s="10"/>
      <c r="OH509" s="10"/>
      <c r="OI509" s="10"/>
      <c r="OJ509" s="10"/>
      <c r="OK509" s="10"/>
      <c r="OL509" s="10"/>
      <c r="OM509" s="10"/>
      <c r="ON509" s="10"/>
      <c r="OO509" s="10"/>
      <c r="OP509" s="10"/>
      <c r="OQ509" s="10"/>
      <c r="OR509" s="10"/>
      <c r="OS509" s="10"/>
      <c r="OT509" s="10"/>
      <c r="OU509" s="10"/>
      <c r="OV509" s="10"/>
      <c r="OW509" s="10"/>
      <c r="OX509" s="10"/>
      <c r="OY509" s="10"/>
      <c r="OZ509" s="10"/>
      <c r="PA509" s="10"/>
      <c r="PB509" s="10"/>
      <c r="PC509" s="10"/>
      <c r="PD509" s="10"/>
      <c r="PE509" s="10"/>
      <c r="PF509" s="10"/>
      <c r="PG509" s="10"/>
      <c r="PH509" s="10"/>
      <c r="PI509" s="10"/>
      <c r="PJ509" s="10"/>
      <c r="PK509" s="10"/>
      <c r="PL509" s="10"/>
      <c r="PM509" s="10"/>
      <c r="PN509" s="10"/>
      <c r="PO509" s="10"/>
      <c r="PP509" s="10"/>
      <c r="PQ509" s="10"/>
      <c r="PR509" s="10"/>
      <c r="PS509" s="10"/>
      <c r="PT509" s="10"/>
      <c r="PU509" s="10"/>
      <c r="PV509" s="10"/>
      <c r="PW509" s="10"/>
      <c r="PX509" s="10"/>
      <c r="PY509" s="10"/>
      <c r="PZ509" s="10"/>
      <c r="QA509" s="10"/>
      <c r="QB509" s="10"/>
      <c r="QC509" s="10"/>
      <c r="QD509" s="10"/>
      <c r="QE509" s="10"/>
      <c r="QF509" s="10"/>
      <c r="QG509" s="10"/>
      <c r="QH509" s="10"/>
      <c r="QI509" s="10"/>
      <c r="QJ509" s="10"/>
      <c r="QK509" s="10"/>
      <c r="QL509" s="10"/>
      <c r="QM509" s="10"/>
      <c r="QN509" s="10"/>
      <c r="QO509" s="10"/>
      <c r="QP509" s="10"/>
      <c r="QQ509" s="10"/>
      <c r="QR509" s="10"/>
      <c r="QS509" s="10"/>
      <c r="QT509" s="10"/>
      <c r="QU509" s="10"/>
      <c r="QV509" s="10"/>
      <c r="QW509" s="10"/>
      <c r="QX509" s="10"/>
      <c r="QY509" s="10"/>
      <c r="QZ509" s="10"/>
      <c r="RA509" s="10"/>
      <c r="RB509" s="10"/>
      <c r="RC509" s="10"/>
      <c r="RD509" s="10"/>
      <c r="RE509" s="10"/>
      <c r="RF509" s="10"/>
      <c r="RG509" s="10"/>
      <c r="RH509" s="10"/>
      <c r="RI509" s="10"/>
      <c r="RJ509" s="10"/>
      <c r="RK509" s="10"/>
      <c r="RL509" s="10"/>
      <c r="RM509" s="10"/>
      <c r="RN509" s="10"/>
      <c r="RO509" s="10"/>
      <c r="RP509" s="10"/>
      <c r="RQ509" s="10"/>
      <c r="RR509" s="10"/>
      <c r="RS509" s="10"/>
      <c r="RT509" s="10"/>
      <c r="RU509" s="10"/>
      <c r="RV509" s="10"/>
      <c r="RW509" s="10"/>
      <c r="RX509" s="10"/>
      <c r="RY509" s="10"/>
      <c r="RZ509" s="10"/>
      <c r="SA509" s="10"/>
      <c r="SB509" s="10"/>
      <c r="SC509" s="10"/>
      <c r="SD509" s="10"/>
      <c r="SE509" s="10"/>
      <c r="SF509" s="10"/>
      <c r="SG509" s="10"/>
      <c r="SH509" s="10"/>
      <c r="SI509" s="10"/>
      <c r="SJ509" s="10"/>
      <c r="SK509" s="10"/>
      <c r="SL509" s="10"/>
      <c r="SM509" s="10"/>
      <c r="SN509" s="10"/>
      <c r="SO509" s="10"/>
      <c r="SP509" s="10"/>
      <c r="SQ509" s="10"/>
      <c r="SR509" s="10"/>
      <c r="SS509" s="10"/>
      <c r="ST509" s="10"/>
      <c r="SU509" s="10"/>
      <c r="SV509" s="10"/>
      <c r="SW509" s="10"/>
      <c r="SX509" s="10"/>
      <c r="SY509" s="10"/>
      <c r="SZ509" s="10"/>
      <c r="TA509" s="10"/>
      <c r="TB509" s="10"/>
      <c r="TC509" s="10"/>
      <c r="TD509" s="10"/>
      <c r="TE509" s="10"/>
      <c r="TF509" s="10"/>
      <c r="TG509" s="11">
        <f t="shared" si="24"/>
        <v>0</v>
      </c>
      <c r="TH509" s="9">
        <f t="shared" si="25"/>
        <v>0</v>
      </c>
    </row>
    <row r="510" spans="1:528" ht="15.6" thickBot="1" x14ac:dyDescent="0.3">
      <c r="A510" s="25" t="s">
        <v>814</v>
      </c>
      <c r="B510" s="18" t="s">
        <v>402</v>
      </c>
      <c r="C510" s="3">
        <f>AGOSTO!D514</f>
        <v>0</v>
      </c>
      <c r="D510" s="21">
        <f t="shared" si="26"/>
        <v>0</v>
      </c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>
        <f>132*4</f>
        <v>528</v>
      </c>
      <c r="FB510" s="10"/>
      <c r="FC510" s="10"/>
      <c r="FD510" s="10"/>
      <c r="FE510" s="10">
        <v>74</v>
      </c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>
        <v>-602</v>
      </c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0"/>
      <c r="LV510" s="10"/>
      <c r="LW510" s="10"/>
      <c r="LX510" s="10"/>
      <c r="LY510" s="10"/>
      <c r="LZ510" s="10"/>
      <c r="MA510" s="10"/>
      <c r="MB510" s="10"/>
      <c r="MC510" s="10"/>
      <c r="MD510" s="10"/>
      <c r="ME510" s="10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/>
      <c r="OT510" s="10"/>
      <c r="OU510" s="10"/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0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  <c r="SB510" s="10"/>
      <c r="SC510" s="10"/>
      <c r="SD510" s="10"/>
      <c r="SE510" s="10"/>
      <c r="SF510" s="10"/>
      <c r="SG510" s="10"/>
      <c r="SH510" s="10"/>
      <c r="SI510" s="10"/>
      <c r="SJ510" s="10"/>
      <c r="SK510" s="10"/>
      <c r="SL510" s="10"/>
      <c r="SM510" s="10"/>
      <c r="SN510" s="10"/>
      <c r="SO510" s="10"/>
      <c r="SP510" s="10"/>
      <c r="SQ510" s="10"/>
      <c r="SR510" s="10"/>
      <c r="SS510" s="10"/>
      <c r="ST510" s="10"/>
      <c r="SU510" s="10"/>
      <c r="SV510" s="10"/>
      <c r="SW510" s="10"/>
      <c r="SX510" s="10"/>
      <c r="SY510" s="10"/>
      <c r="SZ510" s="10"/>
      <c r="TA510" s="10"/>
      <c r="TB510" s="10"/>
      <c r="TC510" s="10"/>
      <c r="TD510" s="10"/>
      <c r="TE510" s="10"/>
      <c r="TF510" s="10"/>
      <c r="TG510" s="11">
        <f t="shared" si="24"/>
        <v>0</v>
      </c>
      <c r="TH510" s="9">
        <f t="shared" si="25"/>
        <v>0</v>
      </c>
    </row>
    <row r="511" spans="1:528" ht="15.6" thickBot="1" x14ac:dyDescent="0.3">
      <c r="A511" s="25" t="s">
        <v>815</v>
      </c>
      <c r="B511" s="18" t="s">
        <v>401</v>
      </c>
      <c r="C511" s="3">
        <f>AGOSTO!D515</f>
        <v>0</v>
      </c>
      <c r="D511" s="21">
        <f t="shared" si="26"/>
        <v>0</v>
      </c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>
        <v>132</v>
      </c>
      <c r="FF511" s="10"/>
      <c r="FG511" s="10">
        <f>132*3+39</f>
        <v>435</v>
      </c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>
        <v>-567</v>
      </c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10"/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10"/>
      <c r="KO511" s="10"/>
      <c r="KP511" s="10"/>
      <c r="KQ511" s="10"/>
      <c r="KR511" s="10"/>
      <c r="KS511" s="10"/>
      <c r="KT511" s="10"/>
      <c r="KU511" s="10"/>
      <c r="KV511" s="10"/>
      <c r="KW511" s="10"/>
      <c r="KX511" s="10"/>
      <c r="KY511" s="10"/>
      <c r="KZ511" s="10"/>
      <c r="LA511" s="10"/>
      <c r="LB511" s="10"/>
      <c r="LC511" s="10"/>
      <c r="LD511" s="10"/>
      <c r="LE511" s="10"/>
      <c r="LF511" s="10"/>
      <c r="LG511" s="10"/>
      <c r="LH511" s="10"/>
      <c r="LI511" s="10"/>
      <c r="LJ511" s="10"/>
      <c r="LK511" s="10"/>
      <c r="LL511" s="10"/>
      <c r="LM511" s="10"/>
      <c r="LN511" s="10"/>
      <c r="LO511" s="10"/>
      <c r="LP511" s="10"/>
      <c r="LQ511" s="10"/>
      <c r="LR511" s="10"/>
      <c r="LS511" s="10"/>
      <c r="LT511" s="10"/>
      <c r="LU511" s="10"/>
      <c r="LV511" s="10"/>
      <c r="LW511" s="10"/>
      <c r="LX511" s="10"/>
      <c r="LY511" s="10"/>
      <c r="LZ511" s="10"/>
      <c r="MA511" s="10"/>
      <c r="MB511" s="10"/>
      <c r="MC511" s="10"/>
      <c r="MD511" s="10"/>
      <c r="ME511" s="10"/>
      <c r="MF511" s="10"/>
      <c r="MG511" s="10"/>
      <c r="MH511" s="10"/>
      <c r="MI511" s="10"/>
      <c r="MJ511" s="10"/>
      <c r="MK511" s="10"/>
      <c r="ML511" s="10"/>
      <c r="MM511" s="10"/>
      <c r="MN511" s="10"/>
      <c r="MO511" s="10"/>
      <c r="MP511" s="10"/>
      <c r="MQ511" s="10"/>
      <c r="MR511" s="10"/>
      <c r="MS511" s="10"/>
      <c r="MT511" s="10"/>
      <c r="MU511" s="10"/>
      <c r="MV511" s="10"/>
      <c r="MW511" s="10"/>
      <c r="MX511" s="10"/>
      <c r="MY511" s="10"/>
      <c r="MZ511" s="10"/>
      <c r="NA511" s="10"/>
      <c r="NB511" s="10"/>
      <c r="NC511" s="10"/>
      <c r="ND511" s="10"/>
      <c r="NE511" s="10"/>
      <c r="NF511" s="10"/>
      <c r="NG511" s="10"/>
      <c r="NH511" s="10"/>
      <c r="NI511" s="10"/>
      <c r="NJ511" s="10"/>
      <c r="NK511" s="10"/>
      <c r="NL511" s="10"/>
      <c r="NM511" s="10"/>
      <c r="NN511" s="10"/>
      <c r="NO511" s="10"/>
      <c r="NP511" s="10"/>
      <c r="NQ511" s="10"/>
      <c r="NR511" s="10"/>
      <c r="NS511" s="10"/>
      <c r="NT511" s="10"/>
      <c r="NU511" s="10"/>
      <c r="NV511" s="10"/>
      <c r="NW511" s="10"/>
      <c r="NX511" s="10"/>
      <c r="NY511" s="10"/>
      <c r="NZ511" s="10"/>
      <c r="OA511" s="10"/>
      <c r="OB511" s="10"/>
      <c r="OC511" s="10"/>
      <c r="OD511" s="10"/>
      <c r="OE511" s="10"/>
      <c r="OF511" s="10"/>
      <c r="OG511" s="10"/>
      <c r="OH511" s="10"/>
      <c r="OI511" s="10"/>
      <c r="OJ511" s="10"/>
      <c r="OK511" s="10"/>
      <c r="OL511" s="10"/>
      <c r="OM511" s="10"/>
      <c r="ON511" s="10"/>
      <c r="OO511" s="10"/>
      <c r="OP511" s="10"/>
      <c r="OQ511" s="10"/>
      <c r="OR511" s="10"/>
      <c r="OS511" s="10"/>
      <c r="OT511" s="10"/>
      <c r="OU511" s="10"/>
      <c r="OV511" s="10"/>
      <c r="OW511" s="10"/>
      <c r="OX511" s="10"/>
      <c r="OY511" s="10"/>
      <c r="OZ511" s="10"/>
      <c r="PA511" s="10"/>
      <c r="PB511" s="10"/>
      <c r="PC511" s="10"/>
      <c r="PD511" s="10"/>
      <c r="PE511" s="10"/>
      <c r="PF511" s="10"/>
      <c r="PG511" s="10"/>
      <c r="PH511" s="10"/>
      <c r="PI511" s="10"/>
      <c r="PJ511" s="10"/>
      <c r="PK511" s="10"/>
      <c r="PL511" s="10"/>
      <c r="PM511" s="10"/>
      <c r="PN511" s="10"/>
      <c r="PO511" s="10"/>
      <c r="PP511" s="10"/>
      <c r="PQ511" s="10"/>
      <c r="PR511" s="10"/>
      <c r="PS511" s="10"/>
      <c r="PT511" s="10"/>
      <c r="PU511" s="10"/>
      <c r="PV511" s="10"/>
      <c r="PW511" s="10"/>
      <c r="PX511" s="10"/>
      <c r="PY511" s="10"/>
      <c r="PZ511" s="10"/>
      <c r="QA511" s="10"/>
      <c r="QB511" s="10"/>
      <c r="QC511" s="10"/>
      <c r="QD511" s="10"/>
      <c r="QE511" s="10"/>
      <c r="QF511" s="10"/>
      <c r="QG511" s="10"/>
      <c r="QH511" s="10"/>
      <c r="QI511" s="10"/>
      <c r="QJ511" s="10"/>
      <c r="QK511" s="10"/>
      <c r="QL511" s="10"/>
      <c r="QM511" s="10"/>
      <c r="QN511" s="10"/>
      <c r="QO511" s="10"/>
      <c r="QP511" s="10"/>
      <c r="QQ511" s="10"/>
      <c r="QR511" s="10"/>
      <c r="QS511" s="10"/>
      <c r="QT511" s="10"/>
      <c r="QU511" s="10"/>
      <c r="QV511" s="10"/>
      <c r="QW511" s="10"/>
      <c r="QX511" s="10"/>
      <c r="QY511" s="10"/>
      <c r="QZ511" s="10"/>
      <c r="RA511" s="10"/>
      <c r="RB511" s="10"/>
      <c r="RC511" s="10"/>
      <c r="RD511" s="10"/>
      <c r="RE511" s="10"/>
      <c r="RF511" s="10"/>
      <c r="RG511" s="10"/>
      <c r="RH511" s="10"/>
      <c r="RI511" s="10"/>
      <c r="RJ511" s="10"/>
      <c r="RK511" s="10"/>
      <c r="RL511" s="10"/>
      <c r="RM511" s="10"/>
      <c r="RN511" s="10"/>
      <c r="RO511" s="10"/>
      <c r="RP511" s="10"/>
      <c r="RQ511" s="10"/>
      <c r="RR511" s="10"/>
      <c r="RS511" s="10"/>
      <c r="RT511" s="10"/>
      <c r="RU511" s="10"/>
      <c r="RV511" s="10"/>
      <c r="RW511" s="10"/>
      <c r="RX511" s="10"/>
      <c r="RY511" s="10"/>
      <c r="RZ511" s="10"/>
      <c r="SA511" s="10"/>
      <c r="SB511" s="10"/>
      <c r="SC511" s="10"/>
      <c r="SD511" s="10"/>
      <c r="SE511" s="10"/>
      <c r="SF511" s="10"/>
      <c r="SG511" s="10"/>
      <c r="SH511" s="10"/>
      <c r="SI511" s="10"/>
      <c r="SJ511" s="10"/>
      <c r="SK511" s="10"/>
      <c r="SL511" s="10"/>
      <c r="SM511" s="10"/>
      <c r="SN511" s="10"/>
      <c r="SO511" s="10"/>
      <c r="SP511" s="10"/>
      <c r="SQ511" s="10"/>
      <c r="SR511" s="10"/>
      <c r="SS511" s="10"/>
      <c r="ST511" s="10"/>
      <c r="SU511" s="10"/>
      <c r="SV511" s="10"/>
      <c r="SW511" s="10"/>
      <c r="SX511" s="10"/>
      <c r="SY511" s="10"/>
      <c r="SZ511" s="10"/>
      <c r="TA511" s="10"/>
      <c r="TB511" s="10"/>
      <c r="TC511" s="10"/>
      <c r="TD511" s="10"/>
      <c r="TE511" s="10"/>
      <c r="TF511" s="10"/>
      <c r="TG511" s="11">
        <f t="shared" ref="TG511:TG574" si="27">TE511+BG511+BE511+BC511+BA511+AY511+AW511+AU511+AS511+AQ511+AO511+AM511+AK511+AI511+AG511+AE511+AC511+AA511+Y511+W511+U511+S511+Q511+O511+M511+K511+I511+G511+E511</f>
        <v>0</v>
      </c>
      <c r="TH511" s="9">
        <f t="shared" ref="TH511:TH574" si="28">TF511+BH511+BF511+BD511+BB511+AZ511+AX511+AV511+AT511+AR511+AP511+AN511+AL511+AJ511+AH511+AF511+AD511+AB511+Z511+X511+V511+T511+R511+P511+N511+L511+J511+H511+F511</f>
        <v>0</v>
      </c>
    </row>
    <row r="512" spans="1:528" ht="15.6" thickBot="1" x14ac:dyDescent="0.3">
      <c r="A512" s="25" t="s">
        <v>817</v>
      </c>
      <c r="B512" s="18" t="s">
        <v>400</v>
      </c>
      <c r="C512" s="3">
        <f>AGOSTO!D516</f>
        <v>0</v>
      </c>
      <c r="D512" s="21">
        <f t="shared" si="26"/>
        <v>0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>
        <f>132*4+66</f>
        <v>594</v>
      </c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>
        <v>-594</v>
      </c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10"/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10"/>
      <c r="KO512" s="10"/>
      <c r="KP512" s="10"/>
      <c r="KQ512" s="10"/>
      <c r="KR512" s="10"/>
      <c r="KS512" s="10"/>
      <c r="KT512" s="10"/>
      <c r="KU512" s="10"/>
      <c r="KV512" s="10"/>
      <c r="KW512" s="10"/>
      <c r="KX512" s="10"/>
      <c r="KY512" s="10"/>
      <c r="KZ512" s="10"/>
      <c r="LA512" s="10"/>
      <c r="LB512" s="10"/>
      <c r="LC512" s="10"/>
      <c r="LD512" s="10"/>
      <c r="LE512" s="10"/>
      <c r="LF512" s="10"/>
      <c r="LG512" s="10"/>
      <c r="LH512" s="10"/>
      <c r="LI512" s="10"/>
      <c r="LJ512" s="10"/>
      <c r="LK512" s="10"/>
      <c r="LL512" s="10"/>
      <c r="LM512" s="10"/>
      <c r="LN512" s="10"/>
      <c r="LO512" s="10"/>
      <c r="LP512" s="10"/>
      <c r="LQ512" s="10"/>
      <c r="LR512" s="10"/>
      <c r="LS512" s="10"/>
      <c r="LT512" s="10"/>
      <c r="LU512" s="10"/>
      <c r="LV512" s="10"/>
      <c r="LW512" s="10"/>
      <c r="LX512" s="10"/>
      <c r="LY512" s="10"/>
      <c r="LZ512" s="10"/>
      <c r="MA512" s="10"/>
      <c r="MB512" s="10"/>
      <c r="MC512" s="10"/>
      <c r="MD512" s="10"/>
      <c r="ME512" s="10"/>
      <c r="MF512" s="10"/>
      <c r="MG512" s="10"/>
      <c r="MH512" s="10"/>
      <c r="MI512" s="10"/>
      <c r="MJ512" s="10"/>
      <c r="MK512" s="10"/>
      <c r="ML512" s="10"/>
      <c r="MM512" s="10"/>
      <c r="MN512" s="10"/>
      <c r="MO512" s="10"/>
      <c r="MP512" s="10"/>
      <c r="MQ512" s="10"/>
      <c r="MR512" s="10"/>
      <c r="MS512" s="10"/>
      <c r="MT512" s="10"/>
      <c r="MU512" s="10"/>
      <c r="MV512" s="10"/>
      <c r="MW512" s="10"/>
      <c r="MX512" s="10"/>
      <c r="MY512" s="10"/>
      <c r="MZ512" s="10"/>
      <c r="NA512" s="10"/>
      <c r="NB512" s="10"/>
      <c r="NC512" s="10"/>
      <c r="ND512" s="10"/>
      <c r="NE512" s="10"/>
      <c r="NF512" s="10"/>
      <c r="NG512" s="10"/>
      <c r="NH512" s="10"/>
      <c r="NI512" s="10"/>
      <c r="NJ512" s="10"/>
      <c r="NK512" s="10"/>
      <c r="NL512" s="10"/>
      <c r="NM512" s="10"/>
      <c r="NN512" s="10"/>
      <c r="NO512" s="10"/>
      <c r="NP512" s="10"/>
      <c r="NQ512" s="10"/>
      <c r="NR512" s="10"/>
      <c r="NS512" s="10"/>
      <c r="NT512" s="10"/>
      <c r="NU512" s="10"/>
      <c r="NV512" s="10"/>
      <c r="NW512" s="10"/>
      <c r="NX512" s="10"/>
      <c r="NY512" s="10"/>
      <c r="NZ512" s="10"/>
      <c r="OA512" s="10"/>
      <c r="OB512" s="10"/>
      <c r="OC512" s="10"/>
      <c r="OD512" s="10"/>
      <c r="OE512" s="10"/>
      <c r="OF512" s="10"/>
      <c r="OG512" s="10"/>
      <c r="OH512" s="10"/>
      <c r="OI512" s="10"/>
      <c r="OJ512" s="10"/>
      <c r="OK512" s="10"/>
      <c r="OL512" s="10"/>
      <c r="OM512" s="10"/>
      <c r="ON512" s="10"/>
      <c r="OO512" s="10"/>
      <c r="OP512" s="10"/>
      <c r="OQ512" s="10"/>
      <c r="OR512" s="10"/>
      <c r="OS512" s="10"/>
      <c r="OT512" s="10"/>
      <c r="OU512" s="10"/>
      <c r="OV512" s="10"/>
      <c r="OW512" s="10"/>
      <c r="OX512" s="10"/>
      <c r="OY512" s="10"/>
      <c r="OZ512" s="10"/>
      <c r="PA512" s="10"/>
      <c r="PB512" s="10"/>
      <c r="PC512" s="10"/>
      <c r="PD512" s="10"/>
      <c r="PE512" s="10"/>
      <c r="PF512" s="10"/>
      <c r="PG512" s="10"/>
      <c r="PH512" s="10"/>
      <c r="PI512" s="10"/>
      <c r="PJ512" s="10"/>
      <c r="PK512" s="10"/>
      <c r="PL512" s="10"/>
      <c r="PM512" s="10"/>
      <c r="PN512" s="10"/>
      <c r="PO512" s="10"/>
      <c r="PP512" s="10"/>
      <c r="PQ512" s="10"/>
      <c r="PR512" s="10"/>
      <c r="PS512" s="10"/>
      <c r="PT512" s="10"/>
      <c r="PU512" s="10"/>
      <c r="PV512" s="10"/>
      <c r="PW512" s="10"/>
      <c r="PX512" s="10"/>
      <c r="PY512" s="10"/>
      <c r="PZ512" s="10"/>
      <c r="QA512" s="10"/>
      <c r="QB512" s="10"/>
      <c r="QC512" s="10"/>
      <c r="QD512" s="10"/>
      <c r="QE512" s="10"/>
      <c r="QF512" s="10"/>
      <c r="QG512" s="10"/>
      <c r="QH512" s="10"/>
      <c r="QI512" s="10"/>
      <c r="QJ512" s="10"/>
      <c r="QK512" s="10"/>
      <c r="QL512" s="10"/>
      <c r="QM512" s="10"/>
      <c r="QN512" s="10"/>
      <c r="QO512" s="10"/>
      <c r="QP512" s="10"/>
      <c r="QQ512" s="10"/>
      <c r="QR512" s="10"/>
      <c r="QS512" s="10"/>
      <c r="QT512" s="10"/>
      <c r="QU512" s="10"/>
      <c r="QV512" s="10"/>
      <c r="QW512" s="10"/>
      <c r="QX512" s="10"/>
      <c r="QY512" s="10"/>
      <c r="QZ512" s="10"/>
      <c r="RA512" s="10"/>
      <c r="RB512" s="10"/>
      <c r="RC512" s="10"/>
      <c r="RD512" s="10"/>
      <c r="RE512" s="10"/>
      <c r="RF512" s="10"/>
      <c r="RG512" s="10"/>
      <c r="RH512" s="10"/>
      <c r="RI512" s="10"/>
      <c r="RJ512" s="10"/>
      <c r="RK512" s="10"/>
      <c r="RL512" s="10"/>
      <c r="RM512" s="10"/>
      <c r="RN512" s="10"/>
      <c r="RO512" s="10"/>
      <c r="RP512" s="10"/>
      <c r="RQ512" s="10"/>
      <c r="RR512" s="10"/>
      <c r="RS512" s="10"/>
      <c r="RT512" s="10"/>
      <c r="RU512" s="10"/>
      <c r="RV512" s="10"/>
      <c r="RW512" s="10"/>
      <c r="RX512" s="10"/>
      <c r="RY512" s="10"/>
      <c r="RZ512" s="10"/>
      <c r="SA512" s="10"/>
      <c r="SB512" s="10"/>
      <c r="SC512" s="10"/>
      <c r="SD512" s="10"/>
      <c r="SE512" s="10"/>
      <c r="SF512" s="10"/>
      <c r="SG512" s="10"/>
      <c r="SH512" s="10"/>
      <c r="SI512" s="10"/>
      <c r="SJ512" s="10"/>
      <c r="SK512" s="10"/>
      <c r="SL512" s="10"/>
      <c r="SM512" s="10"/>
      <c r="SN512" s="10"/>
      <c r="SO512" s="10"/>
      <c r="SP512" s="10"/>
      <c r="SQ512" s="10"/>
      <c r="SR512" s="10"/>
      <c r="SS512" s="10"/>
      <c r="ST512" s="10"/>
      <c r="SU512" s="10"/>
      <c r="SV512" s="10"/>
      <c r="SW512" s="10"/>
      <c r="SX512" s="10"/>
      <c r="SY512" s="10"/>
      <c r="SZ512" s="10"/>
      <c r="TA512" s="10"/>
      <c r="TB512" s="10"/>
      <c r="TC512" s="10"/>
      <c r="TD512" s="10"/>
      <c r="TE512" s="10"/>
      <c r="TF512" s="10"/>
      <c r="TG512" s="11">
        <f t="shared" si="27"/>
        <v>0</v>
      </c>
      <c r="TH512" s="9">
        <f t="shared" si="28"/>
        <v>0</v>
      </c>
    </row>
    <row r="513" spans="1:528" ht="15.6" thickBot="1" x14ac:dyDescent="0.3">
      <c r="A513" s="25" t="s">
        <v>816</v>
      </c>
      <c r="B513" s="18" t="s">
        <v>399</v>
      </c>
      <c r="C513" s="3">
        <f>AGOSTO!D517</f>
        <v>0</v>
      </c>
      <c r="D513" s="21">
        <f t="shared" si="26"/>
        <v>0</v>
      </c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>
        <f>132*4+69</f>
        <v>597</v>
      </c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>
        <v>-597</v>
      </c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10"/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10"/>
      <c r="KO513" s="10"/>
      <c r="KP513" s="10"/>
      <c r="KQ513" s="10"/>
      <c r="KR513" s="10"/>
      <c r="KS513" s="10"/>
      <c r="KT513" s="10"/>
      <c r="KU513" s="10"/>
      <c r="KV513" s="10"/>
      <c r="KW513" s="10"/>
      <c r="KX513" s="10"/>
      <c r="KY513" s="10"/>
      <c r="KZ513" s="10"/>
      <c r="LA513" s="10"/>
      <c r="LB513" s="10"/>
      <c r="LC513" s="10"/>
      <c r="LD513" s="10"/>
      <c r="LE513" s="10"/>
      <c r="LF513" s="10"/>
      <c r="LG513" s="10"/>
      <c r="LH513" s="10"/>
      <c r="LI513" s="10"/>
      <c r="LJ513" s="10"/>
      <c r="LK513" s="10"/>
      <c r="LL513" s="10"/>
      <c r="LM513" s="10"/>
      <c r="LN513" s="10"/>
      <c r="LO513" s="10"/>
      <c r="LP513" s="10"/>
      <c r="LQ513" s="10"/>
      <c r="LR513" s="10"/>
      <c r="LS513" s="10"/>
      <c r="LT513" s="10"/>
      <c r="LU513" s="10"/>
      <c r="LV513" s="10"/>
      <c r="LW513" s="10"/>
      <c r="LX513" s="10"/>
      <c r="LY513" s="10"/>
      <c r="LZ513" s="10"/>
      <c r="MA513" s="10"/>
      <c r="MB513" s="10"/>
      <c r="MC513" s="10"/>
      <c r="MD513" s="10"/>
      <c r="ME513" s="10"/>
      <c r="MF513" s="10"/>
      <c r="MG513" s="10"/>
      <c r="MH513" s="10"/>
      <c r="MI513" s="10"/>
      <c r="MJ513" s="10"/>
      <c r="MK513" s="10"/>
      <c r="ML513" s="10"/>
      <c r="MM513" s="10"/>
      <c r="MN513" s="10"/>
      <c r="MO513" s="10"/>
      <c r="MP513" s="10"/>
      <c r="MQ513" s="10"/>
      <c r="MR513" s="10"/>
      <c r="MS513" s="10"/>
      <c r="MT513" s="10"/>
      <c r="MU513" s="10"/>
      <c r="MV513" s="10"/>
      <c r="MW513" s="10"/>
      <c r="MX513" s="10"/>
      <c r="MY513" s="10"/>
      <c r="MZ513" s="10"/>
      <c r="NA513" s="10"/>
      <c r="NB513" s="10"/>
      <c r="NC513" s="10"/>
      <c r="ND513" s="10"/>
      <c r="NE513" s="10"/>
      <c r="NF513" s="10"/>
      <c r="NG513" s="10"/>
      <c r="NH513" s="10"/>
      <c r="NI513" s="10"/>
      <c r="NJ513" s="10"/>
      <c r="NK513" s="10"/>
      <c r="NL513" s="10"/>
      <c r="NM513" s="10"/>
      <c r="NN513" s="10"/>
      <c r="NO513" s="10"/>
      <c r="NP513" s="10"/>
      <c r="NQ513" s="10"/>
      <c r="NR513" s="10"/>
      <c r="NS513" s="10"/>
      <c r="NT513" s="10"/>
      <c r="NU513" s="10"/>
      <c r="NV513" s="10"/>
      <c r="NW513" s="10"/>
      <c r="NX513" s="10"/>
      <c r="NY513" s="10"/>
      <c r="NZ513" s="10"/>
      <c r="OA513" s="10"/>
      <c r="OB513" s="10"/>
      <c r="OC513" s="10"/>
      <c r="OD513" s="10"/>
      <c r="OE513" s="10"/>
      <c r="OF513" s="10"/>
      <c r="OG513" s="10"/>
      <c r="OH513" s="10"/>
      <c r="OI513" s="10"/>
      <c r="OJ513" s="10"/>
      <c r="OK513" s="10"/>
      <c r="OL513" s="10"/>
      <c r="OM513" s="10"/>
      <c r="ON513" s="10"/>
      <c r="OO513" s="10"/>
      <c r="OP513" s="10"/>
      <c r="OQ513" s="10"/>
      <c r="OR513" s="10"/>
      <c r="OS513" s="10"/>
      <c r="OT513" s="10"/>
      <c r="OU513" s="10"/>
      <c r="OV513" s="10"/>
      <c r="OW513" s="10"/>
      <c r="OX513" s="10"/>
      <c r="OY513" s="10"/>
      <c r="OZ513" s="10"/>
      <c r="PA513" s="10"/>
      <c r="PB513" s="10"/>
      <c r="PC513" s="10"/>
      <c r="PD513" s="10"/>
      <c r="PE513" s="10"/>
      <c r="PF513" s="10"/>
      <c r="PG513" s="10"/>
      <c r="PH513" s="10"/>
      <c r="PI513" s="10"/>
      <c r="PJ513" s="10"/>
      <c r="PK513" s="10"/>
      <c r="PL513" s="10"/>
      <c r="PM513" s="10"/>
      <c r="PN513" s="10"/>
      <c r="PO513" s="10"/>
      <c r="PP513" s="10"/>
      <c r="PQ513" s="10"/>
      <c r="PR513" s="10"/>
      <c r="PS513" s="10"/>
      <c r="PT513" s="10"/>
      <c r="PU513" s="10"/>
      <c r="PV513" s="10"/>
      <c r="PW513" s="10"/>
      <c r="PX513" s="10"/>
      <c r="PY513" s="10"/>
      <c r="PZ513" s="10"/>
      <c r="QA513" s="10"/>
      <c r="QB513" s="10"/>
      <c r="QC513" s="10"/>
      <c r="QD513" s="10"/>
      <c r="QE513" s="10"/>
      <c r="QF513" s="10"/>
      <c r="QG513" s="10"/>
      <c r="QH513" s="10"/>
      <c r="QI513" s="10"/>
      <c r="QJ513" s="10"/>
      <c r="QK513" s="10"/>
      <c r="QL513" s="10"/>
      <c r="QM513" s="10"/>
      <c r="QN513" s="10"/>
      <c r="QO513" s="10"/>
      <c r="QP513" s="10"/>
      <c r="QQ513" s="10"/>
      <c r="QR513" s="10"/>
      <c r="QS513" s="10"/>
      <c r="QT513" s="10"/>
      <c r="QU513" s="10"/>
      <c r="QV513" s="10"/>
      <c r="QW513" s="10"/>
      <c r="QX513" s="10"/>
      <c r="QY513" s="10"/>
      <c r="QZ513" s="10"/>
      <c r="RA513" s="10"/>
      <c r="RB513" s="10"/>
      <c r="RC513" s="10"/>
      <c r="RD513" s="10"/>
      <c r="RE513" s="10"/>
      <c r="RF513" s="10"/>
      <c r="RG513" s="10"/>
      <c r="RH513" s="10"/>
      <c r="RI513" s="10"/>
      <c r="RJ513" s="10"/>
      <c r="RK513" s="10"/>
      <c r="RL513" s="10"/>
      <c r="RM513" s="10"/>
      <c r="RN513" s="10"/>
      <c r="RO513" s="10"/>
      <c r="RP513" s="10"/>
      <c r="RQ513" s="10"/>
      <c r="RR513" s="10"/>
      <c r="RS513" s="10"/>
      <c r="RT513" s="10"/>
      <c r="RU513" s="10"/>
      <c r="RV513" s="10"/>
      <c r="RW513" s="10"/>
      <c r="RX513" s="10"/>
      <c r="RY513" s="10"/>
      <c r="RZ513" s="10"/>
      <c r="SA513" s="10"/>
      <c r="SB513" s="10"/>
      <c r="SC513" s="10"/>
      <c r="SD513" s="10"/>
      <c r="SE513" s="10"/>
      <c r="SF513" s="10"/>
      <c r="SG513" s="10"/>
      <c r="SH513" s="10"/>
      <c r="SI513" s="10"/>
      <c r="SJ513" s="10"/>
      <c r="SK513" s="10"/>
      <c r="SL513" s="10"/>
      <c r="SM513" s="10"/>
      <c r="SN513" s="10"/>
      <c r="SO513" s="10"/>
      <c r="SP513" s="10"/>
      <c r="SQ513" s="10"/>
      <c r="SR513" s="10"/>
      <c r="SS513" s="10"/>
      <c r="ST513" s="10"/>
      <c r="SU513" s="10"/>
      <c r="SV513" s="10"/>
      <c r="SW513" s="10"/>
      <c r="SX513" s="10"/>
      <c r="SY513" s="10"/>
      <c r="SZ513" s="10"/>
      <c r="TA513" s="10"/>
      <c r="TB513" s="10"/>
      <c r="TC513" s="10"/>
      <c r="TD513" s="10"/>
      <c r="TE513" s="10"/>
      <c r="TF513" s="10"/>
      <c r="TG513" s="11">
        <f t="shared" si="27"/>
        <v>0</v>
      </c>
      <c r="TH513" s="9">
        <f t="shared" si="28"/>
        <v>0</v>
      </c>
    </row>
    <row r="514" spans="1:528" ht="16.2" thickBot="1" x14ac:dyDescent="0.35">
      <c r="A514" s="25"/>
      <c r="B514" s="23" t="s">
        <v>424</v>
      </c>
      <c r="C514" s="3">
        <f>AGOSTO!D518</f>
        <v>0</v>
      </c>
      <c r="D514" s="21">
        <f t="shared" si="26"/>
        <v>0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10"/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10"/>
      <c r="KO514" s="10"/>
      <c r="KP514" s="10"/>
      <c r="KQ514" s="10"/>
      <c r="KR514" s="10"/>
      <c r="KS514" s="10"/>
      <c r="KT514" s="10"/>
      <c r="KU514" s="10"/>
      <c r="KV514" s="10"/>
      <c r="KW514" s="10"/>
      <c r="KX514" s="10"/>
      <c r="KY514" s="10"/>
      <c r="KZ514" s="10"/>
      <c r="LA514" s="10"/>
      <c r="LB514" s="10"/>
      <c r="LC514" s="10"/>
      <c r="LD514" s="10"/>
      <c r="LE514" s="10"/>
      <c r="LF514" s="10"/>
      <c r="LG514" s="10"/>
      <c r="LH514" s="10"/>
      <c r="LI514" s="10"/>
      <c r="LJ514" s="10"/>
      <c r="LK514" s="10"/>
      <c r="LL514" s="10"/>
      <c r="LM514" s="10"/>
      <c r="LN514" s="10"/>
      <c r="LO514" s="10"/>
      <c r="LP514" s="10"/>
      <c r="LQ514" s="10"/>
      <c r="LR514" s="10"/>
      <c r="LS514" s="10"/>
      <c r="LT514" s="10"/>
      <c r="LU514" s="10"/>
      <c r="LV514" s="10"/>
      <c r="LW514" s="10"/>
      <c r="LX514" s="10"/>
      <c r="LY514" s="10"/>
      <c r="LZ514" s="10"/>
      <c r="MA514" s="10"/>
      <c r="MB514" s="10"/>
      <c r="MC514" s="10"/>
      <c r="MD514" s="10"/>
      <c r="ME514" s="10"/>
      <c r="MF514" s="10"/>
      <c r="MG514" s="10"/>
      <c r="MH514" s="10"/>
      <c r="MI514" s="10"/>
      <c r="MJ514" s="10"/>
      <c r="MK514" s="10"/>
      <c r="ML514" s="10"/>
      <c r="MM514" s="10"/>
      <c r="MN514" s="10"/>
      <c r="MO514" s="10"/>
      <c r="MP514" s="10"/>
      <c r="MQ514" s="10"/>
      <c r="MR514" s="10"/>
      <c r="MS514" s="10"/>
      <c r="MT514" s="10"/>
      <c r="MU514" s="10"/>
      <c r="MV514" s="10"/>
      <c r="MW514" s="10"/>
      <c r="MX514" s="10"/>
      <c r="MY514" s="10"/>
      <c r="MZ514" s="10"/>
      <c r="NA514" s="10"/>
      <c r="NB514" s="10"/>
      <c r="NC514" s="10"/>
      <c r="ND514" s="10"/>
      <c r="NE514" s="10"/>
      <c r="NF514" s="10"/>
      <c r="NG514" s="10"/>
      <c r="NH514" s="10"/>
      <c r="NI514" s="10"/>
      <c r="NJ514" s="10"/>
      <c r="NK514" s="10"/>
      <c r="NL514" s="10"/>
      <c r="NM514" s="10"/>
      <c r="NN514" s="10"/>
      <c r="NO514" s="10"/>
      <c r="NP514" s="10"/>
      <c r="NQ514" s="10"/>
      <c r="NR514" s="10"/>
      <c r="NS514" s="10"/>
      <c r="NT514" s="10"/>
      <c r="NU514" s="10"/>
      <c r="NV514" s="10"/>
      <c r="NW514" s="10"/>
      <c r="NX514" s="10"/>
      <c r="NY514" s="10"/>
      <c r="NZ514" s="10"/>
      <c r="OA514" s="10"/>
      <c r="OB514" s="10"/>
      <c r="OC514" s="10"/>
      <c r="OD514" s="10"/>
      <c r="OE514" s="10"/>
      <c r="OF514" s="10"/>
      <c r="OG514" s="10"/>
      <c r="OH514" s="10"/>
      <c r="OI514" s="10"/>
      <c r="OJ514" s="10"/>
      <c r="OK514" s="10"/>
      <c r="OL514" s="10"/>
      <c r="OM514" s="10"/>
      <c r="ON514" s="10"/>
      <c r="OO514" s="10"/>
      <c r="OP514" s="10"/>
      <c r="OQ514" s="10"/>
      <c r="OR514" s="10"/>
      <c r="OS514" s="10"/>
      <c r="OT514" s="10"/>
      <c r="OU514" s="10"/>
      <c r="OV514" s="10"/>
      <c r="OW514" s="10"/>
      <c r="OX514" s="10"/>
      <c r="OY514" s="10"/>
      <c r="OZ514" s="10"/>
      <c r="PA514" s="10"/>
      <c r="PB514" s="10"/>
      <c r="PC514" s="10"/>
      <c r="PD514" s="10"/>
      <c r="PE514" s="10"/>
      <c r="PF514" s="10"/>
      <c r="PG514" s="10"/>
      <c r="PH514" s="10"/>
      <c r="PI514" s="10"/>
      <c r="PJ514" s="10"/>
      <c r="PK514" s="10"/>
      <c r="PL514" s="10"/>
      <c r="PM514" s="10"/>
      <c r="PN514" s="10"/>
      <c r="PO514" s="10"/>
      <c r="PP514" s="10"/>
      <c r="PQ514" s="10"/>
      <c r="PR514" s="10"/>
      <c r="PS514" s="10"/>
      <c r="PT514" s="10"/>
      <c r="PU514" s="10"/>
      <c r="PV514" s="10"/>
      <c r="PW514" s="10"/>
      <c r="PX514" s="10"/>
      <c r="PY514" s="10"/>
      <c r="PZ514" s="10"/>
      <c r="QA514" s="10"/>
      <c r="QB514" s="10"/>
      <c r="QC514" s="10"/>
      <c r="QD514" s="10"/>
      <c r="QE514" s="10"/>
      <c r="QF514" s="10"/>
      <c r="QG514" s="10"/>
      <c r="QH514" s="10"/>
      <c r="QI514" s="10"/>
      <c r="QJ514" s="10"/>
      <c r="QK514" s="10"/>
      <c r="QL514" s="10"/>
      <c r="QM514" s="10"/>
      <c r="QN514" s="10"/>
      <c r="QO514" s="10"/>
      <c r="QP514" s="10"/>
      <c r="QQ514" s="10"/>
      <c r="QR514" s="10"/>
      <c r="QS514" s="10"/>
      <c r="QT514" s="10"/>
      <c r="QU514" s="10"/>
      <c r="QV514" s="10"/>
      <c r="QW514" s="10"/>
      <c r="QX514" s="10"/>
      <c r="QY514" s="10"/>
      <c r="QZ514" s="10"/>
      <c r="RA514" s="10"/>
      <c r="RB514" s="10"/>
      <c r="RC514" s="10"/>
      <c r="RD514" s="10"/>
      <c r="RE514" s="10"/>
      <c r="RF514" s="10"/>
      <c r="RG514" s="10"/>
      <c r="RH514" s="10"/>
      <c r="RI514" s="10"/>
      <c r="RJ514" s="10"/>
      <c r="RK514" s="10"/>
      <c r="RL514" s="10"/>
      <c r="RM514" s="10"/>
      <c r="RN514" s="10"/>
      <c r="RO514" s="10"/>
      <c r="RP514" s="10"/>
      <c r="RQ514" s="10"/>
      <c r="RR514" s="10"/>
      <c r="RS514" s="10"/>
      <c r="RT514" s="10"/>
      <c r="RU514" s="10"/>
      <c r="RV514" s="10"/>
      <c r="RW514" s="10"/>
      <c r="RX514" s="10"/>
      <c r="RY514" s="10"/>
      <c r="RZ514" s="10"/>
      <c r="SA514" s="10"/>
      <c r="SB514" s="10"/>
      <c r="SC514" s="10"/>
      <c r="SD514" s="10"/>
      <c r="SE514" s="10"/>
      <c r="SF514" s="10"/>
      <c r="SG514" s="10"/>
      <c r="SH514" s="10"/>
      <c r="SI514" s="10"/>
      <c r="SJ514" s="10"/>
      <c r="SK514" s="10"/>
      <c r="SL514" s="10"/>
      <c r="SM514" s="10"/>
      <c r="SN514" s="10"/>
      <c r="SO514" s="10"/>
      <c r="SP514" s="10"/>
      <c r="SQ514" s="10"/>
      <c r="SR514" s="10"/>
      <c r="SS514" s="10"/>
      <c r="ST514" s="10"/>
      <c r="SU514" s="10"/>
      <c r="SV514" s="10"/>
      <c r="SW514" s="10"/>
      <c r="SX514" s="10"/>
      <c r="SY514" s="10"/>
      <c r="SZ514" s="10"/>
      <c r="TA514" s="10"/>
      <c r="TB514" s="10"/>
      <c r="TC514" s="10"/>
      <c r="TD514" s="10"/>
      <c r="TE514" s="10"/>
      <c r="TF514" s="10"/>
      <c r="TG514" s="11">
        <f t="shared" si="27"/>
        <v>0</v>
      </c>
      <c r="TH514" s="9">
        <f t="shared" si="28"/>
        <v>0</v>
      </c>
    </row>
    <row r="515" spans="1:528" ht="15.6" thickBot="1" x14ac:dyDescent="0.3">
      <c r="A515" s="18">
        <v>12259</v>
      </c>
      <c r="B515" s="18" t="s">
        <v>425</v>
      </c>
      <c r="C515" s="3">
        <f>AGOSTO!D519</f>
        <v>0</v>
      </c>
      <c r="D515" s="21">
        <f t="shared" si="26"/>
        <v>0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0"/>
      <c r="LV515" s="10"/>
      <c r="LW515" s="10"/>
      <c r="LX515" s="10"/>
      <c r="LY515" s="10"/>
      <c r="LZ515" s="10"/>
      <c r="MA515" s="10"/>
      <c r="MB515" s="10"/>
      <c r="MC515" s="10"/>
      <c r="MD515" s="10"/>
      <c r="ME515" s="10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/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0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  <c r="SB515" s="10"/>
      <c r="SC515" s="10"/>
      <c r="SD515" s="10"/>
      <c r="SE515" s="10"/>
      <c r="SF515" s="10"/>
      <c r="SG515" s="10"/>
      <c r="SH515" s="10"/>
      <c r="SI515" s="10"/>
      <c r="SJ515" s="10"/>
      <c r="SK515" s="10"/>
      <c r="SL515" s="10"/>
      <c r="SM515" s="10"/>
      <c r="SN515" s="10"/>
      <c r="SO515" s="10"/>
      <c r="SP515" s="10"/>
      <c r="SQ515" s="10"/>
      <c r="SR515" s="10"/>
      <c r="SS515" s="10"/>
      <c r="ST515" s="10"/>
      <c r="SU515" s="10"/>
      <c r="SV515" s="10"/>
      <c r="SW515" s="10"/>
      <c r="SX515" s="10"/>
      <c r="SY515" s="10"/>
      <c r="SZ515" s="10"/>
      <c r="TA515" s="10"/>
      <c r="TB515" s="10"/>
      <c r="TC515" s="10"/>
      <c r="TD515" s="10"/>
      <c r="TE515" s="10"/>
      <c r="TF515" s="10"/>
      <c r="TG515" s="11">
        <f t="shared" si="27"/>
        <v>0</v>
      </c>
      <c r="TH515" s="9">
        <f t="shared" si="28"/>
        <v>0</v>
      </c>
    </row>
    <row r="516" spans="1:528" ht="15.6" thickBot="1" x14ac:dyDescent="0.3">
      <c r="A516" s="18">
        <v>14175</v>
      </c>
      <c r="B516" s="18" t="s">
        <v>426</v>
      </c>
      <c r="C516" s="3">
        <f>AGOSTO!D520</f>
        <v>0</v>
      </c>
      <c r="D516" s="21">
        <f t="shared" si="26"/>
        <v>0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10"/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10"/>
      <c r="KO516" s="10"/>
      <c r="KP516" s="10"/>
      <c r="KQ516" s="10"/>
      <c r="KR516" s="10"/>
      <c r="KS516" s="10"/>
      <c r="KT516" s="10"/>
      <c r="KU516" s="10"/>
      <c r="KV516" s="10"/>
      <c r="KW516" s="10"/>
      <c r="KX516" s="10"/>
      <c r="KY516" s="10"/>
      <c r="KZ516" s="10"/>
      <c r="LA516" s="10"/>
      <c r="LB516" s="10"/>
      <c r="LC516" s="10"/>
      <c r="LD516" s="10"/>
      <c r="LE516" s="10"/>
      <c r="LF516" s="10"/>
      <c r="LG516" s="10"/>
      <c r="LH516" s="10"/>
      <c r="LI516" s="10"/>
      <c r="LJ516" s="10"/>
      <c r="LK516" s="10"/>
      <c r="LL516" s="10"/>
      <c r="LM516" s="10"/>
      <c r="LN516" s="10"/>
      <c r="LO516" s="10"/>
      <c r="LP516" s="10"/>
      <c r="LQ516" s="10"/>
      <c r="LR516" s="10"/>
      <c r="LS516" s="10"/>
      <c r="LT516" s="10"/>
      <c r="LU516" s="10"/>
      <c r="LV516" s="10"/>
      <c r="LW516" s="10"/>
      <c r="LX516" s="10"/>
      <c r="LY516" s="10"/>
      <c r="LZ516" s="10"/>
      <c r="MA516" s="10"/>
      <c r="MB516" s="10"/>
      <c r="MC516" s="10"/>
      <c r="MD516" s="10"/>
      <c r="ME516" s="10"/>
      <c r="MF516" s="10"/>
      <c r="MG516" s="10"/>
      <c r="MH516" s="10"/>
      <c r="MI516" s="10"/>
      <c r="MJ516" s="10"/>
      <c r="MK516" s="10"/>
      <c r="ML516" s="10"/>
      <c r="MM516" s="10"/>
      <c r="MN516" s="10"/>
      <c r="MO516" s="10"/>
      <c r="MP516" s="10"/>
      <c r="MQ516" s="10"/>
      <c r="MR516" s="10"/>
      <c r="MS516" s="10"/>
      <c r="MT516" s="10"/>
      <c r="MU516" s="10"/>
      <c r="MV516" s="10"/>
      <c r="MW516" s="10"/>
      <c r="MX516" s="10"/>
      <c r="MY516" s="10"/>
      <c r="MZ516" s="10"/>
      <c r="NA516" s="10"/>
      <c r="NB516" s="10"/>
      <c r="NC516" s="10"/>
      <c r="ND516" s="10"/>
      <c r="NE516" s="10"/>
      <c r="NF516" s="10"/>
      <c r="NG516" s="10"/>
      <c r="NH516" s="10"/>
      <c r="NI516" s="10"/>
      <c r="NJ516" s="10"/>
      <c r="NK516" s="10"/>
      <c r="NL516" s="10"/>
      <c r="NM516" s="10"/>
      <c r="NN516" s="10"/>
      <c r="NO516" s="10"/>
      <c r="NP516" s="10"/>
      <c r="NQ516" s="10"/>
      <c r="NR516" s="10"/>
      <c r="NS516" s="10"/>
      <c r="NT516" s="10"/>
      <c r="NU516" s="10"/>
      <c r="NV516" s="10"/>
      <c r="NW516" s="10"/>
      <c r="NX516" s="10"/>
      <c r="NY516" s="10"/>
      <c r="NZ516" s="10"/>
      <c r="OA516" s="10"/>
      <c r="OB516" s="10"/>
      <c r="OC516" s="10"/>
      <c r="OD516" s="10"/>
      <c r="OE516" s="10"/>
      <c r="OF516" s="10"/>
      <c r="OG516" s="10"/>
      <c r="OH516" s="10"/>
      <c r="OI516" s="10"/>
      <c r="OJ516" s="10"/>
      <c r="OK516" s="10"/>
      <c r="OL516" s="10"/>
      <c r="OM516" s="10"/>
      <c r="ON516" s="10"/>
      <c r="OO516" s="10"/>
      <c r="OP516" s="10"/>
      <c r="OQ516" s="10"/>
      <c r="OR516" s="10"/>
      <c r="OS516" s="10"/>
      <c r="OT516" s="10"/>
      <c r="OU516" s="10"/>
      <c r="OV516" s="10"/>
      <c r="OW516" s="10"/>
      <c r="OX516" s="10"/>
      <c r="OY516" s="10"/>
      <c r="OZ516" s="10"/>
      <c r="PA516" s="10"/>
      <c r="PB516" s="10"/>
      <c r="PC516" s="10"/>
      <c r="PD516" s="10"/>
      <c r="PE516" s="10"/>
      <c r="PF516" s="10"/>
      <c r="PG516" s="10"/>
      <c r="PH516" s="10"/>
      <c r="PI516" s="10"/>
      <c r="PJ516" s="10"/>
      <c r="PK516" s="10"/>
      <c r="PL516" s="10"/>
      <c r="PM516" s="10"/>
      <c r="PN516" s="10"/>
      <c r="PO516" s="10"/>
      <c r="PP516" s="10"/>
      <c r="PQ516" s="10"/>
      <c r="PR516" s="10"/>
      <c r="PS516" s="10"/>
      <c r="PT516" s="10"/>
      <c r="PU516" s="10"/>
      <c r="PV516" s="10"/>
      <c r="PW516" s="10"/>
      <c r="PX516" s="10"/>
      <c r="PY516" s="10"/>
      <c r="PZ516" s="10"/>
      <c r="QA516" s="10"/>
      <c r="QB516" s="10"/>
      <c r="QC516" s="10"/>
      <c r="QD516" s="10"/>
      <c r="QE516" s="10"/>
      <c r="QF516" s="10"/>
      <c r="QG516" s="10"/>
      <c r="QH516" s="10"/>
      <c r="QI516" s="10"/>
      <c r="QJ516" s="10"/>
      <c r="QK516" s="10"/>
      <c r="QL516" s="10"/>
      <c r="QM516" s="10"/>
      <c r="QN516" s="10"/>
      <c r="QO516" s="10"/>
      <c r="QP516" s="10"/>
      <c r="QQ516" s="10"/>
      <c r="QR516" s="10"/>
      <c r="QS516" s="10"/>
      <c r="QT516" s="10"/>
      <c r="QU516" s="10"/>
      <c r="QV516" s="10"/>
      <c r="QW516" s="10"/>
      <c r="QX516" s="10"/>
      <c r="QY516" s="10"/>
      <c r="QZ516" s="10"/>
      <c r="RA516" s="10"/>
      <c r="RB516" s="10"/>
      <c r="RC516" s="10"/>
      <c r="RD516" s="10"/>
      <c r="RE516" s="10"/>
      <c r="RF516" s="10"/>
      <c r="RG516" s="10"/>
      <c r="RH516" s="10"/>
      <c r="RI516" s="10"/>
      <c r="RJ516" s="10"/>
      <c r="RK516" s="10"/>
      <c r="RL516" s="10"/>
      <c r="RM516" s="10"/>
      <c r="RN516" s="10"/>
      <c r="RO516" s="10"/>
      <c r="RP516" s="10"/>
      <c r="RQ516" s="10"/>
      <c r="RR516" s="10"/>
      <c r="RS516" s="10"/>
      <c r="RT516" s="10"/>
      <c r="RU516" s="10"/>
      <c r="RV516" s="10"/>
      <c r="RW516" s="10"/>
      <c r="RX516" s="10"/>
      <c r="RY516" s="10"/>
      <c r="RZ516" s="10"/>
      <c r="SA516" s="10"/>
      <c r="SB516" s="10"/>
      <c r="SC516" s="10"/>
      <c r="SD516" s="10"/>
      <c r="SE516" s="10"/>
      <c r="SF516" s="10"/>
      <c r="SG516" s="10"/>
      <c r="SH516" s="10"/>
      <c r="SI516" s="10"/>
      <c r="SJ516" s="10"/>
      <c r="SK516" s="10"/>
      <c r="SL516" s="10"/>
      <c r="SM516" s="10"/>
      <c r="SN516" s="10"/>
      <c r="SO516" s="10"/>
      <c r="SP516" s="10"/>
      <c r="SQ516" s="10"/>
      <c r="SR516" s="10"/>
      <c r="SS516" s="10"/>
      <c r="ST516" s="10"/>
      <c r="SU516" s="10"/>
      <c r="SV516" s="10"/>
      <c r="SW516" s="10"/>
      <c r="SX516" s="10"/>
      <c r="SY516" s="10"/>
      <c r="SZ516" s="10"/>
      <c r="TA516" s="10"/>
      <c r="TB516" s="10"/>
      <c r="TC516" s="10"/>
      <c r="TD516" s="10"/>
      <c r="TE516" s="10"/>
      <c r="TF516" s="10"/>
      <c r="TG516" s="11">
        <f t="shared" si="27"/>
        <v>0</v>
      </c>
      <c r="TH516" s="9">
        <f t="shared" si="28"/>
        <v>0</v>
      </c>
    </row>
    <row r="517" spans="1:528" ht="16.2" thickBot="1" x14ac:dyDescent="0.35">
      <c r="A517" s="25"/>
      <c r="B517" s="23" t="s">
        <v>444</v>
      </c>
      <c r="C517" s="3">
        <f>AGOSTO!D521</f>
        <v>0</v>
      </c>
      <c r="D517" s="21">
        <f t="shared" si="26"/>
        <v>0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0"/>
      <c r="LV517" s="10"/>
      <c r="LW517" s="10"/>
      <c r="LX517" s="10"/>
      <c r="LY517" s="10"/>
      <c r="LZ517" s="10"/>
      <c r="MA517" s="10"/>
      <c r="MB517" s="10"/>
      <c r="MC517" s="10"/>
      <c r="MD517" s="10"/>
      <c r="ME517" s="10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/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0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  <c r="SB517" s="10"/>
      <c r="SC517" s="10"/>
      <c r="SD517" s="10"/>
      <c r="SE517" s="10"/>
      <c r="SF517" s="10"/>
      <c r="SG517" s="10"/>
      <c r="SH517" s="10"/>
      <c r="SI517" s="10"/>
      <c r="SJ517" s="10"/>
      <c r="SK517" s="10"/>
      <c r="SL517" s="10"/>
      <c r="SM517" s="10"/>
      <c r="SN517" s="10"/>
      <c r="SO517" s="10"/>
      <c r="SP517" s="10"/>
      <c r="SQ517" s="10"/>
      <c r="SR517" s="10"/>
      <c r="SS517" s="10"/>
      <c r="ST517" s="10"/>
      <c r="SU517" s="10"/>
      <c r="SV517" s="10"/>
      <c r="SW517" s="10"/>
      <c r="SX517" s="10"/>
      <c r="SY517" s="10"/>
      <c r="SZ517" s="10"/>
      <c r="TA517" s="10"/>
      <c r="TB517" s="10"/>
      <c r="TC517" s="10"/>
      <c r="TD517" s="10"/>
      <c r="TE517" s="10"/>
      <c r="TF517" s="10"/>
      <c r="TG517" s="11">
        <f t="shared" si="27"/>
        <v>0</v>
      </c>
      <c r="TH517" s="9">
        <f t="shared" si="28"/>
        <v>0</v>
      </c>
    </row>
    <row r="518" spans="1:528" ht="15.6" thickBot="1" x14ac:dyDescent="0.3">
      <c r="A518" s="25"/>
      <c r="B518" s="18" t="s">
        <v>1059</v>
      </c>
      <c r="C518" s="3">
        <f>AGOSTO!D522</f>
        <v>0</v>
      </c>
      <c r="D518" s="21">
        <f t="shared" si="26"/>
        <v>0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10"/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10"/>
      <c r="KO518" s="10"/>
      <c r="KP518" s="10"/>
      <c r="KQ518" s="10"/>
      <c r="KR518" s="10"/>
      <c r="KS518" s="10"/>
      <c r="KT518" s="10"/>
      <c r="KU518" s="10"/>
      <c r="KV518" s="10"/>
      <c r="KW518" s="10"/>
      <c r="KX518" s="10"/>
      <c r="KY518" s="10"/>
      <c r="KZ518" s="10"/>
      <c r="LA518" s="10"/>
      <c r="LB518" s="10"/>
      <c r="LC518" s="10"/>
      <c r="LD518" s="10"/>
      <c r="LE518" s="10"/>
      <c r="LF518" s="10"/>
      <c r="LG518" s="10"/>
      <c r="LH518" s="10"/>
      <c r="LI518" s="10"/>
      <c r="LJ518" s="10"/>
      <c r="LK518" s="10"/>
      <c r="LL518" s="10"/>
      <c r="LM518" s="10"/>
      <c r="LN518" s="10"/>
      <c r="LO518" s="10"/>
      <c r="LP518" s="10"/>
      <c r="LQ518" s="10"/>
      <c r="LR518" s="10"/>
      <c r="LS518" s="10"/>
      <c r="LT518" s="10"/>
      <c r="LU518" s="10"/>
      <c r="LV518" s="10"/>
      <c r="LW518" s="10"/>
      <c r="LX518" s="10"/>
      <c r="LY518" s="10"/>
      <c r="LZ518" s="10"/>
      <c r="MA518" s="10"/>
      <c r="MB518" s="10"/>
      <c r="MC518" s="10"/>
      <c r="MD518" s="10"/>
      <c r="ME518" s="10"/>
      <c r="MF518" s="10"/>
      <c r="MG518" s="10"/>
      <c r="MH518" s="10"/>
      <c r="MI518" s="10"/>
      <c r="MJ518" s="10"/>
      <c r="MK518" s="10"/>
      <c r="ML518" s="10"/>
      <c r="MM518" s="10"/>
      <c r="MN518" s="10"/>
      <c r="MO518" s="10"/>
      <c r="MP518" s="10"/>
      <c r="MQ518" s="10"/>
      <c r="MR518" s="10"/>
      <c r="MS518" s="10"/>
      <c r="MT518" s="10"/>
      <c r="MU518" s="10"/>
      <c r="MV518" s="10"/>
      <c r="MW518" s="10"/>
      <c r="MX518" s="10"/>
      <c r="MY518" s="10"/>
      <c r="MZ518" s="10"/>
      <c r="NA518" s="10"/>
      <c r="NB518" s="10"/>
      <c r="NC518" s="10"/>
      <c r="ND518" s="10"/>
      <c r="NE518" s="10"/>
      <c r="NF518" s="10"/>
      <c r="NG518" s="10"/>
      <c r="NH518" s="10"/>
      <c r="NI518" s="10"/>
      <c r="NJ518" s="10"/>
      <c r="NK518" s="10"/>
      <c r="NL518" s="10"/>
      <c r="NM518" s="10"/>
      <c r="NN518" s="10"/>
      <c r="NO518" s="10"/>
      <c r="NP518" s="10"/>
      <c r="NQ518" s="10"/>
      <c r="NR518" s="10"/>
      <c r="NS518" s="10"/>
      <c r="NT518" s="10"/>
      <c r="NU518" s="10"/>
      <c r="NV518" s="10"/>
      <c r="NW518" s="10"/>
      <c r="NX518" s="10"/>
      <c r="NY518" s="10"/>
      <c r="NZ518" s="10"/>
      <c r="OA518" s="10"/>
      <c r="OB518" s="10"/>
      <c r="OC518" s="10"/>
      <c r="OD518" s="10"/>
      <c r="OE518" s="10"/>
      <c r="OF518" s="10"/>
      <c r="OG518" s="10"/>
      <c r="OH518" s="10"/>
      <c r="OI518" s="10"/>
      <c r="OJ518" s="10"/>
      <c r="OK518" s="10"/>
      <c r="OL518" s="10"/>
      <c r="OM518" s="10"/>
      <c r="ON518" s="10"/>
      <c r="OO518" s="10"/>
      <c r="OP518" s="10"/>
      <c r="OQ518" s="10"/>
      <c r="OR518" s="10"/>
      <c r="OS518" s="10"/>
      <c r="OT518" s="10"/>
      <c r="OU518" s="10"/>
      <c r="OV518" s="10"/>
      <c r="OW518" s="10"/>
      <c r="OX518" s="10"/>
      <c r="OY518" s="10"/>
      <c r="OZ518" s="10"/>
      <c r="PA518" s="10"/>
      <c r="PB518" s="10"/>
      <c r="PC518" s="10"/>
      <c r="PD518" s="10"/>
      <c r="PE518" s="10"/>
      <c r="PF518" s="10"/>
      <c r="PG518" s="10"/>
      <c r="PH518" s="10"/>
      <c r="PI518" s="10"/>
      <c r="PJ518" s="10"/>
      <c r="PK518" s="10"/>
      <c r="PL518" s="10"/>
      <c r="PM518" s="10"/>
      <c r="PN518" s="10"/>
      <c r="PO518" s="10"/>
      <c r="PP518" s="10"/>
      <c r="PQ518" s="10"/>
      <c r="PR518" s="10"/>
      <c r="PS518" s="10"/>
      <c r="PT518" s="10"/>
      <c r="PU518" s="10"/>
      <c r="PV518" s="10"/>
      <c r="PW518" s="10"/>
      <c r="PX518" s="10"/>
      <c r="PY518" s="10"/>
      <c r="PZ518" s="10"/>
      <c r="QA518" s="10"/>
      <c r="QB518" s="10"/>
      <c r="QC518" s="10"/>
      <c r="QD518" s="10"/>
      <c r="QE518" s="10"/>
      <c r="QF518" s="10"/>
      <c r="QG518" s="10"/>
      <c r="QH518" s="10"/>
      <c r="QI518" s="10"/>
      <c r="QJ518" s="10"/>
      <c r="QK518" s="10"/>
      <c r="QL518" s="10"/>
      <c r="QM518" s="10"/>
      <c r="QN518" s="10"/>
      <c r="QO518" s="10"/>
      <c r="QP518" s="10"/>
      <c r="QQ518" s="10"/>
      <c r="QR518" s="10"/>
      <c r="QS518" s="10"/>
      <c r="QT518" s="10"/>
      <c r="QU518" s="10"/>
      <c r="QV518" s="10"/>
      <c r="QW518" s="10"/>
      <c r="QX518" s="10"/>
      <c r="QY518" s="10"/>
      <c r="QZ518" s="10"/>
      <c r="RA518" s="10"/>
      <c r="RB518" s="10"/>
      <c r="RC518" s="10"/>
      <c r="RD518" s="10"/>
      <c r="RE518" s="10"/>
      <c r="RF518" s="10"/>
      <c r="RG518" s="10"/>
      <c r="RH518" s="10"/>
      <c r="RI518" s="10"/>
      <c r="RJ518" s="10"/>
      <c r="RK518" s="10"/>
      <c r="RL518" s="10"/>
      <c r="RM518" s="10"/>
      <c r="RN518" s="10"/>
      <c r="RO518" s="10"/>
      <c r="RP518" s="10"/>
      <c r="RQ518" s="10"/>
      <c r="RR518" s="10"/>
      <c r="RS518" s="10"/>
      <c r="RT518" s="10"/>
      <c r="RU518" s="10"/>
      <c r="RV518" s="10"/>
      <c r="RW518" s="10"/>
      <c r="RX518" s="10"/>
      <c r="RY518" s="10"/>
      <c r="RZ518" s="10"/>
      <c r="SA518" s="10"/>
      <c r="SB518" s="10"/>
      <c r="SC518" s="10"/>
      <c r="SD518" s="10"/>
      <c r="SE518" s="10"/>
      <c r="SF518" s="10"/>
      <c r="SG518" s="10"/>
      <c r="SH518" s="10"/>
      <c r="SI518" s="10"/>
      <c r="SJ518" s="10"/>
      <c r="SK518" s="10"/>
      <c r="SL518" s="10"/>
      <c r="SM518" s="10"/>
      <c r="SN518" s="10"/>
      <c r="SO518" s="10"/>
      <c r="SP518" s="10"/>
      <c r="SQ518" s="10"/>
      <c r="SR518" s="10"/>
      <c r="SS518" s="10"/>
      <c r="ST518" s="10"/>
      <c r="SU518" s="10"/>
      <c r="SV518" s="10"/>
      <c r="SW518" s="10"/>
      <c r="SX518" s="10"/>
      <c r="SY518" s="10"/>
      <c r="SZ518" s="10"/>
      <c r="TA518" s="10"/>
      <c r="TB518" s="10"/>
      <c r="TC518" s="10"/>
      <c r="TD518" s="10"/>
      <c r="TE518" s="10"/>
      <c r="TF518" s="10"/>
      <c r="TG518" s="11">
        <f t="shared" si="27"/>
        <v>0</v>
      </c>
      <c r="TH518" s="9">
        <f t="shared" si="28"/>
        <v>0</v>
      </c>
    </row>
    <row r="519" spans="1:528" ht="15.6" thickBot="1" x14ac:dyDescent="0.3">
      <c r="A519" s="25"/>
      <c r="B519" s="18" t="s">
        <v>1060</v>
      </c>
      <c r="C519" s="3">
        <f>AGOSTO!D523</f>
        <v>0</v>
      </c>
      <c r="D519" s="21">
        <f t="shared" si="26"/>
        <v>0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0"/>
      <c r="LV519" s="10"/>
      <c r="LW519" s="10"/>
      <c r="LX519" s="10"/>
      <c r="LY519" s="10"/>
      <c r="LZ519" s="10"/>
      <c r="MA519" s="10"/>
      <c r="MB519" s="10"/>
      <c r="MC519" s="10"/>
      <c r="MD519" s="10"/>
      <c r="ME519" s="10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/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0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  <c r="SB519" s="10"/>
      <c r="SC519" s="10"/>
      <c r="SD519" s="10"/>
      <c r="SE519" s="10"/>
      <c r="SF519" s="10"/>
      <c r="SG519" s="10"/>
      <c r="SH519" s="10"/>
      <c r="SI519" s="10"/>
      <c r="SJ519" s="10"/>
      <c r="SK519" s="10"/>
      <c r="SL519" s="10"/>
      <c r="SM519" s="10"/>
      <c r="SN519" s="10"/>
      <c r="SO519" s="10"/>
      <c r="SP519" s="10"/>
      <c r="SQ519" s="10"/>
      <c r="SR519" s="10"/>
      <c r="SS519" s="10"/>
      <c r="ST519" s="10"/>
      <c r="SU519" s="10"/>
      <c r="SV519" s="10"/>
      <c r="SW519" s="10"/>
      <c r="SX519" s="10"/>
      <c r="SY519" s="10"/>
      <c r="SZ519" s="10"/>
      <c r="TA519" s="10"/>
      <c r="TB519" s="10"/>
      <c r="TC519" s="10"/>
      <c r="TD519" s="10"/>
      <c r="TE519" s="10"/>
      <c r="TF519" s="10"/>
      <c r="TG519" s="11">
        <f t="shared" si="27"/>
        <v>0</v>
      </c>
      <c r="TH519" s="9">
        <f t="shared" si="28"/>
        <v>0</v>
      </c>
    </row>
    <row r="520" spans="1:528" ht="15.6" thickBot="1" x14ac:dyDescent="0.3">
      <c r="A520" s="25"/>
      <c r="B520" s="18" t="s">
        <v>1061</v>
      </c>
      <c r="C520" s="3">
        <f>AGOSTO!D524</f>
        <v>0</v>
      </c>
      <c r="D520" s="21">
        <f t="shared" si="26"/>
        <v>0</v>
      </c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10"/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10"/>
      <c r="KO520" s="10"/>
      <c r="KP520" s="10"/>
      <c r="KQ520" s="10"/>
      <c r="KR520" s="10"/>
      <c r="KS520" s="10"/>
      <c r="KT520" s="10"/>
      <c r="KU520" s="10"/>
      <c r="KV520" s="10"/>
      <c r="KW520" s="10"/>
      <c r="KX520" s="10"/>
      <c r="KY520" s="10"/>
      <c r="KZ520" s="10"/>
      <c r="LA520" s="10"/>
      <c r="LB520" s="10"/>
      <c r="LC520" s="10"/>
      <c r="LD520" s="10"/>
      <c r="LE520" s="10"/>
      <c r="LF520" s="10"/>
      <c r="LG520" s="10"/>
      <c r="LH520" s="10"/>
      <c r="LI520" s="10"/>
      <c r="LJ520" s="10"/>
      <c r="LK520" s="10"/>
      <c r="LL520" s="10"/>
      <c r="LM520" s="10"/>
      <c r="LN520" s="10"/>
      <c r="LO520" s="10"/>
      <c r="LP520" s="10"/>
      <c r="LQ520" s="10"/>
      <c r="LR520" s="10"/>
      <c r="LS520" s="10"/>
      <c r="LT520" s="10"/>
      <c r="LU520" s="10"/>
      <c r="LV520" s="10"/>
      <c r="LW520" s="10"/>
      <c r="LX520" s="10"/>
      <c r="LY520" s="10"/>
      <c r="LZ520" s="10"/>
      <c r="MA520" s="10"/>
      <c r="MB520" s="10"/>
      <c r="MC520" s="10"/>
      <c r="MD520" s="10"/>
      <c r="ME520" s="10"/>
      <c r="MF520" s="10"/>
      <c r="MG520" s="10"/>
      <c r="MH520" s="10"/>
      <c r="MI520" s="10"/>
      <c r="MJ520" s="10"/>
      <c r="MK520" s="10"/>
      <c r="ML520" s="10"/>
      <c r="MM520" s="10"/>
      <c r="MN520" s="10"/>
      <c r="MO520" s="10"/>
      <c r="MP520" s="10"/>
      <c r="MQ520" s="10"/>
      <c r="MR520" s="10"/>
      <c r="MS520" s="10"/>
      <c r="MT520" s="10"/>
      <c r="MU520" s="10"/>
      <c r="MV520" s="10"/>
      <c r="MW520" s="10"/>
      <c r="MX520" s="10"/>
      <c r="MY520" s="10"/>
      <c r="MZ520" s="10"/>
      <c r="NA520" s="10"/>
      <c r="NB520" s="10"/>
      <c r="NC520" s="10"/>
      <c r="ND520" s="10"/>
      <c r="NE520" s="10"/>
      <c r="NF520" s="10"/>
      <c r="NG520" s="10"/>
      <c r="NH520" s="10"/>
      <c r="NI520" s="10"/>
      <c r="NJ520" s="10"/>
      <c r="NK520" s="10"/>
      <c r="NL520" s="10"/>
      <c r="NM520" s="10"/>
      <c r="NN520" s="10"/>
      <c r="NO520" s="10"/>
      <c r="NP520" s="10"/>
      <c r="NQ520" s="10"/>
      <c r="NR520" s="10"/>
      <c r="NS520" s="10"/>
      <c r="NT520" s="10"/>
      <c r="NU520" s="10"/>
      <c r="NV520" s="10"/>
      <c r="NW520" s="10"/>
      <c r="NX520" s="10"/>
      <c r="NY520" s="10"/>
      <c r="NZ520" s="10"/>
      <c r="OA520" s="10"/>
      <c r="OB520" s="10"/>
      <c r="OC520" s="10"/>
      <c r="OD520" s="10"/>
      <c r="OE520" s="10"/>
      <c r="OF520" s="10"/>
      <c r="OG520" s="10"/>
      <c r="OH520" s="10"/>
      <c r="OI520" s="10"/>
      <c r="OJ520" s="10"/>
      <c r="OK520" s="10"/>
      <c r="OL520" s="10"/>
      <c r="OM520" s="10"/>
      <c r="ON520" s="10"/>
      <c r="OO520" s="10"/>
      <c r="OP520" s="10"/>
      <c r="OQ520" s="10"/>
      <c r="OR520" s="10"/>
      <c r="OS520" s="10"/>
      <c r="OT520" s="10"/>
      <c r="OU520" s="10"/>
      <c r="OV520" s="10"/>
      <c r="OW520" s="10"/>
      <c r="OX520" s="10"/>
      <c r="OY520" s="10"/>
      <c r="OZ520" s="10"/>
      <c r="PA520" s="10"/>
      <c r="PB520" s="10"/>
      <c r="PC520" s="10"/>
      <c r="PD520" s="10"/>
      <c r="PE520" s="10"/>
      <c r="PF520" s="10"/>
      <c r="PG520" s="10"/>
      <c r="PH520" s="10"/>
      <c r="PI520" s="10"/>
      <c r="PJ520" s="10"/>
      <c r="PK520" s="10"/>
      <c r="PL520" s="10"/>
      <c r="PM520" s="10"/>
      <c r="PN520" s="10"/>
      <c r="PO520" s="10"/>
      <c r="PP520" s="10"/>
      <c r="PQ520" s="10"/>
      <c r="PR520" s="10"/>
      <c r="PS520" s="10"/>
      <c r="PT520" s="10"/>
      <c r="PU520" s="10"/>
      <c r="PV520" s="10"/>
      <c r="PW520" s="10"/>
      <c r="PX520" s="10"/>
      <c r="PY520" s="10"/>
      <c r="PZ520" s="10"/>
      <c r="QA520" s="10"/>
      <c r="QB520" s="10"/>
      <c r="QC520" s="10"/>
      <c r="QD520" s="10"/>
      <c r="QE520" s="10"/>
      <c r="QF520" s="10"/>
      <c r="QG520" s="10"/>
      <c r="QH520" s="10"/>
      <c r="QI520" s="10"/>
      <c r="QJ520" s="10"/>
      <c r="QK520" s="10"/>
      <c r="QL520" s="10"/>
      <c r="QM520" s="10"/>
      <c r="QN520" s="10"/>
      <c r="QO520" s="10"/>
      <c r="QP520" s="10"/>
      <c r="QQ520" s="10"/>
      <c r="QR520" s="10"/>
      <c r="QS520" s="10"/>
      <c r="QT520" s="10"/>
      <c r="QU520" s="10"/>
      <c r="QV520" s="10"/>
      <c r="QW520" s="10"/>
      <c r="QX520" s="10"/>
      <c r="QY520" s="10"/>
      <c r="QZ520" s="10"/>
      <c r="RA520" s="10"/>
      <c r="RB520" s="10"/>
      <c r="RC520" s="10"/>
      <c r="RD520" s="10"/>
      <c r="RE520" s="10"/>
      <c r="RF520" s="10"/>
      <c r="RG520" s="10"/>
      <c r="RH520" s="10"/>
      <c r="RI520" s="10"/>
      <c r="RJ520" s="10"/>
      <c r="RK520" s="10"/>
      <c r="RL520" s="10"/>
      <c r="RM520" s="10"/>
      <c r="RN520" s="10"/>
      <c r="RO520" s="10"/>
      <c r="RP520" s="10"/>
      <c r="RQ520" s="10"/>
      <c r="RR520" s="10"/>
      <c r="RS520" s="10"/>
      <c r="RT520" s="10"/>
      <c r="RU520" s="10"/>
      <c r="RV520" s="10"/>
      <c r="RW520" s="10"/>
      <c r="RX520" s="10"/>
      <c r="RY520" s="10"/>
      <c r="RZ520" s="10"/>
      <c r="SA520" s="10"/>
      <c r="SB520" s="10"/>
      <c r="SC520" s="10"/>
      <c r="SD520" s="10"/>
      <c r="SE520" s="10"/>
      <c r="SF520" s="10"/>
      <c r="SG520" s="10"/>
      <c r="SH520" s="10"/>
      <c r="SI520" s="10"/>
      <c r="SJ520" s="10"/>
      <c r="SK520" s="10"/>
      <c r="SL520" s="10"/>
      <c r="SM520" s="10"/>
      <c r="SN520" s="10"/>
      <c r="SO520" s="10"/>
      <c r="SP520" s="10"/>
      <c r="SQ520" s="10"/>
      <c r="SR520" s="10"/>
      <c r="SS520" s="10"/>
      <c r="ST520" s="10"/>
      <c r="SU520" s="10"/>
      <c r="SV520" s="10"/>
      <c r="SW520" s="10"/>
      <c r="SX520" s="10"/>
      <c r="SY520" s="10"/>
      <c r="SZ520" s="10"/>
      <c r="TA520" s="10"/>
      <c r="TB520" s="10"/>
      <c r="TC520" s="10"/>
      <c r="TD520" s="10"/>
      <c r="TE520" s="10"/>
      <c r="TF520" s="10"/>
      <c r="TG520" s="11">
        <f t="shared" si="27"/>
        <v>0</v>
      </c>
      <c r="TH520" s="9">
        <f t="shared" si="28"/>
        <v>0</v>
      </c>
    </row>
    <row r="521" spans="1:528" ht="15.6" thickBot="1" x14ac:dyDescent="0.3">
      <c r="A521" s="25"/>
      <c r="B521" s="18" t="s">
        <v>1062</v>
      </c>
      <c r="C521" s="3">
        <f>AGOSTO!D525</f>
        <v>0</v>
      </c>
      <c r="D521" s="21">
        <f t="shared" si="26"/>
        <v>0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10"/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10"/>
      <c r="KO521" s="10"/>
      <c r="KP521" s="10"/>
      <c r="KQ521" s="10"/>
      <c r="KR521" s="10"/>
      <c r="KS521" s="10"/>
      <c r="KT521" s="10"/>
      <c r="KU521" s="10"/>
      <c r="KV521" s="10"/>
      <c r="KW521" s="10"/>
      <c r="KX521" s="10"/>
      <c r="KY521" s="10"/>
      <c r="KZ521" s="10"/>
      <c r="LA521" s="10"/>
      <c r="LB521" s="10"/>
      <c r="LC521" s="10"/>
      <c r="LD521" s="10"/>
      <c r="LE521" s="10"/>
      <c r="LF521" s="10"/>
      <c r="LG521" s="10"/>
      <c r="LH521" s="10"/>
      <c r="LI521" s="10"/>
      <c r="LJ521" s="10"/>
      <c r="LK521" s="10"/>
      <c r="LL521" s="10"/>
      <c r="LM521" s="10"/>
      <c r="LN521" s="10"/>
      <c r="LO521" s="10"/>
      <c r="LP521" s="10"/>
      <c r="LQ521" s="10"/>
      <c r="LR521" s="10"/>
      <c r="LS521" s="10"/>
      <c r="LT521" s="10"/>
      <c r="LU521" s="10"/>
      <c r="LV521" s="10"/>
      <c r="LW521" s="10"/>
      <c r="LX521" s="10"/>
      <c r="LY521" s="10"/>
      <c r="LZ521" s="10"/>
      <c r="MA521" s="10"/>
      <c r="MB521" s="10"/>
      <c r="MC521" s="10"/>
      <c r="MD521" s="10"/>
      <c r="ME521" s="10"/>
      <c r="MF521" s="10"/>
      <c r="MG521" s="10"/>
      <c r="MH521" s="10"/>
      <c r="MI521" s="10"/>
      <c r="MJ521" s="10"/>
      <c r="MK521" s="10"/>
      <c r="ML521" s="10"/>
      <c r="MM521" s="10"/>
      <c r="MN521" s="10"/>
      <c r="MO521" s="10"/>
      <c r="MP521" s="10"/>
      <c r="MQ521" s="10"/>
      <c r="MR521" s="10"/>
      <c r="MS521" s="10"/>
      <c r="MT521" s="10"/>
      <c r="MU521" s="10"/>
      <c r="MV521" s="10"/>
      <c r="MW521" s="10"/>
      <c r="MX521" s="10"/>
      <c r="MY521" s="10"/>
      <c r="MZ521" s="10"/>
      <c r="NA521" s="10"/>
      <c r="NB521" s="10"/>
      <c r="NC521" s="10"/>
      <c r="ND521" s="10"/>
      <c r="NE521" s="10"/>
      <c r="NF521" s="10"/>
      <c r="NG521" s="10"/>
      <c r="NH521" s="10"/>
      <c r="NI521" s="10"/>
      <c r="NJ521" s="10"/>
      <c r="NK521" s="10"/>
      <c r="NL521" s="10"/>
      <c r="NM521" s="10"/>
      <c r="NN521" s="10"/>
      <c r="NO521" s="10"/>
      <c r="NP521" s="10"/>
      <c r="NQ521" s="10"/>
      <c r="NR521" s="10"/>
      <c r="NS521" s="10"/>
      <c r="NT521" s="10"/>
      <c r="NU521" s="10"/>
      <c r="NV521" s="10"/>
      <c r="NW521" s="10"/>
      <c r="NX521" s="10"/>
      <c r="NY521" s="10"/>
      <c r="NZ521" s="10"/>
      <c r="OA521" s="10"/>
      <c r="OB521" s="10"/>
      <c r="OC521" s="10"/>
      <c r="OD521" s="10"/>
      <c r="OE521" s="10"/>
      <c r="OF521" s="10"/>
      <c r="OG521" s="10"/>
      <c r="OH521" s="10"/>
      <c r="OI521" s="10"/>
      <c r="OJ521" s="10"/>
      <c r="OK521" s="10"/>
      <c r="OL521" s="10"/>
      <c r="OM521" s="10"/>
      <c r="ON521" s="10"/>
      <c r="OO521" s="10"/>
      <c r="OP521" s="10"/>
      <c r="OQ521" s="10"/>
      <c r="OR521" s="10"/>
      <c r="OS521" s="10"/>
      <c r="OT521" s="10"/>
      <c r="OU521" s="10"/>
      <c r="OV521" s="10"/>
      <c r="OW521" s="10"/>
      <c r="OX521" s="10"/>
      <c r="OY521" s="10"/>
      <c r="OZ521" s="10"/>
      <c r="PA521" s="10"/>
      <c r="PB521" s="10"/>
      <c r="PC521" s="10"/>
      <c r="PD521" s="10"/>
      <c r="PE521" s="10"/>
      <c r="PF521" s="10"/>
      <c r="PG521" s="10"/>
      <c r="PH521" s="10"/>
      <c r="PI521" s="10"/>
      <c r="PJ521" s="10"/>
      <c r="PK521" s="10"/>
      <c r="PL521" s="10"/>
      <c r="PM521" s="10"/>
      <c r="PN521" s="10"/>
      <c r="PO521" s="10"/>
      <c r="PP521" s="10"/>
      <c r="PQ521" s="10"/>
      <c r="PR521" s="10"/>
      <c r="PS521" s="10"/>
      <c r="PT521" s="10"/>
      <c r="PU521" s="10"/>
      <c r="PV521" s="10"/>
      <c r="PW521" s="10"/>
      <c r="PX521" s="10"/>
      <c r="PY521" s="10"/>
      <c r="PZ521" s="10"/>
      <c r="QA521" s="10"/>
      <c r="QB521" s="10"/>
      <c r="QC521" s="10"/>
      <c r="QD521" s="10"/>
      <c r="QE521" s="10"/>
      <c r="QF521" s="10"/>
      <c r="QG521" s="10"/>
      <c r="QH521" s="10"/>
      <c r="QI521" s="10"/>
      <c r="QJ521" s="10"/>
      <c r="QK521" s="10"/>
      <c r="QL521" s="10"/>
      <c r="QM521" s="10"/>
      <c r="QN521" s="10"/>
      <c r="QO521" s="10"/>
      <c r="QP521" s="10"/>
      <c r="QQ521" s="10"/>
      <c r="QR521" s="10"/>
      <c r="QS521" s="10"/>
      <c r="QT521" s="10"/>
      <c r="QU521" s="10"/>
      <c r="QV521" s="10"/>
      <c r="QW521" s="10"/>
      <c r="QX521" s="10"/>
      <c r="QY521" s="10"/>
      <c r="QZ521" s="10"/>
      <c r="RA521" s="10"/>
      <c r="RB521" s="10"/>
      <c r="RC521" s="10"/>
      <c r="RD521" s="10"/>
      <c r="RE521" s="10"/>
      <c r="RF521" s="10"/>
      <c r="RG521" s="10"/>
      <c r="RH521" s="10"/>
      <c r="RI521" s="10"/>
      <c r="RJ521" s="10"/>
      <c r="RK521" s="10"/>
      <c r="RL521" s="10"/>
      <c r="RM521" s="10"/>
      <c r="RN521" s="10"/>
      <c r="RO521" s="10"/>
      <c r="RP521" s="10"/>
      <c r="RQ521" s="10"/>
      <c r="RR521" s="10"/>
      <c r="RS521" s="10"/>
      <c r="RT521" s="10"/>
      <c r="RU521" s="10"/>
      <c r="RV521" s="10"/>
      <c r="RW521" s="10"/>
      <c r="RX521" s="10"/>
      <c r="RY521" s="10"/>
      <c r="RZ521" s="10"/>
      <c r="SA521" s="10"/>
      <c r="SB521" s="10"/>
      <c r="SC521" s="10"/>
      <c r="SD521" s="10"/>
      <c r="SE521" s="10"/>
      <c r="SF521" s="10"/>
      <c r="SG521" s="10"/>
      <c r="SH521" s="10"/>
      <c r="SI521" s="10"/>
      <c r="SJ521" s="10"/>
      <c r="SK521" s="10"/>
      <c r="SL521" s="10"/>
      <c r="SM521" s="10"/>
      <c r="SN521" s="10"/>
      <c r="SO521" s="10"/>
      <c r="SP521" s="10"/>
      <c r="SQ521" s="10"/>
      <c r="SR521" s="10"/>
      <c r="SS521" s="10"/>
      <c r="ST521" s="10"/>
      <c r="SU521" s="10"/>
      <c r="SV521" s="10"/>
      <c r="SW521" s="10"/>
      <c r="SX521" s="10"/>
      <c r="SY521" s="10"/>
      <c r="SZ521" s="10"/>
      <c r="TA521" s="10"/>
      <c r="TB521" s="10"/>
      <c r="TC521" s="10"/>
      <c r="TD521" s="10"/>
      <c r="TE521" s="10"/>
      <c r="TF521" s="10"/>
      <c r="TG521" s="11">
        <f t="shared" si="27"/>
        <v>0</v>
      </c>
      <c r="TH521" s="9">
        <f t="shared" si="28"/>
        <v>0</v>
      </c>
    </row>
    <row r="522" spans="1:528" ht="16.2" thickBot="1" x14ac:dyDescent="0.35">
      <c r="A522" s="25"/>
      <c r="B522" s="20" t="s">
        <v>1063</v>
      </c>
      <c r="C522" s="3">
        <f>AGOSTO!D526</f>
        <v>0</v>
      </c>
      <c r="D522" s="21">
        <f t="shared" si="26"/>
        <v>0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10"/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10"/>
      <c r="KO522" s="10"/>
      <c r="KP522" s="10"/>
      <c r="KQ522" s="10"/>
      <c r="KR522" s="10"/>
      <c r="KS522" s="10"/>
      <c r="KT522" s="10"/>
      <c r="KU522" s="10"/>
      <c r="KV522" s="10"/>
      <c r="KW522" s="10"/>
      <c r="KX522" s="10"/>
      <c r="KY522" s="10"/>
      <c r="KZ522" s="10"/>
      <c r="LA522" s="10"/>
      <c r="LB522" s="10"/>
      <c r="LC522" s="10"/>
      <c r="LD522" s="10"/>
      <c r="LE522" s="10"/>
      <c r="LF522" s="10"/>
      <c r="LG522" s="10"/>
      <c r="LH522" s="10"/>
      <c r="LI522" s="10"/>
      <c r="LJ522" s="10"/>
      <c r="LK522" s="10"/>
      <c r="LL522" s="10"/>
      <c r="LM522" s="10"/>
      <c r="LN522" s="10"/>
      <c r="LO522" s="10"/>
      <c r="LP522" s="10"/>
      <c r="LQ522" s="10"/>
      <c r="LR522" s="10"/>
      <c r="LS522" s="10"/>
      <c r="LT522" s="10"/>
      <c r="LU522" s="10"/>
      <c r="LV522" s="10"/>
      <c r="LW522" s="10"/>
      <c r="LX522" s="10"/>
      <c r="LY522" s="10"/>
      <c r="LZ522" s="10"/>
      <c r="MA522" s="10"/>
      <c r="MB522" s="10"/>
      <c r="MC522" s="10"/>
      <c r="MD522" s="10"/>
      <c r="ME522" s="10"/>
      <c r="MF522" s="10"/>
      <c r="MG522" s="10"/>
      <c r="MH522" s="10"/>
      <c r="MI522" s="10"/>
      <c r="MJ522" s="10"/>
      <c r="MK522" s="10"/>
      <c r="ML522" s="10"/>
      <c r="MM522" s="10"/>
      <c r="MN522" s="10"/>
      <c r="MO522" s="10"/>
      <c r="MP522" s="10"/>
      <c r="MQ522" s="10"/>
      <c r="MR522" s="10"/>
      <c r="MS522" s="10"/>
      <c r="MT522" s="10"/>
      <c r="MU522" s="10"/>
      <c r="MV522" s="10"/>
      <c r="MW522" s="10"/>
      <c r="MX522" s="10"/>
      <c r="MY522" s="10"/>
      <c r="MZ522" s="10"/>
      <c r="NA522" s="10"/>
      <c r="NB522" s="10"/>
      <c r="NC522" s="10"/>
      <c r="ND522" s="10"/>
      <c r="NE522" s="10"/>
      <c r="NF522" s="10"/>
      <c r="NG522" s="10"/>
      <c r="NH522" s="10"/>
      <c r="NI522" s="10"/>
      <c r="NJ522" s="10"/>
      <c r="NK522" s="10"/>
      <c r="NL522" s="10"/>
      <c r="NM522" s="10"/>
      <c r="NN522" s="10"/>
      <c r="NO522" s="10"/>
      <c r="NP522" s="10"/>
      <c r="NQ522" s="10"/>
      <c r="NR522" s="10"/>
      <c r="NS522" s="10"/>
      <c r="NT522" s="10"/>
      <c r="NU522" s="10"/>
      <c r="NV522" s="10"/>
      <c r="NW522" s="10"/>
      <c r="NX522" s="10"/>
      <c r="NY522" s="10"/>
      <c r="NZ522" s="10"/>
      <c r="OA522" s="10"/>
      <c r="OB522" s="10"/>
      <c r="OC522" s="10"/>
      <c r="OD522" s="10"/>
      <c r="OE522" s="10"/>
      <c r="OF522" s="10"/>
      <c r="OG522" s="10"/>
      <c r="OH522" s="10"/>
      <c r="OI522" s="10"/>
      <c r="OJ522" s="10"/>
      <c r="OK522" s="10"/>
      <c r="OL522" s="10"/>
      <c r="OM522" s="10"/>
      <c r="ON522" s="10"/>
      <c r="OO522" s="10"/>
      <c r="OP522" s="10"/>
      <c r="OQ522" s="10"/>
      <c r="OR522" s="10"/>
      <c r="OS522" s="10"/>
      <c r="OT522" s="10"/>
      <c r="OU522" s="10"/>
      <c r="OV522" s="10"/>
      <c r="OW522" s="10"/>
      <c r="OX522" s="10"/>
      <c r="OY522" s="10"/>
      <c r="OZ522" s="10"/>
      <c r="PA522" s="10"/>
      <c r="PB522" s="10"/>
      <c r="PC522" s="10"/>
      <c r="PD522" s="10"/>
      <c r="PE522" s="10"/>
      <c r="PF522" s="10"/>
      <c r="PG522" s="10"/>
      <c r="PH522" s="10"/>
      <c r="PI522" s="10"/>
      <c r="PJ522" s="10"/>
      <c r="PK522" s="10"/>
      <c r="PL522" s="10"/>
      <c r="PM522" s="10"/>
      <c r="PN522" s="10"/>
      <c r="PO522" s="10"/>
      <c r="PP522" s="10"/>
      <c r="PQ522" s="10"/>
      <c r="PR522" s="10"/>
      <c r="PS522" s="10"/>
      <c r="PT522" s="10"/>
      <c r="PU522" s="10"/>
      <c r="PV522" s="10"/>
      <c r="PW522" s="10"/>
      <c r="PX522" s="10"/>
      <c r="PY522" s="10"/>
      <c r="PZ522" s="10"/>
      <c r="QA522" s="10"/>
      <c r="QB522" s="10"/>
      <c r="QC522" s="10"/>
      <c r="QD522" s="10"/>
      <c r="QE522" s="10"/>
      <c r="QF522" s="10"/>
      <c r="QG522" s="10"/>
      <c r="QH522" s="10"/>
      <c r="QI522" s="10"/>
      <c r="QJ522" s="10"/>
      <c r="QK522" s="10"/>
      <c r="QL522" s="10"/>
      <c r="QM522" s="10"/>
      <c r="QN522" s="10"/>
      <c r="QO522" s="10"/>
      <c r="QP522" s="10"/>
      <c r="QQ522" s="10"/>
      <c r="QR522" s="10"/>
      <c r="QS522" s="10"/>
      <c r="QT522" s="10"/>
      <c r="QU522" s="10"/>
      <c r="QV522" s="10"/>
      <c r="QW522" s="10"/>
      <c r="QX522" s="10"/>
      <c r="QY522" s="10"/>
      <c r="QZ522" s="10"/>
      <c r="RA522" s="10"/>
      <c r="RB522" s="10"/>
      <c r="RC522" s="10"/>
      <c r="RD522" s="10"/>
      <c r="RE522" s="10"/>
      <c r="RF522" s="10"/>
      <c r="RG522" s="10"/>
      <c r="RH522" s="10"/>
      <c r="RI522" s="10"/>
      <c r="RJ522" s="10"/>
      <c r="RK522" s="10"/>
      <c r="RL522" s="10"/>
      <c r="RM522" s="10"/>
      <c r="RN522" s="10"/>
      <c r="RO522" s="10"/>
      <c r="RP522" s="10"/>
      <c r="RQ522" s="10"/>
      <c r="RR522" s="10"/>
      <c r="RS522" s="10"/>
      <c r="RT522" s="10"/>
      <c r="RU522" s="10"/>
      <c r="RV522" s="10"/>
      <c r="RW522" s="10"/>
      <c r="RX522" s="10"/>
      <c r="RY522" s="10"/>
      <c r="RZ522" s="10"/>
      <c r="SA522" s="10"/>
      <c r="SB522" s="10"/>
      <c r="SC522" s="10"/>
      <c r="SD522" s="10"/>
      <c r="SE522" s="10"/>
      <c r="SF522" s="10"/>
      <c r="SG522" s="10"/>
      <c r="SH522" s="10"/>
      <c r="SI522" s="10"/>
      <c r="SJ522" s="10"/>
      <c r="SK522" s="10"/>
      <c r="SL522" s="10"/>
      <c r="SM522" s="10"/>
      <c r="SN522" s="10"/>
      <c r="SO522" s="10"/>
      <c r="SP522" s="10"/>
      <c r="SQ522" s="10"/>
      <c r="SR522" s="10"/>
      <c r="SS522" s="10"/>
      <c r="ST522" s="10"/>
      <c r="SU522" s="10"/>
      <c r="SV522" s="10"/>
      <c r="SW522" s="10"/>
      <c r="SX522" s="10"/>
      <c r="SY522" s="10"/>
      <c r="SZ522" s="10"/>
      <c r="TA522" s="10"/>
      <c r="TB522" s="10"/>
      <c r="TC522" s="10"/>
      <c r="TD522" s="10"/>
      <c r="TE522" s="10"/>
      <c r="TF522" s="10"/>
      <c r="TG522" s="11">
        <f t="shared" si="27"/>
        <v>0</v>
      </c>
      <c r="TH522" s="9">
        <f t="shared" si="28"/>
        <v>0</v>
      </c>
    </row>
    <row r="523" spans="1:528" ht="15.6" thickBot="1" x14ac:dyDescent="0.3">
      <c r="A523" s="28" t="s">
        <v>596</v>
      </c>
      <c r="B523" s="18" t="s">
        <v>591</v>
      </c>
      <c r="C523" s="3">
        <f>AGOSTO!D527</f>
        <v>0</v>
      </c>
      <c r="D523" s="21">
        <f t="shared" si="26"/>
        <v>2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>
        <f>5*56</f>
        <v>280</v>
      </c>
      <c r="AZ523" s="10"/>
      <c r="BA523" s="10">
        <f>56+56+56+56</f>
        <v>224</v>
      </c>
      <c r="BB523" s="10"/>
      <c r="BC523" s="10">
        <f>56+(56*5)</f>
        <v>336</v>
      </c>
      <c r="BD523" s="10"/>
      <c r="BE523" s="10">
        <f>56+56+56+56</f>
        <v>224</v>
      </c>
      <c r="BF523" s="10">
        <f>-168-168-99-205-112-112</f>
        <v>-864</v>
      </c>
      <c r="BG523" s="10">
        <v>56</v>
      </c>
      <c r="BH523" s="10"/>
      <c r="BI523" s="10"/>
      <c r="BJ523" s="10"/>
      <c r="BK523" s="10">
        <v>56</v>
      </c>
      <c r="BL523" s="10"/>
      <c r="BM523" s="10"/>
      <c r="BN523" s="10"/>
      <c r="BO523" s="10"/>
      <c r="BP523" s="10"/>
      <c r="BQ523" s="10"/>
      <c r="BR523" s="10"/>
      <c r="BS523" s="10"/>
      <c r="BT523" s="10"/>
      <c r="BU523" s="10">
        <f>112+11+45</f>
        <v>168</v>
      </c>
      <c r="BV523" s="10">
        <f>-168-31-56</f>
        <v>-255</v>
      </c>
      <c r="BW523" s="10"/>
      <c r="BX523" s="10"/>
      <c r="BY523" s="10">
        <f>56+56+37</f>
        <v>149</v>
      </c>
      <c r="BZ523" s="10">
        <f>-93-101-67-24-56-32</f>
        <v>-373</v>
      </c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>
        <f>37+19+38</f>
        <v>94</v>
      </c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>
        <v>19</v>
      </c>
      <c r="FH523" s="10"/>
      <c r="FI523" s="10"/>
      <c r="FJ523" s="10"/>
      <c r="FK523" s="10"/>
      <c r="FL523" s="10">
        <v>-112</v>
      </c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0"/>
      <c r="LV523" s="10"/>
      <c r="LW523" s="10"/>
      <c r="LX523" s="10"/>
      <c r="LY523" s="10"/>
      <c r="LZ523" s="10"/>
      <c r="MA523" s="10"/>
      <c r="MB523" s="10"/>
      <c r="MC523" s="10"/>
      <c r="MD523" s="10"/>
      <c r="ME523" s="10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/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0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  <c r="SB523" s="10"/>
      <c r="SC523" s="10"/>
      <c r="SD523" s="10"/>
      <c r="SE523" s="10"/>
      <c r="SF523" s="10"/>
      <c r="SG523" s="10"/>
      <c r="SH523" s="10"/>
      <c r="SI523" s="10"/>
      <c r="SJ523" s="10"/>
      <c r="SK523" s="10"/>
      <c r="SL523" s="10"/>
      <c r="SM523" s="10"/>
      <c r="SN523" s="10"/>
      <c r="SO523" s="10"/>
      <c r="SP523" s="10"/>
      <c r="SQ523" s="10"/>
      <c r="SR523" s="10"/>
      <c r="SS523" s="10"/>
      <c r="ST523" s="10"/>
      <c r="SU523" s="10"/>
      <c r="SV523" s="10"/>
      <c r="SW523" s="10"/>
      <c r="SX523" s="10"/>
      <c r="SY523" s="10"/>
      <c r="SZ523" s="10"/>
      <c r="TA523" s="10"/>
      <c r="TB523" s="10"/>
      <c r="TC523" s="10"/>
      <c r="TD523" s="10"/>
      <c r="TE523" s="10"/>
      <c r="TF523" s="10"/>
      <c r="TG523" s="11">
        <f t="shared" si="27"/>
        <v>1120</v>
      </c>
      <c r="TH523" s="9">
        <f t="shared" si="28"/>
        <v>-864</v>
      </c>
    </row>
    <row r="524" spans="1:528" ht="15.6" thickBot="1" x14ac:dyDescent="0.3">
      <c r="A524" s="28" t="s">
        <v>621</v>
      </c>
      <c r="B524" s="18" t="s">
        <v>592</v>
      </c>
      <c r="C524" s="3">
        <f>AGOSTO!D528</f>
        <v>0</v>
      </c>
      <c r="D524" s="21">
        <f t="shared" si="26"/>
        <v>0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>
        <v>56</v>
      </c>
      <c r="AT524" s="10"/>
      <c r="AU524" s="10"/>
      <c r="AV524" s="10"/>
      <c r="AW524" s="10">
        <f>56+56</f>
        <v>112</v>
      </c>
      <c r="AX524" s="10"/>
      <c r="AY524" s="10">
        <f>56+26</f>
        <v>82</v>
      </c>
      <c r="AZ524" s="10"/>
      <c r="BA524" s="10"/>
      <c r="BB524" s="10"/>
      <c r="BC524" s="10"/>
      <c r="BD524" s="10"/>
      <c r="BE524" s="10"/>
      <c r="BF524" s="10">
        <f>-112-56</f>
        <v>-168</v>
      </c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>
        <f>56+56+50</f>
        <v>162</v>
      </c>
      <c r="BT524" s="10"/>
      <c r="BU524" s="10"/>
      <c r="BV524" s="10">
        <f>-56-26-22</f>
        <v>-104</v>
      </c>
      <c r="BW524" s="10"/>
      <c r="BX524" s="10"/>
      <c r="BY524" s="10">
        <f>56</f>
        <v>56</v>
      </c>
      <c r="BZ524" s="10">
        <v>-140</v>
      </c>
      <c r="CA524" s="10">
        <f>56+28</f>
        <v>84</v>
      </c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>
        <v>-140</v>
      </c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>
        <f>56+20</f>
        <v>76</v>
      </c>
      <c r="FB524" s="10"/>
      <c r="FC524" s="10"/>
      <c r="FD524" s="10"/>
      <c r="FE524" s="10"/>
      <c r="FF524" s="10"/>
      <c r="FG524" s="10">
        <v>41</v>
      </c>
      <c r="FH524" s="10"/>
      <c r="FI524" s="10"/>
      <c r="FJ524" s="10"/>
      <c r="FK524" s="10"/>
      <c r="FL524" s="10">
        <v>-117</v>
      </c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10"/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  <c r="JX524" s="10"/>
      <c r="JY524" s="10"/>
      <c r="JZ524" s="10"/>
      <c r="KA524" s="10"/>
      <c r="KB524" s="10"/>
      <c r="KC524" s="10"/>
      <c r="KD524" s="10"/>
      <c r="KE524" s="10"/>
      <c r="KF524" s="10"/>
      <c r="KG524" s="10"/>
      <c r="KH524" s="10"/>
      <c r="KI524" s="10"/>
      <c r="KJ524" s="10"/>
      <c r="KK524" s="10"/>
      <c r="KL524" s="10"/>
      <c r="KM524" s="10"/>
      <c r="KN524" s="10"/>
      <c r="KO524" s="10"/>
      <c r="KP524" s="10"/>
      <c r="KQ524" s="10"/>
      <c r="KR524" s="10"/>
      <c r="KS524" s="10"/>
      <c r="KT524" s="10"/>
      <c r="KU524" s="10"/>
      <c r="KV524" s="10"/>
      <c r="KW524" s="10"/>
      <c r="KX524" s="10"/>
      <c r="KY524" s="10"/>
      <c r="KZ524" s="10"/>
      <c r="LA524" s="10"/>
      <c r="LB524" s="10"/>
      <c r="LC524" s="10"/>
      <c r="LD524" s="10"/>
      <c r="LE524" s="10"/>
      <c r="LF524" s="10"/>
      <c r="LG524" s="10"/>
      <c r="LH524" s="10"/>
      <c r="LI524" s="10"/>
      <c r="LJ524" s="10"/>
      <c r="LK524" s="10"/>
      <c r="LL524" s="10"/>
      <c r="LM524" s="10"/>
      <c r="LN524" s="10"/>
      <c r="LO524" s="10"/>
      <c r="LP524" s="10"/>
      <c r="LQ524" s="10"/>
      <c r="LR524" s="10"/>
      <c r="LS524" s="10"/>
      <c r="LT524" s="10"/>
      <c r="LU524" s="10"/>
      <c r="LV524" s="10"/>
      <c r="LW524" s="10"/>
      <c r="LX524" s="10"/>
      <c r="LY524" s="10"/>
      <c r="LZ524" s="10"/>
      <c r="MA524" s="10"/>
      <c r="MB524" s="10"/>
      <c r="MC524" s="10"/>
      <c r="MD524" s="10"/>
      <c r="ME524" s="10"/>
      <c r="MF524" s="10"/>
      <c r="MG524" s="10"/>
      <c r="MH524" s="10"/>
      <c r="MI524" s="10"/>
      <c r="MJ524" s="10"/>
      <c r="MK524" s="10"/>
      <c r="ML524" s="10"/>
      <c r="MM524" s="10"/>
      <c r="MN524" s="10"/>
      <c r="MO524" s="10"/>
      <c r="MP524" s="10"/>
      <c r="MQ524" s="10"/>
      <c r="MR524" s="10"/>
      <c r="MS524" s="10"/>
      <c r="MT524" s="10"/>
      <c r="MU524" s="10"/>
      <c r="MV524" s="10"/>
      <c r="MW524" s="10"/>
      <c r="MX524" s="10"/>
      <c r="MY524" s="10"/>
      <c r="MZ524" s="10"/>
      <c r="NA524" s="10"/>
      <c r="NB524" s="10"/>
      <c r="NC524" s="10"/>
      <c r="ND524" s="10"/>
      <c r="NE524" s="10"/>
      <c r="NF524" s="10"/>
      <c r="NG524" s="10"/>
      <c r="NH524" s="10"/>
      <c r="NI524" s="10"/>
      <c r="NJ524" s="10"/>
      <c r="NK524" s="10"/>
      <c r="NL524" s="10"/>
      <c r="NM524" s="10"/>
      <c r="NN524" s="10"/>
      <c r="NO524" s="10"/>
      <c r="NP524" s="10"/>
      <c r="NQ524" s="10"/>
      <c r="NR524" s="10"/>
      <c r="NS524" s="10"/>
      <c r="NT524" s="10"/>
      <c r="NU524" s="10"/>
      <c r="NV524" s="10"/>
      <c r="NW524" s="10"/>
      <c r="NX524" s="10"/>
      <c r="NY524" s="10"/>
      <c r="NZ524" s="10"/>
      <c r="OA524" s="10"/>
      <c r="OB524" s="10"/>
      <c r="OC524" s="10"/>
      <c r="OD524" s="10"/>
      <c r="OE524" s="10"/>
      <c r="OF524" s="10"/>
      <c r="OG524" s="10"/>
      <c r="OH524" s="10"/>
      <c r="OI524" s="10"/>
      <c r="OJ524" s="10"/>
      <c r="OK524" s="10"/>
      <c r="OL524" s="10"/>
      <c r="OM524" s="10"/>
      <c r="ON524" s="10"/>
      <c r="OO524" s="10"/>
      <c r="OP524" s="10"/>
      <c r="OQ524" s="10"/>
      <c r="OR524" s="10"/>
      <c r="OS524" s="10"/>
      <c r="OT524" s="10"/>
      <c r="OU524" s="10"/>
      <c r="OV524" s="10"/>
      <c r="OW524" s="10"/>
      <c r="OX524" s="10"/>
      <c r="OY524" s="10"/>
      <c r="OZ524" s="10"/>
      <c r="PA524" s="10"/>
      <c r="PB524" s="10"/>
      <c r="PC524" s="10"/>
      <c r="PD524" s="10"/>
      <c r="PE524" s="10"/>
      <c r="PF524" s="10"/>
      <c r="PG524" s="10"/>
      <c r="PH524" s="10"/>
      <c r="PI524" s="10"/>
      <c r="PJ524" s="10"/>
      <c r="PK524" s="10"/>
      <c r="PL524" s="10"/>
      <c r="PM524" s="10"/>
      <c r="PN524" s="10"/>
      <c r="PO524" s="10"/>
      <c r="PP524" s="10"/>
      <c r="PQ524" s="10"/>
      <c r="PR524" s="10"/>
      <c r="PS524" s="10"/>
      <c r="PT524" s="10"/>
      <c r="PU524" s="10"/>
      <c r="PV524" s="10"/>
      <c r="PW524" s="10"/>
      <c r="PX524" s="10"/>
      <c r="PY524" s="10"/>
      <c r="PZ524" s="10"/>
      <c r="QA524" s="10"/>
      <c r="QB524" s="10"/>
      <c r="QC524" s="10"/>
      <c r="QD524" s="10"/>
      <c r="QE524" s="10"/>
      <c r="QF524" s="10"/>
      <c r="QG524" s="10"/>
      <c r="QH524" s="10"/>
      <c r="QI524" s="10"/>
      <c r="QJ524" s="10"/>
      <c r="QK524" s="10"/>
      <c r="QL524" s="10"/>
      <c r="QM524" s="10"/>
      <c r="QN524" s="10"/>
      <c r="QO524" s="10"/>
      <c r="QP524" s="10"/>
      <c r="QQ524" s="10"/>
      <c r="QR524" s="10"/>
      <c r="QS524" s="10"/>
      <c r="QT524" s="10"/>
      <c r="QU524" s="10"/>
      <c r="QV524" s="10"/>
      <c r="QW524" s="10"/>
      <c r="QX524" s="10"/>
      <c r="QY524" s="10"/>
      <c r="QZ524" s="10"/>
      <c r="RA524" s="10"/>
      <c r="RB524" s="10"/>
      <c r="RC524" s="10"/>
      <c r="RD524" s="10"/>
      <c r="RE524" s="10"/>
      <c r="RF524" s="10"/>
      <c r="RG524" s="10"/>
      <c r="RH524" s="10"/>
      <c r="RI524" s="10"/>
      <c r="RJ524" s="10"/>
      <c r="RK524" s="10"/>
      <c r="RL524" s="10"/>
      <c r="RM524" s="10"/>
      <c r="RN524" s="10"/>
      <c r="RO524" s="10"/>
      <c r="RP524" s="10"/>
      <c r="RQ524" s="10"/>
      <c r="RR524" s="10"/>
      <c r="RS524" s="10"/>
      <c r="RT524" s="10"/>
      <c r="RU524" s="10"/>
      <c r="RV524" s="10"/>
      <c r="RW524" s="10"/>
      <c r="RX524" s="10"/>
      <c r="RY524" s="10"/>
      <c r="RZ524" s="10"/>
      <c r="SA524" s="10"/>
      <c r="SB524" s="10"/>
      <c r="SC524" s="10"/>
      <c r="SD524" s="10"/>
      <c r="SE524" s="10"/>
      <c r="SF524" s="10"/>
      <c r="SG524" s="10"/>
      <c r="SH524" s="10"/>
      <c r="SI524" s="10"/>
      <c r="SJ524" s="10"/>
      <c r="SK524" s="10"/>
      <c r="SL524" s="10"/>
      <c r="SM524" s="10"/>
      <c r="SN524" s="10"/>
      <c r="SO524" s="10"/>
      <c r="SP524" s="10"/>
      <c r="SQ524" s="10"/>
      <c r="SR524" s="10"/>
      <c r="SS524" s="10"/>
      <c r="ST524" s="10"/>
      <c r="SU524" s="10"/>
      <c r="SV524" s="10"/>
      <c r="SW524" s="10"/>
      <c r="SX524" s="10"/>
      <c r="SY524" s="10"/>
      <c r="SZ524" s="10"/>
      <c r="TA524" s="10"/>
      <c r="TB524" s="10"/>
      <c r="TC524" s="10"/>
      <c r="TD524" s="10"/>
      <c r="TE524" s="10"/>
      <c r="TF524" s="10"/>
      <c r="TG524" s="11">
        <f t="shared" si="27"/>
        <v>250</v>
      </c>
      <c r="TH524" s="9">
        <f t="shared" si="28"/>
        <v>-168</v>
      </c>
    </row>
    <row r="525" spans="1:528" ht="15.6" thickBot="1" x14ac:dyDescent="0.3">
      <c r="A525" s="28" t="s">
        <v>613</v>
      </c>
      <c r="B525" s="18" t="s">
        <v>951</v>
      </c>
      <c r="C525" s="3">
        <f>AGOSTO!D529</f>
        <v>0</v>
      </c>
      <c r="D525" s="21">
        <f t="shared" si="26"/>
        <v>1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>
        <f>72*3</f>
        <v>216</v>
      </c>
      <c r="AZ525" s="10"/>
      <c r="BA525" s="10">
        <f>72*3</f>
        <v>216</v>
      </c>
      <c r="BB525" s="10"/>
      <c r="BC525" s="10"/>
      <c r="BD525" s="10"/>
      <c r="BE525" s="10">
        <f>72</f>
        <v>72</v>
      </c>
      <c r="BF525" s="10">
        <f>-110-98</f>
        <v>-208</v>
      </c>
      <c r="BG525" s="10">
        <f>68</f>
        <v>68</v>
      </c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>
        <v>-216</v>
      </c>
      <c r="BU525" s="10"/>
      <c r="BV525" s="10">
        <v>-64</v>
      </c>
      <c r="BW525" s="10"/>
      <c r="BX525" s="10"/>
      <c r="BY525" s="10"/>
      <c r="BZ525" s="10">
        <v>-83</v>
      </c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>
        <v>61</v>
      </c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>
        <v>-61</v>
      </c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0"/>
      <c r="LV525" s="10"/>
      <c r="LW525" s="10"/>
      <c r="LX525" s="10"/>
      <c r="LY525" s="10"/>
      <c r="LZ525" s="10"/>
      <c r="MA525" s="10"/>
      <c r="MB525" s="10"/>
      <c r="MC525" s="10"/>
      <c r="MD525" s="10"/>
      <c r="ME525" s="10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0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  <c r="SB525" s="10"/>
      <c r="SC525" s="10"/>
      <c r="SD525" s="10"/>
      <c r="SE525" s="10"/>
      <c r="SF525" s="10"/>
      <c r="SG525" s="10"/>
      <c r="SH525" s="10"/>
      <c r="SI525" s="10"/>
      <c r="SJ525" s="10"/>
      <c r="SK525" s="10"/>
      <c r="SL525" s="10"/>
      <c r="SM525" s="10"/>
      <c r="SN525" s="10"/>
      <c r="SO525" s="10"/>
      <c r="SP525" s="10"/>
      <c r="SQ525" s="10"/>
      <c r="SR525" s="10"/>
      <c r="SS525" s="10"/>
      <c r="ST525" s="10"/>
      <c r="SU525" s="10"/>
      <c r="SV525" s="10"/>
      <c r="SW525" s="10"/>
      <c r="SX525" s="10"/>
      <c r="SY525" s="10"/>
      <c r="SZ525" s="10"/>
      <c r="TA525" s="10"/>
      <c r="TB525" s="10"/>
      <c r="TC525" s="10"/>
      <c r="TD525" s="10"/>
      <c r="TE525" s="10"/>
      <c r="TF525" s="10"/>
      <c r="TG525" s="11">
        <f t="shared" si="27"/>
        <v>572</v>
      </c>
      <c r="TH525" s="9">
        <f t="shared" si="28"/>
        <v>-208</v>
      </c>
    </row>
    <row r="526" spans="1:528" ht="15.6" thickBot="1" x14ac:dyDescent="0.3">
      <c r="A526" s="28" t="s">
        <v>629</v>
      </c>
      <c r="B526" s="18" t="s">
        <v>952</v>
      </c>
      <c r="C526" s="3">
        <f>AGOSTO!D530</f>
        <v>0</v>
      </c>
      <c r="D526" s="21">
        <f t="shared" si="26"/>
        <v>0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>
        <f>72*2+72</f>
        <v>216</v>
      </c>
      <c r="BD526" s="10"/>
      <c r="BE526" s="10">
        <v>120</v>
      </c>
      <c r="BF526" s="10">
        <f>-16-20-56</f>
        <v>-92</v>
      </c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>
        <f>-72-88</f>
        <v>-160</v>
      </c>
      <c r="BU526" s="10"/>
      <c r="BV526" s="10">
        <v>-33</v>
      </c>
      <c r="BW526" s="10"/>
      <c r="BX526" s="10"/>
      <c r="BY526" s="10"/>
      <c r="BZ526" s="10">
        <v>-43</v>
      </c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>
        <v>-8</v>
      </c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>
        <v>48</v>
      </c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>
        <v>-48</v>
      </c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10"/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10"/>
      <c r="KO526" s="10"/>
      <c r="KP526" s="10"/>
      <c r="KQ526" s="10"/>
      <c r="KR526" s="10"/>
      <c r="KS526" s="10"/>
      <c r="KT526" s="10"/>
      <c r="KU526" s="10"/>
      <c r="KV526" s="10"/>
      <c r="KW526" s="10"/>
      <c r="KX526" s="10"/>
      <c r="KY526" s="10"/>
      <c r="KZ526" s="10"/>
      <c r="LA526" s="10"/>
      <c r="LB526" s="10"/>
      <c r="LC526" s="10"/>
      <c r="LD526" s="10"/>
      <c r="LE526" s="10"/>
      <c r="LF526" s="10"/>
      <c r="LG526" s="10"/>
      <c r="LH526" s="10"/>
      <c r="LI526" s="10"/>
      <c r="LJ526" s="10"/>
      <c r="LK526" s="10"/>
      <c r="LL526" s="10"/>
      <c r="LM526" s="10"/>
      <c r="LN526" s="10"/>
      <c r="LO526" s="10"/>
      <c r="LP526" s="10"/>
      <c r="LQ526" s="10"/>
      <c r="LR526" s="10"/>
      <c r="LS526" s="10"/>
      <c r="LT526" s="10"/>
      <c r="LU526" s="10"/>
      <c r="LV526" s="10"/>
      <c r="LW526" s="10"/>
      <c r="LX526" s="10"/>
      <c r="LY526" s="10"/>
      <c r="LZ526" s="10"/>
      <c r="MA526" s="10"/>
      <c r="MB526" s="10"/>
      <c r="MC526" s="10"/>
      <c r="MD526" s="10"/>
      <c r="ME526" s="10"/>
      <c r="MF526" s="10"/>
      <c r="MG526" s="10"/>
      <c r="MH526" s="10"/>
      <c r="MI526" s="10"/>
      <c r="MJ526" s="10"/>
      <c r="MK526" s="10"/>
      <c r="ML526" s="10"/>
      <c r="MM526" s="10"/>
      <c r="MN526" s="10"/>
      <c r="MO526" s="10"/>
      <c r="MP526" s="10"/>
      <c r="MQ526" s="10"/>
      <c r="MR526" s="10"/>
      <c r="MS526" s="10"/>
      <c r="MT526" s="10"/>
      <c r="MU526" s="10"/>
      <c r="MV526" s="10"/>
      <c r="MW526" s="10"/>
      <c r="MX526" s="10"/>
      <c r="MY526" s="10"/>
      <c r="MZ526" s="10"/>
      <c r="NA526" s="10"/>
      <c r="NB526" s="10"/>
      <c r="NC526" s="10"/>
      <c r="ND526" s="10"/>
      <c r="NE526" s="10"/>
      <c r="NF526" s="10"/>
      <c r="NG526" s="10"/>
      <c r="NH526" s="10"/>
      <c r="NI526" s="10"/>
      <c r="NJ526" s="10"/>
      <c r="NK526" s="10"/>
      <c r="NL526" s="10"/>
      <c r="NM526" s="10"/>
      <c r="NN526" s="10"/>
      <c r="NO526" s="10"/>
      <c r="NP526" s="10"/>
      <c r="NQ526" s="10"/>
      <c r="NR526" s="10"/>
      <c r="NS526" s="10"/>
      <c r="NT526" s="10"/>
      <c r="NU526" s="10"/>
      <c r="NV526" s="10"/>
      <c r="NW526" s="10"/>
      <c r="NX526" s="10"/>
      <c r="NY526" s="10"/>
      <c r="NZ526" s="10"/>
      <c r="OA526" s="10"/>
      <c r="OB526" s="10"/>
      <c r="OC526" s="10"/>
      <c r="OD526" s="10"/>
      <c r="OE526" s="10"/>
      <c r="OF526" s="10"/>
      <c r="OG526" s="10"/>
      <c r="OH526" s="10"/>
      <c r="OI526" s="10"/>
      <c r="OJ526" s="10"/>
      <c r="OK526" s="10"/>
      <c r="OL526" s="10"/>
      <c r="OM526" s="10"/>
      <c r="ON526" s="10"/>
      <c r="OO526" s="10"/>
      <c r="OP526" s="10"/>
      <c r="OQ526" s="10"/>
      <c r="OR526" s="10"/>
      <c r="OS526" s="10"/>
      <c r="OT526" s="10"/>
      <c r="OU526" s="10"/>
      <c r="OV526" s="10"/>
      <c r="OW526" s="10"/>
      <c r="OX526" s="10"/>
      <c r="OY526" s="10"/>
      <c r="OZ526" s="10"/>
      <c r="PA526" s="10"/>
      <c r="PB526" s="10"/>
      <c r="PC526" s="10"/>
      <c r="PD526" s="10"/>
      <c r="PE526" s="10"/>
      <c r="PF526" s="10"/>
      <c r="PG526" s="10"/>
      <c r="PH526" s="10"/>
      <c r="PI526" s="10"/>
      <c r="PJ526" s="10"/>
      <c r="PK526" s="10"/>
      <c r="PL526" s="10"/>
      <c r="PM526" s="10"/>
      <c r="PN526" s="10"/>
      <c r="PO526" s="10"/>
      <c r="PP526" s="10"/>
      <c r="PQ526" s="10"/>
      <c r="PR526" s="10"/>
      <c r="PS526" s="10"/>
      <c r="PT526" s="10"/>
      <c r="PU526" s="10"/>
      <c r="PV526" s="10"/>
      <c r="PW526" s="10"/>
      <c r="PX526" s="10"/>
      <c r="PY526" s="10"/>
      <c r="PZ526" s="10"/>
      <c r="QA526" s="10"/>
      <c r="QB526" s="10"/>
      <c r="QC526" s="10"/>
      <c r="QD526" s="10"/>
      <c r="QE526" s="10"/>
      <c r="QF526" s="10"/>
      <c r="QG526" s="10"/>
      <c r="QH526" s="10"/>
      <c r="QI526" s="10"/>
      <c r="QJ526" s="10"/>
      <c r="QK526" s="10"/>
      <c r="QL526" s="10"/>
      <c r="QM526" s="10"/>
      <c r="QN526" s="10"/>
      <c r="QO526" s="10"/>
      <c r="QP526" s="10"/>
      <c r="QQ526" s="10"/>
      <c r="QR526" s="10"/>
      <c r="QS526" s="10"/>
      <c r="QT526" s="10"/>
      <c r="QU526" s="10"/>
      <c r="QV526" s="10"/>
      <c r="QW526" s="10"/>
      <c r="QX526" s="10"/>
      <c r="QY526" s="10"/>
      <c r="QZ526" s="10"/>
      <c r="RA526" s="10"/>
      <c r="RB526" s="10"/>
      <c r="RC526" s="10"/>
      <c r="RD526" s="10"/>
      <c r="RE526" s="10"/>
      <c r="RF526" s="10"/>
      <c r="RG526" s="10"/>
      <c r="RH526" s="10"/>
      <c r="RI526" s="10"/>
      <c r="RJ526" s="10"/>
      <c r="RK526" s="10"/>
      <c r="RL526" s="10"/>
      <c r="RM526" s="10"/>
      <c r="RN526" s="10"/>
      <c r="RO526" s="10"/>
      <c r="RP526" s="10"/>
      <c r="RQ526" s="10"/>
      <c r="RR526" s="10"/>
      <c r="RS526" s="10"/>
      <c r="RT526" s="10"/>
      <c r="RU526" s="10"/>
      <c r="RV526" s="10"/>
      <c r="RW526" s="10"/>
      <c r="RX526" s="10"/>
      <c r="RY526" s="10"/>
      <c r="RZ526" s="10"/>
      <c r="SA526" s="10"/>
      <c r="SB526" s="10"/>
      <c r="SC526" s="10"/>
      <c r="SD526" s="10"/>
      <c r="SE526" s="10"/>
      <c r="SF526" s="10"/>
      <c r="SG526" s="10"/>
      <c r="SH526" s="10"/>
      <c r="SI526" s="10"/>
      <c r="SJ526" s="10"/>
      <c r="SK526" s="10"/>
      <c r="SL526" s="10"/>
      <c r="SM526" s="10"/>
      <c r="SN526" s="10"/>
      <c r="SO526" s="10"/>
      <c r="SP526" s="10"/>
      <c r="SQ526" s="10"/>
      <c r="SR526" s="10"/>
      <c r="SS526" s="10"/>
      <c r="ST526" s="10"/>
      <c r="SU526" s="10"/>
      <c r="SV526" s="10"/>
      <c r="SW526" s="10"/>
      <c r="SX526" s="10"/>
      <c r="SY526" s="10"/>
      <c r="SZ526" s="10"/>
      <c r="TA526" s="10"/>
      <c r="TB526" s="10"/>
      <c r="TC526" s="10"/>
      <c r="TD526" s="10"/>
      <c r="TE526" s="10"/>
      <c r="TF526" s="10"/>
      <c r="TG526" s="11">
        <f t="shared" si="27"/>
        <v>336</v>
      </c>
      <c r="TH526" s="9">
        <f t="shared" si="28"/>
        <v>-92</v>
      </c>
    </row>
    <row r="527" spans="1:528" ht="15.6" thickBot="1" x14ac:dyDescent="0.3">
      <c r="A527" s="28" t="s">
        <v>623</v>
      </c>
      <c r="B527" s="18" t="s">
        <v>1064</v>
      </c>
      <c r="C527" s="3">
        <f>AGOSTO!D531</f>
        <v>0</v>
      </c>
      <c r="D527" s="21">
        <f t="shared" si="26"/>
        <v>0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>
        <f>1232+616</f>
        <v>1848</v>
      </c>
      <c r="AZ527" s="10"/>
      <c r="BA527" s="10">
        <v>280</v>
      </c>
      <c r="BB527" s="10"/>
      <c r="BC527" s="10"/>
      <c r="BD527" s="10"/>
      <c r="BE527" s="10"/>
      <c r="BF527" s="10">
        <f>-547-56-600</f>
        <v>-1203</v>
      </c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>
        <v>-136</v>
      </c>
      <c r="BU527" s="10"/>
      <c r="BV527" s="10">
        <f>-348-6</f>
        <v>-354</v>
      </c>
      <c r="BW527" s="10"/>
      <c r="BX527" s="10"/>
      <c r="BY527" s="10"/>
      <c r="BZ527" s="10">
        <f>-418-16</f>
        <v>-434</v>
      </c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>
        <v>5</v>
      </c>
      <c r="CR527" s="10"/>
      <c r="CS527" s="10"/>
      <c r="CT527" s="10"/>
      <c r="CU527" s="10"/>
      <c r="CV527" s="10">
        <v>-6</v>
      </c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>
        <v>210</v>
      </c>
      <c r="FJ527" s="10"/>
      <c r="FK527" s="10"/>
      <c r="FL527" s="10">
        <v>-210</v>
      </c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0"/>
      <c r="LV527" s="10"/>
      <c r="LW527" s="10"/>
      <c r="LX527" s="10"/>
      <c r="LY527" s="10"/>
      <c r="LZ527" s="10"/>
      <c r="MA527" s="10"/>
      <c r="MB527" s="10"/>
      <c r="MC527" s="10"/>
      <c r="MD527" s="10"/>
      <c r="ME527" s="10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/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0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  <c r="SB527" s="10"/>
      <c r="SC527" s="10"/>
      <c r="SD527" s="10"/>
      <c r="SE527" s="10"/>
      <c r="SF527" s="10"/>
      <c r="SG527" s="10"/>
      <c r="SH527" s="10"/>
      <c r="SI527" s="10"/>
      <c r="SJ527" s="10"/>
      <c r="SK527" s="10"/>
      <c r="SL527" s="10"/>
      <c r="SM527" s="10"/>
      <c r="SN527" s="10"/>
      <c r="SO527" s="10"/>
      <c r="SP527" s="10"/>
      <c r="SQ527" s="10"/>
      <c r="SR527" s="10"/>
      <c r="SS527" s="10"/>
      <c r="ST527" s="10"/>
      <c r="SU527" s="10"/>
      <c r="SV527" s="10"/>
      <c r="SW527" s="10"/>
      <c r="SX527" s="10"/>
      <c r="SY527" s="10"/>
      <c r="SZ527" s="10"/>
      <c r="TA527" s="10"/>
      <c r="TB527" s="10"/>
      <c r="TC527" s="10"/>
      <c r="TD527" s="10"/>
      <c r="TE527" s="10"/>
      <c r="TF527" s="10"/>
      <c r="TG527" s="11">
        <f t="shared" si="27"/>
        <v>2128</v>
      </c>
      <c r="TH527" s="9">
        <f t="shared" si="28"/>
        <v>-1203</v>
      </c>
    </row>
    <row r="528" spans="1:528" ht="15.6" thickBot="1" x14ac:dyDescent="0.3">
      <c r="A528" s="28" t="s">
        <v>602</v>
      </c>
      <c r="B528" s="18" t="s">
        <v>1065</v>
      </c>
      <c r="C528" s="3">
        <f>AGOSTO!D532</f>
        <v>0</v>
      </c>
      <c r="D528" s="21">
        <f t="shared" si="26"/>
        <v>0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>
        <f>112*5</f>
        <v>560</v>
      </c>
      <c r="BD528" s="10"/>
      <c r="BE528" s="14">
        <v>26</v>
      </c>
      <c r="BF528" s="10">
        <f>-58-262-266</f>
        <v>-586</v>
      </c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>
        <v>224</v>
      </c>
      <c r="BR528" s="10"/>
      <c r="BS528" s="10">
        <f>112*3+112+24</f>
        <v>472</v>
      </c>
      <c r="BT528" s="10">
        <f>-98</f>
        <v>-98</v>
      </c>
      <c r="BU528" s="10"/>
      <c r="BV528" s="10">
        <v>-181</v>
      </c>
      <c r="BW528" s="10"/>
      <c r="BX528" s="10"/>
      <c r="BY528" s="10"/>
      <c r="BZ528" s="10">
        <v>-239</v>
      </c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>
        <v>-75</v>
      </c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4">
        <f>-52-51</f>
        <v>-103</v>
      </c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0"/>
      <c r="LV528" s="10"/>
      <c r="LW528" s="10"/>
      <c r="LX528" s="10"/>
      <c r="LY528" s="10"/>
      <c r="LZ528" s="10"/>
      <c r="MA528" s="10"/>
      <c r="MB528" s="10"/>
      <c r="MC528" s="10"/>
      <c r="MD528" s="10"/>
      <c r="ME528" s="10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/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0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  <c r="SB528" s="10"/>
      <c r="SC528" s="10"/>
      <c r="SD528" s="10"/>
      <c r="SE528" s="10"/>
      <c r="SF528" s="10"/>
      <c r="SG528" s="10"/>
      <c r="SH528" s="10"/>
      <c r="SI528" s="10"/>
      <c r="SJ528" s="10"/>
      <c r="SK528" s="10"/>
      <c r="SL528" s="10"/>
      <c r="SM528" s="10"/>
      <c r="SN528" s="10"/>
      <c r="SO528" s="10"/>
      <c r="SP528" s="10"/>
      <c r="SQ528" s="10"/>
      <c r="SR528" s="10"/>
      <c r="SS528" s="10"/>
      <c r="ST528" s="10"/>
      <c r="SU528" s="10"/>
      <c r="SV528" s="10"/>
      <c r="SW528" s="10"/>
      <c r="SX528" s="10"/>
      <c r="SY528" s="10"/>
      <c r="SZ528" s="10"/>
      <c r="TA528" s="10"/>
      <c r="TB528" s="10"/>
      <c r="TC528" s="10"/>
      <c r="TD528" s="10"/>
      <c r="TE528" s="10"/>
      <c r="TF528" s="10"/>
      <c r="TG528" s="11">
        <f t="shared" si="27"/>
        <v>586</v>
      </c>
      <c r="TH528" s="9">
        <f t="shared" si="28"/>
        <v>-586</v>
      </c>
    </row>
    <row r="529" spans="1:528" ht="15.6" thickBot="1" x14ac:dyDescent="0.3">
      <c r="A529" s="28" t="s">
        <v>603</v>
      </c>
      <c r="B529" s="18" t="s">
        <v>1066</v>
      </c>
      <c r="C529" s="3">
        <f>AGOSTO!D533</f>
        <v>0</v>
      </c>
      <c r="D529" s="21">
        <f t="shared" si="26"/>
        <v>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>
        <f>112*7+6</f>
        <v>790</v>
      </c>
      <c r="BF529" s="10">
        <f>-305-261</f>
        <v>-566</v>
      </c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4">
        <v>214</v>
      </c>
      <c r="BR529" s="10"/>
      <c r="BS529" s="10"/>
      <c r="BT529" s="10">
        <f>-56-112</f>
        <v>-168</v>
      </c>
      <c r="BU529" s="10"/>
      <c r="BV529" s="10">
        <v>-186</v>
      </c>
      <c r="BW529" s="10"/>
      <c r="BX529" s="10"/>
      <c r="BY529" s="10">
        <f>112+18</f>
        <v>130</v>
      </c>
      <c r="BZ529" s="10">
        <f>-98-113</f>
        <v>-211</v>
      </c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>
        <f>98+112</f>
        <v>210</v>
      </c>
      <c r="EH529" s="10"/>
      <c r="EI529" s="10">
        <v>116</v>
      </c>
      <c r="EJ529" s="10"/>
      <c r="EK529" s="10"/>
      <c r="EL529" s="10">
        <v>-300</v>
      </c>
      <c r="EM529" s="10"/>
      <c r="EN529" s="10"/>
      <c r="EO529" s="10"/>
      <c r="EP529" s="10"/>
      <c r="EQ529" s="10"/>
      <c r="ER529" s="10"/>
      <c r="ES529" s="10">
        <f>25+11</f>
        <v>36</v>
      </c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>
        <v>-65</v>
      </c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1">
        <f t="shared" si="27"/>
        <v>790</v>
      </c>
      <c r="TH529" s="9">
        <f t="shared" si="28"/>
        <v>-566</v>
      </c>
    </row>
    <row r="530" spans="1:528" ht="15.6" thickBot="1" x14ac:dyDescent="0.3">
      <c r="A530" s="28" t="s">
        <v>628</v>
      </c>
      <c r="B530" s="18" t="s">
        <v>1067</v>
      </c>
      <c r="C530" s="3">
        <f>AGOSTO!D534</f>
        <v>0</v>
      </c>
      <c r="D530" s="21">
        <f t="shared" si="26"/>
        <v>11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>
        <f>180+180</f>
        <v>360</v>
      </c>
      <c r="BD530" s="10"/>
      <c r="BE530" s="10">
        <f>180+180+26+154+180</f>
        <v>720</v>
      </c>
      <c r="BF530" s="10"/>
      <c r="BG530" s="10">
        <f>23+157+180+91</f>
        <v>451</v>
      </c>
      <c r="BH530" s="10"/>
      <c r="BI530" s="10"/>
      <c r="BJ530" s="10"/>
      <c r="BK530" s="10"/>
      <c r="BL530" s="10"/>
      <c r="BM530" s="10"/>
      <c r="BN530" s="10"/>
      <c r="BO530" s="10"/>
      <c r="BP530" s="10"/>
      <c r="BQ530" s="10">
        <v>180</v>
      </c>
      <c r="BR530" s="10"/>
      <c r="BS530" s="10">
        <f>180+89+91+180+180</f>
        <v>720</v>
      </c>
      <c r="BT530" s="10">
        <f>-180-180-180-26-154-180-720</f>
        <v>-1620</v>
      </c>
      <c r="BU530" s="10">
        <v>96</v>
      </c>
      <c r="BV530" s="10">
        <v>-143</v>
      </c>
      <c r="BW530" s="10"/>
      <c r="BX530" s="10"/>
      <c r="BY530" s="10"/>
      <c r="BZ530" s="10">
        <v>-215</v>
      </c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>
        <v>-549</v>
      </c>
      <c r="CW530" s="10"/>
      <c r="CX530" s="10"/>
      <c r="CY530" s="10"/>
      <c r="CZ530" s="10"/>
      <c r="DA530" s="14">
        <v>180</v>
      </c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>
        <v>168</v>
      </c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>
        <v>-320</v>
      </c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>
        <v>40</v>
      </c>
      <c r="FL530" s="10">
        <v>-57</v>
      </c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>
        <v>60</v>
      </c>
      <c r="FX530" s="10">
        <v>-60</v>
      </c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0"/>
      <c r="LV530" s="10"/>
      <c r="LW530" s="10"/>
      <c r="LX530" s="10"/>
      <c r="LY530" s="10"/>
      <c r="LZ530" s="10"/>
      <c r="MA530" s="10"/>
      <c r="MB530" s="10"/>
      <c r="MC530" s="10"/>
      <c r="MD530" s="10"/>
      <c r="ME530" s="10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/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0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  <c r="SB530" s="10"/>
      <c r="SC530" s="10"/>
      <c r="SD530" s="10"/>
      <c r="SE530" s="10"/>
      <c r="SF530" s="10"/>
      <c r="SG530" s="10"/>
      <c r="SH530" s="10"/>
      <c r="SI530" s="10"/>
      <c r="SJ530" s="10"/>
      <c r="SK530" s="10"/>
      <c r="SL530" s="10"/>
      <c r="SM530" s="10"/>
      <c r="SN530" s="10"/>
      <c r="SO530" s="10"/>
      <c r="SP530" s="10"/>
      <c r="SQ530" s="10"/>
      <c r="SR530" s="10"/>
      <c r="SS530" s="10"/>
      <c r="ST530" s="10"/>
      <c r="SU530" s="10"/>
      <c r="SV530" s="10"/>
      <c r="SW530" s="10"/>
      <c r="SX530" s="10"/>
      <c r="SY530" s="10"/>
      <c r="SZ530" s="10"/>
      <c r="TA530" s="10"/>
      <c r="TB530" s="10"/>
      <c r="TC530" s="10"/>
      <c r="TD530" s="10"/>
      <c r="TE530" s="10"/>
      <c r="TF530" s="10"/>
      <c r="TG530" s="11">
        <f t="shared" si="27"/>
        <v>1531</v>
      </c>
      <c r="TH530" s="9">
        <f t="shared" si="28"/>
        <v>0</v>
      </c>
    </row>
    <row r="531" spans="1:528" ht="15.6" thickBot="1" x14ac:dyDescent="0.3">
      <c r="A531" s="25" t="s">
        <v>1068</v>
      </c>
      <c r="B531" s="26" t="s">
        <v>1069</v>
      </c>
      <c r="C531" s="3">
        <f>AGOSTO!D535</f>
        <v>0</v>
      </c>
      <c r="D531" s="21">
        <f t="shared" si="26"/>
        <v>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>
        <v>72</v>
      </c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4">
        <v>-72</v>
      </c>
      <c r="CQ531" s="10">
        <f>420</f>
        <v>420</v>
      </c>
      <c r="CR531" s="10"/>
      <c r="CS531" s="10">
        <v>180</v>
      </c>
      <c r="CT531" s="10"/>
      <c r="CU531" s="10"/>
      <c r="CV531" s="10">
        <v>-595</v>
      </c>
      <c r="CW531" s="10">
        <f>187</f>
        <v>187</v>
      </c>
      <c r="CX531" s="10"/>
      <c r="CY531" s="10"/>
      <c r="CZ531" s="10"/>
      <c r="DA531" s="10">
        <v>60</v>
      </c>
      <c r="DB531" s="10">
        <v>-252</v>
      </c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>
        <v>67</v>
      </c>
      <c r="FL531" s="10">
        <v>-67</v>
      </c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1">
        <f t="shared" si="27"/>
        <v>0</v>
      </c>
      <c r="TH531" s="9">
        <f t="shared" si="28"/>
        <v>0</v>
      </c>
    </row>
    <row r="532" spans="1:528" ht="15.6" thickBot="1" x14ac:dyDescent="0.3">
      <c r="A532" s="25" t="s">
        <v>1070</v>
      </c>
      <c r="B532" s="18" t="s">
        <v>1071</v>
      </c>
      <c r="C532" s="3">
        <f>AGOSTO!D536</f>
        <v>0</v>
      </c>
      <c r="D532" s="21">
        <f t="shared" si="26"/>
        <v>0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>
        <f>110+31+41+55+55+50+154</f>
        <v>496</v>
      </c>
      <c r="CV532" s="10">
        <v>-446</v>
      </c>
      <c r="CW532" s="10">
        <f>150+120</f>
        <v>270</v>
      </c>
      <c r="CX532" s="10"/>
      <c r="CY532" s="10"/>
      <c r="CZ532" s="10"/>
      <c r="DA532" s="10"/>
      <c r="DB532" s="10">
        <v>-320</v>
      </c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>
        <v>60</v>
      </c>
      <c r="FL532" s="10">
        <v>-60</v>
      </c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0"/>
      <c r="LV532" s="10"/>
      <c r="LW532" s="10"/>
      <c r="LX532" s="10"/>
      <c r="LY532" s="10"/>
      <c r="LZ532" s="10"/>
      <c r="MA532" s="10"/>
      <c r="MB532" s="10"/>
      <c r="MC532" s="10"/>
      <c r="MD532" s="10"/>
      <c r="ME532" s="10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/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0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  <c r="SB532" s="10"/>
      <c r="SC532" s="10"/>
      <c r="SD532" s="10"/>
      <c r="SE532" s="10"/>
      <c r="SF532" s="10"/>
      <c r="SG532" s="10"/>
      <c r="SH532" s="10"/>
      <c r="SI532" s="10"/>
      <c r="SJ532" s="10"/>
      <c r="SK532" s="10"/>
      <c r="SL532" s="10"/>
      <c r="SM532" s="10"/>
      <c r="SN532" s="10"/>
      <c r="SO532" s="10"/>
      <c r="SP532" s="10"/>
      <c r="SQ532" s="10"/>
      <c r="SR532" s="10"/>
      <c r="SS532" s="10"/>
      <c r="ST532" s="10"/>
      <c r="SU532" s="10"/>
      <c r="SV532" s="10"/>
      <c r="SW532" s="10"/>
      <c r="SX532" s="10"/>
      <c r="SY532" s="10"/>
      <c r="SZ532" s="10"/>
      <c r="TA532" s="10"/>
      <c r="TB532" s="10"/>
      <c r="TC532" s="10"/>
      <c r="TD532" s="10"/>
      <c r="TE532" s="10"/>
      <c r="TF532" s="10"/>
      <c r="TG532" s="11">
        <f t="shared" si="27"/>
        <v>0</v>
      </c>
      <c r="TH532" s="9">
        <f t="shared" si="28"/>
        <v>0</v>
      </c>
    </row>
    <row r="533" spans="1:528" ht="15.6" thickBot="1" x14ac:dyDescent="0.3">
      <c r="A533" s="25"/>
      <c r="B533" s="18"/>
      <c r="C533" s="3">
        <f>AGOSTO!D537</f>
        <v>0</v>
      </c>
      <c r="D533" s="21">
        <f t="shared" si="26"/>
        <v>0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1">
        <f t="shared" si="27"/>
        <v>0</v>
      </c>
      <c r="TH533" s="9">
        <f t="shared" si="28"/>
        <v>0</v>
      </c>
    </row>
    <row r="534" spans="1:528" ht="15.6" thickBot="1" x14ac:dyDescent="0.3">
      <c r="A534" s="25"/>
      <c r="B534" s="18"/>
      <c r="C534" s="3">
        <f>AGOSTO!D538</f>
        <v>0</v>
      </c>
      <c r="D534" s="21">
        <f t="shared" si="26"/>
        <v>0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0"/>
      <c r="LV534" s="10"/>
      <c r="LW534" s="10"/>
      <c r="LX534" s="10"/>
      <c r="LY534" s="10"/>
      <c r="LZ534" s="10"/>
      <c r="MA534" s="10"/>
      <c r="MB534" s="10"/>
      <c r="MC534" s="10"/>
      <c r="MD534" s="10"/>
      <c r="ME534" s="10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/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0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  <c r="SB534" s="10"/>
      <c r="SC534" s="10"/>
      <c r="SD534" s="10"/>
      <c r="SE534" s="10"/>
      <c r="SF534" s="10"/>
      <c r="SG534" s="10"/>
      <c r="SH534" s="10"/>
      <c r="SI534" s="10"/>
      <c r="SJ534" s="10"/>
      <c r="SK534" s="10"/>
      <c r="SL534" s="10"/>
      <c r="SM534" s="10"/>
      <c r="SN534" s="10"/>
      <c r="SO534" s="10"/>
      <c r="SP534" s="10"/>
      <c r="SQ534" s="10"/>
      <c r="SR534" s="10"/>
      <c r="SS534" s="10"/>
      <c r="ST534" s="10"/>
      <c r="SU534" s="10"/>
      <c r="SV534" s="10"/>
      <c r="SW534" s="10"/>
      <c r="SX534" s="10"/>
      <c r="SY534" s="10"/>
      <c r="SZ534" s="10"/>
      <c r="TA534" s="10"/>
      <c r="TB534" s="10"/>
      <c r="TC534" s="10"/>
      <c r="TD534" s="10"/>
      <c r="TE534" s="10"/>
      <c r="TF534" s="10"/>
      <c r="TG534" s="11">
        <f t="shared" si="27"/>
        <v>0</v>
      </c>
      <c r="TH534" s="9">
        <f t="shared" si="28"/>
        <v>0</v>
      </c>
    </row>
    <row r="535" spans="1:528" ht="16.2" thickBot="1" x14ac:dyDescent="0.35">
      <c r="A535" s="25"/>
      <c r="B535" s="20" t="s">
        <v>515</v>
      </c>
      <c r="C535" s="3">
        <f>AGOSTO!D539</f>
        <v>0</v>
      </c>
      <c r="D535" s="21">
        <f t="shared" si="26"/>
        <v>0</v>
      </c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1">
        <f t="shared" si="27"/>
        <v>0</v>
      </c>
      <c r="TH535" s="9">
        <f t="shared" si="28"/>
        <v>0</v>
      </c>
    </row>
    <row r="536" spans="1:528" ht="15.6" thickBot="1" x14ac:dyDescent="0.3">
      <c r="A536" s="25" t="s">
        <v>739</v>
      </c>
      <c r="B536" s="18" t="s">
        <v>516</v>
      </c>
      <c r="C536" s="3">
        <f>AGOSTO!D540</f>
        <v>0</v>
      </c>
      <c r="D536" s="21">
        <f t="shared" si="26"/>
        <v>0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0"/>
      <c r="LV536" s="10"/>
      <c r="LW536" s="10"/>
      <c r="LX536" s="10"/>
      <c r="LY536" s="10"/>
      <c r="LZ536" s="10"/>
      <c r="MA536" s="10"/>
      <c r="MB536" s="10"/>
      <c r="MC536" s="10"/>
      <c r="MD536" s="10"/>
      <c r="ME536" s="10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/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0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  <c r="SB536" s="10"/>
      <c r="SC536" s="10"/>
      <c r="SD536" s="10"/>
      <c r="SE536" s="10"/>
      <c r="SF536" s="10"/>
      <c r="SG536" s="10"/>
      <c r="SH536" s="10"/>
      <c r="SI536" s="10"/>
      <c r="SJ536" s="10"/>
      <c r="SK536" s="10"/>
      <c r="SL536" s="10"/>
      <c r="SM536" s="10"/>
      <c r="SN536" s="10"/>
      <c r="SO536" s="10"/>
      <c r="SP536" s="10"/>
      <c r="SQ536" s="10"/>
      <c r="SR536" s="10"/>
      <c r="SS536" s="10"/>
      <c r="ST536" s="10"/>
      <c r="SU536" s="10"/>
      <c r="SV536" s="10"/>
      <c r="SW536" s="10"/>
      <c r="SX536" s="10"/>
      <c r="SY536" s="10"/>
      <c r="SZ536" s="10"/>
      <c r="TA536" s="10"/>
      <c r="TB536" s="10"/>
      <c r="TC536" s="10"/>
      <c r="TD536" s="10"/>
      <c r="TE536" s="10"/>
      <c r="TF536" s="10"/>
      <c r="TG536" s="11">
        <f t="shared" si="27"/>
        <v>0</v>
      </c>
      <c r="TH536" s="9">
        <f t="shared" si="28"/>
        <v>0</v>
      </c>
    </row>
    <row r="537" spans="1:528" ht="15.6" thickBot="1" x14ac:dyDescent="0.3">
      <c r="A537" s="25" t="s">
        <v>542</v>
      </c>
      <c r="B537" s="18" t="s">
        <v>517</v>
      </c>
      <c r="C537" s="3">
        <f>AGOSTO!D541</f>
        <v>0</v>
      </c>
      <c r="D537" s="21">
        <f t="shared" si="26"/>
        <v>0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1">
        <f t="shared" si="27"/>
        <v>0</v>
      </c>
      <c r="TH537" s="9">
        <f t="shared" si="28"/>
        <v>0</v>
      </c>
    </row>
    <row r="538" spans="1:528" ht="15.6" thickBot="1" x14ac:dyDescent="0.3">
      <c r="A538" s="25" t="s">
        <v>738</v>
      </c>
      <c r="B538" s="18" t="s">
        <v>518</v>
      </c>
      <c r="C538" s="3">
        <f>AGOSTO!D542</f>
        <v>0</v>
      </c>
      <c r="D538" s="21">
        <f t="shared" si="26"/>
        <v>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0"/>
      <c r="LV538" s="10"/>
      <c r="LW538" s="10"/>
      <c r="LX538" s="10"/>
      <c r="LY538" s="10"/>
      <c r="LZ538" s="10"/>
      <c r="MA538" s="10"/>
      <c r="MB538" s="10"/>
      <c r="MC538" s="10"/>
      <c r="MD538" s="10"/>
      <c r="ME538" s="10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/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0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  <c r="SB538" s="10"/>
      <c r="SC538" s="10"/>
      <c r="SD538" s="10"/>
      <c r="SE538" s="10"/>
      <c r="SF538" s="10"/>
      <c r="SG538" s="10"/>
      <c r="SH538" s="10"/>
      <c r="SI538" s="10"/>
      <c r="SJ538" s="10"/>
      <c r="SK538" s="10"/>
      <c r="SL538" s="10"/>
      <c r="SM538" s="10"/>
      <c r="SN538" s="10"/>
      <c r="SO538" s="10"/>
      <c r="SP538" s="10"/>
      <c r="SQ538" s="10"/>
      <c r="SR538" s="10"/>
      <c r="SS538" s="10"/>
      <c r="ST538" s="10"/>
      <c r="SU538" s="10"/>
      <c r="SV538" s="10"/>
      <c r="SW538" s="10"/>
      <c r="SX538" s="10"/>
      <c r="SY538" s="10"/>
      <c r="SZ538" s="10"/>
      <c r="TA538" s="10"/>
      <c r="TB538" s="10"/>
      <c r="TC538" s="10"/>
      <c r="TD538" s="10"/>
      <c r="TE538" s="10"/>
      <c r="TF538" s="10"/>
      <c r="TG538" s="11">
        <f t="shared" si="27"/>
        <v>0</v>
      </c>
      <c r="TH538" s="9">
        <f t="shared" si="28"/>
        <v>0</v>
      </c>
    </row>
    <row r="539" spans="1:528" ht="16.2" thickBot="1" x14ac:dyDescent="0.35">
      <c r="A539" s="25"/>
      <c r="B539" s="23" t="s">
        <v>526</v>
      </c>
      <c r="C539" s="3">
        <f>AGOSTO!D543</f>
        <v>0</v>
      </c>
      <c r="D539" s="21">
        <f t="shared" si="26"/>
        <v>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1">
        <f t="shared" si="27"/>
        <v>0</v>
      </c>
      <c r="TH539" s="9">
        <f t="shared" si="28"/>
        <v>0</v>
      </c>
    </row>
    <row r="540" spans="1:528" ht="15.6" thickBot="1" x14ac:dyDescent="0.3">
      <c r="A540" s="25" t="s">
        <v>527</v>
      </c>
      <c r="B540" s="18" t="s">
        <v>1095</v>
      </c>
      <c r="C540" s="3">
        <f>AGOSTO!D544</f>
        <v>0</v>
      </c>
      <c r="D540" s="21">
        <f t="shared" si="26"/>
        <v>0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>
        <f>32</f>
        <v>32</v>
      </c>
      <c r="BP540" s="10">
        <v>-32</v>
      </c>
      <c r="BQ540" s="10">
        <f>43</f>
        <v>43</v>
      </c>
      <c r="BR540" s="10">
        <v>-43</v>
      </c>
      <c r="BS540" s="10">
        <f>31</f>
        <v>31</v>
      </c>
      <c r="BT540" s="10"/>
      <c r="BU540" s="10"/>
      <c r="BV540" s="10"/>
      <c r="BW540" s="10"/>
      <c r="BX540" s="10"/>
      <c r="BY540" s="10">
        <v>25</v>
      </c>
      <c r="BZ540" s="10"/>
      <c r="CA540" s="10">
        <v>16</v>
      </c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>
        <v>56</v>
      </c>
      <c r="CP540" s="10"/>
      <c r="CQ540" s="10"/>
      <c r="CR540" s="10"/>
      <c r="CS540" s="10">
        <v>48</v>
      </c>
      <c r="CT540" s="10"/>
      <c r="CU540" s="10">
        <v>56</v>
      </c>
      <c r="CV540" s="10"/>
      <c r="CW540" s="10"/>
      <c r="CX540" s="10">
        <v>-232</v>
      </c>
      <c r="CY540" s="10"/>
      <c r="CZ540" s="10"/>
      <c r="DA540" s="10">
        <v>56</v>
      </c>
      <c r="DB540" s="10"/>
      <c r="DC540" s="10"/>
      <c r="DD540" s="10">
        <v>-38</v>
      </c>
      <c r="DE540" s="10">
        <v>61</v>
      </c>
      <c r="DF540" s="10"/>
      <c r="DG540" s="10"/>
      <c r="DH540" s="10"/>
      <c r="DI540" s="10">
        <v>1</v>
      </c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>
        <v>20</v>
      </c>
      <c r="DV540" s="10">
        <v>-94</v>
      </c>
      <c r="DW540" s="10"/>
      <c r="DX540" s="10"/>
      <c r="DY540" s="10"/>
      <c r="DZ540" s="10"/>
      <c r="EA540" s="10"/>
      <c r="EB540" s="10"/>
      <c r="EC540" s="10"/>
      <c r="ED540" s="10">
        <v>-6</v>
      </c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0"/>
      <c r="LV540" s="10"/>
      <c r="LW540" s="10"/>
      <c r="LX540" s="10"/>
      <c r="LY540" s="10"/>
      <c r="LZ540" s="10"/>
      <c r="MA540" s="10"/>
      <c r="MB540" s="10"/>
      <c r="MC540" s="10"/>
      <c r="MD540" s="10"/>
      <c r="ME540" s="10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/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0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  <c r="SB540" s="10"/>
      <c r="SC540" s="10"/>
      <c r="SD540" s="10"/>
      <c r="SE540" s="10"/>
      <c r="SF540" s="10"/>
      <c r="SG540" s="10"/>
      <c r="SH540" s="10"/>
      <c r="SI540" s="10"/>
      <c r="SJ540" s="10"/>
      <c r="SK540" s="10"/>
      <c r="SL540" s="10"/>
      <c r="SM540" s="10"/>
      <c r="SN540" s="10"/>
      <c r="SO540" s="10"/>
      <c r="SP540" s="10"/>
      <c r="SQ540" s="10"/>
      <c r="SR540" s="10"/>
      <c r="SS540" s="10"/>
      <c r="ST540" s="10"/>
      <c r="SU540" s="10"/>
      <c r="SV540" s="10"/>
      <c r="SW540" s="10"/>
      <c r="SX540" s="10"/>
      <c r="SY540" s="10"/>
      <c r="SZ540" s="10"/>
      <c r="TA540" s="10"/>
      <c r="TB540" s="10"/>
      <c r="TC540" s="10"/>
      <c r="TD540" s="10"/>
      <c r="TE540" s="10"/>
      <c r="TF540" s="10"/>
      <c r="TG540" s="11">
        <f t="shared" si="27"/>
        <v>0</v>
      </c>
      <c r="TH540" s="9">
        <f t="shared" si="28"/>
        <v>0</v>
      </c>
    </row>
    <row r="541" spans="1:528" ht="16.2" thickBot="1" x14ac:dyDescent="0.35">
      <c r="A541" s="25"/>
      <c r="B541" s="23" t="s">
        <v>625</v>
      </c>
      <c r="C541" s="3">
        <f>AGOSTO!D545</f>
        <v>0</v>
      </c>
      <c r="D541" s="21">
        <f t="shared" si="26"/>
        <v>0</v>
      </c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1">
        <f t="shared" si="27"/>
        <v>0</v>
      </c>
      <c r="TH541" s="9">
        <f t="shared" si="28"/>
        <v>0</v>
      </c>
    </row>
    <row r="542" spans="1:528" ht="15.6" thickBot="1" x14ac:dyDescent="0.3">
      <c r="A542" s="25"/>
      <c r="B542" s="18" t="s">
        <v>637</v>
      </c>
      <c r="C542" s="3">
        <f>AGOSTO!D546</f>
        <v>0</v>
      </c>
      <c r="D542" s="21">
        <f t="shared" si="26"/>
        <v>0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>
        <v>310</v>
      </c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>
        <v>-310</v>
      </c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10"/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10"/>
      <c r="KO542" s="10"/>
      <c r="KP542" s="10"/>
      <c r="KQ542" s="10"/>
      <c r="KR542" s="10"/>
      <c r="KS542" s="10"/>
      <c r="KT542" s="10"/>
      <c r="KU542" s="10"/>
      <c r="KV542" s="10"/>
      <c r="KW542" s="10"/>
      <c r="KX542" s="10"/>
      <c r="KY542" s="10"/>
      <c r="KZ542" s="10"/>
      <c r="LA542" s="10"/>
      <c r="LB542" s="10"/>
      <c r="LC542" s="10"/>
      <c r="LD542" s="10"/>
      <c r="LE542" s="10"/>
      <c r="LF542" s="10"/>
      <c r="LG542" s="10"/>
      <c r="LH542" s="10"/>
      <c r="LI542" s="10"/>
      <c r="LJ542" s="10"/>
      <c r="LK542" s="10"/>
      <c r="LL542" s="10"/>
      <c r="LM542" s="10"/>
      <c r="LN542" s="10"/>
      <c r="LO542" s="10"/>
      <c r="LP542" s="10"/>
      <c r="LQ542" s="10"/>
      <c r="LR542" s="10"/>
      <c r="LS542" s="10"/>
      <c r="LT542" s="10"/>
      <c r="LU542" s="10"/>
      <c r="LV542" s="10"/>
      <c r="LW542" s="10"/>
      <c r="LX542" s="10"/>
      <c r="LY542" s="10"/>
      <c r="LZ542" s="10"/>
      <c r="MA542" s="10"/>
      <c r="MB542" s="10"/>
      <c r="MC542" s="10"/>
      <c r="MD542" s="10"/>
      <c r="ME542" s="10"/>
      <c r="MF542" s="10"/>
      <c r="MG542" s="10"/>
      <c r="MH542" s="10"/>
      <c r="MI542" s="10"/>
      <c r="MJ542" s="10"/>
      <c r="MK542" s="10"/>
      <c r="ML542" s="10"/>
      <c r="MM542" s="10"/>
      <c r="MN542" s="10"/>
      <c r="MO542" s="10"/>
      <c r="MP542" s="10"/>
      <c r="MQ542" s="10"/>
      <c r="MR542" s="10"/>
      <c r="MS542" s="10"/>
      <c r="MT542" s="10"/>
      <c r="MU542" s="10"/>
      <c r="MV542" s="10"/>
      <c r="MW542" s="10"/>
      <c r="MX542" s="10"/>
      <c r="MY542" s="10"/>
      <c r="MZ542" s="10"/>
      <c r="NA542" s="10"/>
      <c r="NB542" s="10"/>
      <c r="NC542" s="10"/>
      <c r="ND542" s="10"/>
      <c r="NE542" s="10"/>
      <c r="NF542" s="10"/>
      <c r="NG542" s="10"/>
      <c r="NH542" s="10"/>
      <c r="NI542" s="10"/>
      <c r="NJ542" s="10"/>
      <c r="NK542" s="10"/>
      <c r="NL542" s="10"/>
      <c r="NM542" s="10"/>
      <c r="NN542" s="10"/>
      <c r="NO542" s="10"/>
      <c r="NP542" s="10"/>
      <c r="NQ542" s="10"/>
      <c r="NR542" s="10"/>
      <c r="NS542" s="10"/>
      <c r="NT542" s="10"/>
      <c r="NU542" s="10"/>
      <c r="NV542" s="10"/>
      <c r="NW542" s="10"/>
      <c r="NX542" s="10"/>
      <c r="NY542" s="10"/>
      <c r="NZ542" s="10"/>
      <c r="OA542" s="10"/>
      <c r="OB542" s="10"/>
      <c r="OC542" s="10"/>
      <c r="OD542" s="10"/>
      <c r="OE542" s="10"/>
      <c r="OF542" s="10"/>
      <c r="OG542" s="10"/>
      <c r="OH542" s="10"/>
      <c r="OI542" s="10"/>
      <c r="OJ542" s="10"/>
      <c r="OK542" s="10"/>
      <c r="OL542" s="10"/>
      <c r="OM542" s="10"/>
      <c r="ON542" s="10"/>
      <c r="OO542" s="10"/>
      <c r="OP542" s="10"/>
      <c r="OQ542" s="10"/>
      <c r="OR542" s="10"/>
      <c r="OS542" s="10"/>
      <c r="OT542" s="10"/>
      <c r="OU542" s="10"/>
      <c r="OV542" s="10"/>
      <c r="OW542" s="10"/>
      <c r="OX542" s="10"/>
      <c r="OY542" s="10"/>
      <c r="OZ542" s="10"/>
      <c r="PA542" s="10"/>
      <c r="PB542" s="10"/>
      <c r="PC542" s="10"/>
      <c r="PD542" s="10"/>
      <c r="PE542" s="10"/>
      <c r="PF542" s="10"/>
      <c r="PG542" s="10"/>
      <c r="PH542" s="10"/>
      <c r="PI542" s="10"/>
      <c r="PJ542" s="10"/>
      <c r="PK542" s="10"/>
      <c r="PL542" s="10"/>
      <c r="PM542" s="10"/>
      <c r="PN542" s="10"/>
      <c r="PO542" s="10"/>
      <c r="PP542" s="10"/>
      <c r="PQ542" s="10"/>
      <c r="PR542" s="10"/>
      <c r="PS542" s="10"/>
      <c r="PT542" s="10"/>
      <c r="PU542" s="10"/>
      <c r="PV542" s="10"/>
      <c r="PW542" s="10"/>
      <c r="PX542" s="10"/>
      <c r="PY542" s="10"/>
      <c r="PZ542" s="10"/>
      <c r="QA542" s="10"/>
      <c r="QB542" s="10"/>
      <c r="QC542" s="10"/>
      <c r="QD542" s="10"/>
      <c r="QE542" s="10"/>
      <c r="QF542" s="10"/>
      <c r="QG542" s="10"/>
      <c r="QH542" s="10"/>
      <c r="QI542" s="10"/>
      <c r="QJ542" s="10"/>
      <c r="QK542" s="10"/>
      <c r="QL542" s="10"/>
      <c r="QM542" s="10"/>
      <c r="QN542" s="10"/>
      <c r="QO542" s="10"/>
      <c r="QP542" s="10"/>
      <c r="QQ542" s="10"/>
      <c r="QR542" s="10"/>
      <c r="QS542" s="10"/>
      <c r="QT542" s="10"/>
      <c r="QU542" s="10"/>
      <c r="QV542" s="10"/>
      <c r="QW542" s="10"/>
      <c r="QX542" s="10"/>
      <c r="QY542" s="10"/>
      <c r="QZ542" s="10"/>
      <c r="RA542" s="10"/>
      <c r="RB542" s="10"/>
      <c r="RC542" s="10"/>
      <c r="RD542" s="10"/>
      <c r="RE542" s="10"/>
      <c r="RF542" s="10"/>
      <c r="RG542" s="10"/>
      <c r="RH542" s="10"/>
      <c r="RI542" s="10"/>
      <c r="RJ542" s="10"/>
      <c r="RK542" s="10"/>
      <c r="RL542" s="10"/>
      <c r="RM542" s="10"/>
      <c r="RN542" s="10"/>
      <c r="RO542" s="10"/>
      <c r="RP542" s="10"/>
      <c r="RQ542" s="10"/>
      <c r="RR542" s="10"/>
      <c r="RS542" s="10"/>
      <c r="RT542" s="10"/>
      <c r="RU542" s="10"/>
      <c r="RV542" s="10"/>
      <c r="RW542" s="10"/>
      <c r="RX542" s="10"/>
      <c r="RY542" s="10"/>
      <c r="RZ542" s="10"/>
      <c r="SA542" s="10"/>
      <c r="SB542" s="10"/>
      <c r="SC542" s="10"/>
      <c r="SD542" s="10"/>
      <c r="SE542" s="10"/>
      <c r="SF542" s="10"/>
      <c r="SG542" s="10"/>
      <c r="SH542" s="10"/>
      <c r="SI542" s="10"/>
      <c r="SJ542" s="10"/>
      <c r="SK542" s="10"/>
      <c r="SL542" s="10"/>
      <c r="SM542" s="10"/>
      <c r="SN542" s="10"/>
      <c r="SO542" s="10"/>
      <c r="SP542" s="10"/>
      <c r="SQ542" s="10"/>
      <c r="SR542" s="10"/>
      <c r="SS542" s="10"/>
      <c r="ST542" s="10"/>
      <c r="SU542" s="10"/>
      <c r="SV542" s="10"/>
      <c r="SW542" s="10"/>
      <c r="SX542" s="10"/>
      <c r="SY542" s="10"/>
      <c r="SZ542" s="10"/>
      <c r="TA542" s="10"/>
      <c r="TB542" s="10"/>
      <c r="TC542" s="10"/>
      <c r="TD542" s="10"/>
      <c r="TE542" s="10"/>
      <c r="TF542" s="10"/>
      <c r="TG542" s="11">
        <f t="shared" si="27"/>
        <v>0</v>
      </c>
      <c r="TH542" s="9">
        <f t="shared" si="28"/>
        <v>0</v>
      </c>
    </row>
    <row r="543" spans="1:528" ht="15.6" thickBot="1" x14ac:dyDescent="0.3">
      <c r="A543" s="25"/>
      <c r="B543" s="18" t="s">
        <v>636</v>
      </c>
      <c r="C543" s="3">
        <f>AGOSTO!D547</f>
        <v>0</v>
      </c>
      <c r="D543" s="21">
        <f t="shared" si="26"/>
        <v>0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>
        <v>50</v>
      </c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>
        <v>-50</v>
      </c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1">
        <f t="shared" si="27"/>
        <v>0</v>
      </c>
      <c r="TH543" s="9">
        <f t="shared" si="28"/>
        <v>0</v>
      </c>
    </row>
    <row r="544" spans="1:528" ht="15.6" thickBot="1" x14ac:dyDescent="0.3">
      <c r="A544" s="25"/>
      <c r="B544" s="18" t="s">
        <v>642</v>
      </c>
      <c r="C544" s="3">
        <f>AGOSTO!D548</f>
        <v>0</v>
      </c>
      <c r="D544" s="21">
        <f t="shared" si="26"/>
        <v>0</v>
      </c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0"/>
      <c r="LV544" s="10"/>
      <c r="LW544" s="10"/>
      <c r="LX544" s="10"/>
      <c r="LY544" s="10"/>
      <c r="LZ544" s="10"/>
      <c r="MA544" s="10"/>
      <c r="MB544" s="10"/>
      <c r="MC544" s="10"/>
      <c r="MD544" s="10"/>
      <c r="ME544" s="10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0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  <c r="SB544" s="10"/>
      <c r="SC544" s="10"/>
      <c r="SD544" s="10"/>
      <c r="SE544" s="10"/>
      <c r="SF544" s="10"/>
      <c r="SG544" s="10"/>
      <c r="SH544" s="10"/>
      <c r="SI544" s="10"/>
      <c r="SJ544" s="10"/>
      <c r="SK544" s="10"/>
      <c r="SL544" s="10"/>
      <c r="SM544" s="10"/>
      <c r="SN544" s="10"/>
      <c r="SO544" s="10"/>
      <c r="SP544" s="10"/>
      <c r="SQ544" s="10"/>
      <c r="SR544" s="10"/>
      <c r="SS544" s="10"/>
      <c r="ST544" s="10"/>
      <c r="SU544" s="10"/>
      <c r="SV544" s="10"/>
      <c r="SW544" s="10"/>
      <c r="SX544" s="10"/>
      <c r="SY544" s="10"/>
      <c r="SZ544" s="10"/>
      <c r="TA544" s="10"/>
      <c r="TB544" s="10"/>
      <c r="TC544" s="10"/>
      <c r="TD544" s="10"/>
      <c r="TE544" s="10"/>
      <c r="TF544" s="10"/>
      <c r="TG544" s="11">
        <f t="shared" si="27"/>
        <v>0</v>
      </c>
      <c r="TH544" s="9">
        <f t="shared" si="28"/>
        <v>0</v>
      </c>
    </row>
    <row r="545" spans="1:528" ht="15.6" thickBot="1" x14ac:dyDescent="0.3">
      <c r="A545" s="25"/>
      <c r="B545" s="18" t="s">
        <v>635</v>
      </c>
      <c r="C545" s="3">
        <f>AGOSTO!D549</f>
        <v>0</v>
      </c>
      <c r="D545" s="21">
        <f t="shared" si="26"/>
        <v>0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>
        <f>132.5+127.5</f>
        <v>260</v>
      </c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>
        <f>-132.5-127.5</f>
        <v>-260</v>
      </c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1">
        <f t="shared" si="27"/>
        <v>260</v>
      </c>
      <c r="TH545" s="9">
        <f t="shared" si="28"/>
        <v>0</v>
      </c>
    </row>
    <row r="546" spans="1:528" ht="15.6" thickBot="1" x14ac:dyDescent="0.3">
      <c r="A546" s="25"/>
      <c r="B546" s="18" t="s">
        <v>624</v>
      </c>
      <c r="C546" s="3">
        <f>AGOSTO!D550</f>
        <v>0</v>
      </c>
      <c r="D546" s="21">
        <f t="shared" si="26"/>
        <v>0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>
        <v>0</v>
      </c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0"/>
      <c r="LV546" s="10"/>
      <c r="LW546" s="10"/>
      <c r="LX546" s="10"/>
      <c r="LY546" s="10"/>
      <c r="LZ546" s="10"/>
      <c r="MA546" s="10"/>
      <c r="MB546" s="10"/>
      <c r="MC546" s="10"/>
      <c r="MD546" s="10"/>
      <c r="ME546" s="10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0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  <c r="SB546" s="10"/>
      <c r="SC546" s="10"/>
      <c r="SD546" s="10"/>
      <c r="SE546" s="10"/>
      <c r="SF546" s="10"/>
      <c r="SG546" s="10"/>
      <c r="SH546" s="10"/>
      <c r="SI546" s="10"/>
      <c r="SJ546" s="10"/>
      <c r="SK546" s="10"/>
      <c r="SL546" s="10"/>
      <c r="SM546" s="10"/>
      <c r="SN546" s="10"/>
      <c r="SO546" s="10"/>
      <c r="SP546" s="10"/>
      <c r="SQ546" s="10"/>
      <c r="SR546" s="10"/>
      <c r="SS546" s="10"/>
      <c r="ST546" s="10"/>
      <c r="SU546" s="10"/>
      <c r="SV546" s="10"/>
      <c r="SW546" s="10"/>
      <c r="SX546" s="10"/>
      <c r="SY546" s="10"/>
      <c r="SZ546" s="10"/>
      <c r="TA546" s="10"/>
      <c r="TB546" s="10"/>
      <c r="TC546" s="10"/>
      <c r="TD546" s="10"/>
      <c r="TE546" s="10"/>
      <c r="TF546" s="10"/>
      <c r="TG546" s="11">
        <f t="shared" si="27"/>
        <v>0</v>
      </c>
      <c r="TH546" s="9">
        <f t="shared" si="28"/>
        <v>0</v>
      </c>
    </row>
    <row r="547" spans="1:528" ht="15.6" thickBot="1" x14ac:dyDescent="0.3">
      <c r="A547" s="25"/>
      <c r="B547" s="18" t="s">
        <v>1072</v>
      </c>
      <c r="C547" s="3">
        <f>AGOSTO!D551</f>
        <v>0</v>
      </c>
      <c r="D547" s="21">
        <f t="shared" si="26"/>
        <v>0</v>
      </c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>
        <v>10</v>
      </c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>
        <v>-10</v>
      </c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1">
        <f t="shared" si="27"/>
        <v>0</v>
      </c>
      <c r="TH547" s="9">
        <f t="shared" si="28"/>
        <v>0</v>
      </c>
    </row>
    <row r="548" spans="1:528" ht="15.6" thickBot="1" x14ac:dyDescent="0.3">
      <c r="A548" s="25"/>
      <c r="B548" s="18" t="s">
        <v>1073</v>
      </c>
      <c r="C548" s="3">
        <f>AGOSTO!D552</f>
        <v>0</v>
      </c>
      <c r="D548" s="21">
        <f t="shared" si="26"/>
        <v>0</v>
      </c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>
        <v>18</v>
      </c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>
        <v>-18</v>
      </c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0"/>
      <c r="LV548" s="10"/>
      <c r="LW548" s="10"/>
      <c r="LX548" s="10"/>
      <c r="LY548" s="10"/>
      <c r="LZ548" s="10"/>
      <c r="MA548" s="10"/>
      <c r="MB548" s="10"/>
      <c r="MC548" s="10"/>
      <c r="MD548" s="10"/>
      <c r="ME548" s="10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/>
      <c r="QA548" s="10"/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0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  <c r="SB548" s="10"/>
      <c r="SC548" s="10"/>
      <c r="SD548" s="10"/>
      <c r="SE548" s="10"/>
      <c r="SF548" s="10"/>
      <c r="SG548" s="10"/>
      <c r="SH548" s="10"/>
      <c r="SI548" s="10"/>
      <c r="SJ548" s="10"/>
      <c r="SK548" s="10"/>
      <c r="SL548" s="10"/>
      <c r="SM548" s="10"/>
      <c r="SN548" s="10"/>
      <c r="SO548" s="10"/>
      <c r="SP548" s="10"/>
      <c r="SQ548" s="10"/>
      <c r="SR548" s="10"/>
      <c r="SS548" s="10"/>
      <c r="ST548" s="10"/>
      <c r="SU548" s="10"/>
      <c r="SV548" s="10"/>
      <c r="SW548" s="10"/>
      <c r="SX548" s="10"/>
      <c r="SY548" s="10"/>
      <c r="SZ548" s="10"/>
      <c r="TA548" s="10"/>
      <c r="TB548" s="10"/>
      <c r="TC548" s="10"/>
      <c r="TD548" s="10"/>
      <c r="TE548" s="10"/>
      <c r="TF548" s="10"/>
      <c r="TG548" s="11">
        <f t="shared" si="27"/>
        <v>0</v>
      </c>
      <c r="TH548" s="9">
        <f t="shared" si="28"/>
        <v>0</v>
      </c>
    </row>
    <row r="549" spans="1:528" ht="15.6" thickBot="1" x14ac:dyDescent="0.3">
      <c r="A549" s="25"/>
      <c r="B549" s="18" t="s">
        <v>1074</v>
      </c>
      <c r="C549" s="3">
        <f>AGOSTO!D553</f>
        <v>0</v>
      </c>
      <c r="D549" s="21">
        <f t="shared" si="26"/>
        <v>0</v>
      </c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>
        <v>13.8</v>
      </c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>
        <v>-13.8</v>
      </c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1">
        <f t="shared" si="27"/>
        <v>13.8</v>
      </c>
      <c r="TH549" s="9">
        <f t="shared" si="28"/>
        <v>0</v>
      </c>
    </row>
    <row r="550" spans="1:528" ht="15.6" thickBot="1" x14ac:dyDescent="0.3">
      <c r="A550" s="25"/>
      <c r="B550" s="18" t="s">
        <v>663</v>
      </c>
      <c r="C550" s="3">
        <f>AGOSTO!D554</f>
        <v>0</v>
      </c>
      <c r="D550" s="21">
        <f t="shared" si="26"/>
        <v>0</v>
      </c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>
        <v>100</v>
      </c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>
        <v>-100</v>
      </c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10"/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10"/>
      <c r="KO550" s="10"/>
      <c r="KP550" s="10"/>
      <c r="KQ550" s="10"/>
      <c r="KR550" s="10"/>
      <c r="KS550" s="10"/>
      <c r="KT550" s="10"/>
      <c r="KU550" s="10"/>
      <c r="KV550" s="10"/>
      <c r="KW550" s="10"/>
      <c r="KX550" s="10"/>
      <c r="KY550" s="10"/>
      <c r="KZ550" s="10"/>
      <c r="LA550" s="10"/>
      <c r="LB550" s="10"/>
      <c r="LC550" s="10"/>
      <c r="LD550" s="10"/>
      <c r="LE550" s="10"/>
      <c r="LF550" s="10"/>
      <c r="LG550" s="10"/>
      <c r="LH550" s="10"/>
      <c r="LI550" s="10"/>
      <c r="LJ550" s="10"/>
      <c r="LK550" s="10"/>
      <c r="LL550" s="10"/>
      <c r="LM550" s="10"/>
      <c r="LN550" s="10"/>
      <c r="LO550" s="10"/>
      <c r="LP550" s="10"/>
      <c r="LQ550" s="10"/>
      <c r="LR550" s="10"/>
      <c r="LS550" s="10"/>
      <c r="LT550" s="10"/>
      <c r="LU550" s="10"/>
      <c r="LV550" s="10"/>
      <c r="LW550" s="10"/>
      <c r="LX550" s="10"/>
      <c r="LY550" s="10"/>
      <c r="LZ550" s="10"/>
      <c r="MA550" s="10"/>
      <c r="MB550" s="10"/>
      <c r="MC550" s="10"/>
      <c r="MD550" s="10"/>
      <c r="ME550" s="10"/>
      <c r="MF550" s="10"/>
      <c r="MG550" s="10"/>
      <c r="MH550" s="10"/>
      <c r="MI550" s="10"/>
      <c r="MJ550" s="10"/>
      <c r="MK550" s="10"/>
      <c r="ML550" s="10"/>
      <c r="MM550" s="10"/>
      <c r="MN550" s="10"/>
      <c r="MO550" s="10"/>
      <c r="MP550" s="10"/>
      <c r="MQ550" s="10"/>
      <c r="MR550" s="10"/>
      <c r="MS550" s="10"/>
      <c r="MT550" s="10"/>
      <c r="MU550" s="10"/>
      <c r="MV550" s="10"/>
      <c r="MW550" s="10"/>
      <c r="MX550" s="10"/>
      <c r="MY550" s="10"/>
      <c r="MZ550" s="10"/>
      <c r="NA550" s="10"/>
      <c r="NB550" s="10"/>
      <c r="NC550" s="10"/>
      <c r="ND550" s="10"/>
      <c r="NE550" s="10"/>
      <c r="NF550" s="10"/>
      <c r="NG550" s="10"/>
      <c r="NH550" s="10"/>
      <c r="NI550" s="10"/>
      <c r="NJ550" s="10"/>
      <c r="NK550" s="10"/>
      <c r="NL550" s="10"/>
      <c r="NM550" s="10"/>
      <c r="NN550" s="10"/>
      <c r="NO550" s="10"/>
      <c r="NP550" s="10"/>
      <c r="NQ550" s="10"/>
      <c r="NR550" s="10"/>
      <c r="NS550" s="10"/>
      <c r="NT550" s="10"/>
      <c r="NU550" s="10"/>
      <c r="NV550" s="10"/>
      <c r="NW550" s="10"/>
      <c r="NX550" s="10"/>
      <c r="NY550" s="10"/>
      <c r="NZ550" s="10"/>
      <c r="OA550" s="10"/>
      <c r="OB550" s="10"/>
      <c r="OC550" s="10"/>
      <c r="OD550" s="10"/>
      <c r="OE550" s="10"/>
      <c r="OF550" s="10"/>
      <c r="OG550" s="10"/>
      <c r="OH550" s="10"/>
      <c r="OI550" s="10"/>
      <c r="OJ550" s="10"/>
      <c r="OK550" s="10"/>
      <c r="OL550" s="10"/>
      <c r="OM550" s="10"/>
      <c r="ON550" s="10"/>
      <c r="OO550" s="10"/>
      <c r="OP550" s="10"/>
      <c r="OQ550" s="10"/>
      <c r="OR550" s="10"/>
      <c r="OS550" s="10"/>
      <c r="OT550" s="10"/>
      <c r="OU550" s="10"/>
      <c r="OV550" s="10"/>
      <c r="OW550" s="10"/>
      <c r="OX550" s="10"/>
      <c r="OY550" s="10"/>
      <c r="OZ550" s="10"/>
      <c r="PA550" s="10"/>
      <c r="PB550" s="10"/>
      <c r="PC550" s="10"/>
      <c r="PD550" s="10"/>
      <c r="PE550" s="10"/>
      <c r="PF550" s="10"/>
      <c r="PG550" s="10"/>
      <c r="PH550" s="10"/>
      <c r="PI550" s="10"/>
      <c r="PJ550" s="10"/>
      <c r="PK550" s="10"/>
      <c r="PL550" s="10"/>
      <c r="PM550" s="10"/>
      <c r="PN550" s="10"/>
      <c r="PO550" s="10"/>
      <c r="PP550" s="10"/>
      <c r="PQ550" s="10"/>
      <c r="PR550" s="10"/>
      <c r="PS550" s="10"/>
      <c r="PT550" s="10"/>
      <c r="PU550" s="10"/>
      <c r="PV550" s="10"/>
      <c r="PW550" s="10"/>
      <c r="PX550" s="10"/>
      <c r="PY550" s="10"/>
      <c r="PZ550" s="10"/>
      <c r="QA550" s="10"/>
      <c r="QB550" s="10"/>
      <c r="QC550" s="10"/>
      <c r="QD550" s="10"/>
      <c r="QE550" s="10"/>
      <c r="QF550" s="10"/>
      <c r="QG550" s="10"/>
      <c r="QH550" s="10"/>
      <c r="QI550" s="10"/>
      <c r="QJ550" s="10"/>
      <c r="QK550" s="10"/>
      <c r="QL550" s="10"/>
      <c r="QM550" s="10"/>
      <c r="QN550" s="10"/>
      <c r="QO550" s="10"/>
      <c r="QP550" s="10"/>
      <c r="QQ550" s="10"/>
      <c r="QR550" s="10"/>
      <c r="QS550" s="10"/>
      <c r="QT550" s="10"/>
      <c r="QU550" s="10"/>
      <c r="QV550" s="10"/>
      <c r="QW550" s="10"/>
      <c r="QX550" s="10"/>
      <c r="QY550" s="10"/>
      <c r="QZ550" s="10"/>
      <c r="RA550" s="10"/>
      <c r="RB550" s="10"/>
      <c r="RC550" s="10"/>
      <c r="RD550" s="10"/>
      <c r="RE550" s="10"/>
      <c r="RF550" s="10"/>
      <c r="RG550" s="10"/>
      <c r="RH550" s="10"/>
      <c r="RI550" s="10"/>
      <c r="RJ550" s="10"/>
      <c r="RK550" s="10"/>
      <c r="RL550" s="10"/>
      <c r="RM550" s="10"/>
      <c r="RN550" s="10"/>
      <c r="RO550" s="10"/>
      <c r="RP550" s="10"/>
      <c r="RQ550" s="10"/>
      <c r="RR550" s="10"/>
      <c r="RS550" s="10"/>
      <c r="RT550" s="10"/>
      <c r="RU550" s="10"/>
      <c r="RV550" s="10"/>
      <c r="RW550" s="10"/>
      <c r="RX550" s="10"/>
      <c r="RY550" s="10"/>
      <c r="RZ550" s="10"/>
      <c r="SA550" s="10"/>
      <c r="SB550" s="10"/>
      <c r="SC550" s="10"/>
      <c r="SD550" s="10"/>
      <c r="SE550" s="10"/>
      <c r="SF550" s="10"/>
      <c r="SG550" s="10"/>
      <c r="SH550" s="10"/>
      <c r="SI550" s="10"/>
      <c r="SJ550" s="10"/>
      <c r="SK550" s="10"/>
      <c r="SL550" s="10"/>
      <c r="SM550" s="10"/>
      <c r="SN550" s="10"/>
      <c r="SO550" s="10"/>
      <c r="SP550" s="10"/>
      <c r="SQ550" s="10"/>
      <c r="SR550" s="10"/>
      <c r="SS550" s="10"/>
      <c r="ST550" s="10"/>
      <c r="SU550" s="10"/>
      <c r="SV550" s="10"/>
      <c r="SW550" s="10"/>
      <c r="SX550" s="10"/>
      <c r="SY550" s="10"/>
      <c r="SZ550" s="10"/>
      <c r="TA550" s="10"/>
      <c r="TB550" s="10"/>
      <c r="TC550" s="10"/>
      <c r="TD550" s="10"/>
      <c r="TE550" s="10"/>
      <c r="TF550" s="10"/>
      <c r="TG550" s="11">
        <f t="shared" si="27"/>
        <v>0</v>
      </c>
      <c r="TH550" s="9">
        <f t="shared" si="28"/>
        <v>0</v>
      </c>
    </row>
    <row r="551" spans="1:528" ht="15.6" thickBot="1" x14ac:dyDescent="0.3">
      <c r="A551" s="25"/>
      <c r="B551" s="18" t="s">
        <v>664</v>
      </c>
      <c r="C551" s="3">
        <f>AGOSTO!D555</f>
        <v>0</v>
      </c>
      <c r="D551" s="21">
        <f t="shared" si="26"/>
        <v>25</v>
      </c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>
        <v>50</v>
      </c>
      <c r="BH551" s="10"/>
      <c r="BI551" s="10"/>
      <c r="BJ551" s="10"/>
      <c r="BK551" s="10"/>
      <c r="BL551" s="10"/>
      <c r="BM551" s="10"/>
      <c r="BN551" s="10"/>
      <c r="BO551" s="10">
        <v>5</v>
      </c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>
        <v>-30</v>
      </c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1">
        <f t="shared" si="27"/>
        <v>50</v>
      </c>
      <c r="TH551" s="9">
        <f t="shared" si="28"/>
        <v>0</v>
      </c>
    </row>
    <row r="552" spans="1:528" ht="15.6" thickBot="1" x14ac:dyDescent="0.3">
      <c r="A552" s="25"/>
      <c r="B552" s="18" t="s">
        <v>665</v>
      </c>
      <c r="C552" s="3">
        <f>AGOSTO!D556</f>
        <v>0</v>
      </c>
      <c r="D552" s="21">
        <f t="shared" si="26"/>
        <v>0</v>
      </c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>
        <v>100</v>
      </c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>
        <v>-100</v>
      </c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0"/>
      <c r="LV552" s="10"/>
      <c r="LW552" s="10"/>
      <c r="LX552" s="10"/>
      <c r="LY552" s="10"/>
      <c r="LZ552" s="10"/>
      <c r="MA552" s="10"/>
      <c r="MB552" s="10"/>
      <c r="MC552" s="10"/>
      <c r="MD552" s="10"/>
      <c r="ME552" s="10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0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  <c r="SB552" s="10"/>
      <c r="SC552" s="10"/>
      <c r="SD552" s="10"/>
      <c r="SE552" s="10"/>
      <c r="SF552" s="10"/>
      <c r="SG552" s="10"/>
      <c r="SH552" s="10"/>
      <c r="SI552" s="10"/>
      <c r="SJ552" s="10"/>
      <c r="SK552" s="10"/>
      <c r="SL552" s="10"/>
      <c r="SM552" s="10"/>
      <c r="SN552" s="10"/>
      <c r="SO552" s="10"/>
      <c r="SP552" s="10"/>
      <c r="SQ552" s="10"/>
      <c r="SR552" s="10"/>
      <c r="SS552" s="10"/>
      <c r="ST552" s="10"/>
      <c r="SU552" s="10"/>
      <c r="SV552" s="10"/>
      <c r="SW552" s="10"/>
      <c r="SX552" s="10"/>
      <c r="SY552" s="10"/>
      <c r="SZ552" s="10"/>
      <c r="TA552" s="10"/>
      <c r="TB552" s="10"/>
      <c r="TC552" s="10"/>
      <c r="TD552" s="10"/>
      <c r="TE552" s="10"/>
      <c r="TF552" s="10"/>
      <c r="TG552" s="11">
        <f t="shared" si="27"/>
        <v>100</v>
      </c>
      <c r="TH552" s="9">
        <f t="shared" si="28"/>
        <v>0</v>
      </c>
    </row>
    <row r="553" spans="1:528" ht="15.6" thickBot="1" x14ac:dyDescent="0.3">
      <c r="A553" s="25"/>
      <c r="B553" s="18" t="s">
        <v>668</v>
      </c>
      <c r="C553" s="3">
        <f>AGOSTO!D557</f>
        <v>0</v>
      </c>
      <c r="D553" s="21">
        <f t="shared" si="26"/>
        <v>0</v>
      </c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>
        <v>25</v>
      </c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>
        <v>-25</v>
      </c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1">
        <f t="shared" si="27"/>
        <v>0</v>
      </c>
      <c r="TH553" s="9">
        <f t="shared" si="28"/>
        <v>0</v>
      </c>
    </row>
    <row r="554" spans="1:528" ht="15.6" thickBot="1" x14ac:dyDescent="0.3">
      <c r="A554" s="25"/>
      <c r="B554" s="18" t="s">
        <v>712</v>
      </c>
      <c r="C554" s="3">
        <f>AGOSTO!D558</f>
        <v>0</v>
      </c>
      <c r="D554" s="21">
        <f t="shared" si="26"/>
        <v>60</v>
      </c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>
        <v>50</v>
      </c>
      <c r="CB554" s="10">
        <v>-50</v>
      </c>
      <c r="CC554" s="10">
        <v>60</v>
      </c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0"/>
      <c r="LV554" s="10"/>
      <c r="LW554" s="10"/>
      <c r="LX554" s="10"/>
      <c r="LY554" s="10"/>
      <c r="LZ554" s="10"/>
      <c r="MA554" s="10"/>
      <c r="MB554" s="10"/>
      <c r="MC554" s="10"/>
      <c r="MD554" s="10"/>
      <c r="ME554" s="10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0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  <c r="SB554" s="10"/>
      <c r="SC554" s="10"/>
      <c r="SD554" s="10"/>
      <c r="SE554" s="10"/>
      <c r="SF554" s="10"/>
      <c r="SG554" s="10"/>
      <c r="SH554" s="10"/>
      <c r="SI554" s="10"/>
      <c r="SJ554" s="10"/>
      <c r="SK554" s="10"/>
      <c r="SL554" s="10"/>
      <c r="SM554" s="10"/>
      <c r="SN554" s="10"/>
      <c r="SO554" s="10"/>
      <c r="SP554" s="10"/>
      <c r="SQ554" s="10"/>
      <c r="SR554" s="10"/>
      <c r="SS554" s="10"/>
      <c r="ST554" s="10"/>
      <c r="SU554" s="10"/>
      <c r="SV554" s="10"/>
      <c r="SW554" s="10"/>
      <c r="SX554" s="10"/>
      <c r="SY554" s="10"/>
      <c r="SZ554" s="10"/>
      <c r="TA554" s="10"/>
      <c r="TB554" s="10"/>
      <c r="TC554" s="10"/>
      <c r="TD554" s="10"/>
      <c r="TE554" s="10"/>
      <c r="TF554" s="10"/>
      <c r="TG554" s="11">
        <f t="shared" si="27"/>
        <v>0</v>
      </c>
      <c r="TH554" s="9">
        <f t="shared" si="28"/>
        <v>0</v>
      </c>
    </row>
    <row r="555" spans="1:528" ht="15.6" thickBot="1" x14ac:dyDescent="0.3">
      <c r="A555" s="25" t="s">
        <v>638</v>
      </c>
      <c r="B555" s="18" t="s">
        <v>639</v>
      </c>
      <c r="C555" s="3">
        <f>AGOSTO!D559</f>
        <v>0</v>
      </c>
      <c r="D555" s="21">
        <f t="shared" si="26"/>
        <v>0</v>
      </c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>
        <v>62</v>
      </c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>
        <v>-62</v>
      </c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>
        <v>30</v>
      </c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>
        <v>-30</v>
      </c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1">
        <f t="shared" si="27"/>
        <v>62</v>
      </c>
      <c r="TH555" s="9">
        <f t="shared" si="28"/>
        <v>-62</v>
      </c>
    </row>
    <row r="556" spans="1:528" ht="16.2" thickBot="1" x14ac:dyDescent="0.35">
      <c r="A556" s="25"/>
      <c r="B556" s="23" t="s">
        <v>770</v>
      </c>
      <c r="C556" s="3">
        <f>AGOSTO!D560</f>
        <v>0</v>
      </c>
      <c r="D556" s="21">
        <f t="shared" si="26"/>
        <v>35</v>
      </c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>
        <v>35</v>
      </c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0"/>
      <c r="LV556" s="10"/>
      <c r="LW556" s="10"/>
      <c r="LX556" s="10"/>
      <c r="LY556" s="10"/>
      <c r="LZ556" s="10"/>
      <c r="MA556" s="10"/>
      <c r="MB556" s="10"/>
      <c r="MC556" s="10"/>
      <c r="MD556" s="10"/>
      <c r="ME556" s="10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0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  <c r="SB556" s="10"/>
      <c r="SC556" s="10"/>
      <c r="SD556" s="10"/>
      <c r="SE556" s="10"/>
      <c r="SF556" s="10"/>
      <c r="SG556" s="10"/>
      <c r="SH556" s="10"/>
      <c r="SI556" s="10"/>
      <c r="SJ556" s="10"/>
      <c r="SK556" s="10"/>
      <c r="SL556" s="10"/>
      <c r="SM556" s="10"/>
      <c r="SN556" s="10"/>
      <c r="SO556" s="10"/>
      <c r="SP556" s="10"/>
      <c r="SQ556" s="10"/>
      <c r="SR556" s="10"/>
      <c r="SS556" s="10"/>
      <c r="ST556" s="10"/>
      <c r="SU556" s="10"/>
      <c r="SV556" s="10"/>
      <c r="SW556" s="10"/>
      <c r="SX556" s="10"/>
      <c r="SY556" s="10"/>
      <c r="SZ556" s="10"/>
      <c r="TA556" s="10"/>
      <c r="TB556" s="10"/>
      <c r="TC556" s="10"/>
      <c r="TD556" s="10"/>
      <c r="TE556" s="10"/>
      <c r="TF556" s="10"/>
      <c r="TG556" s="11">
        <f t="shared" si="27"/>
        <v>0</v>
      </c>
      <c r="TH556" s="9">
        <f t="shared" si="28"/>
        <v>0</v>
      </c>
    </row>
    <row r="557" spans="1:528" ht="15.6" thickBot="1" x14ac:dyDescent="0.3">
      <c r="A557" s="25" t="s">
        <v>771</v>
      </c>
      <c r="B557" s="18" t="s">
        <v>772</v>
      </c>
      <c r="C557" s="3">
        <f>AGOSTO!D561</f>
        <v>0</v>
      </c>
      <c r="D557" s="21">
        <f t="shared" si="26"/>
        <v>0</v>
      </c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1">
        <f t="shared" si="27"/>
        <v>0</v>
      </c>
      <c r="TH557" s="9">
        <f t="shared" si="28"/>
        <v>0</v>
      </c>
    </row>
    <row r="558" spans="1:528" ht="15.6" thickBot="1" x14ac:dyDescent="0.3">
      <c r="A558" s="25" t="s">
        <v>773</v>
      </c>
      <c r="B558" s="18" t="s">
        <v>774</v>
      </c>
      <c r="C558" s="3">
        <f>AGOSTO!D562</f>
        <v>0</v>
      </c>
      <c r="D558" s="21">
        <f t="shared" si="26"/>
        <v>0</v>
      </c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0"/>
      <c r="LV558" s="10"/>
      <c r="LW558" s="10"/>
      <c r="LX558" s="10"/>
      <c r="LY558" s="10"/>
      <c r="LZ558" s="10"/>
      <c r="MA558" s="10"/>
      <c r="MB558" s="10"/>
      <c r="MC558" s="10"/>
      <c r="MD558" s="10"/>
      <c r="ME558" s="10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/>
      <c r="QN558" s="10"/>
      <c r="QO558" s="10"/>
      <c r="QP558" s="10"/>
      <c r="QQ558" s="10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  <c r="SB558" s="10"/>
      <c r="SC558" s="10"/>
      <c r="SD558" s="10"/>
      <c r="SE558" s="10"/>
      <c r="SF558" s="10"/>
      <c r="SG558" s="10"/>
      <c r="SH558" s="10"/>
      <c r="SI558" s="10"/>
      <c r="SJ558" s="10"/>
      <c r="SK558" s="10"/>
      <c r="SL558" s="10"/>
      <c r="SM558" s="10"/>
      <c r="SN558" s="10"/>
      <c r="SO558" s="10"/>
      <c r="SP558" s="10"/>
      <c r="SQ558" s="10"/>
      <c r="SR558" s="10"/>
      <c r="SS558" s="10"/>
      <c r="ST558" s="10"/>
      <c r="SU558" s="10"/>
      <c r="SV558" s="10"/>
      <c r="SW558" s="10"/>
      <c r="SX558" s="10"/>
      <c r="SY558" s="10"/>
      <c r="SZ558" s="10"/>
      <c r="TA558" s="10"/>
      <c r="TB558" s="10"/>
      <c r="TC558" s="10"/>
      <c r="TD558" s="10"/>
      <c r="TE558" s="10"/>
      <c r="TF558" s="10"/>
      <c r="TG558" s="11">
        <f t="shared" si="27"/>
        <v>0</v>
      </c>
      <c r="TH558" s="9">
        <f t="shared" si="28"/>
        <v>0</v>
      </c>
    </row>
    <row r="559" spans="1:528" ht="16.2" thickBot="1" x14ac:dyDescent="0.35">
      <c r="A559" s="25"/>
      <c r="B559" s="23" t="s">
        <v>823</v>
      </c>
      <c r="C559" s="3">
        <f>AGOSTO!D563</f>
        <v>0</v>
      </c>
      <c r="D559" s="21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1">
        <f t="shared" si="27"/>
        <v>0</v>
      </c>
      <c r="TH559" s="9">
        <f t="shared" si="28"/>
        <v>0</v>
      </c>
    </row>
    <row r="560" spans="1:528" ht="15.6" thickBot="1" x14ac:dyDescent="0.3">
      <c r="A560" s="25" t="s">
        <v>831</v>
      </c>
      <c r="B560" s="18" t="s">
        <v>1075</v>
      </c>
      <c r="C560" s="3">
        <f>AGOSTO!D564</f>
        <v>0</v>
      </c>
      <c r="D560" s="21">
        <f>C560+SUM(E560:TF560)</f>
        <v>0</v>
      </c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0"/>
      <c r="LV560" s="10"/>
      <c r="LW560" s="10"/>
      <c r="LX560" s="10"/>
      <c r="LY560" s="10"/>
      <c r="LZ560" s="10"/>
      <c r="MA560" s="10"/>
      <c r="MB560" s="10"/>
      <c r="MC560" s="10"/>
      <c r="MD560" s="10"/>
      <c r="ME560" s="10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/>
      <c r="QP560" s="10"/>
      <c r="QQ560" s="10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  <c r="SB560" s="10"/>
      <c r="SC560" s="10"/>
      <c r="SD560" s="10"/>
      <c r="SE560" s="10"/>
      <c r="SF560" s="10"/>
      <c r="SG560" s="10"/>
      <c r="SH560" s="10"/>
      <c r="SI560" s="10"/>
      <c r="SJ560" s="10"/>
      <c r="SK560" s="10"/>
      <c r="SL560" s="10"/>
      <c r="SM560" s="10"/>
      <c r="SN560" s="10"/>
      <c r="SO560" s="10"/>
      <c r="SP560" s="10"/>
      <c r="SQ560" s="10"/>
      <c r="SR560" s="10"/>
      <c r="SS560" s="10"/>
      <c r="ST560" s="10"/>
      <c r="SU560" s="10"/>
      <c r="SV560" s="10"/>
      <c r="SW560" s="10"/>
      <c r="SX560" s="10"/>
      <c r="SY560" s="10"/>
      <c r="SZ560" s="10"/>
      <c r="TA560" s="10"/>
      <c r="TB560" s="10"/>
      <c r="TC560" s="10"/>
      <c r="TD560" s="10"/>
      <c r="TE560" s="10"/>
      <c r="TF560" s="10"/>
      <c r="TG560" s="11">
        <f t="shared" si="27"/>
        <v>0</v>
      </c>
      <c r="TH560" s="9">
        <f t="shared" si="28"/>
        <v>0</v>
      </c>
    </row>
    <row r="561" spans="1:528" ht="16.2" thickBot="1" x14ac:dyDescent="0.35">
      <c r="A561" s="18"/>
      <c r="B561" s="23" t="s">
        <v>829</v>
      </c>
      <c r="C561" s="3">
        <f>AGOSTO!D565</f>
        <v>0</v>
      </c>
      <c r="D561" s="21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1">
        <f t="shared" si="27"/>
        <v>0</v>
      </c>
      <c r="TH561" s="9">
        <f t="shared" si="28"/>
        <v>0</v>
      </c>
    </row>
    <row r="562" spans="1:528" ht="15.6" thickBot="1" x14ac:dyDescent="0.3">
      <c r="A562" s="18">
        <v>1146</v>
      </c>
      <c r="B562" s="18" t="s">
        <v>845</v>
      </c>
      <c r="C562" s="3">
        <f>AGOSTO!D566</f>
        <v>0</v>
      </c>
      <c r="D562" s="21">
        <f>C562+SUM(E562:TF562)</f>
        <v>0</v>
      </c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10"/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10"/>
      <c r="KO562" s="10"/>
      <c r="KP562" s="10"/>
      <c r="KQ562" s="10"/>
      <c r="KR562" s="10"/>
      <c r="KS562" s="10"/>
      <c r="KT562" s="10"/>
      <c r="KU562" s="10"/>
      <c r="KV562" s="10"/>
      <c r="KW562" s="10"/>
      <c r="KX562" s="10"/>
      <c r="KY562" s="10"/>
      <c r="KZ562" s="10"/>
      <c r="LA562" s="10"/>
      <c r="LB562" s="10"/>
      <c r="LC562" s="10"/>
      <c r="LD562" s="10"/>
      <c r="LE562" s="10"/>
      <c r="LF562" s="10"/>
      <c r="LG562" s="10"/>
      <c r="LH562" s="10"/>
      <c r="LI562" s="10"/>
      <c r="LJ562" s="10"/>
      <c r="LK562" s="10"/>
      <c r="LL562" s="10"/>
      <c r="LM562" s="10"/>
      <c r="LN562" s="10"/>
      <c r="LO562" s="10"/>
      <c r="LP562" s="10"/>
      <c r="LQ562" s="10"/>
      <c r="LR562" s="10"/>
      <c r="LS562" s="10"/>
      <c r="LT562" s="10"/>
      <c r="LU562" s="10"/>
      <c r="LV562" s="10"/>
      <c r="LW562" s="10"/>
      <c r="LX562" s="10"/>
      <c r="LY562" s="10"/>
      <c r="LZ562" s="10"/>
      <c r="MA562" s="10"/>
      <c r="MB562" s="10"/>
      <c r="MC562" s="10"/>
      <c r="MD562" s="10"/>
      <c r="ME562" s="10"/>
      <c r="MF562" s="10"/>
      <c r="MG562" s="10"/>
      <c r="MH562" s="10"/>
      <c r="MI562" s="10"/>
      <c r="MJ562" s="10"/>
      <c r="MK562" s="10"/>
      <c r="ML562" s="10"/>
      <c r="MM562" s="10"/>
      <c r="MN562" s="10"/>
      <c r="MO562" s="10"/>
      <c r="MP562" s="10"/>
      <c r="MQ562" s="10"/>
      <c r="MR562" s="10"/>
      <c r="MS562" s="10"/>
      <c r="MT562" s="10"/>
      <c r="MU562" s="10"/>
      <c r="MV562" s="10"/>
      <c r="MW562" s="10"/>
      <c r="MX562" s="10"/>
      <c r="MY562" s="10"/>
      <c r="MZ562" s="10"/>
      <c r="NA562" s="10"/>
      <c r="NB562" s="10"/>
      <c r="NC562" s="10"/>
      <c r="ND562" s="10"/>
      <c r="NE562" s="10"/>
      <c r="NF562" s="10"/>
      <c r="NG562" s="10"/>
      <c r="NH562" s="10"/>
      <c r="NI562" s="10"/>
      <c r="NJ562" s="10"/>
      <c r="NK562" s="10"/>
      <c r="NL562" s="10"/>
      <c r="NM562" s="10"/>
      <c r="NN562" s="10"/>
      <c r="NO562" s="10"/>
      <c r="NP562" s="10"/>
      <c r="NQ562" s="10"/>
      <c r="NR562" s="10"/>
      <c r="NS562" s="10"/>
      <c r="NT562" s="10"/>
      <c r="NU562" s="10"/>
      <c r="NV562" s="10"/>
      <c r="NW562" s="10"/>
      <c r="NX562" s="10"/>
      <c r="NY562" s="10"/>
      <c r="NZ562" s="10"/>
      <c r="OA562" s="10"/>
      <c r="OB562" s="10"/>
      <c r="OC562" s="10"/>
      <c r="OD562" s="10"/>
      <c r="OE562" s="10"/>
      <c r="OF562" s="10"/>
      <c r="OG562" s="10"/>
      <c r="OH562" s="10"/>
      <c r="OI562" s="10"/>
      <c r="OJ562" s="10"/>
      <c r="OK562" s="10"/>
      <c r="OL562" s="10"/>
      <c r="OM562" s="10"/>
      <c r="ON562" s="10"/>
      <c r="OO562" s="10"/>
      <c r="OP562" s="10"/>
      <c r="OQ562" s="10"/>
      <c r="OR562" s="10"/>
      <c r="OS562" s="10"/>
      <c r="OT562" s="10"/>
      <c r="OU562" s="10"/>
      <c r="OV562" s="10"/>
      <c r="OW562" s="10"/>
      <c r="OX562" s="10"/>
      <c r="OY562" s="10"/>
      <c r="OZ562" s="10"/>
      <c r="PA562" s="10"/>
      <c r="PB562" s="10"/>
      <c r="PC562" s="10"/>
      <c r="PD562" s="10"/>
      <c r="PE562" s="10"/>
      <c r="PF562" s="10"/>
      <c r="PG562" s="10"/>
      <c r="PH562" s="10"/>
      <c r="PI562" s="10"/>
      <c r="PJ562" s="10"/>
      <c r="PK562" s="10"/>
      <c r="PL562" s="10"/>
      <c r="PM562" s="10"/>
      <c r="PN562" s="10"/>
      <c r="PO562" s="10"/>
      <c r="PP562" s="10"/>
      <c r="PQ562" s="10"/>
      <c r="PR562" s="10"/>
      <c r="PS562" s="10"/>
      <c r="PT562" s="10"/>
      <c r="PU562" s="10"/>
      <c r="PV562" s="10"/>
      <c r="PW562" s="10"/>
      <c r="PX562" s="10"/>
      <c r="PY562" s="10"/>
      <c r="PZ562" s="10"/>
      <c r="QA562" s="10"/>
      <c r="QB562" s="10"/>
      <c r="QC562" s="10"/>
      <c r="QD562" s="10"/>
      <c r="QE562" s="10"/>
      <c r="QF562" s="10"/>
      <c r="QG562" s="10"/>
      <c r="QH562" s="10"/>
      <c r="QI562" s="10"/>
      <c r="QJ562" s="10"/>
      <c r="QK562" s="10"/>
      <c r="QL562" s="10"/>
      <c r="QM562" s="10"/>
      <c r="QN562" s="10"/>
      <c r="QO562" s="10"/>
      <c r="QP562" s="10"/>
      <c r="QQ562" s="10"/>
      <c r="QR562" s="10"/>
      <c r="QS562" s="10"/>
      <c r="QT562" s="10"/>
      <c r="QU562" s="10"/>
      <c r="QV562" s="10"/>
      <c r="QW562" s="10"/>
      <c r="QX562" s="10"/>
      <c r="QY562" s="10"/>
      <c r="QZ562" s="10"/>
      <c r="RA562" s="10"/>
      <c r="RB562" s="10"/>
      <c r="RC562" s="10"/>
      <c r="RD562" s="10"/>
      <c r="RE562" s="10"/>
      <c r="RF562" s="10"/>
      <c r="RG562" s="10"/>
      <c r="RH562" s="10"/>
      <c r="RI562" s="10"/>
      <c r="RJ562" s="10"/>
      <c r="RK562" s="10"/>
      <c r="RL562" s="10"/>
      <c r="RM562" s="10"/>
      <c r="RN562" s="10"/>
      <c r="RO562" s="10"/>
      <c r="RP562" s="10"/>
      <c r="RQ562" s="10"/>
      <c r="RR562" s="10"/>
      <c r="RS562" s="10"/>
      <c r="RT562" s="10"/>
      <c r="RU562" s="10"/>
      <c r="RV562" s="10"/>
      <c r="RW562" s="10"/>
      <c r="RX562" s="10"/>
      <c r="RY562" s="10"/>
      <c r="RZ562" s="10"/>
      <c r="SA562" s="10"/>
      <c r="SB562" s="10"/>
      <c r="SC562" s="10"/>
      <c r="SD562" s="10"/>
      <c r="SE562" s="10"/>
      <c r="SF562" s="10"/>
      <c r="SG562" s="10"/>
      <c r="SH562" s="10"/>
      <c r="SI562" s="10"/>
      <c r="SJ562" s="10"/>
      <c r="SK562" s="10"/>
      <c r="SL562" s="10"/>
      <c r="SM562" s="10"/>
      <c r="SN562" s="10"/>
      <c r="SO562" s="10"/>
      <c r="SP562" s="10"/>
      <c r="SQ562" s="10"/>
      <c r="SR562" s="10"/>
      <c r="SS562" s="10"/>
      <c r="ST562" s="10"/>
      <c r="SU562" s="10"/>
      <c r="SV562" s="10"/>
      <c r="SW562" s="10"/>
      <c r="SX562" s="10"/>
      <c r="SY562" s="10"/>
      <c r="SZ562" s="10"/>
      <c r="TA562" s="10"/>
      <c r="TB562" s="10"/>
      <c r="TC562" s="10"/>
      <c r="TD562" s="10"/>
      <c r="TE562" s="10"/>
      <c r="TF562" s="10"/>
      <c r="TG562" s="11">
        <f t="shared" si="27"/>
        <v>0</v>
      </c>
      <c r="TH562" s="9">
        <f t="shared" si="28"/>
        <v>0</v>
      </c>
    </row>
    <row r="563" spans="1:528" ht="15.6" thickBot="1" x14ac:dyDescent="0.3">
      <c r="A563" s="39">
        <v>1148</v>
      </c>
      <c r="B563" s="18" t="s">
        <v>830</v>
      </c>
      <c r="C563" s="3">
        <f>AGOSTO!D567</f>
        <v>0</v>
      </c>
      <c r="D563" s="21">
        <f>C563+SUM(E563:TF563)</f>
        <v>0</v>
      </c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1">
        <f t="shared" si="27"/>
        <v>0</v>
      </c>
      <c r="TH563" s="9">
        <f t="shared" si="28"/>
        <v>0</v>
      </c>
    </row>
    <row r="564" spans="1:528" ht="15.6" thickBot="1" x14ac:dyDescent="0.3">
      <c r="A564" s="39">
        <v>1147</v>
      </c>
      <c r="B564" s="18" t="s">
        <v>1076</v>
      </c>
      <c r="C564" s="3">
        <f>AGOSTO!D568</f>
        <v>0</v>
      </c>
      <c r="D564" s="21">
        <f>C564+SUM(E564:TF564)</f>
        <v>0</v>
      </c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10"/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10"/>
      <c r="KO564" s="10"/>
      <c r="KP564" s="10"/>
      <c r="KQ564" s="10"/>
      <c r="KR564" s="10"/>
      <c r="KS564" s="10"/>
      <c r="KT564" s="10"/>
      <c r="KU564" s="10"/>
      <c r="KV564" s="10"/>
      <c r="KW564" s="10"/>
      <c r="KX564" s="10"/>
      <c r="KY564" s="10"/>
      <c r="KZ564" s="10"/>
      <c r="LA564" s="10"/>
      <c r="LB564" s="10"/>
      <c r="LC564" s="10"/>
      <c r="LD564" s="10"/>
      <c r="LE564" s="10"/>
      <c r="LF564" s="10"/>
      <c r="LG564" s="10"/>
      <c r="LH564" s="10"/>
      <c r="LI564" s="10"/>
      <c r="LJ564" s="10"/>
      <c r="LK564" s="10"/>
      <c r="LL564" s="10"/>
      <c r="LM564" s="10"/>
      <c r="LN564" s="10"/>
      <c r="LO564" s="10"/>
      <c r="LP564" s="10"/>
      <c r="LQ564" s="10"/>
      <c r="LR564" s="10"/>
      <c r="LS564" s="10"/>
      <c r="LT564" s="10"/>
      <c r="LU564" s="10"/>
      <c r="LV564" s="10"/>
      <c r="LW564" s="10"/>
      <c r="LX564" s="10"/>
      <c r="LY564" s="10"/>
      <c r="LZ564" s="10"/>
      <c r="MA564" s="10"/>
      <c r="MB564" s="10"/>
      <c r="MC564" s="10"/>
      <c r="MD564" s="10"/>
      <c r="ME564" s="10"/>
      <c r="MF564" s="10"/>
      <c r="MG564" s="10"/>
      <c r="MH564" s="10"/>
      <c r="MI564" s="10"/>
      <c r="MJ564" s="10"/>
      <c r="MK564" s="10"/>
      <c r="ML564" s="10"/>
      <c r="MM564" s="10"/>
      <c r="MN564" s="10"/>
      <c r="MO564" s="10"/>
      <c r="MP564" s="10"/>
      <c r="MQ564" s="10"/>
      <c r="MR564" s="10"/>
      <c r="MS564" s="10"/>
      <c r="MT564" s="10"/>
      <c r="MU564" s="10"/>
      <c r="MV564" s="10"/>
      <c r="MW564" s="10"/>
      <c r="MX564" s="10"/>
      <c r="MY564" s="10"/>
      <c r="MZ564" s="10"/>
      <c r="NA564" s="10"/>
      <c r="NB564" s="10"/>
      <c r="NC564" s="10"/>
      <c r="ND564" s="10"/>
      <c r="NE564" s="10"/>
      <c r="NF564" s="10"/>
      <c r="NG564" s="10"/>
      <c r="NH564" s="10"/>
      <c r="NI564" s="10"/>
      <c r="NJ564" s="10"/>
      <c r="NK564" s="10"/>
      <c r="NL564" s="10"/>
      <c r="NM564" s="10"/>
      <c r="NN564" s="10"/>
      <c r="NO564" s="10"/>
      <c r="NP564" s="10"/>
      <c r="NQ564" s="10"/>
      <c r="NR564" s="10"/>
      <c r="NS564" s="10"/>
      <c r="NT564" s="10"/>
      <c r="NU564" s="10"/>
      <c r="NV564" s="10"/>
      <c r="NW564" s="10"/>
      <c r="NX564" s="10"/>
      <c r="NY564" s="10"/>
      <c r="NZ564" s="10"/>
      <c r="OA564" s="10"/>
      <c r="OB564" s="10"/>
      <c r="OC564" s="10"/>
      <c r="OD564" s="10"/>
      <c r="OE564" s="10"/>
      <c r="OF564" s="10"/>
      <c r="OG564" s="10"/>
      <c r="OH564" s="10"/>
      <c r="OI564" s="10"/>
      <c r="OJ564" s="10"/>
      <c r="OK564" s="10"/>
      <c r="OL564" s="10"/>
      <c r="OM564" s="10"/>
      <c r="ON564" s="10"/>
      <c r="OO564" s="10"/>
      <c r="OP564" s="10"/>
      <c r="OQ564" s="10"/>
      <c r="OR564" s="10"/>
      <c r="OS564" s="10"/>
      <c r="OT564" s="10"/>
      <c r="OU564" s="10"/>
      <c r="OV564" s="10"/>
      <c r="OW564" s="10"/>
      <c r="OX564" s="10"/>
      <c r="OY564" s="10"/>
      <c r="OZ564" s="10"/>
      <c r="PA564" s="10"/>
      <c r="PB564" s="10"/>
      <c r="PC564" s="10"/>
      <c r="PD564" s="10"/>
      <c r="PE564" s="10"/>
      <c r="PF564" s="10"/>
      <c r="PG564" s="10"/>
      <c r="PH564" s="10"/>
      <c r="PI564" s="10"/>
      <c r="PJ564" s="10"/>
      <c r="PK564" s="10"/>
      <c r="PL564" s="10"/>
      <c r="PM564" s="10"/>
      <c r="PN564" s="10"/>
      <c r="PO564" s="10"/>
      <c r="PP564" s="10"/>
      <c r="PQ564" s="10"/>
      <c r="PR564" s="10"/>
      <c r="PS564" s="10"/>
      <c r="PT564" s="10"/>
      <c r="PU564" s="10"/>
      <c r="PV564" s="10"/>
      <c r="PW564" s="10"/>
      <c r="PX564" s="10"/>
      <c r="PY564" s="10"/>
      <c r="PZ564" s="10"/>
      <c r="QA564" s="10"/>
      <c r="QB564" s="10"/>
      <c r="QC564" s="10"/>
      <c r="QD564" s="10"/>
      <c r="QE564" s="10"/>
      <c r="QF564" s="10"/>
      <c r="QG564" s="10"/>
      <c r="QH564" s="10"/>
      <c r="QI564" s="10"/>
      <c r="QJ564" s="10"/>
      <c r="QK564" s="10"/>
      <c r="QL564" s="10"/>
      <c r="QM564" s="10"/>
      <c r="QN564" s="10"/>
      <c r="QO564" s="10"/>
      <c r="QP564" s="10"/>
      <c r="QQ564" s="10"/>
      <c r="QR564" s="10"/>
      <c r="QS564" s="10"/>
      <c r="QT564" s="10"/>
      <c r="QU564" s="10"/>
      <c r="QV564" s="10"/>
      <c r="QW564" s="10"/>
      <c r="QX564" s="10"/>
      <c r="QY564" s="10"/>
      <c r="QZ564" s="10"/>
      <c r="RA564" s="10"/>
      <c r="RB564" s="10"/>
      <c r="RC564" s="10"/>
      <c r="RD564" s="10"/>
      <c r="RE564" s="10"/>
      <c r="RF564" s="10"/>
      <c r="RG564" s="10"/>
      <c r="RH564" s="10"/>
      <c r="RI564" s="10"/>
      <c r="RJ564" s="10"/>
      <c r="RK564" s="10"/>
      <c r="RL564" s="10"/>
      <c r="RM564" s="10"/>
      <c r="RN564" s="10"/>
      <c r="RO564" s="10"/>
      <c r="RP564" s="10"/>
      <c r="RQ564" s="10"/>
      <c r="RR564" s="10"/>
      <c r="RS564" s="10"/>
      <c r="RT564" s="10"/>
      <c r="RU564" s="10"/>
      <c r="RV564" s="10"/>
      <c r="RW564" s="10"/>
      <c r="RX564" s="10"/>
      <c r="RY564" s="10"/>
      <c r="RZ564" s="10"/>
      <c r="SA564" s="10"/>
      <c r="SB564" s="10"/>
      <c r="SC564" s="10"/>
      <c r="SD564" s="10"/>
      <c r="SE564" s="10"/>
      <c r="SF564" s="10"/>
      <c r="SG564" s="10"/>
      <c r="SH564" s="10"/>
      <c r="SI564" s="10"/>
      <c r="SJ564" s="10"/>
      <c r="SK564" s="10"/>
      <c r="SL564" s="10"/>
      <c r="SM564" s="10"/>
      <c r="SN564" s="10"/>
      <c r="SO564" s="10"/>
      <c r="SP564" s="10"/>
      <c r="SQ564" s="10"/>
      <c r="SR564" s="10"/>
      <c r="SS564" s="10"/>
      <c r="ST564" s="10"/>
      <c r="SU564" s="10"/>
      <c r="SV564" s="10"/>
      <c r="SW564" s="10"/>
      <c r="SX564" s="10"/>
      <c r="SY564" s="10"/>
      <c r="SZ564" s="10"/>
      <c r="TA564" s="10"/>
      <c r="TB564" s="10"/>
      <c r="TC564" s="10"/>
      <c r="TD564" s="10"/>
      <c r="TE564" s="10"/>
      <c r="TF564" s="10"/>
      <c r="TG564" s="11">
        <f t="shared" si="27"/>
        <v>0</v>
      </c>
      <c r="TH564" s="9">
        <f t="shared" si="28"/>
        <v>0</v>
      </c>
    </row>
    <row r="565" spans="1:528" ht="15.6" thickBot="1" x14ac:dyDescent="0.3">
      <c r="A565" s="39">
        <v>1149</v>
      </c>
      <c r="B565" s="18" t="s">
        <v>1077</v>
      </c>
      <c r="C565" s="3">
        <f>AGOSTO!D569</f>
        <v>0</v>
      </c>
      <c r="D565" s="21">
        <f>C565+SUM(E565:TF565)</f>
        <v>0</v>
      </c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1">
        <f t="shared" si="27"/>
        <v>0</v>
      </c>
      <c r="TH565" s="9">
        <f t="shared" si="28"/>
        <v>0</v>
      </c>
    </row>
    <row r="566" spans="1:528" ht="16.2" thickBot="1" x14ac:dyDescent="0.35">
      <c r="A566" s="18"/>
      <c r="B566" s="23" t="s">
        <v>852</v>
      </c>
      <c r="C566" s="3">
        <f>AGOSTO!D570</f>
        <v>0</v>
      </c>
      <c r="D566" s="21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10"/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10"/>
      <c r="KO566" s="10"/>
      <c r="KP566" s="10"/>
      <c r="KQ566" s="10"/>
      <c r="KR566" s="10"/>
      <c r="KS566" s="10"/>
      <c r="KT566" s="10"/>
      <c r="KU566" s="10"/>
      <c r="KV566" s="10"/>
      <c r="KW566" s="10"/>
      <c r="KX566" s="10"/>
      <c r="KY566" s="10"/>
      <c r="KZ566" s="10"/>
      <c r="LA566" s="10"/>
      <c r="LB566" s="10"/>
      <c r="LC566" s="10"/>
      <c r="LD566" s="10"/>
      <c r="LE566" s="10"/>
      <c r="LF566" s="10"/>
      <c r="LG566" s="10"/>
      <c r="LH566" s="10"/>
      <c r="LI566" s="10"/>
      <c r="LJ566" s="10"/>
      <c r="LK566" s="10"/>
      <c r="LL566" s="10"/>
      <c r="LM566" s="10"/>
      <c r="LN566" s="10"/>
      <c r="LO566" s="10"/>
      <c r="LP566" s="10"/>
      <c r="LQ566" s="10"/>
      <c r="LR566" s="10"/>
      <c r="LS566" s="10"/>
      <c r="LT566" s="10"/>
      <c r="LU566" s="10"/>
      <c r="LV566" s="10"/>
      <c r="LW566" s="10"/>
      <c r="LX566" s="10"/>
      <c r="LY566" s="10"/>
      <c r="LZ566" s="10"/>
      <c r="MA566" s="10"/>
      <c r="MB566" s="10"/>
      <c r="MC566" s="10"/>
      <c r="MD566" s="10"/>
      <c r="ME566" s="10"/>
      <c r="MF566" s="10"/>
      <c r="MG566" s="10"/>
      <c r="MH566" s="10"/>
      <c r="MI566" s="10"/>
      <c r="MJ566" s="10"/>
      <c r="MK566" s="10"/>
      <c r="ML566" s="10"/>
      <c r="MM566" s="10"/>
      <c r="MN566" s="10"/>
      <c r="MO566" s="10"/>
      <c r="MP566" s="10"/>
      <c r="MQ566" s="10"/>
      <c r="MR566" s="10"/>
      <c r="MS566" s="10"/>
      <c r="MT566" s="10"/>
      <c r="MU566" s="10"/>
      <c r="MV566" s="10"/>
      <c r="MW566" s="10"/>
      <c r="MX566" s="10"/>
      <c r="MY566" s="10"/>
      <c r="MZ566" s="10"/>
      <c r="NA566" s="10"/>
      <c r="NB566" s="10"/>
      <c r="NC566" s="10"/>
      <c r="ND566" s="10"/>
      <c r="NE566" s="10"/>
      <c r="NF566" s="10"/>
      <c r="NG566" s="10"/>
      <c r="NH566" s="10"/>
      <c r="NI566" s="10"/>
      <c r="NJ566" s="10"/>
      <c r="NK566" s="10"/>
      <c r="NL566" s="10"/>
      <c r="NM566" s="10"/>
      <c r="NN566" s="10"/>
      <c r="NO566" s="10"/>
      <c r="NP566" s="10"/>
      <c r="NQ566" s="10"/>
      <c r="NR566" s="10"/>
      <c r="NS566" s="10"/>
      <c r="NT566" s="10"/>
      <c r="NU566" s="10"/>
      <c r="NV566" s="10"/>
      <c r="NW566" s="10"/>
      <c r="NX566" s="10"/>
      <c r="NY566" s="10"/>
      <c r="NZ566" s="10"/>
      <c r="OA566" s="10"/>
      <c r="OB566" s="10"/>
      <c r="OC566" s="10"/>
      <c r="OD566" s="10"/>
      <c r="OE566" s="10"/>
      <c r="OF566" s="10"/>
      <c r="OG566" s="10"/>
      <c r="OH566" s="10"/>
      <c r="OI566" s="10"/>
      <c r="OJ566" s="10"/>
      <c r="OK566" s="10"/>
      <c r="OL566" s="10"/>
      <c r="OM566" s="10"/>
      <c r="ON566" s="10"/>
      <c r="OO566" s="10"/>
      <c r="OP566" s="10"/>
      <c r="OQ566" s="10"/>
      <c r="OR566" s="10"/>
      <c r="OS566" s="10"/>
      <c r="OT566" s="10"/>
      <c r="OU566" s="10"/>
      <c r="OV566" s="10"/>
      <c r="OW566" s="10"/>
      <c r="OX566" s="10"/>
      <c r="OY566" s="10"/>
      <c r="OZ566" s="10"/>
      <c r="PA566" s="10"/>
      <c r="PB566" s="10"/>
      <c r="PC566" s="10"/>
      <c r="PD566" s="10"/>
      <c r="PE566" s="10"/>
      <c r="PF566" s="10"/>
      <c r="PG566" s="10"/>
      <c r="PH566" s="10"/>
      <c r="PI566" s="10"/>
      <c r="PJ566" s="10"/>
      <c r="PK566" s="10"/>
      <c r="PL566" s="10"/>
      <c r="PM566" s="10"/>
      <c r="PN566" s="10"/>
      <c r="PO566" s="10"/>
      <c r="PP566" s="10"/>
      <c r="PQ566" s="10"/>
      <c r="PR566" s="10"/>
      <c r="PS566" s="10"/>
      <c r="PT566" s="10"/>
      <c r="PU566" s="10"/>
      <c r="PV566" s="10"/>
      <c r="PW566" s="10"/>
      <c r="PX566" s="10"/>
      <c r="PY566" s="10"/>
      <c r="PZ566" s="10"/>
      <c r="QA566" s="10"/>
      <c r="QB566" s="10"/>
      <c r="QC566" s="10"/>
      <c r="QD566" s="10"/>
      <c r="QE566" s="10"/>
      <c r="QF566" s="10"/>
      <c r="QG566" s="10"/>
      <c r="QH566" s="10"/>
      <c r="QI566" s="10"/>
      <c r="QJ566" s="10"/>
      <c r="QK566" s="10"/>
      <c r="QL566" s="10"/>
      <c r="QM566" s="10"/>
      <c r="QN566" s="10"/>
      <c r="QO566" s="10"/>
      <c r="QP566" s="10"/>
      <c r="QQ566" s="10"/>
      <c r="QR566" s="10"/>
      <c r="QS566" s="10"/>
      <c r="QT566" s="10"/>
      <c r="QU566" s="10"/>
      <c r="QV566" s="10"/>
      <c r="QW566" s="10"/>
      <c r="QX566" s="10"/>
      <c r="QY566" s="10"/>
      <c r="QZ566" s="10"/>
      <c r="RA566" s="10"/>
      <c r="RB566" s="10"/>
      <c r="RC566" s="10"/>
      <c r="RD566" s="10"/>
      <c r="RE566" s="10"/>
      <c r="RF566" s="10"/>
      <c r="RG566" s="10"/>
      <c r="RH566" s="10"/>
      <c r="RI566" s="10"/>
      <c r="RJ566" s="10"/>
      <c r="RK566" s="10"/>
      <c r="RL566" s="10"/>
      <c r="RM566" s="10"/>
      <c r="RN566" s="10"/>
      <c r="RO566" s="10"/>
      <c r="RP566" s="10"/>
      <c r="RQ566" s="10"/>
      <c r="RR566" s="10"/>
      <c r="RS566" s="10"/>
      <c r="RT566" s="10"/>
      <c r="RU566" s="10"/>
      <c r="RV566" s="10"/>
      <c r="RW566" s="10"/>
      <c r="RX566" s="10"/>
      <c r="RY566" s="10"/>
      <c r="RZ566" s="10"/>
      <c r="SA566" s="10"/>
      <c r="SB566" s="10"/>
      <c r="SC566" s="10"/>
      <c r="SD566" s="10"/>
      <c r="SE566" s="10"/>
      <c r="SF566" s="10"/>
      <c r="SG566" s="10"/>
      <c r="SH566" s="10"/>
      <c r="SI566" s="10"/>
      <c r="SJ566" s="10"/>
      <c r="SK566" s="10"/>
      <c r="SL566" s="10"/>
      <c r="SM566" s="10"/>
      <c r="SN566" s="10"/>
      <c r="SO566" s="10"/>
      <c r="SP566" s="10"/>
      <c r="SQ566" s="10"/>
      <c r="SR566" s="10"/>
      <c r="SS566" s="10"/>
      <c r="ST566" s="10"/>
      <c r="SU566" s="10"/>
      <c r="SV566" s="10"/>
      <c r="SW566" s="10"/>
      <c r="SX566" s="10"/>
      <c r="SY566" s="10"/>
      <c r="SZ566" s="10"/>
      <c r="TA566" s="10"/>
      <c r="TB566" s="10"/>
      <c r="TC566" s="10"/>
      <c r="TD566" s="10"/>
      <c r="TE566" s="10"/>
      <c r="TF566" s="10"/>
      <c r="TG566" s="11">
        <f t="shared" si="27"/>
        <v>0</v>
      </c>
      <c r="TH566" s="9">
        <f t="shared" si="28"/>
        <v>0</v>
      </c>
    </row>
    <row r="567" spans="1:528" ht="15.6" thickBot="1" x14ac:dyDescent="0.3">
      <c r="A567" s="18"/>
      <c r="B567" s="18" t="s">
        <v>853</v>
      </c>
      <c r="C567" s="3">
        <f>AGOSTO!D571</f>
        <v>0</v>
      </c>
      <c r="D567" s="21">
        <f>C567+SUM(E567:TF567)</f>
        <v>0</v>
      </c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1">
        <f t="shared" si="27"/>
        <v>0</v>
      </c>
      <c r="TH567" s="9">
        <f t="shared" si="28"/>
        <v>0</v>
      </c>
    </row>
    <row r="568" spans="1:528" ht="15.6" thickBot="1" x14ac:dyDescent="0.3">
      <c r="A568" s="18"/>
      <c r="B568" s="18" t="s">
        <v>854</v>
      </c>
      <c r="C568" s="3">
        <f>AGOSTO!D572</f>
        <v>0</v>
      </c>
      <c r="D568" s="21">
        <f>C568+SUM(E568:TF568)</f>
        <v>0</v>
      </c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10"/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10"/>
      <c r="KO568" s="10"/>
      <c r="KP568" s="10"/>
      <c r="KQ568" s="10"/>
      <c r="KR568" s="10"/>
      <c r="KS568" s="10"/>
      <c r="KT568" s="10"/>
      <c r="KU568" s="10"/>
      <c r="KV568" s="10"/>
      <c r="KW568" s="10"/>
      <c r="KX568" s="10"/>
      <c r="KY568" s="10"/>
      <c r="KZ568" s="10"/>
      <c r="LA568" s="10"/>
      <c r="LB568" s="10"/>
      <c r="LC568" s="10"/>
      <c r="LD568" s="10"/>
      <c r="LE568" s="10"/>
      <c r="LF568" s="10"/>
      <c r="LG568" s="10"/>
      <c r="LH568" s="10"/>
      <c r="LI568" s="10"/>
      <c r="LJ568" s="10"/>
      <c r="LK568" s="10"/>
      <c r="LL568" s="10"/>
      <c r="LM568" s="10"/>
      <c r="LN568" s="10"/>
      <c r="LO568" s="10"/>
      <c r="LP568" s="10"/>
      <c r="LQ568" s="10"/>
      <c r="LR568" s="10"/>
      <c r="LS568" s="10"/>
      <c r="LT568" s="10"/>
      <c r="LU568" s="10"/>
      <c r="LV568" s="10"/>
      <c r="LW568" s="10"/>
      <c r="LX568" s="10"/>
      <c r="LY568" s="10"/>
      <c r="LZ568" s="10"/>
      <c r="MA568" s="10"/>
      <c r="MB568" s="10"/>
      <c r="MC568" s="10"/>
      <c r="MD568" s="10"/>
      <c r="ME568" s="10"/>
      <c r="MF568" s="10"/>
      <c r="MG568" s="10"/>
      <c r="MH568" s="10"/>
      <c r="MI568" s="10"/>
      <c r="MJ568" s="10"/>
      <c r="MK568" s="10"/>
      <c r="ML568" s="10"/>
      <c r="MM568" s="10"/>
      <c r="MN568" s="10"/>
      <c r="MO568" s="10"/>
      <c r="MP568" s="10"/>
      <c r="MQ568" s="10"/>
      <c r="MR568" s="10"/>
      <c r="MS568" s="10"/>
      <c r="MT568" s="10"/>
      <c r="MU568" s="10"/>
      <c r="MV568" s="10"/>
      <c r="MW568" s="10"/>
      <c r="MX568" s="10"/>
      <c r="MY568" s="10"/>
      <c r="MZ568" s="10"/>
      <c r="NA568" s="10"/>
      <c r="NB568" s="10"/>
      <c r="NC568" s="10"/>
      <c r="ND568" s="10"/>
      <c r="NE568" s="10"/>
      <c r="NF568" s="10"/>
      <c r="NG568" s="10"/>
      <c r="NH568" s="10"/>
      <c r="NI568" s="10"/>
      <c r="NJ568" s="10"/>
      <c r="NK568" s="10"/>
      <c r="NL568" s="10"/>
      <c r="NM568" s="10"/>
      <c r="NN568" s="10"/>
      <c r="NO568" s="10"/>
      <c r="NP568" s="10"/>
      <c r="NQ568" s="10"/>
      <c r="NR568" s="10"/>
      <c r="NS568" s="10"/>
      <c r="NT568" s="10"/>
      <c r="NU568" s="10"/>
      <c r="NV568" s="10"/>
      <c r="NW568" s="10"/>
      <c r="NX568" s="10"/>
      <c r="NY568" s="10"/>
      <c r="NZ568" s="10"/>
      <c r="OA568" s="10"/>
      <c r="OB568" s="10"/>
      <c r="OC568" s="10"/>
      <c r="OD568" s="10"/>
      <c r="OE568" s="10"/>
      <c r="OF568" s="10"/>
      <c r="OG568" s="10"/>
      <c r="OH568" s="10"/>
      <c r="OI568" s="10"/>
      <c r="OJ568" s="10"/>
      <c r="OK568" s="10"/>
      <c r="OL568" s="10"/>
      <c r="OM568" s="10"/>
      <c r="ON568" s="10"/>
      <c r="OO568" s="10"/>
      <c r="OP568" s="10"/>
      <c r="OQ568" s="10"/>
      <c r="OR568" s="10"/>
      <c r="OS568" s="10"/>
      <c r="OT568" s="10"/>
      <c r="OU568" s="10"/>
      <c r="OV568" s="10"/>
      <c r="OW568" s="10"/>
      <c r="OX568" s="10"/>
      <c r="OY568" s="10"/>
      <c r="OZ568" s="10"/>
      <c r="PA568" s="10"/>
      <c r="PB568" s="10"/>
      <c r="PC568" s="10"/>
      <c r="PD568" s="10"/>
      <c r="PE568" s="10"/>
      <c r="PF568" s="10"/>
      <c r="PG568" s="10"/>
      <c r="PH568" s="10"/>
      <c r="PI568" s="10"/>
      <c r="PJ568" s="10"/>
      <c r="PK568" s="10"/>
      <c r="PL568" s="10"/>
      <c r="PM568" s="10"/>
      <c r="PN568" s="10"/>
      <c r="PO568" s="10"/>
      <c r="PP568" s="10"/>
      <c r="PQ568" s="10"/>
      <c r="PR568" s="10"/>
      <c r="PS568" s="10"/>
      <c r="PT568" s="10"/>
      <c r="PU568" s="10"/>
      <c r="PV568" s="10"/>
      <c r="PW568" s="10"/>
      <c r="PX568" s="10"/>
      <c r="PY568" s="10"/>
      <c r="PZ568" s="10"/>
      <c r="QA568" s="10"/>
      <c r="QB568" s="10"/>
      <c r="QC568" s="10"/>
      <c r="QD568" s="10"/>
      <c r="QE568" s="10"/>
      <c r="QF568" s="10"/>
      <c r="QG568" s="10"/>
      <c r="QH568" s="10"/>
      <c r="QI568" s="10"/>
      <c r="QJ568" s="10"/>
      <c r="QK568" s="10"/>
      <c r="QL568" s="10"/>
      <c r="QM568" s="10"/>
      <c r="QN568" s="10"/>
      <c r="QO568" s="10"/>
      <c r="QP568" s="10"/>
      <c r="QQ568" s="10"/>
      <c r="QR568" s="10"/>
      <c r="QS568" s="10"/>
      <c r="QT568" s="10"/>
      <c r="QU568" s="10"/>
      <c r="QV568" s="10"/>
      <c r="QW568" s="10"/>
      <c r="QX568" s="10"/>
      <c r="QY568" s="10"/>
      <c r="QZ568" s="10"/>
      <c r="RA568" s="10"/>
      <c r="RB568" s="10"/>
      <c r="RC568" s="10"/>
      <c r="RD568" s="10"/>
      <c r="RE568" s="10"/>
      <c r="RF568" s="10"/>
      <c r="RG568" s="10"/>
      <c r="RH568" s="10"/>
      <c r="RI568" s="10"/>
      <c r="RJ568" s="10"/>
      <c r="RK568" s="10"/>
      <c r="RL568" s="10"/>
      <c r="RM568" s="10"/>
      <c r="RN568" s="10"/>
      <c r="RO568" s="10"/>
      <c r="RP568" s="10"/>
      <c r="RQ568" s="10"/>
      <c r="RR568" s="10"/>
      <c r="RS568" s="10"/>
      <c r="RT568" s="10"/>
      <c r="RU568" s="10"/>
      <c r="RV568" s="10"/>
      <c r="RW568" s="10"/>
      <c r="RX568" s="10"/>
      <c r="RY568" s="10"/>
      <c r="RZ568" s="10"/>
      <c r="SA568" s="10"/>
      <c r="SB568" s="10"/>
      <c r="SC568" s="10"/>
      <c r="SD568" s="10"/>
      <c r="SE568" s="10"/>
      <c r="SF568" s="10"/>
      <c r="SG568" s="10"/>
      <c r="SH568" s="10"/>
      <c r="SI568" s="10"/>
      <c r="SJ568" s="10"/>
      <c r="SK568" s="10"/>
      <c r="SL568" s="10"/>
      <c r="SM568" s="10"/>
      <c r="SN568" s="10"/>
      <c r="SO568" s="10"/>
      <c r="SP568" s="10"/>
      <c r="SQ568" s="10"/>
      <c r="SR568" s="10"/>
      <c r="SS568" s="10"/>
      <c r="ST568" s="10"/>
      <c r="SU568" s="10"/>
      <c r="SV568" s="10"/>
      <c r="SW568" s="10"/>
      <c r="SX568" s="10"/>
      <c r="SY568" s="10"/>
      <c r="SZ568" s="10"/>
      <c r="TA568" s="10"/>
      <c r="TB568" s="10"/>
      <c r="TC568" s="10"/>
      <c r="TD568" s="10"/>
      <c r="TE568" s="10"/>
      <c r="TF568" s="10"/>
      <c r="TG568" s="11">
        <f t="shared" si="27"/>
        <v>0</v>
      </c>
      <c r="TH568" s="9">
        <f t="shared" si="28"/>
        <v>0</v>
      </c>
    </row>
    <row r="569" spans="1:528" ht="16.2" thickBot="1" x14ac:dyDescent="0.35">
      <c r="A569" s="18"/>
      <c r="B569" s="23" t="s">
        <v>855</v>
      </c>
      <c r="C569" s="3">
        <f>AGOSTO!D573</f>
        <v>0</v>
      </c>
      <c r="D569" s="21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1">
        <f t="shared" si="27"/>
        <v>0</v>
      </c>
      <c r="TH569" s="9">
        <f t="shared" si="28"/>
        <v>0</v>
      </c>
    </row>
    <row r="570" spans="1:528" ht="15.6" thickBot="1" x14ac:dyDescent="0.3">
      <c r="A570" s="28" t="s">
        <v>1078</v>
      </c>
      <c r="B570" s="18" t="s">
        <v>856</v>
      </c>
      <c r="C570" s="3">
        <f>AGOSTO!D574</f>
        <v>580</v>
      </c>
      <c r="D570" s="21">
        <f>C570+SUM(E570:TF570)</f>
        <v>467</v>
      </c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>
        <v>-224</v>
      </c>
      <c r="W570" s="10"/>
      <c r="X570" s="10"/>
      <c r="Y570" s="10"/>
      <c r="Z570" s="10"/>
      <c r="AA570" s="10"/>
      <c r="AB570" s="10"/>
      <c r="AC570" s="10">
        <f>315+284</f>
        <v>599</v>
      </c>
      <c r="AD570" s="10"/>
      <c r="AE570" s="10"/>
      <c r="AF570" s="10">
        <v>-504</v>
      </c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>
        <v>53</v>
      </c>
      <c r="BL570" s="10"/>
      <c r="BM570" s="10"/>
      <c r="BN570" s="10">
        <f>-252-252</f>
        <v>-504</v>
      </c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>
        <f>315+315</f>
        <v>630</v>
      </c>
      <c r="CB570" s="10">
        <v>-315</v>
      </c>
      <c r="CC570" s="10"/>
      <c r="CD570" s="10"/>
      <c r="CE570" s="10">
        <f>315+315</f>
        <v>630</v>
      </c>
      <c r="CF570" s="10"/>
      <c r="CG570" s="10">
        <f>315+274</f>
        <v>589</v>
      </c>
      <c r="CH570" s="10"/>
      <c r="CI570" s="10"/>
      <c r="CJ570" s="10"/>
      <c r="CK570" s="10"/>
      <c r="CL570" s="10"/>
      <c r="CM570" s="10"/>
      <c r="CN570" s="10"/>
      <c r="CO570" s="10"/>
      <c r="CP570" s="10">
        <v>-252</v>
      </c>
      <c r="CQ570" s="10"/>
      <c r="CR570" s="10">
        <v>-252</v>
      </c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>
        <v>-315</v>
      </c>
      <c r="DI570" s="10"/>
      <c r="DJ570" s="10">
        <v>-252</v>
      </c>
      <c r="DK570" s="10"/>
      <c r="DL570" s="10"/>
      <c r="DM570" s="10"/>
      <c r="DN570" s="10"/>
      <c r="DO570" s="10"/>
      <c r="DP570" s="10">
        <v>-420</v>
      </c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>
        <f>62+315</f>
        <v>377</v>
      </c>
      <c r="ED570" s="10">
        <v>-105</v>
      </c>
      <c r="EE570" s="10">
        <f>315+315+180</f>
        <v>810</v>
      </c>
      <c r="EF570" s="10"/>
      <c r="EG570" s="10"/>
      <c r="EH570" s="10">
        <v>-315</v>
      </c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>
        <v>-84</v>
      </c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>
        <v>-420</v>
      </c>
      <c r="FK570" s="10"/>
      <c r="FL570" s="10">
        <v>-252</v>
      </c>
      <c r="FM570" s="10"/>
      <c r="FN570" s="10"/>
      <c r="FO570" s="10"/>
      <c r="FP570" s="10"/>
      <c r="FQ570" s="10"/>
      <c r="FR570" s="10"/>
      <c r="FS570" s="10">
        <f>315+315+315</f>
        <v>945</v>
      </c>
      <c r="FT570" s="10"/>
      <c r="FU570" s="10">
        <v>315</v>
      </c>
      <c r="FV570" s="10"/>
      <c r="FW570" s="10">
        <f>315+281</f>
        <v>596</v>
      </c>
      <c r="FX570" s="10">
        <v>-945</v>
      </c>
      <c r="FY570" s="10"/>
      <c r="FZ570" s="10"/>
      <c r="GA570" s="10"/>
      <c r="GB570" s="10">
        <v>-504</v>
      </c>
      <c r="GC570" s="10"/>
      <c r="GD570" s="10"/>
      <c r="GE570" s="10"/>
      <c r="GF570" s="10"/>
      <c r="GG570" s="10"/>
      <c r="GH570" s="10"/>
      <c r="GI570" s="10">
        <v>315</v>
      </c>
      <c r="GJ570" s="10"/>
      <c r="GK570" s="10">
        <f>315*3+251</f>
        <v>1196</v>
      </c>
      <c r="GL570" s="10">
        <v>-105</v>
      </c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>
        <v>-315</v>
      </c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>
        <v>-1197</v>
      </c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>
        <v>-63</v>
      </c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>
        <v>-292</v>
      </c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10"/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10"/>
      <c r="KO570" s="10"/>
      <c r="KP570" s="10"/>
      <c r="KQ570" s="10"/>
      <c r="KR570" s="10"/>
      <c r="KS570" s="10"/>
      <c r="KT570" s="10"/>
      <c r="KU570" s="10"/>
      <c r="KV570" s="10"/>
      <c r="KW570" s="10"/>
      <c r="KX570" s="10"/>
      <c r="KY570" s="10"/>
      <c r="KZ570" s="10"/>
      <c r="LA570" s="10"/>
      <c r="LB570" s="10"/>
      <c r="LC570" s="10"/>
      <c r="LD570" s="10"/>
      <c r="LE570" s="10"/>
      <c r="LF570" s="10"/>
      <c r="LG570" s="10"/>
      <c r="LH570" s="10"/>
      <c r="LI570" s="10"/>
      <c r="LJ570" s="10"/>
      <c r="LK570" s="10"/>
      <c r="LL570" s="10"/>
      <c r="LM570" s="10"/>
      <c r="LN570" s="10"/>
      <c r="LO570" s="10"/>
      <c r="LP570" s="10"/>
      <c r="LQ570" s="10"/>
      <c r="LR570" s="10"/>
      <c r="LS570" s="10"/>
      <c r="LT570" s="10"/>
      <c r="LU570" s="10"/>
      <c r="LV570" s="10"/>
      <c r="LW570" s="10"/>
      <c r="LX570" s="10"/>
      <c r="LY570" s="10"/>
      <c r="LZ570" s="10"/>
      <c r="MA570" s="10"/>
      <c r="MB570" s="10"/>
      <c r="MC570" s="10"/>
      <c r="MD570" s="10"/>
      <c r="ME570" s="10">
        <v>315</v>
      </c>
      <c r="MF570" s="10"/>
      <c r="MG570" s="10">
        <v>315</v>
      </c>
      <c r="MH570" s="10"/>
      <c r="MI570" s="10"/>
      <c r="MJ570" s="10"/>
      <c r="MK570" s="10"/>
      <c r="ML570" s="10"/>
      <c r="MM570" s="10"/>
      <c r="MN570" s="10"/>
      <c r="MO570" s="10"/>
      <c r="MP570" s="10"/>
      <c r="MQ570" s="10">
        <v>300</v>
      </c>
      <c r="MR570" s="10"/>
      <c r="MS570" s="10"/>
      <c r="MT570" s="10"/>
      <c r="MU570" s="10"/>
      <c r="MV570" s="10">
        <v>-504</v>
      </c>
      <c r="MW570" s="10"/>
      <c r="MX570" s="10">
        <v>-315</v>
      </c>
      <c r="MY570" s="10"/>
      <c r="MZ570" s="10"/>
      <c r="NA570" s="10"/>
      <c r="NB570" s="10"/>
      <c r="NC570" s="10"/>
      <c r="ND570" s="10"/>
      <c r="NE570" s="10"/>
      <c r="NF570" s="10"/>
      <c r="NG570" s="10"/>
      <c r="NH570" s="10"/>
      <c r="NI570" s="10"/>
      <c r="NJ570" s="10"/>
      <c r="NK570" s="10"/>
      <c r="NL570" s="10"/>
      <c r="NM570" s="10">
        <f>315+18</f>
        <v>333</v>
      </c>
      <c r="NN570" s="10">
        <v>-42</v>
      </c>
      <c r="NO570" s="10">
        <v>315</v>
      </c>
      <c r="NP570" s="10"/>
      <c r="NQ570" s="10">
        <v>630</v>
      </c>
      <c r="NR570" s="10"/>
      <c r="NS570" s="10"/>
      <c r="NT570" s="10"/>
      <c r="NU570" s="10">
        <f>630+315</f>
        <v>945</v>
      </c>
      <c r="NV570" s="10"/>
      <c r="NW570" s="10">
        <f>315+315+315</f>
        <v>945</v>
      </c>
      <c r="NX570" s="10"/>
      <c r="NY570" s="10"/>
      <c r="NZ570" s="10">
        <v>-672</v>
      </c>
      <c r="OA570" s="10"/>
      <c r="OB570" s="10"/>
      <c r="OC570" s="10">
        <f>315+140</f>
        <v>455</v>
      </c>
      <c r="OD570" s="10"/>
      <c r="OE570" s="10"/>
      <c r="OF570" s="10"/>
      <c r="OG570" s="10"/>
      <c r="OH570" s="10"/>
      <c r="OI570" s="10"/>
      <c r="OJ570" s="10"/>
      <c r="OK570" s="10"/>
      <c r="OL570" s="10"/>
      <c r="OM570" s="10"/>
      <c r="ON570" s="10"/>
      <c r="OO570" s="10"/>
      <c r="OP570" s="10"/>
      <c r="OQ570" s="10"/>
      <c r="OR570" s="10"/>
      <c r="OS570" s="10"/>
      <c r="OT570" s="10"/>
      <c r="OU570" s="10"/>
      <c r="OV570" s="10"/>
      <c r="OW570" s="10"/>
      <c r="OX570" s="10"/>
      <c r="OY570" s="10"/>
      <c r="OZ570" s="10"/>
      <c r="PA570" s="10"/>
      <c r="PB570" s="10"/>
      <c r="PC570" s="10"/>
      <c r="PD570" s="10"/>
      <c r="PE570" s="10"/>
      <c r="PF570" s="10"/>
      <c r="PG570" s="10"/>
      <c r="PH570" s="10"/>
      <c r="PI570" s="10"/>
      <c r="PJ570" s="10"/>
      <c r="PK570" s="10"/>
      <c r="PL570" s="10">
        <v>-252</v>
      </c>
      <c r="PM570" s="10"/>
      <c r="PN570" s="10"/>
      <c r="PO570" s="10"/>
      <c r="PP570" s="10"/>
      <c r="PQ570" s="10"/>
      <c r="PR570" s="10"/>
      <c r="PS570" s="10"/>
      <c r="PT570" s="10"/>
      <c r="PU570" s="10"/>
      <c r="PV570" s="10"/>
      <c r="PW570" s="10"/>
      <c r="PX570" s="10"/>
      <c r="PY570" s="10"/>
      <c r="PZ570" s="14">
        <v>-201</v>
      </c>
      <c r="QA570" s="10"/>
      <c r="QB570" s="10">
        <v>-252</v>
      </c>
      <c r="QC570" s="10"/>
      <c r="QD570" s="10">
        <v>-315</v>
      </c>
      <c r="QE570" s="10"/>
      <c r="QF570" s="10"/>
      <c r="QG570" s="10"/>
      <c r="QH570" s="10"/>
      <c r="QI570" s="10"/>
      <c r="QJ570" s="10"/>
      <c r="QK570" s="10"/>
      <c r="QL570" s="10"/>
      <c r="QM570" s="10"/>
      <c r="QN570" s="10"/>
      <c r="QO570" s="10"/>
      <c r="QP570" s="10"/>
      <c r="QQ570" s="10"/>
      <c r="QR570" s="10"/>
      <c r="QS570" s="10">
        <f>-630-630</f>
        <v>-1260</v>
      </c>
      <c r="QT570" s="10"/>
      <c r="QU570" s="10"/>
      <c r="QV570" s="10"/>
      <c r="QW570" s="10"/>
      <c r="QX570" s="10"/>
      <c r="QY570" s="10"/>
      <c r="QZ570" s="10">
        <v>-252</v>
      </c>
      <c r="RA570" s="10"/>
      <c r="RB570" s="10"/>
      <c r="RC570" s="10"/>
      <c r="RD570" s="10"/>
      <c r="RE570" s="10"/>
      <c r="RF570" s="10"/>
      <c r="RG570" s="10"/>
      <c r="RH570" s="10"/>
      <c r="RI570" s="10"/>
      <c r="RJ570" s="10"/>
      <c r="RK570" s="10"/>
      <c r="RL570" s="10"/>
      <c r="RM570" s="10"/>
      <c r="RN570" s="10"/>
      <c r="RO570" s="10"/>
      <c r="RP570" s="10"/>
      <c r="RQ570" s="10"/>
      <c r="RR570" s="10"/>
      <c r="RS570" s="10"/>
      <c r="RT570" s="10"/>
      <c r="RU570" s="10"/>
      <c r="RV570" s="10"/>
      <c r="RW570" s="10"/>
      <c r="RX570" s="10"/>
      <c r="RY570" s="10"/>
      <c r="RZ570" s="10"/>
      <c r="SA570" s="10"/>
      <c r="SB570" s="10"/>
      <c r="SC570" s="10"/>
      <c r="SD570" s="10"/>
      <c r="SE570" s="10"/>
      <c r="SF570" s="10"/>
      <c r="SG570" s="10"/>
      <c r="SH570" s="10"/>
      <c r="SI570" s="10"/>
      <c r="SJ570" s="10"/>
      <c r="SK570" s="10"/>
      <c r="SL570" s="10"/>
      <c r="SM570" s="10"/>
      <c r="SN570" s="10"/>
      <c r="SO570" s="10"/>
      <c r="SP570" s="10"/>
      <c r="SQ570" s="10"/>
      <c r="SR570" s="10"/>
      <c r="SS570" s="10"/>
      <c r="ST570" s="10">
        <v>-21</v>
      </c>
      <c r="SU570" s="10"/>
      <c r="SV570" s="10"/>
      <c r="SW570" s="10"/>
      <c r="SX570" s="10"/>
      <c r="SY570" s="10"/>
      <c r="SZ570" s="10"/>
      <c r="TA570" s="10"/>
      <c r="TB570" s="10"/>
      <c r="TC570" s="10"/>
      <c r="TD570" s="10"/>
      <c r="TE570" s="10"/>
      <c r="TF570" s="10"/>
      <c r="TG570" s="11">
        <f t="shared" si="27"/>
        <v>599</v>
      </c>
      <c r="TH570" s="9">
        <f t="shared" si="28"/>
        <v>-728</v>
      </c>
    </row>
    <row r="571" spans="1:528" ht="15.6" thickBot="1" x14ac:dyDescent="0.3">
      <c r="A571" s="28" t="s">
        <v>1079</v>
      </c>
      <c r="B571" s="18" t="s">
        <v>857</v>
      </c>
      <c r="C571" s="3">
        <f>AGOSTO!D575</f>
        <v>1425</v>
      </c>
      <c r="D571" s="21">
        <f>C571+SUM(E571:TF571)</f>
        <v>668</v>
      </c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>
        <v>-224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>
        <v>-504</v>
      </c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>
        <f>-252-252</f>
        <v>-504</v>
      </c>
      <c r="BO571" s="10"/>
      <c r="BP571" s="10"/>
      <c r="BQ571" s="10"/>
      <c r="BR571" s="10"/>
      <c r="BS571" s="10"/>
      <c r="BT571" s="10"/>
      <c r="BU571" s="10">
        <v>130</v>
      </c>
      <c r="BV571" s="10"/>
      <c r="BW571" s="10"/>
      <c r="BX571" s="10"/>
      <c r="BY571" s="10"/>
      <c r="BZ571" s="10"/>
      <c r="CA571" s="10"/>
      <c r="CB571" s="10">
        <f>-126-63-63-63</f>
        <v>-315</v>
      </c>
      <c r="CC571" s="10">
        <v>315</v>
      </c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>
        <v>-252</v>
      </c>
      <c r="CQ571" s="10"/>
      <c r="CR571" s="10">
        <v>-71</v>
      </c>
      <c r="CS571" s="10"/>
      <c r="CT571" s="10"/>
      <c r="CU571" s="10"/>
      <c r="CV571" s="10"/>
      <c r="CW571" s="10">
        <v>244</v>
      </c>
      <c r="CX571" s="10"/>
      <c r="CY571" s="10"/>
      <c r="CZ571" s="10"/>
      <c r="DA571" s="10"/>
      <c r="DB571" s="10">
        <v>-244</v>
      </c>
      <c r="DC571" s="10"/>
      <c r="DD571" s="10"/>
      <c r="DE571" s="10">
        <v>315</v>
      </c>
      <c r="DF571" s="10"/>
      <c r="DG571" s="10">
        <v>252</v>
      </c>
      <c r="DH571" s="10">
        <v>-315</v>
      </c>
      <c r="DI571" s="10">
        <v>315</v>
      </c>
      <c r="DJ571" s="10">
        <v>-252</v>
      </c>
      <c r="DK571" s="10"/>
      <c r="DL571" s="10"/>
      <c r="DM571" s="10"/>
      <c r="DN571" s="10"/>
      <c r="DO571" s="10"/>
      <c r="DP571" s="10">
        <v>-315</v>
      </c>
      <c r="DQ571" s="10"/>
      <c r="DR571" s="10"/>
      <c r="DS571" s="10"/>
      <c r="DT571" s="10"/>
      <c r="DU571" s="10">
        <f>252+254</f>
        <v>506</v>
      </c>
      <c r="DV571" s="10"/>
      <c r="DW571" s="10"/>
      <c r="DX571" s="10"/>
      <c r="DY571" s="10"/>
      <c r="DZ571" s="10"/>
      <c r="EA571" s="10"/>
      <c r="EB571" s="10"/>
      <c r="EC571" s="10"/>
      <c r="ED571" s="10">
        <v>-252</v>
      </c>
      <c r="EE571" s="10"/>
      <c r="EF571" s="10"/>
      <c r="EG571" s="10"/>
      <c r="EH571" s="10">
        <v>-210</v>
      </c>
      <c r="EI571" s="10"/>
      <c r="EJ571" s="10"/>
      <c r="EK571" s="10"/>
      <c r="EL571" s="10"/>
      <c r="EM571" s="10">
        <v>105</v>
      </c>
      <c r="EN571" s="10"/>
      <c r="EO571" s="10"/>
      <c r="EP571" s="10"/>
      <c r="EQ571" s="10">
        <v>315</v>
      </c>
      <c r="ER571" s="10"/>
      <c r="ES571" s="10">
        <v>277</v>
      </c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>
        <v>231</v>
      </c>
      <c r="FJ571" s="10">
        <v>-420</v>
      </c>
      <c r="FK571" s="10"/>
      <c r="FL571" s="10">
        <v>-252</v>
      </c>
      <c r="FM571" s="10">
        <f>315*3+165</f>
        <v>1110</v>
      </c>
      <c r="FN571" s="10"/>
      <c r="FO571" s="10"/>
      <c r="FP571" s="10"/>
      <c r="FQ571" s="10"/>
      <c r="FR571" s="10"/>
      <c r="FS571" s="10">
        <f>41</f>
        <v>41</v>
      </c>
      <c r="FT571" s="10"/>
      <c r="FU571" s="10"/>
      <c r="FV571" s="10"/>
      <c r="FW571" s="10"/>
      <c r="FX571" s="10">
        <v>-630</v>
      </c>
      <c r="FY571" s="10">
        <v>268</v>
      </c>
      <c r="FZ571" s="10"/>
      <c r="GA571" s="10"/>
      <c r="GB571" s="10">
        <v>-504</v>
      </c>
      <c r="GC571" s="10"/>
      <c r="GD571" s="10"/>
      <c r="GE571" s="10"/>
      <c r="GF571" s="10"/>
      <c r="GG571" s="10">
        <v>315</v>
      </c>
      <c r="GH571" s="10"/>
      <c r="GI571" s="10"/>
      <c r="GJ571" s="10"/>
      <c r="GK571" s="10"/>
      <c r="GL571" s="10">
        <v>-315</v>
      </c>
      <c r="GM571" s="10">
        <f>315+315+315</f>
        <v>945</v>
      </c>
      <c r="GN571" s="10"/>
      <c r="GO571" s="10"/>
      <c r="GP571" s="10"/>
      <c r="GQ571" s="10"/>
      <c r="GR571" s="10"/>
      <c r="GS571" s="10"/>
      <c r="GT571" s="10"/>
      <c r="GU571" s="10"/>
      <c r="GV571" s="10"/>
      <c r="GW571" s="10">
        <v>315</v>
      </c>
      <c r="GX571" s="10"/>
      <c r="GY571" s="10">
        <f>315+66</f>
        <v>381</v>
      </c>
      <c r="GZ571" s="10">
        <v>-945</v>
      </c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>
        <v>315</v>
      </c>
      <c r="HL571" s="10"/>
      <c r="HM571" s="10"/>
      <c r="HN571" s="10">
        <v>-1197</v>
      </c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>
        <v>-84</v>
      </c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>
        <v>-252</v>
      </c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>
        <f>315+189</f>
        <v>504</v>
      </c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>
        <f>315+252</f>
        <v>567</v>
      </c>
      <c r="MT571" s="10"/>
      <c r="MU571" s="10"/>
      <c r="MV571" s="10">
        <v>-504</v>
      </c>
      <c r="MW571" s="10">
        <f>315+315</f>
        <v>630</v>
      </c>
      <c r="MX571" s="10">
        <v>-630</v>
      </c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>
        <v>315</v>
      </c>
      <c r="NN571" s="10">
        <v>-84</v>
      </c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>
        <v>-714</v>
      </c>
      <c r="OA571" s="10"/>
      <c r="OB571" s="10"/>
      <c r="OC571" s="10">
        <v>315</v>
      </c>
      <c r="OD571" s="10"/>
      <c r="OE571" s="10"/>
      <c r="OF571" s="10"/>
      <c r="OG571" s="10"/>
      <c r="OH571" s="10"/>
      <c r="OI571" s="10"/>
      <c r="OJ571" s="10"/>
      <c r="OK571" s="10"/>
      <c r="OL571" s="10">
        <v>-315</v>
      </c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>
        <v>252</v>
      </c>
      <c r="PF571" s="10"/>
      <c r="PG571" s="10">
        <v>178</v>
      </c>
      <c r="PH571" s="10"/>
      <c r="PI571" s="10"/>
      <c r="PJ571" s="10"/>
      <c r="PK571" s="10"/>
      <c r="PL571" s="10">
        <v>-577</v>
      </c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3">
        <f>315+189+315</f>
        <v>819</v>
      </c>
      <c r="PZ571" s="10"/>
      <c r="QA571" s="13">
        <v>295</v>
      </c>
      <c r="QB571" s="10">
        <v>-504</v>
      </c>
      <c r="QC571" s="10"/>
      <c r="QD571" s="10">
        <v>-315</v>
      </c>
      <c r="QE571" s="13">
        <v>20</v>
      </c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3">
        <f>315+210</f>
        <v>525</v>
      </c>
      <c r="QS571" s="10">
        <f>-315-315</f>
        <v>-630</v>
      </c>
      <c r="QT571" s="10"/>
      <c r="QU571" s="10"/>
      <c r="QV571" s="10"/>
      <c r="QW571" s="10"/>
      <c r="QX571" s="10"/>
      <c r="QY571" s="10"/>
      <c r="QZ571" s="10">
        <v>-210</v>
      </c>
      <c r="RA571" s="10">
        <v>315</v>
      </c>
      <c r="RB571" s="10"/>
      <c r="RC571" s="10"/>
      <c r="RD571" s="10">
        <v>-315</v>
      </c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>
        <f>315+315+80</f>
        <v>710</v>
      </c>
      <c r="SP571" s="10"/>
      <c r="SQ571" s="10"/>
      <c r="SR571" s="10"/>
      <c r="SS571" s="10"/>
      <c r="ST571" s="10">
        <v>-42</v>
      </c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1">
        <f t="shared" si="27"/>
        <v>0</v>
      </c>
      <c r="TH571" s="9">
        <f t="shared" si="28"/>
        <v>-728</v>
      </c>
    </row>
    <row r="572" spans="1:528" ht="15.6" thickBot="1" x14ac:dyDescent="0.3">
      <c r="A572" s="28" t="s">
        <v>1080</v>
      </c>
      <c r="B572" s="18" t="s">
        <v>858</v>
      </c>
      <c r="C572" s="3">
        <f>AGOSTO!D576</f>
        <v>1439</v>
      </c>
      <c r="D572" s="21">
        <f>C572+SUM(E572:TF572)</f>
        <v>738</v>
      </c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>
        <v>-224</v>
      </c>
      <c r="W572" s="10"/>
      <c r="X572" s="10"/>
      <c r="Y572" s="10"/>
      <c r="Z572" s="10"/>
      <c r="AA572" s="10"/>
      <c r="AB572" s="10"/>
      <c r="AC572" s="10"/>
      <c r="AD572" s="10"/>
      <c r="AE572" s="10"/>
      <c r="AF572" s="10">
        <v>-504</v>
      </c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>
        <f>-252-252</f>
        <v>-504</v>
      </c>
      <c r="BO572" s="10"/>
      <c r="BP572" s="10"/>
      <c r="BQ572" s="10"/>
      <c r="BR572" s="10"/>
      <c r="BS572" s="10"/>
      <c r="BT572" s="10"/>
      <c r="BU572" s="10">
        <v>130</v>
      </c>
      <c r="BV572" s="10"/>
      <c r="BW572" s="10"/>
      <c r="BX572" s="10"/>
      <c r="BY572" s="10"/>
      <c r="BZ572" s="10"/>
      <c r="CA572" s="10"/>
      <c r="CB572" s="10">
        <f>-126-126-63</f>
        <v>-315</v>
      </c>
      <c r="CC572" s="10">
        <v>315</v>
      </c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>
        <v>-252</v>
      </c>
      <c r="CQ572" s="10"/>
      <c r="CR572" s="10">
        <v>-85</v>
      </c>
      <c r="CS572" s="10"/>
      <c r="CT572" s="10"/>
      <c r="CU572" s="10"/>
      <c r="CV572" s="10"/>
      <c r="CW572" s="10"/>
      <c r="CX572" s="10"/>
      <c r="CY572" s="10"/>
      <c r="CZ572" s="10"/>
      <c r="DA572" s="10">
        <v>242</v>
      </c>
      <c r="DB572" s="10">
        <v>-231</v>
      </c>
      <c r="DC572" s="10"/>
      <c r="DD572" s="10"/>
      <c r="DE572" s="10"/>
      <c r="DF572" s="10"/>
      <c r="DG572" s="10">
        <f>315+253</f>
        <v>568</v>
      </c>
      <c r="DH572" s="10">
        <v>-315</v>
      </c>
      <c r="DI572" s="10"/>
      <c r="DJ572" s="10">
        <v>-252</v>
      </c>
      <c r="DK572" s="10">
        <v>315</v>
      </c>
      <c r="DL572" s="10"/>
      <c r="DM572" s="10"/>
      <c r="DN572" s="10"/>
      <c r="DO572" s="10">
        <v>315</v>
      </c>
      <c r="DP572" s="10">
        <v>-315</v>
      </c>
      <c r="DQ572" s="10"/>
      <c r="DR572" s="10"/>
      <c r="DS572" s="10"/>
      <c r="DT572" s="10"/>
      <c r="DU572" s="10"/>
      <c r="DV572" s="10"/>
      <c r="DW572" s="10">
        <v>252</v>
      </c>
      <c r="DX572" s="10"/>
      <c r="DY572" s="10"/>
      <c r="DZ572" s="10"/>
      <c r="EA572" s="10"/>
      <c r="EB572" s="10"/>
      <c r="EC572" s="10"/>
      <c r="ED572" s="10">
        <v>-252</v>
      </c>
      <c r="EE572" s="10"/>
      <c r="EF572" s="10"/>
      <c r="EG572" s="10">
        <v>304</v>
      </c>
      <c r="EH572" s="10">
        <v>-210</v>
      </c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>
        <f>315+307</f>
        <v>622</v>
      </c>
      <c r="EV572" s="10"/>
      <c r="EW572" s="10"/>
      <c r="EX572" s="10">
        <v>-63</v>
      </c>
      <c r="EY572" s="10"/>
      <c r="EZ572" s="10"/>
      <c r="FA572" s="10"/>
      <c r="FB572" s="10"/>
      <c r="FC572" s="10"/>
      <c r="FD572" s="10"/>
      <c r="FE572" s="10">
        <v>315</v>
      </c>
      <c r="FF572" s="10"/>
      <c r="FG572" s="10">
        <v>201</v>
      </c>
      <c r="FH572" s="10"/>
      <c r="FI572" s="10"/>
      <c r="FJ572" s="10">
        <v>-315</v>
      </c>
      <c r="FK572" s="10">
        <v>53</v>
      </c>
      <c r="FL572" s="10">
        <v>-252</v>
      </c>
      <c r="FM572" s="10"/>
      <c r="FN572" s="10"/>
      <c r="FO572" s="10"/>
      <c r="FP572" s="10"/>
      <c r="FQ572" s="10"/>
      <c r="FR572" s="10"/>
      <c r="FS572" s="10"/>
      <c r="FT572" s="10"/>
      <c r="FU572" s="10">
        <f>315+315</f>
        <v>630</v>
      </c>
      <c r="FV572" s="10"/>
      <c r="FW572" s="10">
        <f>315+213</f>
        <v>528</v>
      </c>
      <c r="FX572" s="10">
        <v>-420</v>
      </c>
      <c r="FY572" s="10"/>
      <c r="FZ572" s="10"/>
      <c r="GA572" s="10"/>
      <c r="GB572" s="10">
        <v>-504</v>
      </c>
      <c r="GC572" s="10"/>
      <c r="GD572" s="10"/>
      <c r="GE572" s="10"/>
      <c r="GF572" s="10"/>
      <c r="GG572" s="10"/>
      <c r="GH572" s="10"/>
      <c r="GI572" s="10"/>
      <c r="GJ572" s="10"/>
      <c r="GK572" s="10"/>
      <c r="GL572" s="10">
        <v>-483</v>
      </c>
      <c r="GM572" s="10"/>
      <c r="GN572" s="10"/>
      <c r="GO572" s="10">
        <v>315</v>
      </c>
      <c r="GP572" s="10"/>
      <c r="GQ572" s="10"/>
      <c r="GR572" s="10"/>
      <c r="GS572" s="10"/>
      <c r="GT572" s="10"/>
      <c r="GU572" s="10">
        <v>315</v>
      </c>
      <c r="GV572" s="10"/>
      <c r="GW572" s="10">
        <v>237</v>
      </c>
      <c r="GX572" s="10"/>
      <c r="GY572" s="10"/>
      <c r="GZ572" s="10">
        <v>-945</v>
      </c>
      <c r="HA572" s="10"/>
      <c r="HB572" s="10"/>
      <c r="HC572" s="10">
        <v>56</v>
      </c>
      <c r="HD572" s="10"/>
      <c r="HE572" s="10"/>
      <c r="HF572" s="10"/>
      <c r="HG572" s="10"/>
      <c r="HH572" s="10"/>
      <c r="HI572" s="10">
        <v>315</v>
      </c>
      <c r="HJ572" s="10"/>
      <c r="HK572" s="10">
        <f>315+182</f>
        <v>497</v>
      </c>
      <c r="HL572" s="10"/>
      <c r="HM572" s="10"/>
      <c r="HN572" s="10">
        <v>-1197</v>
      </c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>
        <v>15</v>
      </c>
      <c r="IL572" s="10">
        <v>-126</v>
      </c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>
        <v>-215</v>
      </c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10"/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10"/>
      <c r="KO572" s="10"/>
      <c r="KP572" s="10"/>
      <c r="KQ572" s="10"/>
      <c r="KR572" s="10"/>
      <c r="KS572" s="10"/>
      <c r="KT572" s="10"/>
      <c r="KU572" s="10"/>
      <c r="KV572" s="10"/>
      <c r="KW572" s="10"/>
      <c r="KX572" s="10"/>
      <c r="KY572" s="10"/>
      <c r="KZ572" s="10"/>
      <c r="LA572" s="10"/>
      <c r="LB572" s="10"/>
      <c r="LC572" s="10"/>
      <c r="LD572" s="10"/>
      <c r="LE572" s="10"/>
      <c r="LF572" s="10"/>
      <c r="LG572" s="10"/>
      <c r="LH572" s="10"/>
      <c r="LI572" s="10"/>
      <c r="LJ572" s="10"/>
      <c r="LK572" s="10"/>
      <c r="LL572" s="10"/>
      <c r="LM572" s="10"/>
      <c r="LN572" s="10"/>
      <c r="LO572" s="10"/>
      <c r="LP572" s="10"/>
      <c r="LQ572" s="10"/>
      <c r="LR572" s="10"/>
      <c r="LS572" s="10"/>
      <c r="LT572" s="10"/>
      <c r="LU572" s="10"/>
      <c r="LV572" s="10"/>
      <c r="LW572" s="10"/>
      <c r="LX572" s="10"/>
      <c r="LY572" s="10"/>
      <c r="LZ572" s="10"/>
      <c r="MA572" s="10">
        <v>315</v>
      </c>
      <c r="MB572" s="10"/>
      <c r="MC572" s="10"/>
      <c r="MD572" s="10"/>
      <c r="ME572" s="10">
        <v>277</v>
      </c>
      <c r="MF572" s="10"/>
      <c r="MG572" s="10"/>
      <c r="MH572" s="10"/>
      <c r="MI572" s="10"/>
      <c r="MJ572" s="10"/>
      <c r="MK572" s="10"/>
      <c r="ML572" s="10"/>
      <c r="MM572" s="10"/>
      <c r="MN572" s="10"/>
      <c r="MO572" s="10"/>
      <c r="MP572" s="10"/>
      <c r="MQ572" s="10"/>
      <c r="MR572" s="10"/>
      <c r="MS572" s="10">
        <v>315</v>
      </c>
      <c r="MT572" s="10"/>
      <c r="MU572" s="10">
        <v>315</v>
      </c>
      <c r="MV572" s="10">
        <v>-504</v>
      </c>
      <c r="MW572" s="10"/>
      <c r="MX572" s="10">
        <v>-630</v>
      </c>
      <c r="MY572" s="10"/>
      <c r="MZ572" s="10"/>
      <c r="NA572" s="10"/>
      <c r="NB572" s="10"/>
      <c r="NC572" s="10"/>
      <c r="ND572" s="10"/>
      <c r="NE572" s="10"/>
      <c r="NF572" s="10"/>
      <c r="NG572" s="10"/>
      <c r="NH572" s="10"/>
      <c r="NI572" s="10"/>
      <c r="NJ572" s="10"/>
      <c r="NK572" s="10"/>
      <c r="NL572" s="10"/>
      <c r="NM572" s="10">
        <v>253</v>
      </c>
      <c r="NN572" s="10">
        <v>-252</v>
      </c>
      <c r="NO572" s="10">
        <v>315</v>
      </c>
      <c r="NP572" s="10"/>
      <c r="NQ572" s="10"/>
      <c r="NR572" s="10"/>
      <c r="NS572" s="10"/>
      <c r="NT572" s="10"/>
      <c r="NU572" s="10"/>
      <c r="NV572" s="10"/>
      <c r="NW572" s="10"/>
      <c r="NX572" s="10"/>
      <c r="NY572" s="10">
        <v>252</v>
      </c>
      <c r="NZ572" s="10">
        <v>-315</v>
      </c>
      <c r="OA572" s="10"/>
      <c r="OB572" s="10"/>
      <c r="OC572" s="10"/>
      <c r="OD572" s="10"/>
      <c r="OE572" s="10"/>
      <c r="OF572" s="10"/>
      <c r="OG572" s="10"/>
      <c r="OH572" s="10"/>
      <c r="OI572" s="10"/>
      <c r="OJ572" s="10"/>
      <c r="OK572" s="10"/>
      <c r="OL572" s="10">
        <v>-315</v>
      </c>
      <c r="OM572" s="10">
        <v>149</v>
      </c>
      <c r="ON572" s="10"/>
      <c r="OO572" s="10"/>
      <c r="OP572" s="10"/>
      <c r="OQ572" s="10"/>
      <c r="OR572" s="10"/>
      <c r="OS572" s="10"/>
      <c r="OT572" s="10"/>
      <c r="OU572" s="10"/>
      <c r="OV572" s="10"/>
      <c r="OW572" s="10"/>
      <c r="OX572" s="10"/>
      <c r="OY572" s="10"/>
      <c r="OZ572" s="10"/>
      <c r="PA572" s="10"/>
      <c r="PB572" s="10"/>
      <c r="PC572" s="10"/>
      <c r="PD572" s="10"/>
      <c r="PE572" s="10">
        <v>630</v>
      </c>
      <c r="PF572" s="10"/>
      <c r="PG572" s="10"/>
      <c r="PH572" s="10"/>
      <c r="PI572" s="10"/>
      <c r="PJ572" s="10"/>
      <c r="PK572" s="10"/>
      <c r="PL572" s="10">
        <v>-567</v>
      </c>
      <c r="PM572" s="10"/>
      <c r="PN572" s="10"/>
      <c r="PO572" s="10"/>
      <c r="PP572" s="10"/>
      <c r="PQ572" s="13">
        <v>266</v>
      </c>
      <c r="PR572" s="10"/>
      <c r="PS572" s="13">
        <f>315+169</f>
        <v>484</v>
      </c>
      <c r="PT572" s="10"/>
      <c r="PU572" s="10"/>
      <c r="PV572" s="10"/>
      <c r="PW572" s="10"/>
      <c r="PX572" s="10"/>
      <c r="PY572" s="10"/>
      <c r="PZ572" s="10"/>
      <c r="QA572" s="13">
        <f>315+136</f>
        <v>451</v>
      </c>
      <c r="QB572" s="10">
        <v>-504</v>
      </c>
      <c r="QC572" s="10"/>
      <c r="QD572" s="10">
        <v>-315</v>
      </c>
      <c r="QE572" s="10"/>
      <c r="QF572" s="10"/>
      <c r="QG572" s="10"/>
      <c r="QH572" s="10"/>
      <c r="QI572" s="10"/>
      <c r="QJ572" s="10"/>
      <c r="QK572" s="10"/>
      <c r="QL572" s="10"/>
      <c r="QM572" s="10"/>
      <c r="QN572" s="10"/>
      <c r="QO572" s="10"/>
      <c r="QP572" s="10"/>
      <c r="QQ572" s="13">
        <v>315</v>
      </c>
      <c r="QR572" s="10"/>
      <c r="QS572" s="10">
        <f>-315-620</f>
        <v>-935</v>
      </c>
      <c r="QT572" s="10"/>
      <c r="QU572" s="14">
        <f>262+630+140</f>
        <v>1032</v>
      </c>
      <c r="QV572" s="10"/>
      <c r="QW572" s="10"/>
      <c r="QX572" s="10"/>
      <c r="QY572" s="10"/>
      <c r="QZ572" s="10">
        <v>-252</v>
      </c>
      <c r="RA572" s="10"/>
      <c r="RB572" s="10"/>
      <c r="RC572" s="10"/>
      <c r="RD572" s="10">
        <v>-630</v>
      </c>
      <c r="RE572" s="10"/>
      <c r="RF572" s="10"/>
      <c r="RG572" s="10"/>
      <c r="RH572" s="10"/>
      <c r="RI572" s="10"/>
      <c r="RJ572" s="10"/>
      <c r="RK572" s="10"/>
      <c r="RL572" s="10"/>
      <c r="RM572" s="10"/>
      <c r="RN572" s="10"/>
      <c r="RO572" s="10"/>
      <c r="RP572" s="10"/>
      <c r="RQ572" s="10"/>
      <c r="RR572" s="10"/>
      <c r="RS572" s="10"/>
      <c r="RT572" s="10"/>
      <c r="RU572" s="10"/>
      <c r="RV572" s="10"/>
      <c r="RW572" s="10"/>
      <c r="RX572" s="10"/>
      <c r="RY572" s="10"/>
      <c r="RZ572" s="10"/>
      <c r="SA572" s="10"/>
      <c r="SB572" s="10"/>
      <c r="SC572" s="10"/>
      <c r="SD572" s="10"/>
      <c r="SE572" s="10"/>
      <c r="SF572" s="10"/>
      <c r="SG572" s="10"/>
      <c r="SH572" s="10"/>
      <c r="SI572" s="10"/>
      <c r="SJ572" s="10"/>
      <c r="SK572" s="10"/>
      <c r="SL572" s="10"/>
      <c r="SM572" s="10">
        <v>651</v>
      </c>
      <c r="SN572" s="10"/>
      <c r="SO572" s="10"/>
      <c r="SP572" s="10"/>
      <c r="SQ572" s="10"/>
      <c r="SR572" s="10"/>
      <c r="SS572" s="10"/>
      <c r="ST572" s="10">
        <v>-63</v>
      </c>
      <c r="SU572" s="10"/>
      <c r="SV572" s="10"/>
      <c r="SW572" s="10"/>
      <c r="SX572" s="10"/>
      <c r="SY572" s="10"/>
      <c r="SZ572" s="10"/>
      <c r="TA572" s="10"/>
      <c r="TB572" s="10"/>
      <c r="TC572" s="10"/>
      <c r="TD572" s="10"/>
      <c r="TE572" s="10"/>
      <c r="TF572" s="10"/>
      <c r="TG572" s="11">
        <f t="shared" si="27"/>
        <v>0</v>
      </c>
      <c r="TH572" s="9">
        <f t="shared" si="28"/>
        <v>-728</v>
      </c>
    </row>
    <row r="573" spans="1:528" ht="15.6" thickBot="1" x14ac:dyDescent="0.3">
      <c r="A573" s="28" t="s">
        <v>1081</v>
      </c>
      <c r="B573" s="18" t="s">
        <v>859</v>
      </c>
      <c r="C573" s="3">
        <f>AGOSTO!D577</f>
        <v>496</v>
      </c>
      <c r="D573" s="21">
        <f>C573+SUM(E573:TF573)</f>
        <v>241</v>
      </c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>
        <v>-224</v>
      </c>
      <c r="W573" s="10">
        <v>222</v>
      </c>
      <c r="X573" s="10"/>
      <c r="Y573" s="10"/>
      <c r="Z573" s="10"/>
      <c r="AA573" s="10"/>
      <c r="AB573" s="10"/>
      <c r="AC573" s="10">
        <v>57</v>
      </c>
      <c r="AD573" s="10"/>
      <c r="AE573" s="10"/>
      <c r="AF573" s="10">
        <v>-504</v>
      </c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>
        <f>142+315</f>
        <v>457</v>
      </c>
      <c r="BN573" s="10">
        <f>-252-252</f>
        <v>-504</v>
      </c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>
        <v>315</v>
      </c>
      <c r="BZ573" s="10"/>
      <c r="CA573" s="10"/>
      <c r="CB573" s="10">
        <v>-315</v>
      </c>
      <c r="CC573" s="10"/>
      <c r="CD573" s="10"/>
      <c r="CE573" s="10">
        <v>68</v>
      </c>
      <c r="CF573" s="10"/>
      <c r="CG573" s="10"/>
      <c r="CH573" s="10"/>
      <c r="CI573" s="10"/>
      <c r="CJ573" s="10"/>
      <c r="CK573" s="10"/>
      <c r="CL573" s="10"/>
      <c r="CM573" s="10"/>
      <c r="CN573" s="10"/>
      <c r="CO573" s="10">
        <f>189+252</f>
        <v>441</v>
      </c>
      <c r="CP573" s="10">
        <v>-252</v>
      </c>
      <c r="CQ573" s="10"/>
      <c r="CR573" s="10">
        <v>-231</v>
      </c>
      <c r="CS573" s="10"/>
      <c r="CT573" s="10"/>
      <c r="CU573" s="10"/>
      <c r="CV573" s="10"/>
      <c r="CW573" s="10">
        <v>117</v>
      </c>
      <c r="CX573" s="10"/>
      <c r="CY573" s="10"/>
      <c r="CZ573" s="10"/>
      <c r="DA573" s="10"/>
      <c r="DB573" s="10"/>
      <c r="DC573" s="10"/>
      <c r="DD573" s="10"/>
      <c r="DE573" s="10">
        <f>172</f>
        <v>172</v>
      </c>
      <c r="DF573" s="10"/>
      <c r="DG573" s="10">
        <v>97</v>
      </c>
      <c r="DH573" s="10">
        <v>-315</v>
      </c>
      <c r="DI573" s="10"/>
      <c r="DJ573" s="10"/>
      <c r="DK573" s="10"/>
      <c r="DL573" s="10"/>
      <c r="DM573" s="10"/>
      <c r="DN573" s="10"/>
      <c r="DO573" s="10">
        <v>301</v>
      </c>
      <c r="DP573" s="10">
        <v>-315</v>
      </c>
      <c r="DQ573" s="10"/>
      <c r="DR573" s="10"/>
      <c r="DS573" s="10"/>
      <c r="DT573" s="10"/>
      <c r="DU573" s="10"/>
      <c r="DV573" s="10"/>
      <c r="DW573" s="10">
        <v>315</v>
      </c>
      <c r="DX573" s="10"/>
      <c r="DY573" s="10"/>
      <c r="DZ573" s="10"/>
      <c r="EA573" s="10"/>
      <c r="EB573" s="10"/>
      <c r="EC573" s="10"/>
      <c r="ED573" s="10">
        <v>-42</v>
      </c>
      <c r="EE573" s="10"/>
      <c r="EF573" s="10"/>
      <c r="EG573" s="10"/>
      <c r="EH573" s="10">
        <v>-315</v>
      </c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>
        <f>315+115</f>
        <v>430</v>
      </c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>
        <v>-126</v>
      </c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>
        <f>315+152</f>
        <v>467</v>
      </c>
      <c r="FX573" s="10">
        <v>-315</v>
      </c>
      <c r="FY573" s="10"/>
      <c r="FZ573" s="10"/>
      <c r="GA573" s="10"/>
      <c r="GB573" s="10">
        <v>-252</v>
      </c>
      <c r="GC573" s="10"/>
      <c r="GD573" s="10"/>
      <c r="GE573" s="10"/>
      <c r="GF573" s="10"/>
      <c r="GG573" s="10"/>
      <c r="GH573" s="10"/>
      <c r="GI573" s="10">
        <v>53</v>
      </c>
      <c r="GJ573" s="10"/>
      <c r="GK573" s="10">
        <v>17</v>
      </c>
      <c r="GL573" s="10">
        <v>-315</v>
      </c>
      <c r="GM573" s="10"/>
      <c r="GN573" s="10"/>
      <c r="GO573" s="10">
        <f>315</f>
        <v>315</v>
      </c>
      <c r="GP573" s="10"/>
      <c r="GQ573" s="10">
        <f>315+223</f>
        <v>538</v>
      </c>
      <c r="GR573" s="10"/>
      <c r="GS573" s="10"/>
      <c r="GT573" s="10"/>
      <c r="GU573" s="10"/>
      <c r="GV573" s="10"/>
      <c r="GW573" s="10"/>
      <c r="GX573" s="10"/>
      <c r="GY573" s="10"/>
      <c r="GZ573" s="10">
        <v>-315</v>
      </c>
      <c r="HA573" s="10"/>
      <c r="HB573" s="10"/>
      <c r="HC573" s="10"/>
      <c r="HD573" s="10"/>
      <c r="HE573" s="10"/>
      <c r="HF573" s="10"/>
      <c r="HG573" s="10"/>
      <c r="HH573" s="10"/>
      <c r="HI573" s="10">
        <f>315+29</f>
        <v>344</v>
      </c>
      <c r="HJ573" s="10"/>
      <c r="HK573" s="10"/>
      <c r="HL573" s="10"/>
      <c r="HM573" s="10"/>
      <c r="HN573" s="10">
        <v>-567</v>
      </c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>
        <v>-105</v>
      </c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>
        <v>84</v>
      </c>
      <c r="MV573" s="10">
        <v>-252</v>
      </c>
      <c r="MW573" s="10">
        <v>294</v>
      </c>
      <c r="MX573" s="10">
        <v>-315</v>
      </c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4">
        <v>173</v>
      </c>
      <c r="NN573" s="10">
        <v>-84</v>
      </c>
      <c r="NO573" s="10">
        <f>239+46</f>
        <v>285</v>
      </c>
      <c r="NP573" s="10"/>
      <c r="NQ573" s="10"/>
      <c r="NR573" s="10"/>
      <c r="NS573" s="10"/>
      <c r="NT573" s="10"/>
      <c r="NU573" s="10"/>
      <c r="NV573" s="10"/>
      <c r="NW573" s="10"/>
      <c r="NX573" s="10"/>
      <c r="NY573" s="10">
        <v>630</v>
      </c>
      <c r="NZ573" s="10">
        <v>-395</v>
      </c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>
        <v>-315</v>
      </c>
      <c r="OM573" s="10">
        <v>33</v>
      </c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>
        <v>113</v>
      </c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>
        <f>69+284</f>
        <v>353</v>
      </c>
      <c r="PL573" s="10">
        <v>-567</v>
      </c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3">
        <f>56</f>
        <v>56</v>
      </c>
      <c r="PZ573" s="10"/>
      <c r="QA573" s="13">
        <v>74</v>
      </c>
      <c r="QB573" s="10">
        <v>-252</v>
      </c>
      <c r="QC573" s="13">
        <v>315</v>
      </c>
      <c r="QD573" s="10">
        <v>-440</v>
      </c>
      <c r="QE573" s="13">
        <v>14</v>
      </c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>
        <v>133</v>
      </c>
      <c r="QV573" s="10"/>
      <c r="QW573" s="10"/>
      <c r="QX573" s="10"/>
      <c r="QY573" s="10"/>
      <c r="QZ573" s="10">
        <v>-147</v>
      </c>
      <c r="RA573" s="10"/>
      <c r="RB573" s="10"/>
      <c r="RC573" s="10">
        <f>630+85</f>
        <v>715</v>
      </c>
      <c r="RD573" s="10">
        <v>-630</v>
      </c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>
        <v>156</v>
      </c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1">
        <f t="shared" si="27"/>
        <v>279</v>
      </c>
      <c r="TH573" s="9">
        <f t="shared" si="28"/>
        <v>-728</v>
      </c>
    </row>
    <row r="574" spans="1:528" ht="15.6" thickBot="1" x14ac:dyDescent="0.3">
      <c r="A574" s="28" t="s">
        <v>1082</v>
      </c>
      <c r="B574" s="18" t="s">
        <v>860</v>
      </c>
      <c r="C574" s="3">
        <f>AGOSTO!D578</f>
        <v>0</v>
      </c>
      <c r="D574" s="21">
        <f>C574+SUM(E574:TF574)</f>
        <v>1154</v>
      </c>
      <c r="E574" s="10"/>
      <c r="F574" s="10"/>
      <c r="G574" s="10"/>
      <c r="H574" s="10"/>
      <c r="I574" s="10">
        <f>163</f>
        <v>163</v>
      </c>
      <c r="J574" s="10"/>
      <c r="K574" s="10"/>
      <c r="L574" s="10"/>
      <c r="M574" s="10">
        <f>284+31</f>
        <v>315</v>
      </c>
      <c r="N574" s="10"/>
      <c r="O574" s="10">
        <f>237+78+153</f>
        <v>468</v>
      </c>
      <c r="P574" s="10"/>
      <c r="Q574" s="10"/>
      <c r="R574" s="10"/>
      <c r="S574" s="10"/>
      <c r="T574" s="10"/>
      <c r="U574" s="10"/>
      <c r="V574" s="10">
        <v>-224</v>
      </c>
      <c r="W574" s="10"/>
      <c r="X574" s="10"/>
      <c r="Y574" s="10"/>
      <c r="Z574" s="10"/>
      <c r="AA574" s="10"/>
      <c r="AB574" s="10"/>
      <c r="AC574" s="10"/>
      <c r="AD574" s="10"/>
      <c r="AE574" s="10"/>
      <c r="AF574" s="10">
        <v>-504</v>
      </c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>
        <v>34</v>
      </c>
      <c r="BN574" s="10">
        <v>-252</v>
      </c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>
        <f>252</f>
        <v>252</v>
      </c>
      <c r="CN574" s="10"/>
      <c r="CO574" s="10">
        <f>252+286</f>
        <v>538</v>
      </c>
      <c r="CP574" s="10">
        <v>-504</v>
      </c>
      <c r="CQ574" s="10"/>
      <c r="CR574" s="10">
        <v>-286</v>
      </c>
      <c r="CS574" s="10"/>
      <c r="CT574" s="10"/>
      <c r="CU574" s="10"/>
      <c r="CV574" s="10"/>
      <c r="CW574" s="10">
        <v>43</v>
      </c>
      <c r="CX574" s="10"/>
      <c r="CY574" s="10"/>
      <c r="CZ574" s="10"/>
      <c r="DA574" s="10"/>
      <c r="DB574" s="10">
        <v>-29</v>
      </c>
      <c r="DC574" s="10"/>
      <c r="DD574" s="10"/>
      <c r="DE574" s="10">
        <v>315</v>
      </c>
      <c r="DF574" s="10"/>
      <c r="DG574" s="10">
        <v>252</v>
      </c>
      <c r="DH574" s="10">
        <v>-315</v>
      </c>
      <c r="DI574" s="10">
        <v>315</v>
      </c>
      <c r="DJ574" s="10">
        <v>-252</v>
      </c>
      <c r="DK574" s="10">
        <f>315+97</f>
        <v>412</v>
      </c>
      <c r="DL574" s="10"/>
      <c r="DM574" s="10"/>
      <c r="DN574" s="10"/>
      <c r="DO574" s="10"/>
      <c r="DP574" s="10">
        <v>-315</v>
      </c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>
        <v>174</v>
      </c>
      <c r="ED574" s="10">
        <v>-273</v>
      </c>
      <c r="EE574" s="10"/>
      <c r="EF574" s="10"/>
      <c r="EG574" s="10"/>
      <c r="EH574" s="10">
        <v>-315</v>
      </c>
      <c r="EI574" s="10"/>
      <c r="EJ574" s="10"/>
      <c r="EK574" s="10"/>
      <c r="EL574" s="10"/>
      <c r="EM574" s="10">
        <f>315+21</f>
        <v>336</v>
      </c>
      <c r="EN574" s="10"/>
      <c r="EO574" s="10"/>
      <c r="EP574" s="10"/>
      <c r="EQ574" s="10"/>
      <c r="ER574" s="10"/>
      <c r="ES574" s="10">
        <v>315</v>
      </c>
      <c r="ET574" s="10"/>
      <c r="EU574" s="10">
        <v>29</v>
      </c>
      <c r="EV574" s="10"/>
      <c r="EW574" s="10"/>
      <c r="EX574" s="10">
        <v>-126</v>
      </c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>
        <v>-210</v>
      </c>
      <c r="FK574" s="10"/>
      <c r="FL574" s="10">
        <v>-252</v>
      </c>
      <c r="FM574" s="10">
        <v>315</v>
      </c>
      <c r="FN574" s="10"/>
      <c r="FO574" s="10">
        <v>315</v>
      </c>
      <c r="FP574" s="10"/>
      <c r="FQ574" s="10"/>
      <c r="FR574" s="10"/>
      <c r="FS574" s="10">
        <f>315</f>
        <v>315</v>
      </c>
      <c r="FT574" s="10"/>
      <c r="FU574" s="10"/>
      <c r="FV574" s="10"/>
      <c r="FW574" s="10">
        <v>153</v>
      </c>
      <c r="FX574" s="10">
        <v>-630</v>
      </c>
      <c r="FY574" s="10"/>
      <c r="FZ574" s="10"/>
      <c r="GA574" s="10">
        <v>184</v>
      </c>
      <c r="GB574" s="10">
        <v>-756</v>
      </c>
      <c r="GC574" s="10">
        <f>315+315</f>
        <v>630</v>
      </c>
      <c r="GD574" s="10"/>
      <c r="GE574" s="10"/>
      <c r="GF574" s="10"/>
      <c r="GG574" s="10">
        <f>315+315+68</f>
        <v>698</v>
      </c>
      <c r="GH574" s="10"/>
      <c r="GI574" s="10"/>
      <c r="GJ574" s="10"/>
      <c r="GK574" s="10"/>
      <c r="GL574" s="10">
        <v>-630</v>
      </c>
      <c r="GM574" s="10"/>
      <c r="GN574" s="10"/>
      <c r="GO574" s="10">
        <v>315</v>
      </c>
      <c r="GP574" s="10"/>
      <c r="GQ574" s="10">
        <v>133</v>
      </c>
      <c r="GR574" s="10"/>
      <c r="GS574" s="10"/>
      <c r="GT574" s="10"/>
      <c r="GU574" s="10"/>
      <c r="GV574" s="10"/>
      <c r="GW574" s="10"/>
      <c r="GX574" s="10"/>
      <c r="GY574" s="10">
        <f>315*2</f>
        <v>630</v>
      </c>
      <c r="GZ574" s="10">
        <v>-945</v>
      </c>
      <c r="HA574" s="10">
        <v>315</v>
      </c>
      <c r="HB574" s="10"/>
      <c r="HC574" s="10"/>
      <c r="HD574" s="10"/>
      <c r="HE574" s="10"/>
      <c r="HF574" s="10"/>
      <c r="HG574" s="10"/>
      <c r="HH574" s="10"/>
      <c r="HI574" s="10"/>
      <c r="HJ574" s="10"/>
      <c r="HK574" s="10">
        <v>315</v>
      </c>
      <c r="HL574" s="10"/>
      <c r="HM574" s="10">
        <f>315*3</f>
        <v>945</v>
      </c>
      <c r="HN574" s="10">
        <v>-882</v>
      </c>
      <c r="HO574" s="10">
        <f>315+31</f>
        <v>346</v>
      </c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>
        <v>-252</v>
      </c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>
        <v>-189</v>
      </c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10"/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10"/>
      <c r="KO574" s="10"/>
      <c r="KP574" s="10"/>
      <c r="KQ574" s="10"/>
      <c r="KR574" s="10"/>
      <c r="KS574" s="10"/>
      <c r="KT574" s="10"/>
      <c r="KU574" s="10"/>
      <c r="KV574" s="10"/>
      <c r="KW574" s="10"/>
      <c r="KX574" s="10"/>
      <c r="KY574" s="10"/>
      <c r="KZ574" s="10"/>
      <c r="LA574" s="10"/>
      <c r="LB574" s="10"/>
      <c r="LC574" s="10"/>
      <c r="LD574" s="10"/>
      <c r="LE574" s="10"/>
      <c r="LF574" s="10"/>
      <c r="LG574" s="10"/>
      <c r="LH574" s="10"/>
      <c r="LI574" s="10"/>
      <c r="LJ574" s="10"/>
      <c r="LK574" s="10"/>
      <c r="LL574" s="10"/>
      <c r="LM574" s="10"/>
      <c r="LN574" s="10"/>
      <c r="LO574" s="10"/>
      <c r="LP574" s="10"/>
      <c r="LQ574" s="10"/>
      <c r="LR574" s="10"/>
      <c r="LS574" s="10"/>
      <c r="LT574" s="10"/>
      <c r="LU574" s="10"/>
      <c r="LV574" s="10"/>
      <c r="LW574" s="10"/>
      <c r="LX574" s="10"/>
      <c r="LY574" s="10"/>
      <c r="LZ574" s="10"/>
      <c r="MA574" s="10"/>
      <c r="MB574" s="10"/>
      <c r="MC574" s="10"/>
      <c r="MD574" s="10"/>
      <c r="ME574" s="10"/>
      <c r="MF574" s="10"/>
      <c r="MG574" s="10"/>
      <c r="MH574" s="10"/>
      <c r="MI574" s="10"/>
      <c r="MJ574" s="10"/>
      <c r="MK574" s="10"/>
      <c r="ML574" s="10"/>
      <c r="MM574" s="10"/>
      <c r="MN574" s="10"/>
      <c r="MO574" s="10"/>
      <c r="MP574" s="10"/>
      <c r="MQ574" s="10"/>
      <c r="MR574" s="10"/>
      <c r="MS574" s="10"/>
      <c r="MT574" s="10"/>
      <c r="MU574" s="10"/>
      <c r="MV574" s="10">
        <v>-756</v>
      </c>
      <c r="MW574" s="10"/>
      <c r="MX574" s="10">
        <v>-315</v>
      </c>
      <c r="MY574" s="10"/>
      <c r="MZ574" s="10"/>
      <c r="NA574" s="10"/>
      <c r="NB574" s="10"/>
      <c r="NC574" s="10"/>
      <c r="ND574" s="10"/>
      <c r="NE574" s="10"/>
      <c r="NF574" s="10"/>
      <c r="NG574" s="10"/>
      <c r="NH574" s="10"/>
      <c r="NI574" s="10"/>
      <c r="NJ574" s="10"/>
      <c r="NK574" s="10"/>
      <c r="NL574" s="10"/>
      <c r="NM574" s="10"/>
      <c r="NN574" s="10">
        <v>-252</v>
      </c>
      <c r="NO574" s="10"/>
      <c r="NP574" s="10"/>
      <c r="NQ574" s="10"/>
      <c r="NR574" s="10"/>
      <c r="NS574" s="10"/>
      <c r="NT574" s="10"/>
      <c r="NU574" s="10"/>
      <c r="NV574" s="10"/>
      <c r="NW574" s="10"/>
      <c r="NX574" s="10"/>
      <c r="NY574" s="10">
        <v>274</v>
      </c>
      <c r="NZ574" s="10">
        <v>-380</v>
      </c>
      <c r="OA574" s="10"/>
      <c r="OB574" s="10"/>
      <c r="OC574" s="10"/>
      <c r="OD574" s="10"/>
      <c r="OE574" s="10"/>
      <c r="OF574" s="10"/>
      <c r="OG574" s="10"/>
      <c r="OH574" s="10"/>
      <c r="OI574" s="10">
        <f>315+315</f>
        <v>630</v>
      </c>
      <c r="OJ574" s="10"/>
      <c r="OK574" s="10">
        <v>315</v>
      </c>
      <c r="OL574" s="10">
        <v>-630</v>
      </c>
      <c r="OM574" s="10">
        <f>315+315+315+315</f>
        <v>1260</v>
      </c>
      <c r="ON574" s="10"/>
      <c r="OO574" s="10"/>
      <c r="OP574" s="10"/>
      <c r="OQ574" s="10"/>
      <c r="OR574" s="10"/>
      <c r="OS574" s="10"/>
      <c r="OT574" s="10"/>
      <c r="OU574" s="10"/>
      <c r="OV574" s="10"/>
      <c r="OW574" s="10"/>
      <c r="OX574" s="10"/>
      <c r="OY574" s="10">
        <f>315+146</f>
        <v>461</v>
      </c>
      <c r="OZ574" s="10"/>
      <c r="PA574" s="10"/>
      <c r="PB574" s="10"/>
      <c r="PC574" s="10"/>
      <c r="PD574" s="10"/>
      <c r="PE574" s="10"/>
      <c r="PF574" s="10"/>
      <c r="PG574" s="10"/>
      <c r="PH574" s="10"/>
      <c r="PI574" s="10"/>
      <c r="PJ574" s="10"/>
      <c r="PK574" s="10"/>
      <c r="PL574" s="10">
        <v>-882</v>
      </c>
      <c r="PM574" s="10"/>
      <c r="PN574" s="10"/>
      <c r="PO574" s="10"/>
      <c r="PP574" s="10"/>
      <c r="PQ574" s="13">
        <v>142</v>
      </c>
      <c r="PR574" s="10"/>
      <c r="PS574" s="10"/>
      <c r="PT574" s="10"/>
      <c r="PU574" s="10"/>
      <c r="PV574" s="10"/>
      <c r="PW574" s="10"/>
      <c r="PX574" s="10"/>
      <c r="PY574" s="10"/>
      <c r="PZ574" s="10"/>
      <c r="QA574" s="10"/>
      <c r="QB574" s="13">
        <v>-756</v>
      </c>
      <c r="QC574" s="13">
        <f>315+173</f>
        <v>488</v>
      </c>
      <c r="QD574" s="13">
        <v>-848</v>
      </c>
      <c r="QE574" s="13">
        <f>315+102</f>
        <v>417</v>
      </c>
      <c r="QF574" s="10"/>
      <c r="QG574" s="10"/>
      <c r="QH574" s="10"/>
      <c r="QI574" s="10"/>
      <c r="QJ574" s="10"/>
      <c r="QK574" s="10"/>
      <c r="QL574" s="10"/>
      <c r="QM574" s="10"/>
      <c r="QN574" s="10"/>
      <c r="QO574" s="10"/>
      <c r="QP574" s="10"/>
      <c r="QQ574" s="10"/>
      <c r="QR574" s="10"/>
      <c r="QS574" s="10">
        <v>-315</v>
      </c>
      <c r="QT574" s="10"/>
      <c r="QU574" s="10"/>
      <c r="QV574" s="14">
        <v>-180</v>
      </c>
      <c r="QW574" s="10">
        <f>252+150</f>
        <v>402</v>
      </c>
      <c r="QX574" s="10"/>
      <c r="QY574" s="10"/>
      <c r="QZ574" s="10">
        <v>-504</v>
      </c>
      <c r="RA574" s="10">
        <f>288</f>
        <v>288</v>
      </c>
      <c r="RB574" s="10"/>
      <c r="RC574" s="10">
        <f>27+40</f>
        <v>67</v>
      </c>
      <c r="RD574" s="10">
        <v>-315</v>
      </c>
      <c r="RE574" s="10"/>
      <c r="RF574" s="10"/>
      <c r="RG574" s="10"/>
      <c r="RH574" s="10"/>
      <c r="RI574" s="10"/>
      <c r="RJ574" s="10"/>
      <c r="RK574" s="10"/>
      <c r="RL574" s="10"/>
      <c r="RM574" s="10"/>
      <c r="RN574" s="10"/>
      <c r="RO574" s="10"/>
      <c r="RP574" s="10"/>
      <c r="RQ574" s="10"/>
      <c r="RR574" s="10"/>
      <c r="RS574" s="10"/>
      <c r="RT574" s="10"/>
      <c r="RU574" s="10"/>
      <c r="RV574" s="10"/>
      <c r="RW574" s="10"/>
      <c r="RX574" s="10"/>
      <c r="RY574" s="10"/>
      <c r="RZ574" s="10"/>
      <c r="SA574" s="10"/>
      <c r="SB574" s="10"/>
      <c r="SC574" s="10"/>
      <c r="SD574" s="10"/>
      <c r="SE574" s="10"/>
      <c r="SF574" s="10"/>
      <c r="SG574" s="10">
        <f>315+227</f>
        <v>542</v>
      </c>
      <c r="SH574" s="10"/>
      <c r="SI574" s="10">
        <f>88+271</f>
        <v>359</v>
      </c>
      <c r="SJ574" s="10"/>
      <c r="SK574" s="10">
        <f>315+66</f>
        <v>381</v>
      </c>
      <c r="SL574" s="10"/>
      <c r="SM574" s="10"/>
      <c r="SN574" s="10"/>
      <c r="SO574" s="10"/>
      <c r="SP574" s="10"/>
      <c r="SQ574" s="10"/>
      <c r="SR574" s="10"/>
      <c r="SS574" s="10"/>
      <c r="ST574" s="10">
        <v>-168</v>
      </c>
      <c r="SU574" s="10"/>
      <c r="SV574" s="10"/>
      <c r="SW574" s="10"/>
      <c r="SX574" s="10"/>
      <c r="SY574" s="10"/>
      <c r="SZ574" s="10"/>
      <c r="TA574" s="10"/>
      <c r="TB574" s="10"/>
      <c r="TC574" s="10"/>
      <c r="TD574" s="10"/>
      <c r="TE574" s="10"/>
      <c r="TF574" s="10"/>
      <c r="TG574" s="11">
        <f t="shared" si="27"/>
        <v>946</v>
      </c>
      <c r="TH574" s="9">
        <f t="shared" si="28"/>
        <v>-728</v>
      </c>
    </row>
    <row r="575" spans="1:528" ht="16.2" thickBot="1" x14ac:dyDescent="0.35">
      <c r="A575" s="18"/>
      <c r="B575" s="23" t="s">
        <v>953</v>
      </c>
      <c r="C575" s="3">
        <f>AGOSTO!D579</f>
        <v>0</v>
      </c>
      <c r="D575" s="21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1">
        <f t="shared" ref="TG575:TG609" si="29">TE575+BG575+BE575+BC575+BA575+AY575+AW575+AU575+AS575+AQ575+AO575+AM575+AK575+AI575+AG575+AE575+AC575+AA575+Y575+W575+U575+S575+Q575+O575+M575+K575+I575+G575+E575</f>
        <v>0</v>
      </c>
      <c r="TH575" s="9">
        <f t="shared" ref="TH575:TH609" si="30">TF575+BH575+BF575+BD575+BB575+AZ575+AX575+AV575+AT575+AR575+AP575+AN575+AL575+AJ575+AH575+AF575+AD575+AB575+Z575+X575+V575+T575+R575+P575+N575+L575+J575+H575+F575</f>
        <v>0</v>
      </c>
    </row>
    <row r="576" spans="1:528" ht="15.6" thickBot="1" x14ac:dyDescent="0.3">
      <c r="A576" s="35">
        <v>65103011082012</v>
      </c>
      <c r="B576" s="18" t="s">
        <v>1083</v>
      </c>
      <c r="C576" s="3">
        <f>AGOSTO!D580</f>
        <v>0</v>
      </c>
      <c r="D576" s="21">
        <f t="shared" ref="D576:D582" si="31">C576+SUM(E576:TF576)</f>
        <v>19</v>
      </c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>
        <f>117*3</f>
        <v>351</v>
      </c>
      <c r="AT576" s="10"/>
      <c r="AU576" s="10"/>
      <c r="AV576" s="10"/>
      <c r="AW576" s="10"/>
      <c r="AX576" s="10">
        <v>-351</v>
      </c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>
        <f>117+4+17</f>
        <v>138</v>
      </c>
      <c r="BN576" s="10">
        <v>-117</v>
      </c>
      <c r="BO576" s="10"/>
      <c r="BP576" s="10"/>
      <c r="BQ576" s="10"/>
      <c r="BR576" s="10"/>
      <c r="BS576" s="10"/>
      <c r="BT576" s="10"/>
      <c r="BU576" s="10">
        <f>117*3+117</f>
        <v>468</v>
      </c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>
        <v>-468</v>
      </c>
      <c r="CG576" s="10"/>
      <c r="CH576" s="10"/>
      <c r="CI576" s="10">
        <v>117</v>
      </c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>
        <v>-26</v>
      </c>
      <c r="CY576" s="10"/>
      <c r="CZ576" s="10"/>
      <c r="DA576" s="10"/>
      <c r="DB576" s="10">
        <v>-2</v>
      </c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>
        <v>-52</v>
      </c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>
        <v>-13</v>
      </c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>
        <v>-26</v>
      </c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10"/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10"/>
      <c r="KO576" s="10"/>
      <c r="KP576" s="10"/>
      <c r="KQ576" s="10"/>
      <c r="KR576" s="10"/>
      <c r="KS576" s="10"/>
      <c r="KT576" s="10"/>
      <c r="KU576" s="10"/>
      <c r="KV576" s="10"/>
      <c r="KW576" s="10"/>
      <c r="KX576" s="10"/>
      <c r="KY576" s="10"/>
      <c r="KZ576" s="10"/>
      <c r="LA576" s="10"/>
      <c r="LB576" s="10"/>
      <c r="LC576" s="10"/>
      <c r="LD576" s="10"/>
      <c r="LE576" s="10"/>
      <c r="LF576" s="10"/>
      <c r="LG576" s="10"/>
      <c r="LH576" s="10"/>
      <c r="LI576" s="10"/>
      <c r="LJ576" s="10"/>
      <c r="LK576" s="10"/>
      <c r="LL576" s="10"/>
      <c r="LM576" s="10"/>
      <c r="LN576" s="10"/>
      <c r="LO576" s="10"/>
      <c r="LP576" s="10"/>
      <c r="LQ576" s="10"/>
      <c r="LR576" s="10"/>
      <c r="LS576" s="10"/>
      <c r="LT576" s="10"/>
      <c r="LU576" s="10"/>
      <c r="LV576" s="10"/>
      <c r="LW576" s="10"/>
      <c r="LX576" s="10"/>
      <c r="LY576" s="10"/>
      <c r="LZ576" s="10"/>
      <c r="MA576" s="10"/>
      <c r="MB576" s="10"/>
      <c r="MC576" s="10"/>
      <c r="MD576" s="10"/>
      <c r="ME576" s="10"/>
      <c r="MF576" s="10"/>
      <c r="MG576" s="10"/>
      <c r="MH576" s="10"/>
      <c r="MI576" s="10"/>
      <c r="MJ576" s="10"/>
      <c r="MK576" s="10"/>
      <c r="ML576" s="10"/>
      <c r="MM576" s="10"/>
      <c r="MN576" s="10"/>
      <c r="MO576" s="10"/>
      <c r="MP576" s="10"/>
      <c r="MQ576" s="10"/>
      <c r="MR576" s="10"/>
      <c r="MS576" s="10"/>
      <c r="MT576" s="10"/>
      <c r="MU576" s="10"/>
      <c r="MV576" s="10"/>
      <c r="MW576" s="10"/>
      <c r="MX576" s="10"/>
      <c r="MY576" s="10"/>
      <c r="MZ576" s="10"/>
      <c r="NA576" s="10"/>
      <c r="NB576" s="10"/>
      <c r="NC576" s="10"/>
      <c r="ND576" s="10"/>
      <c r="NE576" s="10"/>
      <c r="NF576" s="10"/>
      <c r="NG576" s="10"/>
      <c r="NH576" s="10"/>
      <c r="NI576" s="10"/>
      <c r="NJ576" s="10"/>
      <c r="NK576" s="10"/>
      <c r="NL576" s="10"/>
      <c r="NM576" s="10"/>
      <c r="NN576" s="10"/>
      <c r="NO576" s="10"/>
      <c r="NP576" s="10"/>
      <c r="NQ576" s="10"/>
      <c r="NR576" s="10"/>
      <c r="NS576" s="10"/>
      <c r="NT576" s="10"/>
      <c r="NU576" s="10"/>
      <c r="NV576" s="10"/>
      <c r="NW576" s="10"/>
      <c r="NX576" s="10"/>
      <c r="NY576" s="10"/>
      <c r="NZ576" s="10"/>
      <c r="OA576" s="10"/>
      <c r="OB576" s="10"/>
      <c r="OC576" s="10"/>
      <c r="OD576" s="10"/>
      <c r="OE576" s="10"/>
      <c r="OF576" s="10"/>
      <c r="OG576" s="10"/>
      <c r="OH576" s="10"/>
      <c r="OI576" s="10"/>
      <c r="OJ576" s="10"/>
      <c r="OK576" s="10"/>
      <c r="OL576" s="10"/>
      <c r="OM576" s="10"/>
      <c r="ON576" s="10"/>
      <c r="OO576" s="10"/>
      <c r="OP576" s="10"/>
      <c r="OQ576" s="10"/>
      <c r="OR576" s="10"/>
      <c r="OS576" s="10"/>
      <c r="OT576" s="10"/>
      <c r="OU576" s="10"/>
      <c r="OV576" s="10"/>
      <c r="OW576" s="10"/>
      <c r="OX576" s="10"/>
      <c r="OY576" s="10"/>
      <c r="OZ576" s="10"/>
      <c r="PA576" s="10"/>
      <c r="PB576" s="10"/>
      <c r="PC576" s="10"/>
      <c r="PD576" s="10"/>
      <c r="PE576" s="10"/>
      <c r="PF576" s="10"/>
      <c r="PG576" s="10"/>
      <c r="PH576" s="10"/>
      <c r="PI576" s="10"/>
      <c r="PJ576" s="10"/>
      <c r="PK576" s="10"/>
      <c r="PL576" s="10"/>
      <c r="PM576" s="10"/>
      <c r="PN576" s="10"/>
      <c r="PO576" s="10"/>
      <c r="PP576" s="10"/>
      <c r="PQ576" s="10"/>
      <c r="PR576" s="10"/>
      <c r="PS576" s="10"/>
      <c r="PT576" s="10"/>
      <c r="PU576" s="10"/>
      <c r="PV576" s="10"/>
      <c r="PW576" s="10"/>
      <c r="PX576" s="10"/>
      <c r="PY576" s="10"/>
      <c r="PZ576" s="10"/>
      <c r="QA576" s="10"/>
      <c r="QB576" s="10"/>
      <c r="QC576" s="10"/>
      <c r="QD576" s="10"/>
      <c r="QE576" s="10"/>
      <c r="QF576" s="10"/>
      <c r="QG576" s="10"/>
      <c r="QH576" s="10"/>
      <c r="QI576" s="10"/>
      <c r="QJ576" s="10"/>
      <c r="QK576" s="10"/>
      <c r="QL576" s="10"/>
      <c r="QM576" s="10"/>
      <c r="QN576" s="10"/>
      <c r="QO576" s="10"/>
      <c r="QP576" s="10"/>
      <c r="QQ576" s="10"/>
      <c r="QR576" s="10"/>
      <c r="QS576" s="10"/>
      <c r="QT576" s="10"/>
      <c r="QU576" s="10"/>
      <c r="QV576" s="10"/>
      <c r="QW576" s="10"/>
      <c r="QX576" s="10"/>
      <c r="QY576" s="10"/>
      <c r="QZ576" s="10"/>
      <c r="RA576" s="10"/>
      <c r="RB576" s="10"/>
      <c r="RC576" s="10"/>
      <c r="RD576" s="10"/>
      <c r="RE576" s="10"/>
      <c r="RF576" s="10"/>
      <c r="RG576" s="10"/>
      <c r="RH576" s="10"/>
      <c r="RI576" s="10"/>
      <c r="RJ576" s="10"/>
      <c r="RK576" s="10"/>
      <c r="RL576" s="10"/>
      <c r="RM576" s="10"/>
      <c r="RN576" s="10"/>
      <c r="RO576" s="10"/>
      <c r="RP576" s="10"/>
      <c r="RQ576" s="10"/>
      <c r="RR576" s="10"/>
      <c r="RS576" s="10"/>
      <c r="RT576" s="10"/>
      <c r="RU576" s="10"/>
      <c r="RV576" s="10"/>
      <c r="RW576" s="10"/>
      <c r="RX576" s="10"/>
      <c r="RY576" s="10"/>
      <c r="RZ576" s="10"/>
      <c r="SA576" s="10"/>
      <c r="SB576" s="10"/>
      <c r="SC576" s="10"/>
      <c r="SD576" s="10"/>
      <c r="SE576" s="10"/>
      <c r="SF576" s="10"/>
      <c r="SG576" s="10"/>
      <c r="SH576" s="10"/>
      <c r="SI576" s="10"/>
      <c r="SJ576" s="10"/>
      <c r="SK576" s="10"/>
      <c r="SL576" s="10"/>
      <c r="SM576" s="10"/>
      <c r="SN576" s="10"/>
      <c r="SO576" s="10"/>
      <c r="SP576" s="10"/>
      <c r="SQ576" s="10"/>
      <c r="SR576" s="10"/>
      <c r="SS576" s="10"/>
      <c r="ST576" s="10"/>
      <c r="SU576" s="10"/>
      <c r="SV576" s="10"/>
      <c r="SW576" s="10"/>
      <c r="SX576" s="10"/>
      <c r="SY576" s="10"/>
      <c r="SZ576" s="10"/>
      <c r="TA576" s="10"/>
      <c r="TB576" s="10"/>
      <c r="TC576" s="10"/>
      <c r="TD576" s="10"/>
      <c r="TE576" s="10"/>
      <c r="TF576" s="10"/>
      <c r="TG576" s="11">
        <f t="shared" si="29"/>
        <v>351</v>
      </c>
      <c r="TH576" s="9">
        <f t="shared" si="30"/>
        <v>-351</v>
      </c>
    </row>
    <row r="577" spans="1:528" ht="15.6" thickBot="1" x14ac:dyDescent="0.3">
      <c r="A577" s="35">
        <v>65103017002008</v>
      </c>
      <c r="B577" s="18" t="s">
        <v>1084</v>
      </c>
      <c r="C577" s="3">
        <f>AGOSTO!D581</f>
        <v>0</v>
      </c>
      <c r="D577" s="55">
        <f t="shared" si="31"/>
        <v>36</v>
      </c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>
        <f>5*56</f>
        <v>280</v>
      </c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>
        <v>56</v>
      </c>
      <c r="BN577" s="10">
        <f>-280-56</f>
        <v>-336</v>
      </c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>
        <v>56</v>
      </c>
      <c r="CD577" s="10"/>
      <c r="CE577" s="10"/>
      <c r="CF577" s="10"/>
      <c r="CG577" s="10"/>
      <c r="CH577" s="10">
        <v>-32</v>
      </c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>
        <v>56</v>
      </c>
      <c r="CT577" s="10"/>
      <c r="CU577" s="10"/>
      <c r="CV577" s="10"/>
      <c r="CW577" s="10"/>
      <c r="CX577" s="10"/>
      <c r="CY577" s="10"/>
      <c r="CZ577" s="10"/>
      <c r="DA577" s="10"/>
      <c r="DB577" s="10"/>
      <c r="DC577" s="10">
        <f>56+56+24</f>
        <v>136</v>
      </c>
      <c r="DD577" s="10"/>
      <c r="DE577" s="10"/>
      <c r="DF577" s="10"/>
      <c r="DG577" s="10"/>
      <c r="DH577" s="10"/>
      <c r="DI577" s="10"/>
      <c r="DJ577" s="10">
        <v>-112</v>
      </c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>
        <f>56*3</f>
        <v>168</v>
      </c>
      <c r="EJ577" s="10">
        <v>-104</v>
      </c>
      <c r="EK577" s="10"/>
      <c r="EL577" s="10">
        <v>-168</v>
      </c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>
        <v>56</v>
      </c>
      <c r="FH577" s="10">
        <v>-56</v>
      </c>
      <c r="FI577" s="10"/>
      <c r="FJ577" s="10"/>
      <c r="FK577" s="10">
        <f>56+8</f>
        <v>64</v>
      </c>
      <c r="FL577" s="10">
        <v>-8</v>
      </c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>
        <v>-16</v>
      </c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>
        <v>-4</v>
      </c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1">
        <f t="shared" si="29"/>
        <v>280</v>
      </c>
      <c r="TH577" s="9">
        <f t="shared" si="30"/>
        <v>0</v>
      </c>
    </row>
    <row r="578" spans="1:528" ht="15.6" thickBot="1" x14ac:dyDescent="0.3">
      <c r="A578" s="35">
        <v>66100071009020</v>
      </c>
      <c r="B578" s="18" t="s">
        <v>1096</v>
      </c>
      <c r="C578" s="3">
        <f>AGOSTO!D582</f>
        <v>0</v>
      </c>
      <c r="D578" s="21">
        <f t="shared" si="31"/>
        <v>6</v>
      </c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>
        <f>315+63</f>
        <v>378</v>
      </c>
      <c r="BN578" s="10"/>
      <c r="BO578" s="10"/>
      <c r="BP578" s="10">
        <f>-63-315</f>
        <v>-378</v>
      </c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>
        <f>237</f>
        <v>237</v>
      </c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>
        <v>-42</v>
      </c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>
        <v>-63</v>
      </c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>
        <v>-21</v>
      </c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>
        <v>-105</v>
      </c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10"/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10"/>
      <c r="KO578" s="10"/>
      <c r="KP578" s="10"/>
      <c r="KQ578" s="10"/>
      <c r="KR578" s="10"/>
      <c r="KS578" s="10"/>
      <c r="KT578" s="10"/>
      <c r="KU578" s="10"/>
      <c r="KV578" s="10"/>
      <c r="KW578" s="10"/>
      <c r="KX578" s="10"/>
      <c r="KY578" s="10"/>
      <c r="KZ578" s="10"/>
      <c r="LA578" s="10"/>
      <c r="LB578" s="10"/>
      <c r="LC578" s="10"/>
      <c r="LD578" s="10"/>
      <c r="LE578" s="10"/>
      <c r="LF578" s="10"/>
      <c r="LG578" s="10"/>
      <c r="LH578" s="10"/>
      <c r="LI578" s="10"/>
      <c r="LJ578" s="10"/>
      <c r="LK578" s="10"/>
      <c r="LL578" s="10"/>
      <c r="LM578" s="10"/>
      <c r="LN578" s="10"/>
      <c r="LO578" s="10"/>
      <c r="LP578" s="10"/>
      <c r="LQ578" s="10"/>
      <c r="LR578" s="10"/>
      <c r="LS578" s="10"/>
      <c r="LT578" s="10"/>
      <c r="LU578" s="10"/>
      <c r="LV578" s="10"/>
      <c r="LW578" s="10"/>
      <c r="LX578" s="10"/>
      <c r="LY578" s="10"/>
      <c r="LZ578" s="10"/>
      <c r="MA578" s="10"/>
      <c r="MB578" s="10"/>
      <c r="MC578" s="10"/>
      <c r="MD578" s="10"/>
      <c r="ME578" s="10"/>
      <c r="MF578" s="10"/>
      <c r="MG578" s="10"/>
      <c r="MH578" s="10"/>
      <c r="MI578" s="10"/>
      <c r="MJ578" s="10"/>
      <c r="MK578" s="10"/>
      <c r="ML578" s="10"/>
      <c r="MM578" s="10"/>
      <c r="MN578" s="10"/>
      <c r="MO578" s="10"/>
      <c r="MP578" s="10"/>
      <c r="MQ578" s="10"/>
      <c r="MR578" s="10"/>
      <c r="MS578" s="10"/>
      <c r="MT578" s="10"/>
      <c r="MU578" s="10"/>
      <c r="MV578" s="10"/>
      <c r="MW578" s="10"/>
      <c r="MX578" s="10"/>
      <c r="MY578" s="10"/>
      <c r="MZ578" s="10"/>
      <c r="NA578" s="10"/>
      <c r="NB578" s="10"/>
      <c r="NC578" s="10"/>
      <c r="ND578" s="10"/>
      <c r="NE578" s="10"/>
      <c r="NF578" s="10"/>
      <c r="NG578" s="10"/>
      <c r="NH578" s="10"/>
      <c r="NI578" s="10"/>
      <c r="NJ578" s="10"/>
      <c r="NK578" s="10"/>
      <c r="NL578" s="10"/>
      <c r="NM578" s="10"/>
      <c r="NN578" s="10"/>
      <c r="NO578" s="10"/>
      <c r="NP578" s="10"/>
      <c r="NQ578" s="10"/>
      <c r="NR578" s="10"/>
      <c r="NS578" s="10"/>
      <c r="NT578" s="10"/>
      <c r="NU578" s="10"/>
      <c r="NV578" s="10"/>
      <c r="NW578" s="10"/>
      <c r="NX578" s="10"/>
      <c r="NY578" s="10"/>
      <c r="NZ578" s="10"/>
      <c r="OA578" s="10"/>
      <c r="OB578" s="10"/>
      <c r="OC578" s="10"/>
      <c r="OD578" s="10"/>
      <c r="OE578" s="10"/>
      <c r="OF578" s="10"/>
      <c r="OG578" s="10"/>
      <c r="OH578" s="10"/>
      <c r="OI578" s="10"/>
      <c r="OJ578" s="10"/>
      <c r="OK578" s="10"/>
      <c r="OL578" s="10"/>
      <c r="OM578" s="10"/>
      <c r="ON578" s="10"/>
      <c r="OO578" s="10"/>
      <c r="OP578" s="10"/>
      <c r="OQ578" s="10"/>
      <c r="OR578" s="10"/>
      <c r="OS578" s="10"/>
      <c r="OT578" s="10"/>
      <c r="OU578" s="10"/>
      <c r="OV578" s="10"/>
      <c r="OW578" s="10"/>
      <c r="OX578" s="10"/>
      <c r="OY578" s="10"/>
      <c r="OZ578" s="10"/>
      <c r="PA578" s="10"/>
      <c r="PB578" s="10"/>
      <c r="PC578" s="10"/>
      <c r="PD578" s="10"/>
      <c r="PE578" s="10"/>
      <c r="PF578" s="10"/>
      <c r="PG578" s="10"/>
      <c r="PH578" s="10"/>
      <c r="PI578" s="10"/>
      <c r="PJ578" s="10"/>
      <c r="PK578" s="10"/>
      <c r="PL578" s="10"/>
      <c r="PM578" s="10"/>
      <c r="PN578" s="10"/>
      <c r="PO578" s="10"/>
      <c r="PP578" s="10"/>
      <c r="PQ578" s="10"/>
      <c r="PR578" s="10"/>
      <c r="PS578" s="10"/>
      <c r="PT578" s="10"/>
      <c r="PU578" s="10"/>
      <c r="PV578" s="10"/>
      <c r="PW578" s="10"/>
      <c r="PX578" s="10"/>
      <c r="PY578" s="10"/>
      <c r="PZ578" s="10"/>
      <c r="QA578" s="10"/>
      <c r="QB578" s="10"/>
      <c r="QC578" s="10"/>
      <c r="QD578" s="10"/>
      <c r="QE578" s="10"/>
      <c r="QF578" s="10"/>
      <c r="QG578" s="10"/>
      <c r="QH578" s="10"/>
      <c r="QI578" s="10"/>
      <c r="QJ578" s="10"/>
      <c r="QK578" s="10"/>
      <c r="QL578" s="10"/>
      <c r="QM578" s="10"/>
      <c r="QN578" s="10"/>
      <c r="QO578" s="10"/>
      <c r="QP578" s="10"/>
      <c r="QQ578" s="10"/>
      <c r="QR578" s="10"/>
      <c r="QS578" s="10"/>
      <c r="QT578" s="10"/>
      <c r="QU578" s="10"/>
      <c r="QV578" s="10"/>
      <c r="QW578" s="10"/>
      <c r="QX578" s="10"/>
      <c r="QY578" s="10"/>
      <c r="QZ578" s="10"/>
      <c r="RA578" s="10"/>
      <c r="RB578" s="10"/>
      <c r="RC578" s="10"/>
      <c r="RD578" s="10"/>
      <c r="RE578" s="10"/>
      <c r="RF578" s="10"/>
      <c r="RG578" s="10"/>
      <c r="RH578" s="10"/>
      <c r="RI578" s="10"/>
      <c r="RJ578" s="10"/>
      <c r="RK578" s="10"/>
      <c r="RL578" s="10"/>
      <c r="RM578" s="10"/>
      <c r="RN578" s="10"/>
      <c r="RO578" s="10"/>
      <c r="RP578" s="10"/>
      <c r="RQ578" s="10"/>
      <c r="RR578" s="10"/>
      <c r="RS578" s="10"/>
      <c r="RT578" s="10"/>
      <c r="RU578" s="10"/>
      <c r="RV578" s="10"/>
      <c r="RW578" s="10"/>
      <c r="RX578" s="10"/>
      <c r="RY578" s="10"/>
      <c r="RZ578" s="10"/>
      <c r="SA578" s="10"/>
      <c r="SB578" s="10"/>
      <c r="SC578" s="10"/>
      <c r="SD578" s="10"/>
      <c r="SE578" s="10"/>
      <c r="SF578" s="10"/>
      <c r="SG578" s="10"/>
      <c r="SH578" s="10"/>
      <c r="SI578" s="10"/>
      <c r="SJ578" s="10"/>
      <c r="SK578" s="10"/>
      <c r="SL578" s="10"/>
      <c r="SM578" s="10"/>
      <c r="SN578" s="10"/>
      <c r="SO578" s="10"/>
      <c r="SP578" s="10"/>
      <c r="SQ578" s="10"/>
      <c r="SR578" s="10"/>
      <c r="SS578" s="10"/>
      <c r="ST578" s="10"/>
      <c r="SU578" s="10"/>
      <c r="SV578" s="10"/>
      <c r="SW578" s="10"/>
      <c r="SX578" s="10"/>
      <c r="SY578" s="10"/>
      <c r="SZ578" s="10"/>
      <c r="TA578" s="10"/>
      <c r="TB578" s="10"/>
      <c r="TC578" s="10"/>
      <c r="TD578" s="10"/>
      <c r="TE578" s="10"/>
      <c r="TF578" s="10"/>
      <c r="TG578" s="11">
        <f t="shared" si="29"/>
        <v>0</v>
      </c>
      <c r="TH578" s="9">
        <f t="shared" si="30"/>
        <v>0</v>
      </c>
    </row>
    <row r="579" spans="1:528" ht="15.6" thickBot="1" x14ac:dyDescent="0.3">
      <c r="A579" s="35">
        <v>66100061009020</v>
      </c>
      <c r="B579" s="18" t="s">
        <v>1097</v>
      </c>
      <c r="C579" s="3">
        <f>AGOSTO!D583</f>
        <v>0</v>
      </c>
      <c r="D579" s="21">
        <f t="shared" si="31"/>
        <v>0</v>
      </c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>
        <f>315+63</f>
        <v>378</v>
      </c>
      <c r="BP579" s="10">
        <f>-63-315</f>
        <v>-378</v>
      </c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>
        <v>315</v>
      </c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>
        <v>-42</v>
      </c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>
        <v>42</v>
      </c>
      <c r="ED579" s="10">
        <v>-315</v>
      </c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>
        <v>42</v>
      </c>
      <c r="FF579" s="10"/>
      <c r="FG579" s="10"/>
      <c r="FH579" s="10"/>
      <c r="FI579" s="10"/>
      <c r="FJ579" s="10">
        <v>-42</v>
      </c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>
        <v>315</v>
      </c>
      <c r="GN579" s="10"/>
      <c r="GO579" s="10"/>
      <c r="GP579" s="10">
        <v>-315</v>
      </c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1">
        <f t="shared" si="29"/>
        <v>0</v>
      </c>
      <c r="TH579" s="9">
        <f t="shared" si="30"/>
        <v>0</v>
      </c>
    </row>
    <row r="580" spans="1:528" ht="15.6" thickBot="1" x14ac:dyDescent="0.3">
      <c r="A580" s="35">
        <v>66100121009020</v>
      </c>
      <c r="B580" s="18" t="s">
        <v>1098</v>
      </c>
      <c r="C580" s="3">
        <f>AGOSTO!D584</f>
        <v>0</v>
      </c>
      <c r="D580" s="21">
        <f t="shared" si="31"/>
        <v>0</v>
      </c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>
        <v>210</v>
      </c>
      <c r="BP580" s="10">
        <v>-210</v>
      </c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4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>
        <v>147</v>
      </c>
      <c r="ED580" s="10">
        <v>-147</v>
      </c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>
        <v>42</v>
      </c>
      <c r="GN580" s="10"/>
      <c r="GO580" s="10"/>
      <c r="GP580" s="10">
        <v>-42</v>
      </c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10"/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10"/>
      <c r="KO580" s="10"/>
      <c r="KP580" s="10"/>
      <c r="KQ580" s="10"/>
      <c r="KR580" s="10"/>
      <c r="KS580" s="10"/>
      <c r="KT580" s="10"/>
      <c r="KU580" s="10"/>
      <c r="KV580" s="10"/>
      <c r="KW580" s="10"/>
      <c r="KX580" s="10"/>
      <c r="KY580" s="10"/>
      <c r="KZ580" s="10"/>
      <c r="LA580" s="10"/>
      <c r="LB580" s="10"/>
      <c r="LC580" s="10"/>
      <c r="LD580" s="10"/>
      <c r="LE580" s="10"/>
      <c r="LF580" s="10"/>
      <c r="LG580" s="10"/>
      <c r="LH580" s="10"/>
      <c r="LI580" s="10"/>
      <c r="LJ580" s="10"/>
      <c r="LK580" s="10"/>
      <c r="LL580" s="10"/>
      <c r="LM580" s="10"/>
      <c r="LN580" s="10"/>
      <c r="LO580" s="10"/>
      <c r="LP580" s="10"/>
      <c r="LQ580" s="10"/>
      <c r="LR580" s="10"/>
      <c r="LS580" s="10"/>
      <c r="LT580" s="10"/>
      <c r="LU580" s="10"/>
      <c r="LV580" s="10"/>
      <c r="LW580" s="10"/>
      <c r="LX580" s="10"/>
      <c r="LY580" s="10"/>
      <c r="LZ580" s="10"/>
      <c r="MA580" s="10"/>
      <c r="MB580" s="10"/>
      <c r="MC580" s="10"/>
      <c r="MD580" s="10"/>
      <c r="ME580" s="10"/>
      <c r="MF580" s="10"/>
      <c r="MG580" s="10"/>
      <c r="MH580" s="10"/>
      <c r="MI580" s="10"/>
      <c r="MJ580" s="10"/>
      <c r="MK580" s="10"/>
      <c r="ML580" s="10"/>
      <c r="MM580" s="10"/>
      <c r="MN580" s="10"/>
      <c r="MO580" s="10"/>
      <c r="MP580" s="10"/>
      <c r="MQ580" s="10"/>
      <c r="MR580" s="10"/>
      <c r="MS580" s="10"/>
      <c r="MT580" s="10"/>
      <c r="MU580" s="10"/>
      <c r="MV580" s="10"/>
      <c r="MW580" s="10"/>
      <c r="MX580" s="10"/>
      <c r="MY580" s="10"/>
      <c r="MZ580" s="10"/>
      <c r="NA580" s="10"/>
      <c r="NB580" s="10"/>
      <c r="NC580" s="10"/>
      <c r="ND580" s="10"/>
      <c r="NE580" s="10"/>
      <c r="NF580" s="10"/>
      <c r="NG580" s="10"/>
      <c r="NH580" s="10"/>
      <c r="NI580" s="10"/>
      <c r="NJ580" s="10"/>
      <c r="NK580" s="10"/>
      <c r="NL580" s="10"/>
      <c r="NM580" s="10"/>
      <c r="NN580" s="10"/>
      <c r="NO580" s="10"/>
      <c r="NP580" s="10"/>
      <c r="NQ580" s="10"/>
      <c r="NR580" s="10"/>
      <c r="NS580" s="10"/>
      <c r="NT580" s="10"/>
      <c r="NU580" s="10"/>
      <c r="NV580" s="10"/>
      <c r="NW580" s="10"/>
      <c r="NX580" s="10"/>
      <c r="NY580" s="10"/>
      <c r="NZ580" s="10"/>
      <c r="OA580" s="10"/>
      <c r="OB580" s="10"/>
      <c r="OC580" s="10"/>
      <c r="OD580" s="10"/>
      <c r="OE580" s="10"/>
      <c r="OF580" s="10"/>
      <c r="OG580" s="10"/>
      <c r="OH580" s="10"/>
      <c r="OI580" s="10"/>
      <c r="OJ580" s="10"/>
      <c r="OK580" s="10"/>
      <c r="OL580" s="10"/>
      <c r="OM580" s="10"/>
      <c r="ON580" s="10"/>
      <c r="OO580" s="10"/>
      <c r="OP580" s="10"/>
      <c r="OQ580" s="10"/>
      <c r="OR580" s="10"/>
      <c r="OS580" s="10"/>
      <c r="OT580" s="10"/>
      <c r="OU580" s="10"/>
      <c r="OV580" s="10"/>
      <c r="OW580" s="10"/>
      <c r="OX580" s="10"/>
      <c r="OY580" s="10"/>
      <c r="OZ580" s="10"/>
      <c r="PA580" s="10"/>
      <c r="PB580" s="10"/>
      <c r="PC580" s="10"/>
      <c r="PD580" s="10"/>
      <c r="PE580" s="10"/>
      <c r="PF580" s="10"/>
      <c r="PG580" s="10"/>
      <c r="PH580" s="10"/>
      <c r="PI580" s="10"/>
      <c r="PJ580" s="10"/>
      <c r="PK580" s="10"/>
      <c r="PL580" s="10"/>
      <c r="PM580" s="10"/>
      <c r="PN580" s="10"/>
      <c r="PO580" s="10"/>
      <c r="PP580" s="10"/>
      <c r="PQ580" s="10"/>
      <c r="PR580" s="10"/>
      <c r="PS580" s="10"/>
      <c r="PT580" s="10"/>
      <c r="PU580" s="10"/>
      <c r="PV580" s="10"/>
      <c r="PW580" s="10"/>
      <c r="PX580" s="10"/>
      <c r="PY580" s="10"/>
      <c r="PZ580" s="10"/>
      <c r="QA580" s="10"/>
      <c r="QB580" s="10"/>
      <c r="QC580" s="10"/>
      <c r="QD580" s="10"/>
      <c r="QE580" s="10"/>
      <c r="QF580" s="10"/>
      <c r="QG580" s="10"/>
      <c r="QH580" s="10"/>
      <c r="QI580" s="10"/>
      <c r="QJ580" s="10"/>
      <c r="QK580" s="10"/>
      <c r="QL580" s="10"/>
      <c r="QM580" s="10"/>
      <c r="QN580" s="10"/>
      <c r="QO580" s="10"/>
      <c r="QP580" s="10"/>
      <c r="QQ580" s="10"/>
      <c r="QR580" s="10"/>
      <c r="QS580" s="10"/>
      <c r="QT580" s="10"/>
      <c r="QU580" s="10"/>
      <c r="QV580" s="10"/>
      <c r="QW580" s="10"/>
      <c r="QX580" s="10"/>
      <c r="QY580" s="10"/>
      <c r="QZ580" s="10"/>
      <c r="RA580" s="10"/>
      <c r="RB580" s="10"/>
      <c r="RC580" s="10"/>
      <c r="RD580" s="10"/>
      <c r="RE580" s="10"/>
      <c r="RF580" s="10"/>
      <c r="RG580" s="10"/>
      <c r="RH580" s="10"/>
      <c r="RI580" s="10"/>
      <c r="RJ580" s="10"/>
      <c r="RK580" s="10"/>
      <c r="RL580" s="10"/>
      <c r="RM580" s="10"/>
      <c r="RN580" s="10"/>
      <c r="RO580" s="10"/>
      <c r="RP580" s="10"/>
      <c r="RQ580" s="10"/>
      <c r="RR580" s="10"/>
      <c r="RS580" s="10"/>
      <c r="RT580" s="10"/>
      <c r="RU580" s="10"/>
      <c r="RV580" s="10"/>
      <c r="RW580" s="10"/>
      <c r="RX580" s="10"/>
      <c r="RY580" s="10"/>
      <c r="RZ580" s="10"/>
      <c r="SA580" s="10"/>
      <c r="SB580" s="10"/>
      <c r="SC580" s="10"/>
      <c r="SD580" s="10"/>
      <c r="SE580" s="10"/>
      <c r="SF580" s="10"/>
      <c r="SG580" s="10"/>
      <c r="SH580" s="10"/>
      <c r="SI580" s="10"/>
      <c r="SJ580" s="10"/>
      <c r="SK580" s="10"/>
      <c r="SL580" s="10"/>
      <c r="SM580" s="10"/>
      <c r="SN580" s="10"/>
      <c r="SO580" s="10"/>
      <c r="SP580" s="10"/>
      <c r="SQ580" s="10"/>
      <c r="SR580" s="10"/>
      <c r="SS580" s="10"/>
      <c r="ST580" s="10"/>
      <c r="SU580" s="10"/>
      <c r="SV580" s="10"/>
      <c r="SW580" s="10"/>
      <c r="SX580" s="10"/>
      <c r="SY580" s="10"/>
      <c r="SZ580" s="10"/>
      <c r="TA580" s="10"/>
      <c r="TB580" s="10"/>
      <c r="TC580" s="10"/>
      <c r="TD580" s="10"/>
      <c r="TE580" s="10"/>
      <c r="TF580" s="10"/>
      <c r="TG580" s="11">
        <f t="shared" si="29"/>
        <v>0</v>
      </c>
      <c r="TH580" s="9">
        <f t="shared" si="30"/>
        <v>0</v>
      </c>
    </row>
    <row r="581" spans="1:528" ht="16.2" thickBot="1" x14ac:dyDescent="0.35">
      <c r="A581" s="18"/>
      <c r="B581" s="23" t="s">
        <v>1114</v>
      </c>
      <c r="C581" s="3">
        <f>AGOSTO!D585</f>
        <v>0</v>
      </c>
      <c r="D581" s="21">
        <f t="shared" si="31"/>
        <v>0</v>
      </c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1">
        <f t="shared" si="29"/>
        <v>0</v>
      </c>
      <c r="TH581" s="9">
        <f t="shared" si="30"/>
        <v>0</v>
      </c>
    </row>
    <row r="582" spans="1:528" ht="15.6" thickBot="1" x14ac:dyDescent="0.3">
      <c r="A582" s="18"/>
      <c r="B582" s="18" t="s">
        <v>1115</v>
      </c>
      <c r="C582" s="3">
        <f>AGOSTO!D586</f>
        <v>0</v>
      </c>
      <c r="D582" s="55">
        <f t="shared" si="31"/>
        <v>0</v>
      </c>
      <c r="CO582" s="10"/>
      <c r="CP582" s="10"/>
      <c r="CQ582" s="10">
        <f>8*24</f>
        <v>192</v>
      </c>
      <c r="CR582" s="10">
        <v>-192</v>
      </c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41"/>
      <c r="DD582" s="41"/>
      <c r="DE582" s="41"/>
      <c r="DF582" s="41"/>
      <c r="DG582" s="41"/>
      <c r="DH582" s="41"/>
      <c r="DI582" s="41"/>
      <c r="DJ582" s="41"/>
      <c r="DK582" s="41"/>
      <c r="DL582" s="41"/>
      <c r="DM582" s="41"/>
      <c r="DN582" s="41"/>
      <c r="DO582" s="41"/>
      <c r="DP582" s="41"/>
      <c r="DQ582" s="41"/>
      <c r="DR582" s="41"/>
      <c r="DS582" s="41"/>
      <c r="DT582" s="41"/>
      <c r="DU582" s="41"/>
      <c r="DV582" s="41"/>
      <c r="DW582" s="41"/>
      <c r="DX582" s="41"/>
      <c r="DY582" s="41"/>
      <c r="DZ582" s="41"/>
      <c r="EA582" s="41"/>
      <c r="EB582" s="41"/>
      <c r="EC582" s="41"/>
      <c r="ED582" s="41"/>
      <c r="EE582" s="41"/>
      <c r="EF582" s="41"/>
      <c r="EG582" s="41"/>
      <c r="EH582" s="41"/>
      <c r="EI582" s="41"/>
      <c r="EJ582" s="41"/>
      <c r="EK582" s="41"/>
      <c r="EL582" s="41"/>
      <c r="EM582" s="41"/>
      <c r="EN582" s="41"/>
      <c r="EO582" s="41"/>
      <c r="EP582" s="41"/>
      <c r="EQ582" s="41"/>
      <c r="ER582" s="41"/>
      <c r="ES582" s="41"/>
      <c r="ET582" s="41"/>
      <c r="EU582" s="41"/>
      <c r="EV582" s="41"/>
      <c r="EW582" s="41"/>
      <c r="EX582" s="41"/>
      <c r="EY582" s="41"/>
      <c r="EZ582" s="41"/>
      <c r="FA582" s="41"/>
      <c r="FB582" s="41"/>
      <c r="FC582" s="41"/>
      <c r="FD582" s="41"/>
      <c r="FE582" s="41"/>
      <c r="FF582" s="41"/>
      <c r="FG582" s="41"/>
      <c r="FH582" s="41"/>
      <c r="FI582" s="41"/>
      <c r="FJ582" s="41"/>
      <c r="FK582" s="41"/>
      <c r="FL582" s="41"/>
      <c r="FM582" s="41"/>
      <c r="FN582" s="41"/>
      <c r="FO582" s="41"/>
      <c r="FP582" s="41"/>
      <c r="FQ582" s="41"/>
      <c r="FR582" s="41"/>
      <c r="FS582" s="41">
        <v>144</v>
      </c>
      <c r="FT582" s="41"/>
      <c r="FU582" s="41"/>
      <c r="FV582" s="41"/>
      <c r="FW582" s="41"/>
      <c r="FX582" s="41">
        <v>-144</v>
      </c>
      <c r="FY582" s="41"/>
      <c r="FZ582" s="41"/>
      <c r="GA582" s="41">
        <f>48+144</f>
        <v>192</v>
      </c>
      <c r="GB582" s="41"/>
      <c r="GC582" s="41"/>
      <c r="GD582" s="41"/>
      <c r="GE582" s="41"/>
      <c r="GF582" s="41"/>
      <c r="GG582" s="41"/>
      <c r="GH582" s="41"/>
      <c r="GI582" s="41"/>
      <c r="GJ582" s="41">
        <v>-192</v>
      </c>
      <c r="GK582" s="41"/>
      <c r="GL582" s="41"/>
      <c r="GM582" s="41"/>
      <c r="GN582" s="41"/>
      <c r="GO582" s="41"/>
      <c r="GP582" s="41"/>
      <c r="GQ582" s="41"/>
      <c r="GR582" s="41"/>
      <c r="GS582" s="41"/>
      <c r="GT582" s="41"/>
      <c r="GU582" s="41"/>
      <c r="GV582" s="41"/>
      <c r="GW582" s="41"/>
      <c r="GX582" s="41"/>
      <c r="GY582" s="41"/>
      <c r="GZ582" s="41"/>
      <c r="HA582" s="41"/>
      <c r="HB582" s="41"/>
      <c r="HC582" s="41"/>
      <c r="HD582" s="41"/>
      <c r="HE582" s="41"/>
      <c r="HF582" s="41"/>
      <c r="HG582" s="41"/>
      <c r="HH582" s="41"/>
      <c r="HI582" s="41">
        <v>144</v>
      </c>
      <c r="HJ582" s="41">
        <v>-144</v>
      </c>
      <c r="HK582" s="41"/>
      <c r="HL582" s="41"/>
      <c r="HM582" s="41"/>
      <c r="HN582" s="41"/>
      <c r="HO582" s="41"/>
      <c r="HP582" s="41"/>
      <c r="HQ582" s="41"/>
      <c r="HR582" s="41"/>
      <c r="HS582" s="41"/>
      <c r="HT582" s="41"/>
      <c r="HU582" s="41"/>
      <c r="HV582" s="41"/>
      <c r="HW582" s="41">
        <v>144</v>
      </c>
      <c r="HX582" s="41">
        <v>-144</v>
      </c>
      <c r="HY582" s="41"/>
      <c r="HZ582" s="41"/>
      <c r="IA582" s="41"/>
      <c r="IB582" s="41"/>
      <c r="IC582" s="41"/>
      <c r="ID582" s="41"/>
      <c r="IE582" s="41"/>
      <c r="IF582" s="41"/>
      <c r="IG582" s="41"/>
      <c r="IH582" s="41"/>
      <c r="II582" s="41"/>
      <c r="IJ582" s="41"/>
      <c r="IK582" s="41"/>
      <c r="IL582" s="41"/>
      <c r="IM582" s="41"/>
      <c r="IN582" s="41"/>
      <c r="IO582" s="41"/>
      <c r="IP582" s="41"/>
      <c r="IQ582" s="41"/>
      <c r="IR582" s="41"/>
      <c r="IS582" s="41"/>
      <c r="IT582" s="41"/>
      <c r="IU582" s="41"/>
      <c r="IV582" s="41"/>
      <c r="IW582" s="41"/>
      <c r="IX582" s="41"/>
      <c r="IY582" s="41"/>
      <c r="IZ582" s="41"/>
      <c r="JA582" s="41"/>
      <c r="JB582" s="41"/>
      <c r="JC582" s="41"/>
      <c r="JD582" s="41"/>
      <c r="JE582" s="41"/>
      <c r="JF582" s="41"/>
      <c r="JG582" s="41"/>
      <c r="JH582" s="41"/>
      <c r="JI582" s="41"/>
      <c r="JJ582" s="41"/>
      <c r="JK582" s="41"/>
      <c r="JL582" s="41"/>
      <c r="JM582" s="41"/>
      <c r="JN582" s="41"/>
      <c r="JO582" s="41"/>
      <c r="JP582" s="41"/>
      <c r="JQ582" s="41">
        <f>14*24</f>
        <v>336</v>
      </c>
      <c r="JR582" s="41"/>
      <c r="JS582" s="41">
        <f>44*24</f>
        <v>1056</v>
      </c>
      <c r="JT582" s="41"/>
      <c r="JU582" s="41">
        <f>17*24</f>
        <v>408</v>
      </c>
      <c r="JV582" s="41">
        <v>-1800</v>
      </c>
      <c r="JW582" s="41"/>
      <c r="JX582" s="41"/>
      <c r="JY582" s="41"/>
      <c r="JZ582" s="41"/>
      <c r="KA582" s="41"/>
      <c r="KB582" s="41"/>
      <c r="KC582" s="41"/>
      <c r="KD582" s="41"/>
      <c r="KE582" s="41"/>
      <c r="KF582" s="41"/>
      <c r="KG582" s="41"/>
      <c r="KH582" s="41"/>
      <c r="KI582" s="41"/>
      <c r="KJ582" s="41"/>
      <c r="KK582" s="41"/>
      <c r="KL582" s="41"/>
      <c r="KM582" s="41"/>
      <c r="KN582" s="41"/>
      <c r="KO582" s="41"/>
      <c r="KP582" s="41"/>
      <c r="KQ582" s="41"/>
      <c r="KR582" s="41"/>
      <c r="KS582" s="41"/>
      <c r="KT582" s="41"/>
      <c r="KU582" s="41"/>
      <c r="KV582" s="41"/>
      <c r="KW582" s="41"/>
      <c r="KX582" s="41"/>
      <c r="KY582" s="41"/>
      <c r="KZ582" s="41"/>
      <c r="LA582" s="41"/>
      <c r="LB582" s="41"/>
      <c r="LC582" s="41"/>
      <c r="LD582" s="41"/>
      <c r="LE582" s="41">
        <f>6*48</f>
        <v>288</v>
      </c>
      <c r="LF582" s="41"/>
      <c r="LG582" s="41"/>
      <c r="LH582" s="41">
        <v>-288</v>
      </c>
      <c r="LI582" s="41"/>
      <c r="LJ582" s="41"/>
      <c r="LK582" s="41"/>
      <c r="LL582" s="41"/>
      <c r="LM582" s="41"/>
      <c r="LN582" s="41"/>
      <c r="LO582" s="41"/>
      <c r="LP582" s="41"/>
      <c r="LQ582" s="41"/>
      <c r="LR582" s="41"/>
      <c r="LS582" s="41"/>
      <c r="LT582" s="41"/>
      <c r="LU582" s="41"/>
      <c r="LV582" s="41"/>
      <c r="LW582" s="41"/>
      <c r="LX582" s="41"/>
      <c r="LY582" s="41"/>
      <c r="LZ582" s="41"/>
      <c r="MA582" s="41"/>
      <c r="MB582" s="41"/>
      <c r="MC582" s="41"/>
      <c r="MD582" s="41"/>
      <c r="ME582" s="41"/>
      <c r="MF582" s="41"/>
      <c r="MG582" s="41"/>
      <c r="MH582" s="41"/>
      <c r="MI582" s="41"/>
      <c r="MJ582" s="41"/>
      <c r="MK582" s="41"/>
      <c r="ML582" s="41"/>
      <c r="MM582" s="41"/>
      <c r="MN582" s="41"/>
      <c r="MO582" s="41"/>
      <c r="MP582" s="41"/>
      <c r="MQ582" s="41"/>
      <c r="MR582" s="41"/>
      <c r="MS582" s="41"/>
      <c r="MT582" s="41"/>
      <c r="MU582" s="41">
        <f>8*24</f>
        <v>192</v>
      </c>
      <c r="MV582" s="41"/>
      <c r="MW582" s="41">
        <v>48</v>
      </c>
      <c r="MX582" s="41"/>
      <c r="MY582" s="41"/>
      <c r="MZ582" s="41"/>
      <c r="NA582" s="41"/>
      <c r="NB582" s="41">
        <v>-240</v>
      </c>
      <c r="NC582" s="41"/>
      <c r="ND582" s="41"/>
      <c r="NE582" s="41"/>
      <c r="NF582" s="41"/>
      <c r="NG582" s="41"/>
      <c r="NH582" s="41"/>
      <c r="NI582" s="41"/>
      <c r="NJ582" s="41"/>
      <c r="NK582" s="41"/>
      <c r="NL582" s="41"/>
      <c r="NM582" s="41"/>
      <c r="NN582" s="41"/>
      <c r="NO582" s="41">
        <f>12*24</f>
        <v>288</v>
      </c>
      <c r="NP582" s="41"/>
      <c r="NQ582" s="41"/>
      <c r="NR582" s="41"/>
      <c r="NS582" s="41"/>
      <c r="NT582" s="41"/>
      <c r="NU582" s="41"/>
      <c r="NV582" s="41">
        <v>-48</v>
      </c>
      <c r="NW582" s="41"/>
      <c r="NX582" s="41"/>
      <c r="NY582" s="41"/>
      <c r="NZ582" s="41"/>
      <c r="OA582" s="41"/>
      <c r="OB582" s="41"/>
      <c r="OC582" s="41"/>
      <c r="OD582" s="41"/>
      <c r="OE582" s="41">
        <f>12*24</f>
        <v>288</v>
      </c>
      <c r="OF582" s="41"/>
      <c r="OG582" s="41"/>
      <c r="OH582" s="41"/>
      <c r="OI582" s="41"/>
      <c r="OJ582" s="41"/>
      <c r="OK582" s="41"/>
      <c r="OL582" s="41">
        <v>-48</v>
      </c>
      <c r="OM582" s="41"/>
      <c r="ON582" s="41"/>
      <c r="OO582" s="41"/>
      <c r="OP582" s="41"/>
      <c r="OQ582" s="41"/>
      <c r="OR582" s="41"/>
      <c r="OS582" s="41"/>
      <c r="OT582" s="41"/>
      <c r="OU582" s="41"/>
      <c r="OV582" s="41"/>
      <c r="OW582" s="41"/>
      <c r="OX582" s="41"/>
      <c r="OY582" s="41"/>
      <c r="OZ582" s="41"/>
      <c r="PA582" s="41"/>
      <c r="PB582" s="41">
        <v>-384</v>
      </c>
      <c r="PC582" s="41"/>
      <c r="PD582" s="41"/>
      <c r="PE582" s="41"/>
      <c r="PF582" s="41"/>
      <c r="PG582" s="41"/>
      <c r="PH582" s="41"/>
      <c r="PI582" s="41"/>
      <c r="PJ582" s="41"/>
      <c r="PK582" s="41"/>
      <c r="PL582" s="41">
        <v>-48</v>
      </c>
      <c r="PM582" s="41"/>
      <c r="PN582" s="41"/>
      <c r="PO582" s="41"/>
      <c r="PP582" s="41"/>
      <c r="PQ582" s="41"/>
      <c r="PR582" s="41"/>
      <c r="PS582" s="41">
        <f>48</f>
        <v>48</v>
      </c>
      <c r="PT582" s="41"/>
      <c r="PU582" s="41"/>
      <c r="PV582" s="41"/>
      <c r="PW582" s="41"/>
      <c r="PX582" s="41"/>
      <c r="PY582" s="41"/>
      <c r="PZ582" s="41">
        <v>-96</v>
      </c>
      <c r="QA582" s="41"/>
      <c r="QB582" s="41"/>
      <c r="QC582" s="41"/>
      <c r="QD582" s="41"/>
      <c r="QE582" s="41">
        <f>6*24+24*4</f>
        <v>240</v>
      </c>
      <c r="QF582" s="41"/>
      <c r="QG582" s="54">
        <v>48</v>
      </c>
      <c r="QH582" s="41"/>
      <c r="QI582" s="41"/>
      <c r="QJ582" s="41"/>
      <c r="QK582" s="41"/>
      <c r="QL582" s="41"/>
      <c r="QM582" s="41"/>
      <c r="QN582" s="41">
        <v>-48</v>
      </c>
      <c r="QO582" s="41"/>
      <c r="QP582" s="41"/>
      <c r="QQ582" s="41"/>
      <c r="QR582" s="41"/>
      <c r="QS582" s="41">
        <v>-192</v>
      </c>
      <c r="QT582" s="41"/>
      <c r="QU582" s="41"/>
      <c r="QV582" s="41"/>
      <c r="QW582" s="41"/>
      <c r="QX582" s="41"/>
      <c r="QY582" s="41"/>
      <c r="QZ582" s="41"/>
      <c r="RA582" s="41"/>
      <c r="RB582" s="41"/>
      <c r="RC582" s="41"/>
      <c r="RD582" s="41"/>
      <c r="RE582" s="41"/>
      <c r="RF582" s="41"/>
      <c r="RG582" s="41"/>
      <c r="RH582" s="41"/>
      <c r="RI582" s="41"/>
      <c r="RJ582" s="41"/>
      <c r="RK582" s="41"/>
      <c r="RL582" s="41"/>
      <c r="RM582" s="41"/>
      <c r="RN582" s="41"/>
      <c r="RO582" s="41"/>
      <c r="RP582" s="41"/>
      <c r="RQ582" s="41"/>
      <c r="RR582" s="41"/>
      <c r="RS582" s="41"/>
      <c r="RT582" s="41"/>
      <c r="RU582" s="41"/>
      <c r="RV582" s="41"/>
      <c r="RW582" s="41"/>
      <c r="RX582" s="41"/>
      <c r="RY582" s="41"/>
      <c r="RZ582" s="41"/>
      <c r="SA582" s="41"/>
      <c r="SB582" s="41"/>
      <c r="SC582" s="41"/>
      <c r="SD582" s="41"/>
      <c r="SE582" s="41"/>
      <c r="SF582" s="41"/>
      <c r="SG582" s="41"/>
      <c r="SH582" s="41"/>
      <c r="SI582" s="41"/>
      <c r="SJ582" s="41"/>
      <c r="SK582" s="41">
        <f>24*6</f>
        <v>144</v>
      </c>
      <c r="SL582" s="41">
        <v>-192</v>
      </c>
      <c r="SM582" s="41"/>
      <c r="SN582" s="41"/>
      <c r="SO582" s="41"/>
      <c r="SP582" s="41"/>
      <c r="SQ582" s="41"/>
      <c r="SR582" s="41"/>
      <c r="SS582" s="41"/>
      <c r="ST582" s="41"/>
      <c r="SU582" s="41"/>
      <c r="SV582" s="41"/>
      <c r="SW582" s="41"/>
      <c r="SX582" s="41"/>
      <c r="SY582" s="41"/>
      <c r="SZ582" s="41"/>
      <c r="TA582" s="41"/>
      <c r="TB582" s="41"/>
      <c r="TC582" s="41"/>
      <c r="TD582" s="41"/>
      <c r="TE582" s="41"/>
      <c r="TF582" s="41"/>
      <c r="TG582" s="42">
        <f t="shared" si="29"/>
        <v>0</v>
      </c>
      <c r="TH582" s="43">
        <f t="shared" si="30"/>
        <v>0</v>
      </c>
    </row>
    <row r="583" spans="1:528" ht="16.2" thickBot="1" x14ac:dyDescent="0.35">
      <c r="A583" s="18"/>
      <c r="B583" s="23" t="s">
        <v>1116</v>
      </c>
      <c r="C583" s="3"/>
      <c r="D583" s="21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42">
        <f t="shared" si="29"/>
        <v>0</v>
      </c>
      <c r="TH583" s="43">
        <f t="shared" si="30"/>
        <v>0</v>
      </c>
    </row>
    <row r="584" spans="1:528" ht="15.6" thickBot="1" x14ac:dyDescent="0.3">
      <c r="A584" s="39">
        <v>87110059102006</v>
      </c>
      <c r="B584" s="18" t="s">
        <v>1117</v>
      </c>
      <c r="C584" s="3"/>
      <c r="D584" s="21">
        <f t="shared" ref="D584:D591" si="32">C584+SUM(E584:TF584)</f>
        <v>0</v>
      </c>
      <c r="DC584" s="10"/>
      <c r="DD584" s="10"/>
      <c r="DE584" s="10"/>
      <c r="DF584" s="10"/>
      <c r="DG584" s="10"/>
      <c r="DH584" s="10"/>
      <c r="DI584" s="10">
        <v>28</v>
      </c>
      <c r="DJ584" s="10"/>
      <c r="DK584" s="10"/>
      <c r="DL584" s="10"/>
      <c r="DM584" s="10"/>
      <c r="DN584" s="10"/>
      <c r="DO584" s="10"/>
      <c r="DP584" s="10"/>
      <c r="DQ584" s="10"/>
      <c r="DR584" s="10">
        <v>-28</v>
      </c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10"/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10"/>
      <c r="KO584" s="10"/>
      <c r="KP584" s="10"/>
      <c r="KQ584" s="10"/>
      <c r="KR584" s="10"/>
      <c r="KS584" s="10"/>
      <c r="KT584" s="10"/>
      <c r="KU584" s="10"/>
      <c r="KV584" s="10"/>
      <c r="KW584" s="10"/>
      <c r="KX584" s="10"/>
      <c r="KY584" s="10"/>
      <c r="KZ584" s="10"/>
      <c r="LA584" s="10"/>
      <c r="LB584" s="10"/>
      <c r="LC584" s="10"/>
      <c r="LD584" s="10"/>
      <c r="LE584" s="10"/>
      <c r="LF584" s="10"/>
      <c r="LG584" s="10"/>
      <c r="LH584" s="10"/>
      <c r="LI584" s="10"/>
      <c r="LJ584" s="10"/>
      <c r="LK584" s="10"/>
      <c r="LL584" s="10"/>
      <c r="LM584" s="10"/>
      <c r="LN584" s="10"/>
      <c r="LO584" s="10"/>
      <c r="LP584" s="10"/>
      <c r="LQ584" s="10"/>
      <c r="LR584" s="10"/>
      <c r="LS584" s="10"/>
      <c r="LT584" s="10"/>
      <c r="LU584" s="10"/>
      <c r="LV584" s="10"/>
      <c r="LW584" s="10"/>
      <c r="LX584" s="10"/>
      <c r="LY584" s="10"/>
      <c r="LZ584" s="10"/>
      <c r="MA584" s="10"/>
      <c r="MB584" s="10"/>
      <c r="MC584" s="10"/>
      <c r="MD584" s="10"/>
      <c r="ME584" s="10"/>
      <c r="MF584" s="10"/>
      <c r="MG584" s="10"/>
      <c r="MH584" s="10"/>
      <c r="MI584" s="10"/>
      <c r="MJ584" s="10"/>
      <c r="MK584" s="10"/>
      <c r="ML584" s="10"/>
      <c r="MM584" s="10"/>
      <c r="MN584" s="10"/>
      <c r="MO584" s="10"/>
      <c r="MP584" s="10"/>
      <c r="MQ584" s="10"/>
      <c r="MR584" s="10"/>
      <c r="MS584" s="10"/>
      <c r="MT584" s="10"/>
      <c r="MU584" s="10"/>
      <c r="MV584" s="10"/>
      <c r="MW584" s="10"/>
      <c r="MX584" s="10"/>
      <c r="MY584" s="10"/>
      <c r="MZ584" s="10"/>
      <c r="NA584" s="10"/>
      <c r="NB584" s="10"/>
      <c r="NC584" s="10"/>
      <c r="ND584" s="10"/>
      <c r="NE584" s="10"/>
      <c r="NF584" s="10"/>
      <c r="NG584" s="10"/>
      <c r="NH584" s="10"/>
      <c r="NI584" s="10"/>
      <c r="NJ584" s="10"/>
      <c r="NK584" s="10"/>
      <c r="NL584" s="10"/>
      <c r="NM584" s="10"/>
      <c r="NN584" s="10"/>
      <c r="NO584" s="10"/>
      <c r="NP584" s="10"/>
      <c r="NQ584" s="10"/>
      <c r="NR584" s="10"/>
      <c r="NS584" s="10"/>
      <c r="NT584" s="10"/>
      <c r="NU584" s="10"/>
      <c r="NV584" s="10"/>
      <c r="NW584" s="10"/>
      <c r="NX584" s="10"/>
      <c r="NY584" s="10"/>
      <c r="NZ584" s="10"/>
      <c r="OA584" s="10"/>
      <c r="OB584" s="10"/>
      <c r="OC584" s="10"/>
      <c r="OD584" s="10"/>
      <c r="OE584" s="10"/>
      <c r="OF584" s="10"/>
      <c r="OG584" s="10"/>
      <c r="OH584" s="10"/>
      <c r="OI584" s="10"/>
      <c r="OJ584" s="10"/>
      <c r="OK584" s="10"/>
      <c r="OL584" s="10"/>
      <c r="OM584" s="10"/>
      <c r="ON584" s="10"/>
      <c r="OO584" s="10"/>
      <c r="OP584" s="10"/>
      <c r="OQ584" s="10"/>
      <c r="OR584" s="10"/>
      <c r="OS584" s="10"/>
      <c r="OT584" s="10"/>
      <c r="OU584" s="10"/>
      <c r="OV584" s="10"/>
      <c r="OW584" s="10"/>
      <c r="OX584" s="10"/>
      <c r="OY584" s="10"/>
      <c r="OZ584" s="10"/>
      <c r="PA584" s="10"/>
      <c r="PB584" s="10"/>
      <c r="PC584" s="10"/>
      <c r="PD584" s="10"/>
      <c r="PE584" s="10"/>
      <c r="PF584" s="10"/>
      <c r="PG584" s="10"/>
      <c r="PH584" s="10"/>
      <c r="PI584" s="10"/>
      <c r="PJ584" s="10"/>
      <c r="PK584" s="10"/>
      <c r="PL584" s="10"/>
      <c r="PM584" s="10"/>
      <c r="PN584" s="10"/>
      <c r="PO584" s="10"/>
      <c r="PP584" s="10"/>
      <c r="PQ584" s="10"/>
      <c r="PR584" s="10"/>
      <c r="PS584" s="10"/>
      <c r="PT584" s="10"/>
      <c r="PU584" s="10"/>
      <c r="PV584" s="10"/>
      <c r="PW584" s="10"/>
      <c r="PX584" s="10"/>
      <c r="PY584" s="10"/>
      <c r="PZ584" s="10"/>
      <c r="QA584" s="10"/>
      <c r="QB584" s="10"/>
      <c r="QC584" s="10"/>
      <c r="QD584" s="10"/>
      <c r="QE584" s="10"/>
      <c r="QF584" s="10"/>
      <c r="QG584" s="10"/>
      <c r="QH584" s="10"/>
      <c r="QI584" s="10"/>
      <c r="QJ584" s="10"/>
      <c r="QK584" s="10"/>
      <c r="QL584" s="10"/>
      <c r="QM584" s="10"/>
      <c r="QN584" s="10"/>
      <c r="QO584" s="10"/>
      <c r="QP584" s="10"/>
      <c r="QQ584" s="10"/>
      <c r="QR584" s="10"/>
      <c r="QS584" s="10"/>
      <c r="QT584" s="10"/>
      <c r="QU584" s="10"/>
      <c r="QV584" s="10"/>
      <c r="QW584" s="10"/>
      <c r="QX584" s="10"/>
      <c r="QY584" s="10"/>
      <c r="QZ584" s="10"/>
      <c r="RA584" s="10"/>
      <c r="RB584" s="10"/>
      <c r="RC584" s="10"/>
      <c r="RD584" s="10"/>
      <c r="RE584" s="10"/>
      <c r="RF584" s="10"/>
      <c r="RG584" s="10"/>
      <c r="RH584" s="10"/>
      <c r="RI584" s="10"/>
      <c r="RJ584" s="10"/>
      <c r="RK584" s="10"/>
      <c r="RL584" s="10"/>
      <c r="RM584" s="10"/>
      <c r="RN584" s="10"/>
      <c r="RO584" s="10"/>
      <c r="RP584" s="10"/>
      <c r="RQ584" s="10"/>
      <c r="RR584" s="10"/>
      <c r="RS584" s="10"/>
      <c r="RT584" s="10"/>
      <c r="RU584" s="10"/>
      <c r="RV584" s="10"/>
      <c r="RW584" s="10"/>
      <c r="RX584" s="10"/>
      <c r="RY584" s="10"/>
      <c r="RZ584" s="10"/>
      <c r="SA584" s="10"/>
      <c r="SB584" s="10"/>
      <c r="SC584" s="10"/>
      <c r="SD584" s="10"/>
      <c r="SE584" s="10"/>
      <c r="SF584" s="10"/>
      <c r="SG584" s="10"/>
      <c r="SH584" s="10"/>
      <c r="SI584" s="10"/>
      <c r="SJ584" s="10"/>
      <c r="SK584" s="10"/>
      <c r="SL584" s="10"/>
      <c r="SM584" s="10"/>
      <c r="SN584" s="10"/>
      <c r="SO584" s="10"/>
      <c r="SP584" s="10"/>
      <c r="SQ584" s="10"/>
      <c r="SR584" s="10"/>
      <c r="SS584" s="10"/>
      <c r="ST584" s="10"/>
      <c r="SU584" s="10"/>
      <c r="SV584" s="10"/>
      <c r="SW584" s="10"/>
      <c r="SX584" s="10"/>
      <c r="SY584" s="10"/>
      <c r="SZ584" s="10"/>
      <c r="TA584" s="10"/>
      <c r="TB584" s="10"/>
      <c r="TC584" s="10"/>
      <c r="TD584" s="10"/>
      <c r="TE584" s="10"/>
      <c r="TF584" s="10"/>
      <c r="TG584" s="42">
        <f t="shared" si="29"/>
        <v>0</v>
      </c>
      <c r="TH584" s="43">
        <f t="shared" si="30"/>
        <v>0</v>
      </c>
    </row>
    <row r="585" spans="1:528" ht="15.6" thickBot="1" x14ac:dyDescent="0.3">
      <c r="A585" s="39">
        <v>87110069102006</v>
      </c>
      <c r="B585" s="18" t="s">
        <v>1118</v>
      </c>
      <c r="C585" s="3"/>
      <c r="D585" s="21">
        <f t="shared" si="32"/>
        <v>0</v>
      </c>
      <c r="DC585" s="10"/>
      <c r="DD585" s="10"/>
      <c r="DE585" s="10"/>
      <c r="DF585" s="10"/>
      <c r="DG585" s="10"/>
      <c r="DH585" s="10"/>
      <c r="DI585" s="10">
        <v>14</v>
      </c>
      <c r="DJ585" s="10"/>
      <c r="DK585" s="10">
        <v>14</v>
      </c>
      <c r="DL585" s="10"/>
      <c r="DM585" s="10"/>
      <c r="DN585" s="10"/>
      <c r="DO585" s="10"/>
      <c r="DP585" s="10"/>
      <c r="DQ585" s="10"/>
      <c r="DR585" s="10">
        <v>-28</v>
      </c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10"/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10"/>
      <c r="KO585" s="10"/>
      <c r="KP585" s="10"/>
      <c r="KQ585" s="10"/>
      <c r="KR585" s="10"/>
      <c r="KS585" s="10"/>
      <c r="KT585" s="10"/>
      <c r="KU585" s="10"/>
      <c r="KV585" s="10"/>
      <c r="KW585" s="10"/>
      <c r="KX585" s="10"/>
      <c r="KY585" s="10"/>
      <c r="KZ585" s="10"/>
      <c r="LA585" s="10"/>
      <c r="LB585" s="10"/>
      <c r="LC585" s="10"/>
      <c r="LD585" s="10"/>
      <c r="LE585" s="10"/>
      <c r="LF585" s="10"/>
      <c r="LG585" s="10"/>
      <c r="LH585" s="10"/>
      <c r="LI585" s="10"/>
      <c r="LJ585" s="10"/>
      <c r="LK585" s="10"/>
      <c r="LL585" s="10"/>
      <c r="LM585" s="10"/>
      <c r="LN585" s="10"/>
      <c r="LO585" s="10"/>
      <c r="LP585" s="10"/>
      <c r="LQ585" s="10"/>
      <c r="LR585" s="10"/>
      <c r="LS585" s="10"/>
      <c r="LT585" s="10"/>
      <c r="LU585" s="10"/>
      <c r="LV585" s="10"/>
      <c r="LW585" s="10"/>
      <c r="LX585" s="10"/>
      <c r="LY585" s="10"/>
      <c r="LZ585" s="10"/>
      <c r="MA585" s="10"/>
      <c r="MB585" s="10"/>
      <c r="MC585" s="10"/>
      <c r="MD585" s="10"/>
      <c r="ME585" s="10"/>
      <c r="MF585" s="10"/>
      <c r="MG585" s="10"/>
      <c r="MH585" s="10"/>
      <c r="MI585" s="10"/>
      <c r="MJ585" s="10"/>
      <c r="MK585" s="10"/>
      <c r="ML585" s="10"/>
      <c r="MM585" s="10"/>
      <c r="MN585" s="10"/>
      <c r="MO585" s="10"/>
      <c r="MP585" s="10"/>
      <c r="MQ585" s="10"/>
      <c r="MR585" s="10"/>
      <c r="MS585" s="10"/>
      <c r="MT585" s="10"/>
      <c r="MU585" s="10"/>
      <c r="MV585" s="10"/>
      <c r="MW585" s="10"/>
      <c r="MX585" s="10"/>
      <c r="MY585" s="10"/>
      <c r="MZ585" s="10"/>
      <c r="NA585" s="10"/>
      <c r="NB585" s="10"/>
      <c r="NC585" s="10"/>
      <c r="ND585" s="10"/>
      <c r="NE585" s="10"/>
      <c r="NF585" s="10"/>
      <c r="NG585" s="10"/>
      <c r="NH585" s="10"/>
      <c r="NI585" s="10"/>
      <c r="NJ585" s="10"/>
      <c r="NK585" s="10"/>
      <c r="NL585" s="10"/>
      <c r="NM585" s="10"/>
      <c r="NN585" s="10"/>
      <c r="NO585" s="10"/>
      <c r="NP585" s="10"/>
      <c r="NQ585" s="10"/>
      <c r="NR585" s="10"/>
      <c r="NS585" s="10"/>
      <c r="NT585" s="10"/>
      <c r="NU585" s="10"/>
      <c r="NV585" s="10"/>
      <c r="NW585" s="10"/>
      <c r="NX585" s="10"/>
      <c r="NY585" s="10"/>
      <c r="NZ585" s="10"/>
      <c r="OA585" s="10"/>
      <c r="OB585" s="10"/>
      <c r="OC585" s="10"/>
      <c r="OD585" s="10"/>
      <c r="OE585" s="10"/>
      <c r="OF585" s="10"/>
      <c r="OG585" s="10"/>
      <c r="OH585" s="10"/>
      <c r="OI585" s="10"/>
      <c r="OJ585" s="10"/>
      <c r="OK585" s="10"/>
      <c r="OL585" s="10"/>
      <c r="OM585" s="10"/>
      <c r="ON585" s="10"/>
      <c r="OO585" s="10"/>
      <c r="OP585" s="10"/>
      <c r="OQ585" s="10"/>
      <c r="OR585" s="10"/>
      <c r="OS585" s="10"/>
      <c r="OT585" s="10"/>
      <c r="OU585" s="10"/>
      <c r="OV585" s="10"/>
      <c r="OW585" s="10"/>
      <c r="OX585" s="10"/>
      <c r="OY585" s="10"/>
      <c r="OZ585" s="10"/>
      <c r="PA585" s="10"/>
      <c r="PB585" s="10"/>
      <c r="PC585" s="10"/>
      <c r="PD585" s="10"/>
      <c r="PE585" s="10"/>
      <c r="PF585" s="10"/>
      <c r="PG585" s="10"/>
      <c r="PH585" s="10"/>
      <c r="PI585" s="10"/>
      <c r="PJ585" s="10"/>
      <c r="PK585" s="10"/>
      <c r="PL585" s="10"/>
      <c r="PM585" s="10"/>
      <c r="PN585" s="10"/>
      <c r="PO585" s="10"/>
      <c r="PP585" s="10"/>
      <c r="PQ585" s="10"/>
      <c r="PR585" s="10"/>
      <c r="PS585" s="10"/>
      <c r="PT585" s="10"/>
      <c r="PU585" s="10"/>
      <c r="PV585" s="10"/>
      <c r="PW585" s="10"/>
      <c r="PX585" s="10"/>
      <c r="PY585" s="10"/>
      <c r="PZ585" s="10"/>
      <c r="QA585" s="10"/>
      <c r="QB585" s="10"/>
      <c r="QC585" s="10"/>
      <c r="QD585" s="10"/>
      <c r="QE585" s="10"/>
      <c r="QF585" s="10"/>
      <c r="QG585" s="10"/>
      <c r="QH585" s="10"/>
      <c r="QI585" s="10"/>
      <c r="QJ585" s="10"/>
      <c r="QK585" s="10"/>
      <c r="QL585" s="10"/>
      <c r="QM585" s="10"/>
      <c r="QN585" s="10"/>
      <c r="QO585" s="10"/>
      <c r="QP585" s="10"/>
      <c r="QQ585" s="10"/>
      <c r="QR585" s="10"/>
      <c r="QS585" s="10"/>
      <c r="QT585" s="10"/>
      <c r="QU585" s="10"/>
      <c r="QV585" s="10"/>
      <c r="QW585" s="10"/>
      <c r="QX585" s="10"/>
      <c r="QY585" s="10"/>
      <c r="QZ585" s="10"/>
      <c r="RA585" s="10"/>
      <c r="RB585" s="10"/>
      <c r="RC585" s="10"/>
      <c r="RD585" s="10"/>
      <c r="RE585" s="10"/>
      <c r="RF585" s="10"/>
      <c r="RG585" s="10"/>
      <c r="RH585" s="10"/>
      <c r="RI585" s="10"/>
      <c r="RJ585" s="10"/>
      <c r="RK585" s="10"/>
      <c r="RL585" s="10"/>
      <c r="RM585" s="10"/>
      <c r="RN585" s="10"/>
      <c r="RO585" s="10"/>
      <c r="RP585" s="10"/>
      <c r="RQ585" s="10"/>
      <c r="RR585" s="10"/>
      <c r="RS585" s="10"/>
      <c r="RT585" s="10"/>
      <c r="RU585" s="10"/>
      <c r="RV585" s="10"/>
      <c r="RW585" s="10"/>
      <c r="RX585" s="10"/>
      <c r="RY585" s="10"/>
      <c r="RZ585" s="10"/>
      <c r="SA585" s="10"/>
      <c r="SB585" s="10"/>
      <c r="SC585" s="10"/>
      <c r="SD585" s="10"/>
      <c r="SE585" s="10"/>
      <c r="SF585" s="10"/>
      <c r="SG585" s="10"/>
      <c r="SH585" s="10"/>
      <c r="SI585" s="10"/>
      <c r="SJ585" s="10"/>
      <c r="SK585" s="10"/>
      <c r="SL585" s="10"/>
      <c r="SM585" s="10"/>
      <c r="SN585" s="10"/>
      <c r="SO585" s="10"/>
      <c r="SP585" s="10"/>
      <c r="SQ585" s="10"/>
      <c r="SR585" s="10"/>
      <c r="SS585" s="10"/>
      <c r="ST585" s="10"/>
      <c r="SU585" s="10"/>
      <c r="SV585" s="10"/>
      <c r="SW585" s="10"/>
      <c r="SX585" s="10"/>
      <c r="SY585" s="10"/>
      <c r="SZ585" s="10"/>
      <c r="TA585" s="10"/>
      <c r="TB585" s="10"/>
      <c r="TC585" s="10"/>
      <c r="TD585" s="10"/>
      <c r="TE585" s="10"/>
      <c r="TF585" s="10"/>
      <c r="TG585" s="42">
        <f t="shared" si="29"/>
        <v>0</v>
      </c>
      <c r="TH585" s="43">
        <f t="shared" si="30"/>
        <v>0</v>
      </c>
    </row>
    <row r="586" spans="1:528" ht="15.6" thickBot="1" x14ac:dyDescent="0.3">
      <c r="A586" s="39">
        <v>98113029102006</v>
      </c>
      <c r="B586" s="18" t="s">
        <v>1119</v>
      </c>
      <c r="C586" s="3"/>
      <c r="D586" s="21">
        <f t="shared" si="32"/>
        <v>0</v>
      </c>
      <c r="DC586" s="10"/>
      <c r="DD586" s="10"/>
      <c r="DE586" s="10"/>
      <c r="DF586" s="10"/>
      <c r="DG586" s="10"/>
      <c r="DH586" s="10"/>
      <c r="DI586" s="10">
        <v>28</v>
      </c>
      <c r="DJ586" s="10"/>
      <c r="DK586" s="10"/>
      <c r="DL586" s="10"/>
      <c r="DM586" s="10"/>
      <c r="DN586" s="10"/>
      <c r="DO586" s="10"/>
      <c r="DP586" s="10"/>
      <c r="DQ586" s="10"/>
      <c r="DR586" s="10">
        <v>-28</v>
      </c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10"/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10"/>
      <c r="KO586" s="10"/>
      <c r="KP586" s="10"/>
      <c r="KQ586" s="10"/>
      <c r="KR586" s="10"/>
      <c r="KS586" s="10"/>
      <c r="KT586" s="10"/>
      <c r="KU586" s="10"/>
      <c r="KV586" s="10"/>
      <c r="KW586" s="10"/>
      <c r="KX586" s="10"/>
      <c r="KY586" s="10"/>
      <c r="KZ586" s="10"/>
      <c r="LA586" s="10"/>
      <c r="LB586" s="10"/>
      <c r="LC586" s="10"/>
      <c r="LD586" s="10"/>
      <c r="LE586" s="10"/>
      <c r="LF586" s="10"/>
      <c r="LG586" s="10"/>
      <c r="LH586" s="10"/>
      <c r="LI586" s="10"/>
      <c r="LJ586" s="10"/>
      <c r="LK586" s="10"/>
      <c r="LL586" s="10"/>
      <c r="LM586" s="10"/>
      <c r="LN586" s="10"/>
      <c r="LO586" s="10"/>
      <c r="LP586" s="10"/>
      <c r="LQ586" s="10"/>
      <c r="LR586" s="10"/>
      <c r="LS586" s="10"/>
      <c r="LT586" s="10"/>
      <c r="LU586" s="10"/>
      <c r="LV586" s="10"/>
      <c r="LW586" s="10"/>
      <c r="LX586" s="10"/>
      <c r="LY586" s="10"/>
      <c r="LZ586" s="10"/>
      <c r="MA586" s="10"/>
      <c r="MB586" s="10"/>
      <c r="MC586" s="10"/>
      <c r="MD586" s="10"/>
      <c r="ME586" s="10"/>
      <c r="MF586" s="10"/>
      <c r="MG586" s="10"/>
      <c r="MH586" s="10"/>
      <c r="MI586" s="10"/>
      <c r="MJ586" s="10"/>
      <c r="MK586" s="10"/>
      <c r="ML586" s="10"/>
      <c r="MM586" s="10"/>
      <c r="MN586" s="10"/>
      <c r="MO586" s="10"/>
      <c r="MP586" s="10"/>
      <c r="MQ586" s="10"/>
      <c r="MR586" s="10"/>
      <c r="MS586" s="10"/>
      <c r="MT586" s="10"/>
      <c r="MU586" s="10"/>
      <c r="MV586" s="10"/>
      <c r="MW586" s="10"/>
      <c r="MX586" s="10"/>
      <c r="MY586" s="10"/>
      <c r="MZ586" s="10"/>
      <c r="NA586" s="10"/>
      <c r="NB586" s="10"/>
      <c r="NC586" s="10"/>
      <c r="ND586" s="10"/>
      <c r="NE586" s="10"/>
      <c r="NF586" s="10"/>
      <c r="NG586" s="10"/>
      <c r="NH586" s="10"/>
      <c r="NI586" s="10"/>
      <c r="NJ586" s="10"/>
      <c r="NK586" s="10"/>
      <c r="NL586" s="10"/>
      <c r="NM586" s="10"/>
      <c r="NN586" s="10"/>
      <c r="NO586" s="10"/>
      <c r="NP586" s="10"/>
      <c r="NQ586" s="10"/>
      <c r="NR586" s="10"/>
      <c r="NS586" s="10"/>
      <c r="NT586" s="10"/>
      <c r="NU586" s="10"/>
      <c r="NV586" s="10"/>
      <c r="NW586" s="10"/>
      <c r="NX586" s="10"/>
      <c r="NY586" s="10"/>
      <c r="NZ586" s="10"/>
      <c r="OA586" s="10"/>
      <c r="OB586" s="10"/>
      <c r="OC586" s="10"/>
      <c r="OD586" s="10"/>
      <c r="OE586" s="10"/>
      <c r="OF586" s="10"/>
      <c r="OG586" s="10"/>
      <c r="OH586" s="10"/>
      <c r="OI586" s="10"/>
      <c r="OJ586" s="10"/>
      <c r="OK586" s="10"/>
      <c r="OL586" s="10"/>
      <c r="OM586" s="10"/>
      <c r="ON586" s="10"/>
      <c r="OO586" s="10"/>
      <c r="OP586" s="10"/>
      <c r="OQ586" s="10"/>
      <c r="OR586" s="10"/>
      <c r="OS586" s="10"/>
      <c r="OT586" s="10"/>
      <c r="OU586" s="10"/>
      <c r="OV586" s="10"/>
      <c r="OW586" s="10"/>
      <c r="OX586" s="10"/>
      <c r="OY586" s="10"/>
      <c r="OZ586" s="10"/>
      <c r="PA586" s="10"/>
      <c r="PB586" s="10"/>
      <c r="PC586" s="10"/>
      <c r="PD586" s="10"/>
      <c r="PE586" s="10"/>
      <c r="PF586" s="10"/>
      <c r="PG586" s="10"/>
      <c r="PH586" s="10"/>
      <c r="PI586" s="10"/>
      <c r="PJ586" s="10"/>
      <c r="PK586" s="10"/>
      <c r="PL586" s="10"/>
      <c r="PM586" s="10"/>
      <c r="PN586" s="10"/>
      <c r="PO586" s="10"/>
      <c r="PP586" s="10"/>
      <c r="PQ586" s="10"/>
      <c r="PR586" s="10"/>
      <c r="PS586" s="10"/>
      <c r="PT586" s="10"/>
      <c r="PU586" s="10"/>
      <c r="PV586" s="10"/>
      <c r="PW586" s="10"/>
      <c r="PX586" s="10"/>
      <c r="PY586" s="10"/>
      <c r="PZ586" s="10"/>
      <c r="QA586" s="10"/>
      <c r="QB586" s="10"/>
      <c r="QC586" s="10"/>
      <c r="QD586" s="10"/>
      <c r="QE586" s="10"/>
      <c r="QF586" s="10"/>
      <c r="QG586" s="10"/>
      <c r="QH586" s="10"/>
      <c r="QI586" s="10"/>
      <c r="QJ586" s="10"/>
      <c r="QK586" s="10"/>
      <c r="QL586" s="10"/>
      <c r="QM586" s="10"/>
      <c r="QN586" s="10"/>
      <c r="QO586" s="10"/>
      <c r="QP586" s="10"/>
      <c r="QQ586" s="10"/>
      <c r="QR586" s="10"/>
      <c r="QS586" s="10"/>
      <c r="QT586" s="10"/>
      <c r="QU586" s="10"/>
      <c r="QV586" s="10"/>
      <c r="QW586" s="10"/>
      <c r="QX586" s="10"/>
      <c r="QY586" s="10"/>
      <c r="QZ586" s="10"/>
      <c r="RA586" s="10"/>
      <c r="RB586" s="10"/>
      <c r="RC586" s="10"/>
      <c r="RD586" s="10"/>
      <c r="RE586" s="10"/>
      <c r="RF586" s="10"/>
      <c r="RG586" s="10"/>
      <c r="RH586" s="10"/>
      <c r="RI586" s="10"/>
      <c r="RJ586" s="10"/>
      <c r="RK586" s="10"/>
      <c r="RL586" s="10"/>
      <c r="RM586" s="10"/>
      <c r="RN586" s="10"/>
      <c r="RO586" s="10"/>
      <c r="RP586" s="10"/>
      <c r="RQ586" s="10"/>
      <c r="RR586" s="10"/>
      <c r="RS586" s="10"/>
      <c r="RT586" s="10"/>
      <c r="RU586" s="10"/>
      <c r="RV586" s="10"/>
      <c r="RW586" s="10"/>
      <c r="RX586" s="10"/>
      <c r="RY586" s="10"/>
      <c r="RZ586" s="10"/>
      <c r="SA586" s="10"/>
      <c r="SB586" s="10"/>
      <c r="SC586" s="10"/>
      <c r="SD586" s="10"/>
      <c r="SE586" s="10"/>
      <c r="SF586" s="10"/>
      <c r="SG586" s="10"/>
      <c r="SH586" s="10"/>
      <c r="SI586" s="10"/>
      <c r="SJ586" s="10"/>
      <c r="SK586" s="10"/>
      <c r="SL586" s="10"/>
      <c r="SM586" s="10"/>
      <c r="SN586" s="10"/>
      <c r="SO586" s="10"/>
      <c r="SP586" s="10"/>
      <c r="SQ586" s="10"/>
      <c r="SR586" s="10"/>
      <c r="SS586" s="10"/>
      <c r="ST586" s="10"/>
      <c r="SU586" s="10"/>
      <c r="SV586" s="10"/>
      <c r="SW586" s="10"/>
      <c r="SX586" s="10"/>
      <c r="SY586" s="10"/>
      <c r="SZ586" s="10"/>
      <c r="TA586" s="10"/>
      <c r="TB586" s="10"/>
      <c r="TC586" s="10"/>
      <c r="TD586" s="10"/>
      <c r="TE586" s="10"/>
      <c r="TF586" s="10"/>
      <c r="TG586" s="42">
        <f t="shared" si="29"/>
        <v>0</v>
      </c>
      <c r="TH586" s="43">
        <f t="shared" si="30"/>
        <v>0</v>
      </c>
    </row>
    <row r="587" spans="1:528" ht="15.6" thickBot="1" x14ac:dyDescent="0.3">
      <c r="A587" s="39">
        <v>98110039102006</v>
      </c>
      <c r="B587" s="18" t="s">
        <v>1120</v>
      </c>
      <c r="C587" s="3"/>
      <c r="D587" s="21">
        <f t="shared" si="32"/>
        <v>0</v>
      </c>
      <c r="DC587" s="10"/>
      <c r="DD587" s="10"/>
      <c r="DE587" s="10"/>
      <c r="DF587" s="10"/>
      <c r="DG587" s="10"/>
      <c r="DH587" s="10"/>
      <c r="DI587" s="10">
        <v>28</v>
      </c>
      <c r="DJ587" s="10"/>
      <c r="DK587" s="10"/>
      <c r="DL587" s="10"/>
      <c r="DM587" s="10"/>
      <c r="DN587" s="10"/>
      <c r="DO587" s="10"/>
      <c r="DP587" s="10"/>
      <c r="DQ587" s="10"/>
      <c r="DR587" s="10">
        <v>-28</v>
      </c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10"/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10"/>
      <c r="KO587" s="10"/>
      <c r="KP587" s="10"/>
      <c r="KQ587" s="10"/>
      <c r="KR587" s="10"/>
      <c r="KS587" s="10"/>
      <c r="KT587" s="10"/>
      <c r="KU587" s="10"/>
      <c r="KV587" s="10"/>
      <c r="KW587" s="10"/>
      <c r="KX587" s="10"/>
      <c r="KY587" s="10"/>
      <c r="KZ587" s="10"/>
      <c r="LA587" s="10"/>
      <c r="LB587" s="10"/>
      <c r="LC587" s="10"/>
      <c r="LD587" s="10"/>
      <c r="LE587" s="10"/>
      <c r="LF587" s="10"/>
      <c r="LG587" s="10"/>
      <c r="LH587" s="10"/>
      <c r="LI587" s="10"/>
      <c r="LJ587" s="10"/>
      <c r="LK587" s="10"/>
      <c r="LL587" s="10"/>
      <c r="LM587" s="10"/>
      <c r="LN587" s="10"/>
      <c r="LO587" s="10"/>
      <c r="LP587" s="10"/>
      <c r="LQ587" s="10"/>
      <c r="LR587" s="10"/>
      <c r="LS587" s="10"/>
      <c r="LT587" s="10"/>
      <c r="LU587" s="10"/>
      <c r="LV587" s="10"/>
      <c r="LW587" s="10"/>
      <c r="LX587" s="10"/>
      <c r="LY587" s="10"/>
      <c r="LZ587" s="10"/>
      <c r="MA587" s="10"/>
      <c r="MB587" s="10"/>
      <c r="MC587" s="10"/>
      <c r="MD587" s="10"/>
      <c r="ME587" s="10"/>
      <c r="MF587" s="10"/>
      <c r="MG587" s="10"/>
      <c r="MH587" s="10"/>
      <c r="MI587" s="10"/>
      <c r="MJ587" s="10"/>
      <c r="MK587" s="10"/>
      <c r="ML587" s="10"/>
      <c r="MM587" s="10"/>
      <c r="MN587" s="10"/>
      <c r="MO587" s="10"/>
      <c r="MP587" s="10"/>
      <c r="MQ587" s="10"/>
      <c r="MR587" s="10"/>
      <c r="MS587" s="10"/>
      <c r="MT587" s="10"/>
      <c r="MU587" s="10"/>
      <c r="MV587" s="10"/>
      <c r="MW587" s="10"/>
      <c r="MX587" s="10"/>
      <c r="MY587" s="10"/>
      <c r="MZ587" s="10"/>
      <c r="NA587" s="10"/>
      <c r="NB587" s="10"/>
      <c r="NC587" s="10"/>
      <c r="ND587" s="10"/>
      <c r="NE587" s="10"/>
      <c r="NF587" s="10"/>
      <c r="NG587" s="10"/>
      <c r="NH587" s="10"/>
      <c r="NI587" s="10"/>
      <c r="NJ587" s="10"/>
      <c r="NK587" s="10"/>
      <c r="NL587" s="10"/>
      <c r="NM587" s="10"/>
      <c r="NN587" s="10"/>
      <c r="NO587" s="10"/>
      <c r="NP587" s="10"/>
      <c r="NQ587" s="10"/>
      <c r="NR587" s="10"/>
      <c r="NS587" s="10"/>
      <c r="NT587" s="10"/>
      <c r="NU587" s="10"/>
      <c r="NV587" s="10"/>
      <c r="NW587" s="10"/>
      <c r="NX587" s="10"/>
      <c r="NY587" s="10"/>
      <c r="NZ587" s="10"/>
      <c r="OA587" s="10"/>
      <c r="OB587" s="10"/>
      <c r="OC587" s="10"/>
      <c r="OD587" s="10"/>
      <c r="OE587" s="10"/>
      <c r="OF587" s="10"/>
      <c r="OG587" s="10"/>
      <c r="OH587" s="10"/>
      <c r="OI587" s="10"/>
      <c r="OJ587" s="10"/>
      <c r="OK587" s="10"/>
      <c r="OL587" s="10"/>
      <c r="OM587" s="10"/>
      <c r="ON587" s="10"/>
      <c r="OO587" s="10"/>
      <c r="OP587" s="10"/>
      <c r="OQ587" s="10"/>
      <c r="OR587" s="10"/>
      <c r="OS587" s="10"/>
      <c r="OT587" s="10"/>
      <c r="OU587" s="10"/>
      <c r="OV587" s="10"/>
      <c r="OW587" s="10"/>
      <c r="OX587" s="10"/>
      <c r="OY587" s="10"/>
      <c r="OZ587" s="10"/>
      <c r="PA587" s="10"/>
      <c r="PB587" s="10"/>
      <c r="PC587" s="10"/>
      <c r="PD587" s="10"/>
      <c r="PE587" s="10"/>
      <c r="PF587" s="10"/>
      <c r="PG587" s="10"/>
      <c r="PH587" s="10"/>
      <c r="PI587" s="10"/>
      <c r="PJ587" s="10"/>
      <c r="PK587" s="10"/>
      <c r="PL587" s="10"/>
      <c r="PM587" s="10"/>
      <c r="PN587" s="10"/>
      <c r="PO587" s="10"/>
      <c r="PP587" s="10"/>
      <c r="PQ587" s="10"/>
      <c r="PR587" s="10"/>
      <c r="PS587" s="10"/>
      <c r="PT587" s="10"/>
      <c r="PU587" s="10"/>
      <c r="PV587" s="10"/>
      <c r="PW587" s="10"/>
      <c r="PX587" s="10"/>
      <c r="PY587" s="10"/>
      <c r="PZ587" s="10"/>
      <c r="QA587" s="10"/>
      <c r="QB587" s="10"/>
      <c r="QC587" s="10"/>
      <c r="QD587" s="10"/>
      <c r="QE587" s="10"/>
      <c r="QF587" s="10"/>
      <c r="QG587" s="10"/>
      <c r="QH587" s="10"/>
      <c r="QI587" s="10"/>
      <c r="QJ587" s="10"/>
      <c r="QK587" s="10"/>
      <c r="QL587" s="10"/>
      <c r="QM587" s="10"/>
      <c r="QN587" s="10"/>
      <c r="QO587" s="10"/>
      <c r="QP587" s="10"/>
      <c r="QQ587" s="10"/>
      <c r="QR587" s="10"/>
      <c r="QS587" s="10"/>
      <c r="QT587" s="10"/>
      <c r="QU587" s="10"/>
      <c r="QV587" s="10"/>
      <c r="QW587" s="10"/>
      <c r="QX587" s="10"/>
      <c r="QY587" s="10"/>
      <c r="QZ587" s="10"/>
      <c r="RA587" s="10"/>
      <c r="RB587" s="10"/>
      <c r="RC587" s="10"/>
      <c r="RD587" s="10"/>
      <c r="RE587" s="10"/>
      <c r="RF587" s="10"/>
      <c r="RG587" s="10"/>
      <c r="RH587" s="10"/>
      <c r="RI587" s="10"/>
      <c r="RJ587" s="10"/>
      <c r="RK587" s="10"/>
      <c r="RL587" s="10"/>
      <c r="RM587" s="10"/>
      <c r="RN587" s="10"/>
      <c r="RO587" s="10"/>
      <c r="RP587" s="10"/>
      <c r="RQ587" s="10"/>
      <c r="RR587" s="10"/>
      <c r="RS587" s="10"/>
      <c r="RT587" s="10"/>
      <c r="RU587" s="10"/>
      <c r="RV587" s="10"/>
      <c r="RW587" s="10"/>
      <c r="RX587" s="10"/>
      <c r="RY587" s="10"/>
      <c r="RZ587" s="10"/>
      <c r="SA587" s="10"/>
      <c r="SB587" s="10"/>
      <c r="SC587" s="10"/>
      <c r="SD587" s="10"/>
      <c r="SE587" s="10"/>
      <c r="SF587" s="10"/>
      <c r="SG587" s="10"/>
      <c r="SH587" s="10"/>
      <c r="SI587" s="10"/>
      <c r="SJ587" s="10"/>
      <c r="SK587" s="10"/>
      <c r="SL587" s="10"/>
      <c r="SM587" s="10"/>
      <c r="SN587" s="10"/>
      <c r="SO587" s="10"/>
      <c r="SP587" s="10"/>
      <c r="SQ587" s="10"/>
      <c r="SR587" s="10"/>
      <c r="SS587" s="10"/>
      <c r="ST587" s="10"/>
      <c r="SU587" s="10"/>
      <c r="SV587" s="10"/>
      <c r="SW587" s="10"/>
      <c r="SX587" s="10"/>
      <c r="SY587" s="10"/>
      <c r="SZ587" s="10"/>
      <c r="TA587" s="10"/>
      <c r="TB587" s="10"/>
      <c r="TC587" s="10"/>
      <c r="TD587" s="10"/>
      <c r="TE587" s="10"/>
      <c r="TF587" s="10"/>
      <c r="TG587" s="42">
        <f t="shared" si="29"/>
        <v>0</v>
      </c>
      <c r="TH587" s="43">
        <f t="shared" si="30"/>
        <v>0</v>
      </c>
    </row>
    <row r="588" spans="1:528" ht="15.6" thickBot="1" x14ac:dyDescent="0.3">
      <c r="A588" s="39">
        <v>65113029102006</v>
      </c>
      <c r="B588" s="18" t="s">
        <v>1121</v>
      </c>
      <c r="C588" s="3"/>
      <c r="D588" s="21">
        <f t="shared" si="32"/>
        <v>0</v>
      </c>
      <c r="DC588" s="10"/>
      <c r="DD588" s="10"/>
      <c r="DE588" s="10"/>
      <c r="DF588" s="10"/>
      <c r="DG588" s="10"/>
      <c r="DH588" s="10"/>
      <c r="DI588" s="10"/>
      <c r="DJ588" s="10"/>
      <c r="DK588" s="10">
        <v>56</v>
      </c>
      <c r="DL588" s="10"/>
      <c r="DM588" s="10"/>
      <c r="DN588" s="10"/>
      <c r="DO588" s="10"/>
      <c r="DP588" s="10"/>
      <c r="DQ588" s="10"/>
      <c r="DR588" s="10">
        <v>-56</v>
      </c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42">
        <f t="shared" si="29"/>
        <v>0</v>
      </c>
      <c r="TH588" s="43">
        <f t="shared" si="30"/>
        <v>0</v>
      </c>
    </row>
    <row r="589" spans="1:528" ht="15.6" thickBot="1" x14ac:dyDescent="0.3">
      <c r="A589" s="39">
        <v>64113019102006</v>
      </c>
      <c r="B589" s="18" t="s">
        <v>1122</v>
      </c>
      <c r="C589" s="3"/>
      <c r="D589" s="21">
        <f t="shared" si="32"/>
        <v>0</v>
      </c>
      <c r="DC589" s="10"/>
      <c r="DD589" s="10"/>
      <c r="DE589" s="10"/>
      <c r="DF589" s="10"/>
      <c r="DG589" s="10"/>
      <c r="DH589" s="10"/>
      <c r="DI589" s="10"/>
      <c r="DJ589" s="10"/>
      <c r="DK589" s="10">
        <v>56</v>
      </c>
      <c r="DL589" s="10"/>
      <c r="DM589" s="10"/>
      <c r="DN589" s="10"/>
      <c r="DO589" s="10"/>
      <c r="DP589" s="10"/>
      <c r="DQ589" s="10"/>
      <c r="DR589" s="10">
        <v>-56</v>
      </c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10"/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10"/>
      <c r="KO589" s="10"/>
      <c r="KP589" s="10"/>
      <c r="KQ589" s="10"/>
      <c r="KR589" s="10"/>
      <c r="KS589" s="10"/>
      <c r="KT589" s="10"/>
      <c r="KU589" s="10"/>
      <c r="KV589" s="10"/>
      <c r="KW589" s="10"/>
      <c r="KX589" s="10"/>
      <c r="KY589" s="10"/>
      <c r="KZ589" s="10"/>
      <c r="LA589" s="10"/>
      <c r="LB589" s="10"/>
      <c r="LC589" s="10"/>
      <c r="LD589" s="10"/>
      <c r="LE589" s="10"/>
      <c r="LF589" s="10"/>
      <c r="LG589" s="10"/>
      <c r="LH589" s="10"/>
      <c r="LI589" s="10"/>
      <c r="LJ589" s="10"/>
      <c r="LK589" s="10"/>
      <c r="LL589" s="10"/>
      <c r="LM589" s="10"/>
      <c r="LN589" s="10"/>
      <c r="LO589" s="10"/>
      <c r="LP589" s="10"/>
      <c r="LQ589" s="10"/>
      <c r="LR589" s="10"/>
      <c r="LS589" s="10"/>
      <c r="LT589" s="10"/>
      <c r="LU589" s="10"/>
      <c r="LV589" s="10"/>
      <c r="LW589" s="10"/>
      <c r="LX589" s="10"/>
      <c r="LY589" s="10"/>
      <c r="LZ589" s="10"/>
      <c r="MA589" s="10"/>
      <c r="MB589" s="10"/>
      <c r="MC589" s="10"/>
      <c r="MD589" s="10"/>
      <c r="ME589" s="10"/>
      <c r="MF589" s="10"/>
      <c r="MG589" s="10"/>
      <c r="MH589" s="10"/>
      <c r="MI589" s="10"/>
      <c r="MJ589" s="10"/>
      <c r="MK589" s="10"/>
      <c r="ML589" s="10"/>
      <c r="MM589" s="10"/>
      <c r="MN589" s="10"/>
      <c r="MO589" s="10"/>
      <c r="MP589" s="10"/>
      <c r="MQ589" s="10"/>
      <c r="MR589" s="10"/>
      <c r="MS589" s="10"/>
      <c r="MT589" s="10"/>
      <c r="MU589" s="10"/>
      <c r="MV589" s="10"/>
      <c r="MW589" s="10"/>
      <c r="MX589" s="10"/>
      <c r="MY589" s="10"/>
      <c r="MZ589" s="10"/>
      <c r="NA589" s="10"/>
      <c r="NB589" s="10"/>
      <c r="NC589" s="10"/>
      <c r="ND589" s="10"/>
      <c r="NE589" s="10"/>
      <c r="NF589" s="10"/>
      <c r="NG589" s="10"/>
      <c r="NH589" s="10"/>
      <c r="NI589" s="10"/>
      <c r="NJ589" s="10"/>
      <c r="NK589" s="10"/>
      <c r="NL589" s="10"/>
      <c r="NM589" s="10"/>
      <c r="NN589" s="10"/>
      <c r="NO589" s="10"/>
      <c r="NP589" s="10"/>
      <c r="NQ589" s="10"/>
      <c r="NR589" s="10"/>
      <c r="NS589" s="10"/>
      <c r="NT589" s="10"/>
      <c r="NU589" s="10"/>
      <c r="NV589" s="10"/>
      <c r="NW589" s="10"/>
      <c r="NX589" s="10"/>
      <c r="NY589" s="10"/>
      <c r="NZ589" s="10"/>
      <c r="OA589" s="10"/>
      <c r="OB589" s="10"/>
      <c r="OC589" s="10"/>
      <c r="OD589" s="10"/>
      <c r="OE589" s="10"/>
      <c r="OF589" s="10"/>
      <c r="OG589" s="10"/>
      <c r="OH589" s="10"/>
      <c r="OI589" s="10"/>
      <c r="OJ589" s="10"/>
      <c r="OK589" s="10"/>
      <c r="OL589" s="10"/>
      <c r="OM589" s="10"/>
      <c r="ON589" s="10"/>
      <c r="OO589" s="10"/>
      <c r="OP589" s="10"/>
      <c r="OQ589" s="10"/>
      <c r="OR589" s="10"/>
      <c r="OS589" s="10"/>
      <c r="OT589" s="10"/>
      <c r="OU589" s="10"/>
      <c r="OV589" s="10"/>
      <c r="OW589" s="10"/>
      <c r="OX589" s="10"/>
      <c r="OY589" s="10"/>
      <c r="OZ589" s="10"/>
      <c r="PA589" s="10"/>
      <c r="PB589" s="10"/>
      <c r="PC589" s="10"/>
      <c r="PD589" s="10"/>
      <c r="PE589" s="10"/>
      <c r="PF589" s="10"/>
      <c r="PG589" s="10"/>
      <c r="PH589" s="10"/>
      <c r="PI589" s="10"/>
      <c r="PJ589" s="10"/>
      <c r="PK589" s="10"/>
      <c r="PL589" s="10"/>
      <c r="PM589" s="10"/>
      <c r="PN589" s="10"/>
      <c r="PO589" s="10"/>
      <c r="PP589" s="10"/>
      <c r="PQ589" s="10"/>
      <c r="PR589" s="10"/>
      <c r="PS589" s="10"/>
      <c r="PT589" s="10"/>
      <c r="PU589" s="10"/>
      <c r="PV589" s="10"/>
      <c r="PW589" s="10"/>
      <c r="PX589" s="10"/>
      <c r="PY589" s="10"/>
      <c r="PZ589" s="10"/>
      <c r="QA589" s="10"/>
      <c r="QB589" s="10"/>
      <c r="QC589" s="10"/>
      <c r="QD589" s="10"/>
      <c r="QE589" s="10"/>
      <c r="QF589" s="10"/>
      <c r="QG589" s="10"/>
      <c r="QH589" s="10"/>
      <c r="QI589" s="10"/>
      <c r="QJ589" s="10"/>
      <c r="QK589" s="10"/>
      <c r="QL589" s="10"/>
      <c r="QM589" s="10"/>
      <c r="QN589" s="10"/>
      <c r="QO589" s="10"/>
      <c r="QP589" s="10"/>
      <c r="QQ589" s="10"/>
      <c r="QR589" s="10"/>
      <c r="QS589" s="10"/>
      <c r="QT589" s="10"/>
      <c r="QU589" s="10"/>
      <c r="QV589" s="10"/>
      <c r="QW589" s="10"/>
      <c r="QX589" s="10"/>
      <c r="QY589" s="10"/>
      <c r="QZ589" s="10"/>
      <c r="RA589" s="10"/>
      <c r="RB589" s="10"/>
      <c r="RC589" s="10"/>
      <c r="RD589" s="10"/>
      <c r="RE589" s="10"/>
      <c r="RF589" s="10"/>
      <c r="RG589" s="10"/>
      <c r="RH589" s="10"/>
      <c r="RI589" s="10"/>
      <c r="RJ589" s="10"/>
      <c r="RK589" s="10"/>
      <c r="RL589" s="10"/>
      <c r="RM589" s="10"/>
      <c r="RN589" s="10"/>
      <c r="RO589" s="10"/>
      <c r="RP589" s="10"/>
      <c r="RQ589" s="10"/>
      <c r="RR589" s="10"/>
      <c r="RS589" s="10"/>
      <c r="RT589" s="10"/>
      <c r="RU589" s="10"/>
      <c r="RV589" s="10"/>
      <c r="RW589" s="10"/>
      <c r="RX589" s="10"/>
      <c r="RY589" s="10"/>
      <c r="RZ589" s="10"/>
      <c r="SA589" s="10"/>
      <c r="SB589" s="10"/>
      <c r="SC589" s="10"/>
      <c r="SD589" s="10"/>
      <c r="SE589" s="10"/>
      <c r="SF589" s="10"/>
      <c r="SG589" s="10"/>
      <c r="SH589" s="10"/>
      <c r="SI589" s="10"/>
      <c r="SJ589" s="10"/>
      <c r="SK589" s="10"/>
      <c r="SL589" s="10"/>
      <c r="SM589" s="10"/>
      <c r="SN589" s="10"/>
      <c r="SO589" s="10"/>
      <c r="SP589" s="10"/>
      <c r="SQ589" s="10"/>
      <c r="SR589" s="10"/>
      <c r="SS589" s="10"/>
      <c r="ST589" s="10"/>
      <c r="SU589" s="10"/>
      <c r="SV589" s="10"/>
      <c r="SW589" s="10"/>
      <c r="SX589" s="10"/>
      <c r="SY589" s="10"/>
      <c r="SZ589" s="10"/>
      <c r="TA589" s="10"/>
      <c r="TB589" s="10"/>
      <c r="TC589" s="10"/>
      <c r="TD589" s="10"/>
      <c r="TE589" s="10"/>
      <c r="TF589" s="10"/>
      <c r="TG589" s="42">
        <f t="shared" si="29"/>
        <v>0</v>
      </c>
      <c r="TH589" s="43">
        <f t="shared" si="30"/>
        <v>0</v>
      </c>
    </row>
    <row r="590" spans="1:528" ht="15.6" thickBot="1" x14ac:dyDescent="0.3">
      <c r="A590" s="39">
        <v>64110279102006</v>
      </c>
      <c r="B590" s="18" t="s">
        <v>1123</v>
      </c>
      <c r="C590" s="3"/>
      <c r="D590" s="21">
        <f t="shared" si="32"/>
        <v>0</v>
      </c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42">
        <f t="shared" si="29"/>
        <v>0</v>
      </c>
      <c r="TH590" s="43">
        <f t="shared" si="30"/>
        <v>0</v>
      </c>
    </row>
    <row r="591" spans="1:528" ht="15.6" thickBot="1" x14ac:dyDescent="0.3">
      <c r="A591" s="39">
        <v>64110159102006</v>
      </c>
      <c r="B591" s="18" t="s">
        <v>1124</v>
      </c>
      <c r="C591" s="3"/>
      <c r="D591" s="21">
        <f t="shared" si="32"/>
        <v>0</v>
      </c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10"/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10"/>
      <c r="KO591" s="10"/>
      <c r="KP591" s="10"/>
      <c r="KQ591" s="10"/>
      <c r="KR591" s="10"/>
      <c r="KS591" s="10"/>
      <c r="KT591" s="10"/>
      <c r="KU591" s="10"/>
      <c r="KV591" s="10"/>
      <c r="KW591" s="10"/>
      <c r="KX591" s="10"/>
      <c r="KY591" s="10"/>
      <c r="KZ591" s="10"/>
      <c r="LA591" s="10"/>
      <c r="LB591" s="10"/>
      <c r="LC591" s="10"/>
      <c r="LD591" s="10"/>
      <c r="LE591" s="10"/>
      <c r="LF591" s="10"/>
      <c r="LG591" s="10"/>
      <c r="LH591" s="10"/>
      <c r="LI591" s="10"/>
      <c r="LJ591" s="10"/>
      <c r="LK591" s="10"/>
      <c r="LL591" s="10"/>
      <c r="LM591" s="10"/>
      <c r="LN591" s="10"/>
      <c r="LO591" s="10"/>
      <c r="LP591" s="10"/>
      <c r="LQ591" s="10"/>
      <c r="LR591" s="10"/>
      <c r="LS591" s="10"/>
      <c r="LT591" s="10"/>
      <c r="LU591" s="10"/>
      <c r="LV591" s="10"/>
      <c r="LW591" s="10"/>
      <c r="LX591" s="10"/>
      <c r="LY591" s="10"/>
      <c r="LZ591" s="10"/>
      <c r="MA591" s="10"/>
      <c r="MB591" s="10"/>
      <c r="MC591" s="10"/>
      <c r="MD591" s="10"/>
      <c r="ME591" s="10"/>
      <c r="MF591" s="10"/>
      <c r="MG591" s="10"/>
      <c r="MH591" s="10"/>
      <c r="MI591" s="10"/>
      <c r="MJ591" s="10"/>
      <c r="MK591" s="10"/>
      <c r="ML591" s="10"/>
      <c r="MM591" s="10"/>
      <c r="MN591" s="10"/>
      <c r="MO591" s="10"/>
      <c r="MP591" s="10"/>
      <c r="MQ591" s="10"/>
      <c r="MR591" s="10"/>
      <c r="MS591" s="10"/>
      <c r="MT591" s="10"/>
      <c r="MU591" s="10"/>
      <c r="MV591" s="10"/>
      <c r="MW591" s="10"/>
      <c r="MX591" s="10"/>
      <c r="MY591" s="10"/>
      <c r="MZ591" s="10"/>
      <c r="NA591" s="10"/>
      <c r="NB591" s="10"/>
      <c r="NC591" s="10"/>
      <c r="ND591" s="10"/>
      <c r="NE591" s="10"/>
      <c r="NF591" s="10"/>
      <c r="NG591" s="10"/>
      <c r="NH591" s="10"/>
      <c r="NI591" s="10"/>
      <c r="NJ591" s="10"/>
      <c r="NK591" s="10"/>
      <c r="NL591" s="10"/>
      <c r="NM591" s="10"/>
      <c r="NN591" s="10"/>
      <c r="NO591" s="10"/>
      <c r="NP591" s="10"/>
      <c r="NQ591" s="10"/>
      <c r="NR591" s="10"/>
      <c r="NS591" s="10"/>
      <c r="NT591" s="10"/>
      <c r="NU591" s="10"/>
      <c r="NV591" s="10"/>
      <c r="NW591" s="10"/>
      <c r="NX591" s="10"/>
      <c r="NY591" s="10"/>
      <c r="NZ591" s="10"/>
      <c r="OA591" s="10"/>
      <c r="OB591" s="10"/>
      <c r="OC591" s="10"/>
      <c r="OD591" s="10"/>
      <c r="OE591" s="10"/>
      <c r="OF591" s="10"/>
      <c r="OG591" s="10"/>
      <c r="OH591" s="10"/>
      <c r="OI591" s="10"/>
      <c r="OJ591" s="10"/>
      <c r="OK591" s="10"/>
      <c r="OL591" s="10"/>
      <c r="OM591" s="10"/>
      <c r="ON591" s="10"/>
      <c r="OO591" s="10"/>
      <c r="OP591" s="10"/>
      <c r="OQ591" s="10"/>
      <c r="OR591" s="10"/>
      <c r="OS591" s="10"/>
      <c r="OT591" s="10"/>
      <c r="OU591" s="10"/>
      <c r="OV591" s="10"/>
      <c r="OW591" s="10"/>
      <c r="OX591" s="10"/>
      <c r="OY591" s="10"/>
      <c r="OZ591" s="10"/>
      <c r="PA591" s="10"/>
      <c r="PB591" s="10"/>
      <c r="PC591" s="10"/>
      <c r="PD591" s="10"/>
      <c r="PE591" s="10"/>
      <c r="PF591" s="10"/>
      <c r="PG591" s="10"/>
      <c r="PH591" s="10"/>
      <c r="PI591" s="10"/>
      <c r="PJ591" s="10"/>
      <c r="PK591" s="10"/>
      <c r="PL591" s="10"/>
      <c r="PM591" s="10"/>
      <c r="PN591" s="10"/>
      <c r="PO591" s="10"/>
      <c r="PP591" s="10"/>
      <c r="PQ591" s="10"/>
      <c r="PR591" s="10"/>
      <c r="PS591" s="10"/>
      <c r="PT591" s="10"/>
      <c r="PU591" s="10"/>
      <c r="PV591" s="10"/>
      <c r="PW591" s="10"/>
      <c r="PX591" s="10"/>
      <c r="PY591" s="10"/>
      <c r="PZ591" s="10"/>
      <c r="QA591" s="10"/>
      <c r="QB591" s="10"/>
      <c r="QC591" s="10"/>
      <c r="QD591" s="10"/>
      <c r="QE591" s="10"/>
      <c r="QF591" s="10"/>
      <c r="QG591" s="10"/>
      <c r="QH591" s="10"/>
      <c r="QI591" s="10"/>
      <c r="QJ591" s="10"/>
      <c r="QK591" s="10"/>
      <c r="QL591" s="10"/>
      <c r="QM591" s="10"/>
      <c r="QN591" s="10"/>
      <c r="QO591" s="10"/>
      <c r="QP591" s="10"/>
      <c r="QQ591" s="10"/>
      <c r="QR591" s="10"/>
      <c r="QS591" s="10"/>
      <c r="QT591" s="10"/>
      <c r="QU591" s="10"/>
      <c r="QV591" s="10"/>
      <c r="QW591" s="10"/>
      <c r="QX591" s="10"/>
      <c r="QY591" s="10"/>
      <c r="QZ591" s="10"/>
      <c r="RA591" s="10"/>
      <c r="RB591" s="10"/>
      <c r="RC591" s="10"/>
      <c r="RD591" s="10"/>
      <c r="RE591" s="10"/>
      <c r="RF591" s="10"/>
      <c r="RG591" s="10"/>
      <c r="RH591" s="10"/>
      <c r="RI591" s="10"/>
      <c r="RJ591" s="10"/>
      <c r="RK591" s="10"/>
      <c r="RL591" s="10"/>
      <c r="RM591" s="10"/>
      <c r="RN591" s="10"/>
      <c r="RO591" s="10"/>
      <c r="RP591" s="10"/>
      <c r="RQ591" s="10"/>
      <c r="RR591" s="10"/>
      <c r="RS591" s="10"/>
      <c r="RT591" s="10"/>
      <c r="RU591" s="10"/>
      <c r="RV591" s="10"/>
      <c r="RW591" s="10"/>
      <c r="RX591" s="10"/>
      <c r="RY591" s="10"/>
      <c r="RZ591" s="10"/>
      <c r="SA591" s="10"/>
      <c r="SB591" s="10"/>
      <c r="SC591" s="10"/>
      <c r="SD591" s="10"/>
      <c r="SE591" s="10"/>
      <c r="SF591" s="10"/>
      <c r="SG591" s="10"/>
      <c r="SH591" s="10"/>
      <c r="SI591" s="10"/>
      <c r="SJ591" s="10"/>
      <c r="SK591" s="10"/>
      <c r="SL591" s="10"/>
      <c r="SM591" s="10"/>
      <c r="SN591" s="10"/>
      <c r="SO591" s="10"/>
      <c r="SP591" s="10"/>
      <c r="SQ591" s="10"/>
      <c r="SR591" s="10"/>
      <c r="SS591" s="10"/>
      <c r="ST591" s="10"/>
      <c r="SU591" s="10"/>
      <c r="SV591" s="10"/>
      <c r="SW591" s="10"/>
      <c r="SX591" s="10"/>
      <c r="SY591" s="10"/>
      <c r="SZ591" s="10"/>
      <c r="TA591" s="10"/>
      <c r="TB591" s="10"/>
      <c r="TC591" s="10"/>
      <c r="TD591" s="10"/>
      <c r="TE591" s="10"/>
      <c r="TF591" s="10"/>
      <c r="TG591" s="42">
        <f t="shared" si="29"/>
        <v>0</v>
      </c>
      <c r="TH591" s="43">
        <f t="shared" si="30"/>
        <v>0</v>
      </c>
    </row>
    <row r="592" spans="1:528" ht="16.2" thickBot="1" x14ac:dyDescent="0.35">
      <c r="A592" s="18"/>
      <c r="B592" s="23" t="s">
        <v>1136</v>
      </c>
      <c r="C592" s="3"/>
      <c r="D592" s="21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42">
        <f t="shared" si="29"/>
        <v>0</v>
      </c>
      <c r="TH592" s="43">
        <f t="shared" si="30"/>
        <v>0</v>
      </c>
    </row>
    <row r="593" spans="1:528" ht="15.6" thickBot="1" x14ac:dyDescent="0.3">
      <c r="A593" s="18"/>
      <c r="B593" s="18" t="s">
        <v>1134</v>
      </c>
      <c r="C593" s="3">
        <f>AGOSTO!D597</f>
        <v>0</v>
      </c>
      <c r="D593" s="21">
        <f>C593+SUM(E593:TF593)</f>
        <v>0</v>
      </c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>
        <v>42</v>
      </c>
      <c r="EF593" s="10"/>
      <c r="EG593" s="10"/>
      <c r="EH593" s="10">
        <v>-42</v>
      </c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>
        <v>42</v>
      </c>
      <c r="FP593" s="10"/>
      <c r="FQ593" s="10"/>
      <c r="FR593" s="10"/>
      <c r="FS593" s="10"/>
      <c r="FT593" s="10">
        <v>-42</v>
      </c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10"/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10"/>
      <c r="KO593" s="10"/>
      <c r="KP593" s="10"/>
      <c r="KQ593" s="10"/>
      <c r="KR593" s="10"/>
      <c r="KS593" s="10"/>
      <c r="KT593" s="10"/>
      <c r="KU593" s="10"/>
      <c r="KV593" s="10"/>
      <c r="KW593" s="10"/>
      <c r="KX593" s="10"/>
      <c r="KY593" s="10"/>
      <c r="KZ593" s="10"/>
      <c r="LA593" s="10"/>
      <c r="LB593" s="10"/>
      <c r="LC593" s="10"/>
      <c r="LD593" s="10"/>
      <c r="LE593" s="10"/>
      <c r="LF593" s="10"/>
      <c r="LG593" s="10"/>
      <c r="LH593" s="10"/>
      <c r="LI593" s="10"/>
      <c r="LJ593" s="10"/>
      <c r="LK593" s="10"/>
      <c r="LL593" s="10"/>
      <c r="LM593" s="10"/>
      <c r="LN593" s="10"/>
      <c r="LO593" s="10"/>
      <c r="LP593" s="10"/>
      <c r="LQ593" s="10"/>
      <c r="LR593" s="10"/>
      <c r="LS593" s="10"/>
      <c r="LT593" s="10"/>
      <c r="LU593" s="10"/>
      <c r="LV593" s="10"/>
      <c r="LW593" s="10"/>
      <c r="LX593" s="10"/>
      <c r="LY593" s="10"/>
      <c r="LZ593" s="10"/>
      <c r="MA593" s="10"/>
      <c r="MB593" s="10"/>
      <c r="MC593" s="10"/>
      <c r="MD593" s="10"/>
      <c r="ME593" s="10"/>
      <c r="MF593" s="10"/>
      <c r="MG593" s="10"/>
      <c r="MH593" s="10"/>
      <c r="MI593" s="10"/>
      <c r="MJ593" s="10"/>
      <c r="MK593" s="10"/>
      <c r="ML593" s="10"/>
      <c r="MM593" s="10"/>
      <c r="MN593" s="10"/>
      <c r="MO593" s="10"/>
      <c r="MP593" s="10"/>
      <c r="MQ593" s="10"/>
      <c r="MR593" s="10"/>
      <c r="MS593" s="10"/>
      <c r="MT593" s="10"/>
      <c r="MU593" s="10"/>
      <c r="MV593" s="10"/>
      <c r="MW593" s="10"/>
      <c r="MX593" s="10"/>
      <c r="MY593" s="10"/>
      <c r="MZ593" s="10"/>
      <c r="NA593" s="10"/>
      <c r="NB593" s="10"/>
      <c r="NC593" s="10"/>
      <c r="ND593" s="10"/>
      <c r="NE593" s="10"/>
      <c r="NF593" s="10"/>
      <c r="NG593" s="10"/>
      <c r="NH593" s="10"/>
      <c r="NI593" s="10"/>
      <c r="NJ593" s="10"/>
      <c r="NK593" s="10"/>
      <c r="NL593" s="10"/>
      <c r="NM593" s="10"/>
      <c r="NN593" s="10"/>
      <c r="NO593" s="10"/>
      <c r="NP593" s="10"/>
      <c r="NQ593" s="10"/>
      <c r="NR593" s="10"/>
      <c r="NS593" s="10"/>
      <c r="NT593" s="10"/>
      <c r="NU593" s="10"/>
      <c r="NV593" s="10"/>
      <c r="NW593" s="10"/>
      <c r="NX593" s="10"/>
      <c r="NY593" s="10"/>
      <c r="NZ593" s="10"/>
      <c r="OA593" s="10"/>
      <c r="OB593" s="10"/>
      <c r="OC593" s="10"/>
      <c r="OD593" s="10"/>
      <c r="OE593" s="10"/>
      <c r="OF593" s="10"/>
      <c r="OG593" s="10"/>
      <c r="OH593" s="10"/>
      <c r="OI593" s="10"/>
      <c r="OJ593" s="10"/>
      <c r="OK593" s="10"/>
      <c r="OL593" s="10"/>
      <c r="OM593" s="10"/>
      <c r="ON593" s="10"/>
      <c r="OO593" s="10"/>
      <c r="OP593" s="10"/>
      <c r="OQ593" s="10"/>
      <c r="OR593" s="10"/>
      <c r="OS593" s="10"/>
      <c r="OT593" s="10"/>
      <c r="OU593" s="10"/>
      <c r="OV593" s="10"/>
      <c r="OW593" s="10"/>
      <c r="OX593" s="10"/>
      <c r="OY593" s="10"/>
      <c r="OZ593" s="10"/>
      <c r="PA593" s="10"/>
      <c r="PB593" s="10"/>
      <c r="PC593" s="10"/>
      <c r="PD593" s="10"/>
      <c r="PE593" s="10"/>
      <c r="PF593" s="10"/>
      <c r="PG593" s="10"/>
      <c r="PH593" s="10"/>
      <c r="PI593" s="10"/>
      <c r="PJ593" s="10"/>
      <c r="PK593" s="10"/>
      <c r="PL593" s="10"/>
      <c r="PM593" s="10"/>
      <c r="PN593" s="10"/>
      <c r="PO593" s="10"/>
      <c r="PP593" s="10"/>
      <c r="PQ593" s="10"/>
      <c r="PR593" s="10"/>
      <c r="PS593" s="10"/>
      <c r="PT593" s="10"/>
      <c r="PU593" s="10"/>
      <c r="PV593" s="10"/>
      <c r="PW593" s="10"/>
      <c r="PX593" s="10"/>
      <c r="PY593" s="10"/>
      <c r="PZ593" s="10"/>
      <c r="QA593" s="10"/>
      <c r="QB593" s="10"/>
      <c r="QC593" s="10"/>
      <c r="QD593" s="10"/>
      <c r="QE593" s="10"/>
      <c r="QF593" s="10"/>
      <c r="QG593" s="10"/>
      <c r="QH593" s="10"/>
      <c r="QI593" s="10"/>
      <c r="QJ593" s="10"/>
      <c r="QK593" s="10"/>
      <c r="QL593" s="10"/>
      <c r="QM593" s="10"/>
      <c r="QN593" s="10"/>
      <c r="QO593" s="10"/>
      <c r="QP593" s="10"/>
      <c r="QQ593" s="10"/>
      <c r="QR593" s="10"/>
      <c r="QS593" s="10"/>
      <c r="QT593" s="10"/>
      <c r="QU593" s="10"/>
      <c r="QV593" s="10"/>
      <c r="QW593" s="10"/>
      <c r="QX593" s="10"/>
      <c r="QY593" s="10"/>
      <c r="QZ593" s="10"/>
      <c r="RA593" s="10"/>
      <c r="RB593" s="10"/>
      <c r="RC593" s="10"/>
      <c r="RD593" s="10"/>
      <c r="RE593" s="10"/>
      <c r="RF593" s="10"/>
      <c r="RG593" s="10"/>
      <c r="RH593" s="10"/>
      <c r="RI593" s="10"/>
      <c r="RJ593" s="10"/>
      <c r="RK593" s="10"/>
      <c r="RL593" s="10"/>
      <c r="RM593" s="10"/>
      <c r="RN593" s="10"/>
      <c r="RO593" s="10"/>
      <c r="RP593" s="10"/>
      <c r="RQ593" s="10"/>
      <c r="RR593" s="10"/>
      <c r="RS593" s="10"/>
      <c r="RT593" s="10"/>
      <c r="RU593" s="10"/>
      <c r="RV593" s="10"/>
      <c r="RW593" s="10"/>
      <c r="RX593" s="10"/>
      <c r="RY593" s="10"/>
      <c r="RZ593" s="10"/>
      <c r="SA593" s="10"/>
      <c r="SB593" s="10"/>
      <c r="SC593" s="10"/>
      <c r="SD593" s="10"/>
      <c r="SE593" s="10"/>
      <c r="SF593" s="10"/>
      <c r="SG593" s="10"/>
      <c r="SH593" s="10"/>
      <c r="SI593" s="10"/>
      <c r="SJ593" s="10"/>
      <c r="SK593" s="10"/>
      <c r="SL593" s="10"/>
      <c r="SM593" s="10"/>
      <c r="SN593" s="10"/>
      <c r="SO593" s="10"/>
      <c r="SP593" s="10"/>
      <c r="SQ593" s="10"/>
      <c r="SR593" s="10"/>
      <c r="SS593" s="10"/>
      <c r="ST593" s="10"/>
      <c r="SU593" s="10"/>
      <c r="SV593" s="10"/>
      <c r="SW593" s="10"/>
      <c r="SX593" s="10"/>
      <c r="SY593" s="10"/>
      <c r="SZ593" s="10"/>
      <c r="TA593" s="10"/>
      <c r="TB593" s="10"/>
      <c r="TC593" s="10"/>
      <c r="TD593" s="10"/>
      <c r="TE593" s="10"/>
      <c r="TF593" s="10"/>
      <c r="TG593" s="11">
        <f t="shared" si="29"/>
        <v>0</v>
      </c>
      <c r="TH593" s="9">
        <f t="shared" si="30"/>
        <v>0</v>
      </c>
    </row>
    <row r="594" spans="1:528" ht="15.6" thickBot="1" x14ac:dyDescent="0.3">
      <c r="A594" s="18"/>
      <c r="B594" s="18" t="s">
        <v>1135</v>
      </c>
      <c r="C594" s="3">
        <f>AGOSTO!D598</f>
        <v>0</v>
      </c>
      <c r="D594" s="21">
        <f>C594+SUM(E594:TF594)</f>
        <v>0</v>
      </c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>
        <v>25</v>
      </c>
      <c r="ED594" s="10"/>
      <c r="EE594" s="10"/>
      <c r="EF594" s="10"/>
      <c r="EG594" s="10"/>
      <c r="EH594" s="10">
        <v>-25</v>
      </c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>
        <v>42</v>
      </c>
      <c r="FN594" s="10"/>
      <c r="FO594" s="10"/>
      <c r="FP594" s="10"/>
      <c r="FQ594" s="10"/>
      <c r="FR594" s="10"/>
      <c r="FS594" s="10"/>
      <c r="FT594" s="10">
        <v>-42</v>
      </c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1">
        <f t="shared" si="29"/>
        <v>0</v>
      </c>
      <c r="TH594" s="9">
        <f t="shared" si="30"/>
        <v>0</v>
      </c>
    </row>
    <row r="595" spans="1:528" ht="16.2" thickBot="1" x14ac:dyDescent="0.35">
      <c r="A595" s="18"/>
      <c r="B595" s="23" t="s">
        <v>1133</v>
      </c>
      <c r="C595" s="3"/>
      <c r="D595" s="21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10"/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10"/>
      <c r="KO595" s="10"/>
      <c r="KP595" s="10"/>
      <c r="KQ595" s="10"/>
      <c r="KR595" s="10"/>
      <c r="KS595" s="10"/>
      <c r="KT595" s="10"/>
      <c r="KU595" s="10"/>
      <c r="KV595" s="10"/>
      <c r="KW595" s="10"/>
      <c r="KX595" s="10"/>
      <c r="KY595" s="10"/>
      <c r="KZ595" s="10"/>
      <c r="LA595" s="10"/>
      <c r="LB595" s="10"/>
      <c r="LC595" s="10"/>
      <c r="LD595" s="10"/>
      <c r="LE595" s="10"/>
      <c r="LF595" s="10"/>
      <c r="LG595" s="10"/>
      <c r="LH595" s="10"/>
      <c r="LI595" s="10"/>
      <c r="LJ595" s="10"/>
      <c r="LK595" s="10"/>
      <c r="LL595" s="10"/>
      <c r="LM595" s="10"/>
      <c r="LN595" s="10"/>
      <c r="LO595" s="10"/>
      <c r="LP595" s="10"/>
      <c r="LQ595" s="10"/>
      <c r="LR595" s="10"/>
      <c r="LS595" s="10"/>
      <c r="LT595" s="10"/>
      <c r="LU595" s="10"/>
      <c r="LV595" s="10"/>
      <c r="LW595" s="10"/>
      <c r="LX595" s="10"/>
      <c r="LY595" s="10"/>
      <c r="LZ595" s="10"/>
      <c r="MA595" s="10"/>
      <c r="MB595" s="10"/>
      <c r="MC595" s="10"/>
      <c r="MD595" s="10"/>
      <c r="ME595" s="10"/>
      <c r="MF595" s="10"/>
      <c r="MG595" s="10"/>
      <c r="MH595" s="10"/>
      <c r="MI595" s="10"/>
      <c r="MJ595" s="10"/>
      <c r="MK595" s="10"/>
      <c r="ML595" s="10"/>
      <c r="MM595" s="10"/>
      <c r="MN595" s="10"/>
      <c r="MO595" s="10"/>
      <c r="MP595" s="10"/>
      <c r="MQ595" s="10"/>
      <c r="MR595" s="10"/>
      <c r="MS595" s="10"/>
      <c r="MT595" s="10"/>
      <c r="MU595" s="10"/>
      <c r="MV595" s="10"/>
      <c r="MW595" s="10"/>
      <c r="MX595" s="10"/>
      <c r="MY595" s="10"/>
      <c r="MZ595" s="10"/>
      <c r="NA595" s="10"/>
      <c r="NB595" s="10"/>
      <c r="NC595" s="10"/>
      <c r="ND595" s="10"/>
      <c r="NE595" s="10"/>
      <c r="NF595" s="10"/>
      <c r="NG595" s="10"/>
      <c r="NH595" s="10"/>
      <c r="NI595" s="10"/>
      <c r="NJ595" s="10"/>
      <c r="NK595" s="10"/>
      <c r="NL595" s="10"/>
      <c r="NM595" s="10"/>
      <c r="NN595" s="10"/>
      <c r="NO595" s="10"/>
      <c r="NP595" s="10"/>
      <c r="NQ595" s="10"/>
      <c r="NR595" s="10"/>
      <c r="NS595" s="10"/>
      <c r="NT595" s="10"/>
      <c r="NU595" s="10"/>
      <c r="NV595" s="10"/>
      <c r="NW595" s="10"/>
      <c r="NX595" s="10"/>
      <c r="NY595" s="10"/>
      <c r="NZ595" s="10"/>
      <c r="OA595" s="10"/>
      <c r="OB595" s="10"/>
      <c r="OC595" s="10"/>
      <c r="OD595" s="10"/>
      <c r="OE595" s="10"/>
      <c r="OF595" s="10"/>
      <c r="OG595" s="10"/>
      <c r="OH595" s="10"/>
      <c r="OI595" s="10"/>
      <c r="OJ595" s="10"/>
      <c r="OK595" s="10"/>
      <c r="OL595" s="10"/>
      <c r="OM595" s="10"/>
      <c r="ON595" s="10"/>
      <c r="OO595" s="10"/>
      <c r="OP595" s="10"/>
      <c r="OQ595" s="10"/>
      <c r="OR595" s="10"/>
      <c r="OS595" s="10"/>
      <c r="OT595" s="10"/>
      <c r="OU595" s="10"/>
      <c r="OV595" s="10"/>
      <c r="OW595" s="10"/>
      <c r="OX595" s="10"/>
      <c r="OY595" s="10"/>
      <c r="OZ595" s="10"/>
      <c r="PA595" s="10"/>
      <c r="PB595" s="10"/>
      <c r="PC595" s="10"/>
      <c r="PD595" s="10"/>
      <c r="PE595" s="10"/>
      <c r="PF595" s="10"/>
      <c r="PG595" s="10"/>
      <c r="PH595" s="10"/>
      <c r="PI595" s="10"/>
      <c r="PJ595" s="10"/>
      <c r="PK595" s="10"/>
      <c r="PL595" s="10"/>
      <c r="PM595" s="10"/>
      <c r="PN595" s="10"/>
      <c r="PO595" s="10"/>
      <c r="PP595" s="10"/>
      <c r="PQ595" s="10"/>
      <c r="PR595" s="10"/>
      <c r="PS595" s="10"/>
      <c r="PT595" s="10"/>
      <c r="PU595" s="10"/>
      <c r="PV595" s="10"/>
      <c r="PW595" s="10"/>
      <c r="PX595" s="10"/>
      <c r="PY595" s="10"/>
      <c r="PZ595" s="10"/>
      <c r="QA595" s="10"/>
      <c r="QB595" s="10"/>
      <c r="QC595" s="10"/>
      <c r="QD595" s="10"/>
      <c r="QE595" s="10"/>
      <c r="QF595" s="10"/>
      <c r="QG595" s="10"/>
      <c r="QH595" s="10"/>
      <c r="QI595" s="10"/>
      <c r="QJ595" s="10"/>
      <c r="QK595" s="10"/>
      <c r="QL595" s="10"/>
      <c r="QM595" s="10"/>
      <c r="QN595" s="10"/>
      <c r="QO595" s="10"/>
      <c r="QP595" s="10"/>
      <c r="QQ595" s="10"/>
      <c r="QR595" s="10"/>
      <c r="QS595" s="10"/>
      <c r="QT595" s="10"/>
      <c r="QU595" s="10"/>
      <c r="QV595" s="10"/>
      <c r="QW595" s="10"/>
      <c r="QX595" s="10"/>
      <c r="QY595" s="10"/>
      <c r="QZ595" s="10"/>
      <c r="RA595" s="10"/>
      <c r="RB595" s="10"/>
      <c r="RC595" s="10"/>
      <c r="RD595" s="10"/>
      <c r="RE595" s="10"/>
      <c r="RF595" s="10"/>
      <c r="RG595" s="10"/>
      <c r="RH595" s="10"/>
      <c r="RI595" s="10"/>
      <c r="RJ595" s="10"/>
      <c r="RK595" s="10"/>
      <c r="RL595" s="10"/>
      <c r="RM595" s="10"/>
      <c r="RN595" s="10"/>
      <c r="RO595" s="10"/>
      <c r="RP595" s="10"/>
      <c r="RQ595" s="10"/>
      <c r="RR595" s="10"/>
      <c r="RS595" s="10"/>
      <c r="RT595" s="10"/>
      <c r="RU595" s="10"/>
      <c r="RV595" s="10"/>
      <c r="RW595" s="10"/>
      <c r="RX595" s="10"/>
      <c r="RY595" s="10"/>
      <c r="RZ595" s="10"/>
      <c r="SA595" s="10"/>
      <c r="SB595" s="10"/>
      <c r="SC595" s="10"/>
      <c r="SD595" s="10"/>
      <c r="SE595" s="10"/>
      <c r="SF595" s="10"/>
      <c r="SG595" s="10"/>
      <c r="SH595" s="10"/>
      <c r="SI595" s="10"/>
      <c r="SJ595" s="10"/>
      <c r="SK595" s="10"/>
      <c r="SL595" s="10"/>
      <c r="SM595" s="10"/>
      <c r="SN595" s="10"/>
      <c r="SO595" s="10"/>
      <c r="SP595" s="10"/>
      <c r="SQ595" s="10"/>
      <c r="SR595" s="10"/>
      <c r="SS595" s="10"/>
      <c r="ST595" s="10"/>
      <c r="SU595" s="10"/>
      <c r="SV595" s="10"/>
      <c r="SW595" s="10"/>
      <c r="SX595" s="10"/>
      <c r="SY595" s="10"/>
      <c r="SZ595" s="10"/>
      <c r="TA595" s="10"/>
      <c r="TB595" s="10"/>
      <c r="TC595" s="10"/>
      <c r="TD595" s="10"/>
      <c r="TE595" s="10"/>
      <c r="TF595" s="10"/>
      <c r="TG595" s="42">
        <f t="shared" si="29"/>
        <v>0</v>
      </c>
      <c r="TH595" s="43">
        <f t="shared" si="30"/>
        <v>0</v>
      </c>
    </row>
    <row r="596" spans="1:528" ht="15.6" thickBot="1" x14ac:dyDescent="0.3">
      <c r="A596" s="18"/>
      <c r="B596" s="18" t="s">
        <v>1134</v>
      </c>
      <c r="C596" s="3">
        <f>AGOSTO!D600</f>
        <v>0</v>
      </c>
      <c r="D596" s="21">
        <f>C596+SUM(E596:TF596)</f>
        <v>0</v>
      </c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>
        <f>105*2</f>
        <v>210</v>
      </c>
      <c r="DV596" s="10"/>
      <c r="DW596" s="10">
        <v>90</v>
      </c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>
        <v>-300</v>
      </c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>
        <v>86</v>
      </c>
      <c r="FP596" s="10"/>
      <c r="FQ596" s="10"/>
      <c r="FR596" s="10"/>
      <c r="FS596" s="10"/>
      <c r="FT596" s="10">
        <v>-86</v>
      </c>
      <c r="FU596" s="10"/>
      <c r="FV596" s="10"/>
      <c r="FW596" s="10"/>
      <c r="FX596" s="10"/>
      <c r="FY596" s="10"/>
      <c r="FZ596" s="10"/>
      <c r="GA596" s="10"/>
      <c r="GB596" s="10"/>
      <c r="GC596" s="10">
        <v>33</v>
      </c>
      <c r="GD596" s="10"/>
      <c r="GE596" s="10"/>
      <c r="GF596" s="10"/>
      <c r="GG596" s="10"/>
      <c r="GH596" s="10">
        <v>-33</v>
      </c>
      <c r="GI596" s="10">
        <v>35</v>
      </c>
      <c r="GJ596" s="10"/>
      <c r="GK596" s="10"/>
      <c r="GL596" s="10">
        <v>-35</v>
      </c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1">
        <f t="shared" si="29"/>
        <v>0</v>
      </c>
      <c r="TH596" s="9">
        <f t="shared" si="30"/>
        <v>0</v>
      </c>
    </row>
    <row r="597" spans="1:528" ht="15.6" thickBot="1" x14ac:dyDescent="0.3">
      <c r="A597" s="18"/>
      <c r="B597" s="18" t="s">
        <v>1135</v>
      </c>
      <c r="C597" s="3">
        <f>AGOSTO!D601</f>
        <v>0</v>
      </c>
      <c r="D597" s="21">
        <f>C597+SUM(E597:TF597)</f>
        <v>0</v>
      </c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>
        <f>105+105</f>
        <v>210</v>
      </c>
      <c r="DV597" s="10"/>
      <c r="DW597" s="10"/>
      <c r="DX597" s="10"/>
      <c r="DY597" s="10"/>
      <c r="DZ597" s="10"/>
      <c r="EA597" s="10"/>
      <c r="EB597" s="10"/>
      <c r="EC597" s="10">
        <f>105+85</f>
        <v>190</v>
      </c>
      <c r="ED597" s="10"/>
      <c r="EE597" s="10"/>
      <c r="EF597" s="10"/>
      <c r="EG597" s="10"/>
      <c r="EH597" s="10">
        <v>-400</v>
      </c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>
        <v>114</v>
      </c>
      <c r="FN597" s="10"/>
      <c r="FO597" s="10"/>
      <c r="FP597" s="10"/>
      <c r="FQ597" s="10"/>
      <c r="FR597" s="10"/>
      <c r="FS597" s="10"/>
      <c r="FT597" s="10">
        <v>-114</v>
      </c>
      <c r="FU597" s="10"/>
      <c r="FV597" s="10"/>
      <c r="FW597" s="10"/>
      <c r="FX597" s="10"/>
      <c r="FY597" s="10"/>
      <c r="FZ597" s="10"/>
      <c r="GA597" s="10"/>
      <c r="GB597" s="10"/>
      <c r="GC597" s="10">
        <v>55</v>
      </c>
      <c r="GD597" s="10"/>
      <c r="GE597" s="10"/>
      <c r="GF597" s="10"/>
      <c r="GG597" s="10"/>
      <c r="GH597" s="10">
        <v>-55</v>
      </c>
      <c r="GI597" s="10">
        <v>55</v>
      </c>
      <c r="GJ597" s="10"/>
      <c r="GK597" s="10"/>
      <c r="GL597" s="10">
        <v>-55</v>
      </c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10"/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10"/>
      <c r="KO597" s="10"/>
      <c r="KP597" s="10"/>
      <c r="KQ597" s="10"/>
      <c r="KR597" s="10"/>
      <c r="KS597" s="10"/>
      <c r="KT597" s="10"/>
      <c r="KU597" s="10"/>
      <c r="KV597" s="10"/>
      <c r="KW597" s="10"/>
      <c r="KX597" s="10"/>
      <c r="KY597" s="10"/>
      <c r="KZ597" s="10"/>
      <c r="LA597" s="10"/>
      <c r="LB597" s="10"/>
      <c r="LC597" s="10"/>
      <c r="LD597" s="10"/>
      <c r="LE597" s="10"/>
      <c r="LF597" s="10"/>
      <c r="LG597" s="10"/>
      <c r="LH597" s="10"/>
      <c r="LI597" s="10"/>
      <c r="LJ597" s="10"/>
      <c r="LK597" s="10"/>
      <c r="LL597" s="10"/>
      <c r="LM597" s="10"/>
      <c r="LN597" s="10"/>
      <c r="LO597" s="10"/>
      <c r="LP597" s="10"/>
      <c r="LQ597" s="10"/>
      <c r="LR597" s="10"/>
      <c r="LS597" s="10"/>
      <c r="LT597" s="10"/>
      <c r="LU597" s="10"/>
      <c r="LV597" s="10"/>
      <c r="LW597" s="10"/>
      <c r="LX597" s="10"/>
      <c r="LY597" s="10"/>
      <c r="LZ597" s="10"/>
      <c r="MA597" s="10"/>
      <c r="MB597" s="10"/>
      <c r="MC597" s="10"/>
      <c r="MD597" s="10"/>
      <c r="ME597" s="10"/>
      <c r="MF597" s="10"/>
      <c r="MG597" s="10"/>
      <c r="MH597" s="10"/>
      <c r="MI597" s="10"/>
      <c r="MJ597" s="10"/>
      <c r="MK597" s="10"/>
      <c r="ML597" s="10"/>
      <c r="MM597" s="10"/>
      <c r="MN597" s="10"/>
      <c r="MO597" s="10"/>
      <c r="MP597" s="10"/>
      <c r="MQ597" s="10"/>
      <c r="MR597" s="10"/>
      <c r="MS597" s="10"/>
      <c r="MT597" s="10"/>
      <c r="MU597" s="10"/>
      <c r="MV597" s="10"/>
      <c r="MW597" s="10"/>
      <c r="MX597" s="10"/>
      <c r="MY597" s="10"/>
      <c r="MZ597" s="10"/>
      <c r="NA597" s="10"/>
      <c r="NB597" s="10"/>
      <c r="NC597" s="10"/>
      <c r="ND597" s="10"/>
      <c r="NE597" s="10"/>
      <c r="NF597" s="10"/>
      <c r="NG597" s="10"/>
      <c r="NH597" s="10"/>
      <c r="NI597" s="10"/>
      <c r="NJ597" s="10"/>
      <c r="NK597" s="10"/>
      <c r="NL597" s="10"/>
      <c r="NM597" s="10"/>
      <c r="NN597" s="10"/>
      <c r="NO597" s="10"/>
      <c r="NP597" s="10"/>
      <c r="NQ597" s="10"/>
      <c r="NR597" s="10"/>
      <c r="NS597" s="10"/>
      <c r="NT597" s="10"/>
      <c r="NU597" s="10"/>
      <c r="NV597" s="10"/>
      <c r="NW597" s="10"/>
      <c r="NX597" s="10"/>
      <c r="NY597" s="10"/>
      <c r="NZ597" s="10"/>
      <c r="OA597" s="10"/>
      <c r="OB597" s="10"/>
      <c r="OC597" s="10"/>
      <c r="OD597" s="10"/>
      <c r="OE597" s="10"/>
      <c r="OF597" s="10"/>
      <c r="OG597" s="10"/>
      <c r="OH597" s="10"/>
      <c r="OI597" s="10"/>
      <c r="OJ597" s="10"/>
      <c r="OK597" s="10"/>
      <c r="OL597" s="10"/>
      <c r="OM597" s="10"/>
      <c r="ON597" s="10"/>
      <c r="OO597" s="10"/>
      <c r="OP597" s="10"/>
      <c r="OQ597" s="10"/>
      <c r="OR597" s="10"/>
      <c r="OS597" s="10"/>
      <c r="OT597" s="10"/>
      <c r="OU597" s="10"/>
      <c r="OV597" s="10"/>
      <c r="OW597" s="10"/>
      <c r="OX597" s="10"/>
      <c r="OY597" s="10"/>
      <c r="OZ597" s="10"/>
      <c r="PA597" s="10"/>
      <c r="PB597" s="10"/>
      <c r="PC597" s="10"/>
      <c r="PD597" s="10"/>
      <c r="PE597" s="10"/>
      <c r="PF597" s="10"/>
      <c r="PG597" s="10"/>
      <c r="PH597" s="10"/>
      <c r="PI597" s="10"/>
      <c r="PJ597" s="10"/>
      <c r="PK597" s="10"/>
      <c r="PL597" s="10"/>
      <c r="PM597" s="10"/>
      <c r="PN597" s="10"/>
      <c r="PO597" s="10"/>
      <c r="PP597" s="10"/>
      <c r="PQ597" s="10"/>
      <c r="PR597" s="10"/>
      <c r="PS597" s="10"/>
      <c r="PT597" s="10"/>
      <c r="PU597" s="10"/>
      <c r="PV597" s="10"/>
      <c r="PW597" s="10"/>
      <c r="PX597" s="10"/>
      <c r="PY597" s="10"/>
      <c r="PZ597" s="10"/>
      <c r="QA597" s="10"/>
      <c r="QB597" s="10"/>
      <c r="QC597" s="10"/>
      <c r="QD597" s="10"/>
      <c r="QE597" s="10"/>
      <c r="QF597" s="10"/>
      <c r="QG597" s="10"/>
      <c r="QH597" s="10"/>
      <c r="QI597" s="10"/>
      <c r="QJ597" s="10"/>
      <c r="QK597" s="10"/>
      <c r="QL597" s="10"/>
      <c r="QM597" s="10"/>
      <c r="QN597" s="10"/>
      <c r="QO597" s="10"/>
      <c r="QP597" s="10"/>
      <c r="QQ597" s="10"/>
      <c r="QR597" s="10"/>
      <c r="QS597" s="10"/>
      <c r="QT597" s="10"/>
      <c r="QU597" s="10"/>
      <c r="QV597" s="10"/>
      <c r="QW597" s="10"/>
      <c r="QX597" s="10"/>
      <c r="QY597" s="10"/>
      <c r="QZ597" s="10"/>
      <c r="RA597" s="10"/>
      <c r="RB597" s="10"/>
      <c r="RC597" s="10"/>
      <c r="RD597" s="10"/>
      <c r="RE597" s="10"/>
      <c r="RF597" s="10"/>
      <c r="RG597" s="10"/>
      <c r="RH597" s="10"/>
      <c r="RI597" s="10"/>
      <c r="RJ597" s="10"/>
      <c r="RK597" s="10"/>
      <c r="RL597" s="10"/>
      <c r="RM597" s="10"/>
      <c r="RN597" s="10"/>
      <c r="RO597" s="10"/>
      <c r="RP597" s="10"/>
      <c r="RQ597" s="10"/>
      <c r="RR597" s="10"/>
      <c r="RS597" s="10"/>
      <c r="RT597" s="10"/>
      <c r="RU597" s="10"/>
      <c r="RV597" s="10"/>
      <c r="RW597" s="10"/>
      <c r="RX597" s="10"/>
      <c r="RY597" s="10"/>
      <c r="RZ597" s="10"/>
      <c r="SA597" s="10"/>
      <c r="SB597" s="10"/>
      <c r="SC597" s="10"/>
      <c r="SD597" s="10"/>
      <c r="SE597" s="10"/>
      <c r="SF597" s="10"/>
      <c r="SG597" s="10"/>
      <c r="SH597" s="10"/>
      <c r="SI597" s="10"/>
      <c r="SJ597" s="10"/>
      <c r="SK597" s="10"/>
      <c r="SL597" s="10"/>
      <c r="SM597" s="10"/>
      <c r="SN597" s="10"/>
      <c r="SO597" s="10"/>
      <c r="SP597" s="10"/>
      <c r="SQ597" s="10"/>
      <c r="SR597" s="10"/>
      <c r="SS597" s="10"/>
      <c r="ST597" s="10"/>
      <c r="SU597" s="10"/>
      <c r="SV597" s="10"/>
      <c r="SW597" s="10"/>
      <c r="SX597" s="10"/>
      <c r="SY597" s="10"/>
      <c r="SZ597" s="10"/>
      <c r="TA597" s="10"/>
      <c r="TB597" s="10"/>
      <c r="TC597" s="10"/>
      <c r="TD597" s="10"/>
      <c r="TE597" s="10"/>
      <c r="TF597" s="10"/>
      <c r="TG597" s="11">
        <f t="shared" si="29"/>
        <v>0</v>
      </c>
      <c r="TH597" s="9">
        <f t="shared" si="30"/>
        <v>0</v>
      </c>
    </row>
    <row r="598" spans="1:528" ht="16.2" thickBot="1" x14ac:dyDescent="0.35">
      <c r="A598" s="18"/>
      <c r="B598" s="23" t="s">
        <v>1137</v>
      </c>
      <c r="C598" s="3"/>
      <c r="D598" s="21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42">
        <f t="shared" si="29"/>
        <v>0</v>
      </c>
      <c r="TH598" s="43">
        <f t="shared" si="30"/>
        <v>0</v>
      </c>
    </row>
    <row r="599" spans="1:528" ht="15.6" thickBot="1" x14ac:dyDescent="0.3">
      <c r="A599" s="18"/>
      <c r="B599" s="18" t="s">
        <v>1134</v>
      </c>
      <c r="C599" s="3">
        <f>AGOSTO!D603</f>
        <v>0</v>
      </c>
      <c r="D599" s="21">
        <f>C599+SUM(E599:TF599)</f>
        <v>0</v>
      </c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>
        <v>210</v>
      </c>
      <c r="DX599" s="10"/>
      <c r="DY599" s="10"/>
      <c r="DZ599" s="10"/>
      <c r="EA599" s="10"/>
      <c r="EB599" s="10"/>
      <c r="EC599" s="10"/>
      <c r="ED599" s="10"/>
      <c r="EE599" s="10">
        <f>105+35</f>
        <v>140</v>
      </c>
      <c r="EF599" s="10"/>
      <c r="EG599" s="10"/>
      <c r="EH599" s="10">
        <v>-350</v>
      </c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10"/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10"/>
      <c r="KO599" s="10"/>
      <c r="KP599" s="10"/>
      <c r="KQ599" s="10"/>
      <c r="KR599" s="10"/>
      <c r="KS599" s="10"/>
      <c r="KT599" s="10"/>
      <c r="KU599" s="10"/>
      <c r="KV599" s="10"/>
      <c r="KW599" s="10"/>
      <c r="KX599" s="10"/>
      <c r="KY599" s="10"/>
      <c r="KZ599" s="10"/>
      <c r="LA599" s="10"/>
      <c r="LB599" s="10"/>
      <c r="LC599" s="10"/>
      <c r="LD599" s="10"/>
      <c r="LE599" s="10"/>
      <c r="LF599" s="10"/>
      <c r="LG599" s="10"/>
      <c r="LH599" s="10"/>
      <c r="LI599" s="10"/>
      <c r="LJ599" s="10"/>
      <c r="LK599" s="10"/>
      <c r="LL599" s="10"/>
      <c r="LM599" s="10"/>
      <c r="LN599" s="10"/>
      <c r="LO599" s="10"/>
      <c r="LP599" s="10"/>
      <c r="LQ599" s="10"/>
      <c r="LR599" s="10"/>
      <c r="LS599" s="10"/>
      <c r="LT599" s="10"/>
      <c r="LU599" s="10"/>
      <c r="LV599" s="10"/>
      <c r="LW599" s="10"/>
      <c r="LX599" s="10"/>
      <c r="LY599" s="10"/>
      <c r="LZ599" s="10"/>
      <c r="MA599" s="10"/>
      <c r="MB599" s="10"/>
      <c r="MC599" s="10"/>
      <c r="MD599" s="10"/>
      <c r="ME599" s="10"/>
      <c r="MF599" s="10"/>
      <c r="MG599" s="10"/>
      <c r="MH599" s="10"/>
      <c r="MI599" s="10"/>
      <c r="MJ599" s="10"/>
      <c r="MK599" s="10"/>
      <c r="ML599" s="10"/>
      <c r="MM599" s="10"/>
      <c r="MN599" s="10"/>
      <c r="MO599" s="10"/>
      <c r="MP599" s="10"/>
      <c r="MQ599" s="10"/>
      <c r="MR599" s="10"/>
      <c r="MS599" s="10"/>
      <c r="MT599" s="10"/>
      <c r="MU599" s="10"/>
      <c r="MV599" s="10"/>
      <c r="MW599" s="10"/>
      <c r="MX599" s="10"/>
      <c r="MY599" s="10"/>
      <c r="MZ599" s="10"/>
      <c r="NA599" s="10"/>
      <c r="NB599" s="10"/>
      <c r="NC599" s="10"/>
      <c r="ND599" s="10"/>
      <c r="NE599" s="10"/>
      <c r="NF599" s="10"/>
      <c r="NG599" s="10"/>
      <c r="NH599" s="10"/>
      <c r="NI599" s="10"/>
      <c r="NJ599" s="10"/>
      <c r="NK599" s="10"/>
      <c r="NL599" s="10"/>
      <c r="NM599" s="10"/>
      <c r="NN599" s="10"/>
      <c r="NO599" s="10"/>
      <c r="NP599" s="10"/>
      <c r="NQ599" s="10"/>
      <c r="NR599" s="10"/>
      <c r="NS599" s="10"/>
      <c r="NT599" s="10"/>
      <c r="NU599" s="10"/>
      <c r="NV599" s="10"/>
      <c r="NW599" s="10"/>
      <c r="NX599" s="10"/>
      <c r="NY599" s="10"/>
      <c r="NZ599" s="10"/>
      <c r="OA599" s="10"/>
      <c r="OB599" s="10"/>
      <c r="OC599" s="10"/>
      <c r="OD599" s="10"/>
      <c r="OE599" s="10"/>
      <c r="OF599" s="10"/>
      <c r="OG599" s="10"/>
      <c r="OH599" s="10"/>
      <c r="OI599" s="10"/>
      <c r="OJ599" s="10"/>
      <c r="OK599" s="10"/>
      <c r="OL599" s="10"/>
      <c r="OM599" s="10"/>
      <c r="ON599" s="10"/>
      <c r="OO599" s="10"/>
      <c r="OP599" s="10"/>
      <c r="OQ599" s="10"/>
      <c r="OR599" s="10"/>
      <c r="OS599" s="10"/>
      <c r="OT599" s="10"/>
      <c r="OU599" s="10"/>
      <c r="OV599" s="10"/>
      <c r="OW599" s="10"/>
      <c r="OX599" s="10"/>
      <c r="OY599" s="10"/>
      <c r="OZ599" s="10"/>
      <c r="PA599" s="10"/>
      <c r="PB599" s="10"/>
      <c r="PC599" s="10"/>
      <c r="PD599" s="10"/>
      <c r="PE599" s="10"/>
      <c r="PF599" s="10"/>
      <c r="PG599" s="10"/>
      <c r="PH599" s="10"/>
      <c r="PI599" s="10"/>
      <c r="PJ599" s="10"/>
      <c r="PK599" s="10"/>
      <c r="PL599" s="10"/>
      <c r="PM599" s="10"/>
      <c r="PN599" s="10"/>
      <c r="PO599" s="10"/>
      <c r="PP599" s="10"/>
      <c r="PQ599" s="10"/>
      <c r="PR599" s="10"/>
      <c r="PS599" s="10"/>
      <c r="PT599" s="10"/>
      <c r="PU599" s="10"/>
      <c r="PV599" s="10"/>
      <c r="PW599" s="10"/>
      <c r="PX599" s="10"/>
      <c r="PY599" s="10"/>
      <c r="PZ599" s="10"/>
      <c r="QA599" s="10"/>
      <c r="QB599" s="10"/>
      <c r="QC599" s="10"/>
      <c r="QD599" s="10"/>
      <c r="QE599" s="10"/>
      <c r="QF599" s="10"/>
      <c r="QG599" s="10"/>
      <c r="QH599" s="10"/>
      <c r="QI599" s="10"/>
      <c r="QJ599" s="10"/>
      <c r="QK599" s="10"/>
      <c r="QL599" s="10"/>
      <c r="QM599" s="10"/>
      <c r="QN599" s="10"/>
      <c r="QO599" s="10"/>
      <c r="QP599" s="10"/>
      <c r="QQ599" s="10"/>
      <c r="QR599" s="10"/>
      <c r="QS599" s="10"/>
      <c r="QT599" s="10"/>
      <c r="QU599" s="10"/>
      <c r="QV599" s="10"/>
      <c r="QW599" s="10"/>
      <c r="QX599" s="10"/>
      <c r="QY599" s="10"/>
      <c r="QZ599" s="10"/>
      <c r="RA599" s="10"/>
      <c r="RB599" s="10"/>
      <c r="RC599" s="10"/>
      <c r="RD599" s="10"/>
      <c r="RE599" s="10"/>
      <c r="RF599" s="10"/>
      <c r="RG599" s="10"/>
      <c r="RH599" s="10"/>
      <c r="RI599" s="10"/>
      <c r="RJ599" s="10"/>
      <c r="RK599" s="10"/>
      <c r="RL599" s="10"/>
      <c r="RM599" s="10"/>
      <c r="RN599" s="10"/>
      <c r="RO599" s="10"/>
      <c r="RP599" s="10"/>
      <c r="RQ599" s="10"/>
      <c r="RR599" s="10"/>
      <c r="RS599" s="10"/>
      <c r="RT599" s="10"/>
      <c r="RU599" s="10"/>
      <c r="RV599" s="10"/>
      <c r="RW599" s="10"/>
      <c r="RX599" s="10"/>
      <c r="RY599" s="10"/>
      <c r="RZ599" s="10"/>
      <c r="SA599" s="10"/>
      <c r="SB599" s="10"/>
      <c r="SC599" s="10"/>
      <c r="SD599" s="10"/>
      <c r="SE599" s="10"/>
      <c r="SF599" s="10"/>
      <c r="SG599" s="10"/>
      <c r="SH599" s="10"/>
      <c r="SI599" s="10"/>
      <c r="SJ599" s="10"/>
      <c r="SK599" s="10"/>
      <c r="SL599" s="10"/>
      <c r="SM599" s="10"/>
      <c r="SN599" s="10"/>
      <c r="SO599" s="10"/>
      <c r="SP599" s="10"/>
      <c r="SQ599" s="10"/>
      <c r="SR599" s="10"/>
      <c r="SS599" s="10"/>
      <c r="ST599" s="10"/>
      <c r="SU599" s="10"/>
      <c r="SV599" s="10"/>
      <c r="SW599" s="10"/>
      <c r="SX599" s="10"/>
      <c r="SY599" s="10"/>
      <c r="SZ599" s="10"/>
      <c r="TA599" s="10"/>
      <c r="TB599" s="10"/>
      <c r="TC599" s="10"/>
      <c r="TD599" s="10"/>
      <c r="TE599" s="10"/>
      <c r="TF599" s="10"/>
      <c r="TG599" s="11">
        <f t="shared" si="29"/>
        <v>0</v>
      </c>
      <c r="TH599" s="9">
        <f t="shared" si="30"/>
        <v>0</v>
      </c>
    </row>
    <row r="600" spans="1:528" ht="15.6" thickBot="1" x14ac:dyDescent="0.3">
      <c r="A600" s="18"/>
      <c r="B600" s="18" t="s">
        <v>1135</v>
      </c>
      <c r="C600" s="3">
        <f>AGOSTO!D604</f>
        <v>0</v>
      </c>
      <c r="D600" s="21">
        <f>C600+SUM(E600:TF600)</f>
        <v>0</v>
      </c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>
        <f>105</f>
        <v>105</v>
      </c>
      <c r="ED600" s="10"/>
      <c r="EE600" s="10">
        <f>210+35</f>
        <v>245</v>
      </c>
      <c r="EF600" s="10"/>
      <c r="EG600" s="10"/>
      <c r="EH600" s="10">
        <v>-350</v>
      </c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1">
        <f t="shared" si="29"/>
        <v>0</v>
      </c>
      <c r="TH600" s="9">
        <f t="shared" si="30"/>
        <v>0</v>
      </c>
    </row>
    <row r="601" spans="1:528" ht="16.2" thickBot="1" x14ac:dyDescent="0.35">
      <c r="A601" s="18"/>
      <c r="B601" s="23" t="s">
        <v>1138</v>
      </c>
      <c r="C601" s="3"/>
      <c r="D601" s="21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10"/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10"/>
      <c r="KO601" s="10"/>
      <c r="KP601" s="10"/>
      <c r="KQ601" s="10"/>
      <c r="KR601" s="10"/>
      <c r="KS601" s="10"/>
      <c r="KT601" s="10"/>
      <c r="KU601" s="10"/>
      <c r="KV601" s="10"/>
      <c r="KW601" s="10"/>
      <c r="KX601" s="10"/>
      <c r="KY601" s="10"/>
      <c r="KZ601" s="10"/>
      <c r="LA601" s="10"/>
      <c r="LB601" s="10"/>
      <c r="LC601" s="10"/>
      <c r="LD601" s="10"/>
      <c r="LE601" s="10"/>
      <c r="LF601" s="10"/>
      <c r="LG601" s="10"/>
      <c r="LH601" s="10"/>
      <c r="LI601" s="10"/>
      <c r="LJ601" s="10"/>
      <c r="LK601" s="10"/>
      <c r="LL601" s="10"/>
      <c r="LM601" s="10"/>
      <c r="LN601" s="10"/>
      <c r="LO601" s="10"/>
      <c r="LP601" s="10"/>
      <c r="LQ601" s="10"/>
      <c r="LR601" s="10"/>
      <c r="LS601" s="10"/>
      <c r="LT601" s="10"/>
      <c r="LU601" s="10"/>
      <c r="LV601" s="10"/>
      <c r="LW601" s="10"/>
      <c r="LX601" s="10"/>
      <c r="LY601" s="10"/>
      <c r="LZ601" s="10"/>
      <c r="MA601" s="10"/>
      <c r="MB601" s="10"/>
      <c r="MC601" s="10"/>
      <c r="MD601" s="10"/>
      <c r="ME601" s="10"/>
      <c r="MF601" s="10"/>
      <c r="MG601" s="10"/>
      <c r="MH601" s="10"/>
      <c r="MI601" s="10"/>
      <c r="MJ601" s="10"/>
      <c r="MK601" s="10"/>
      <c r="ML601" s="10"/>
      <c r="MM601" s="10"/>
      <c r="MN601" s="10"/>
      <c r="MO601" s="10"/>
      <c r="MP601" s="10"/>
      <c r="MQ601" s="10"/>
      <c r="MR601" s="10"/>
      <c r="MS601" s="10"/>
      <c r="MT601" s="10"/>
      <c r="MU601" s="10"/>
      <c r="MV601" s="10"/>
      <c r="MW601" s="10"/>
      <c r="MX601" s="10"/>
      <c r="MY601" s="10"/>
      <c r="MZ601" s="10"/>
      <c r="NA601" s="10"/>
      <c r="NB601" s="10"/>
      <c r="NC601" s="10"/>
      <c r="ND601" s="10"/>
      <c r="NE601" s="10"/>
      <c r="NF601" s="10"/>
      <c r="NG601" s="10"/>
      <c r="NH601" s="10"/>
      <c r="NI601" s="10"/>
      <c r="NJ601" s="10"/>
      <c r="NK601" s="10"/>
      <c r="NL601" s="10"/>
      <c r="NM601" s="10"/>
      <c r="NN601" s="10"/>
      <c r="NO601" s="10"/>
      <c r="NP601" s="10"/>
      <c r="NQ601" s="10"/>
      <c r="NR601" s="10"/>
      <c r="NS601" s="10"/>
      <c r="NT601" s="10"/>
      <c r="NU601" s="10"/>
      <c r="NV601" s="10"/>
      <c r="NW601" s="10"/>
      <c r="NX601" s="10"/>
      <c r="NY601" s="10"/>
      <c r="NZ601" s="10"/>
      <c r="OA601" s="10"/>
      <c r="OB601" s="10"/>
      <c r="OC601" s="10"/>
      <c r="OD601" s="10"/>
      <c r="OE601" s="10"/>
      <c r="OF601" s="10"/>
      <c r="OG601" s="10"/>
      <c r="OH601" s="10"/>
      <c r="OI601" s="10"/>
      <c r="OJ601" s="10"/>
      <c r="OK601" s="10"/>
      <c r="OL601" s="10"/>
      <c r="OM601" s="10"/>
      <c r="ON601" s="10"/>
      <c r="OO601" s="10"/>
      <c r="OP601" s="10"/>
      <c r="OQ601" s="10"/>
      <c r="OR601" s="10"/>
      <c r="OS601" s="10"/>
      <c r="OT601" s="10"/>
      <c r="OU601" s="10"/>
      <c r="OV601" s="10"/>
      <c r="OW601" s="10"/>
      <c r="OX601" s="10"/>
      <c r="OY601" s="10"/>
      <c r="OZ601" s="10"/>
      <c r="PA601" s="10"/>
      <c r="PB601" s="10"/>
      <c r="PC601" s="10"/>
      <c r="PD601" s="10"/>
      <c r="PE601" s="10"/>
      <c r="PF601" s="10"/>
      <c r="PG601" s="10"/>
      <c r="PH601" s="10"/>
      <c r="PI601" s="10"/>
      <c r="PJ601" s="10"/>
      <c r="PK601" s="10"/>
      <c r="PL601" s="10"/>
      <c r="PM601" s="10"/>
      <c r="PN601" s="10"/>
      <c r="PO601" s="10"/>
      <c r="PP601" s="10"/>
      <c r="PQ601" s="10"/>
      <c r="PR601" s="10"/>
      <c r="PS601" s="10"/>
      <c r="PT601" s="10"/>
      <c r="PU601" s="10"/>
      <c r="PV601" s="10"/>
      <c r="PW601" s="10"/>
      <c r="PX601" s="10"/>
      <c r="PY601" s="10"/>
      <c r="PZ601" s="10"/>
      <c r="QA601" s="10"/>
      <c r="QB601" s="10"/>
      <c r="QC601" s="10"/>
      <c r="QD601" s="10"/>
      <c r="QE601" s="10"/>
      <c r="QF601" s="10"/>
      <c r="QG601" s="10"/>
      <c r="QH601" s="10"/>
      <c r="QI601" s="10"/>
      <c r="QJ601" s="10"/>
      <c r="QK601" s="10"/>
      <c r="QL601" s="10"/>
      <c r="QM601" s="10"/>
      <c r="QN601" s="10"/>
      <c r="QO601" s="10"/>
      <c r="QP601" s="10"/>
      <c r="QQ601" s="10"/>
      <c r="QR601" s="10"/>
      <c r="QS601" s="10"/>
      <c r="QT601" s="10"/>
      <c r="QU601" s="10"/>
      <c r="QV601" s="10"/>
      <c r="QW601" s="10"/>
      <c r="QX601" s="10"/>
      <c r="QY601" s="10"/>
      <c r="QZ601" s="10"/>
      <c r="RA601" s="10"/>
      <c r="RB601" s="10"/>
      <c r="RC601" s="10"/>
      <c r="RD601" s="10"/>
      <c r="RE601" s="10"/>
      <c r="RF601" s="10"/>
      <c r="RG601" s="10"/>
      <c r="RH601" s="10"/>
      <c r="RI601" s="10"/>
      <c r="RJ601" s="10"/>
      <c r="RK601" s="10"/>
      <c r="RL601" s="10"/>
      <c r="RM601" s="10"/>
      <c r="RN601" s="10"/>
      <c r="RO601" s="10"/>
      <c r="RP601" s="10"/>
      <c r="RQ601" s="10"/>
      <c r="RR601" s="10"/>
      <c r="RS601" s="10"/>
      <c r="RT601" s="10"/>
      <c r="RU601" s="10"/>
      <c r="RV601" s="10"/>
      <c r="RW601" s="10"/>
      <c r="RX601" s="10"/>
      <c r="RY601" s="10"/>
      <c r="RZ601" s="10"/>
      <c r="SA601" s="10"/>
      <c r="SB601" s="10"/>
      <c r="SC601" s="10"/>
      <c r="SD601" s="10"/>
      <c r="SE601" s="10"/>
      <c r="SF601" s="10"/>
      <c r="SG601" s="10"/>
      <c r="SH601" s="10"/>
      <c r="SI601" s="10"/>
      <c r="SJ601" s="10"/>
      <c r="SK601" s="10"/>
      <c r="SL601" s="10"/>
      <c r="SM601" s="10"/>
      <c r="SN601" s="10"/>
      <c r="SO601" s="10"/>
      <c r="SP601" s="10"/>
      <c r="SQ601" s="10"/>
      <c r="SR601" s="10"/>
      <c r="SS601" s="10"/>
      <c r="ST601" s="10"/>
      <c r="SU601" s="10"/>
      <c r="SV601" s="10"/>
      <c r="SW601" s="10"/>
      <c r="SX601" s="10"/>
      <c r="SY601" s="10"/>
      <c r="SZ601" s="10"/>
      <c r="TA601" s="10"/>
      <c r="TB601" s="10"/>
      <c r="TC601" s="10"/>
      <c r="TD601" s="10"/>
      <c r="TE601" s="10"/>
      <c r="TF601" s="10"/>
      <c r="TG601" s="42">
        <f t="shared" si="29"/>
        <v>0</v>
      </c>
      <c r="TH601" s="43">
        <f t="shared" si="30"/>
        <v>0</v>
      </c>
    </row>
    <row r="602" spans="1:528" ht="15.6" thickBot="1" x14ac:dyDescent="0.3">
      <c r="A602" s="18"/>
      <c r="B602" s="18" t="s">
        <v>1134</v>
      </c>
      <c r="C602" s="3">
        <f>AGOSTO!D606</f>
        <v>0</v>
      </c>
      <c r="D602" s="21">
        <f>C602+SUM(E602:TF602)</f>
        <v>0</v>
      </c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>
        <v>125</v>
      </c>
      <c r="EH602" s="10"/>
      <c r="EI602" s="10"/>
      <c r="EJ602" s="10">
        <v>-125</v>
      </c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1">
        <f t="shared" si="29"/>
        <v>0</v>
      </c>
      <c r="TH602" s="9">
        <f t="shared" si="30"/>
        <v>0</v>
      </c>
    </row>
    <row r="603" spans="1:528" ht="15.6" thickBot="1" x14ac:dyDescent="0.3">
      <c r="A603" s="18"/>
      <c r="B603" s="18" t="s">
        <v>1135</v>
      </c>
      <c r="C603" s="3">
        <f>AGOSTO!D607</f>
        <v>0</v>
      </c>
      <c r="D603" s="21">
        <f>C603+SUM(E603:TF603)</f>
        <v>0</v>
      </c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>
        <v>125</v>
      </c>
      <c r="EF603" s="10"/>
      <c r="EG603" s="10"/>
      <c r="EH603" s="10"/>
      <c r="EI603" s="10"/>
      <c r="EJ603" s="10">
        <v>-125</v>
      </c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10"/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10"/>
      <c r="KO603" s="10"/>
      <c r="KP603" s="10"/>
      <c r="KQ603" s="10"/>
      <c r="KR603" s="10"/>
      <c r="KS603" s="10"/>
      <c r="KT603" s="10"/>
      <c r="KU603" s="10"/>
      <c r="KV603" s="10"/>
      <c r="KW603" s="10"/>
      <c r="KX603" s="10"/>
      <c r="KY603" s="10"/>
      <c r="KZ603" s="10"/>
      <c r="LA603" s="10"/>
      <c r="LB603" s="10"/>
      <c r="LC603" s="10"/>
      <c r="LD603" s="10"/>
      <c r="LE603" s="10"/>
      <c r="LF603" s="10"/>
      <c r="LG603" s="10"/>
      <c r="LH603" s="10"/>
      <c r="LI603" s="10"/>
      <c r="LJ603" s="10"/>
      <c r="LK603" s="10"/>
      <c r="LL603" s="10"/>
      <c r="LM603" s="10"/>
      <c r="LN603" s="10"/>
      <c r="LO603" s="10"/>
      <c r="LP603" s="10"/>
      <c r="LQ603" s="10"/>
      <c r="LR603" s="10"/>
      <c r="LS603" s="10"/>
      <c r="LT603" s="10"/>
      <c r="LU603" s="10"/>
      <c r="LV603" s="10"/>
      <c r="LW603" s="10"/>
      <c r="LX603" s="10"/>
      <c r="LY603" s="10"/>
      <c r="LZ603" s="10"/>
      <c r="MA603" s="10"/>
      <c r="MB603" s="10"/>
      <c r="MC603" s="10"/>
      <c r="MD603" s="10"/>
      <c r="ME603" s="10"/>
      <c r="MF603" s="10"/>
      <c r="MG603" s="10"/>
      <c r="MH603" s="10"/>
      <c r="MI603" s="10"/>
      <c r="MJ603" s="10"/>
      <c r="MK603" s="10"/>
      <c r="ML603" s="10"/>
      <c r="MM603" s="10"/>
      <c r="MN603" s="10"/>
      <c r="MO603" s="10"/>
      <c r="MP603" s="10"/>
      <c r="MQ603" s="10"/>
      <c r="MR603" s="10"/>
      <c r="MS603" s="10"/>
      <c r="MT603" s="10"/>
      <c r="MU603" s="10"/>
      <c r="MV603" s="10"/>
      <c r="MW603" s="10"/>
      <c r="MX603" s="10"/>
      <c r="MY603" s="10"/>
      <c r="MZ603" s="10"/>
      <c r="NA603" s="10"/>
      <c r="NB603" s="10"/>
      <c r="NC603" s="10"/>
      <c r="ND603" s="10"/>
      <c r="NE603" s="10"/>
      <c r="NF603" s="10"/>
      <c r="NG603" s="10"/>
      <c r="NH603" s="10"/>
      <c r="NI603" s="10"/>
      <c r="NJ603" s="10"/>
      <c r="NK603" s="10"/>
      <c r="NL603" s="10"/>
      <c r="NM603" s="10"/>
      <c r="NN603" s="10"/>
      <c r="NO603" s="10"/>
      <c r="NP603" s="10"/>
      <c r="NQ603" s="10"/>
      <c r="NR603" s="10"/>
      <c r="NS603" s="10"/>
      <c r="NT603" s="10"/>
      <c r="NU603" s="10"/>
      <c r="NV603" s="10"/>
      <c r="NW603" s="10"/>
      <c r="NX603" s="10"/>
      <c r="NY603" s="10"/>
      <c r="NZ603" s="10"/>
      <c r="OA603" s="10"/>
      <c r="OB603" s="10"/>
      <c r="OC603" s="10"/>
      <c r="OD603" s="10"/>
      <c r="OE603" s="10"/>
      <c r="OF603" s="10"/>
      <c r="OG603" s="10"/>
      <c r="OH603" s="10"/>
      <c r="OI603" s="10"/>
      <c r="OJ603" s="10"/>
      <c r="OK603" s="10"/>
      <c r="OL603" s="10"/>
      <c r="OM603" s="10"/>
      <c r="ON603" s="10"/>
      <c r="OO603" s="10"/>
      <c r="OP603" s="10"/>
      <c r="OQ603" s="10"/>
      <c r="OR603" s="10"/>
      <c r="OS603" s="10"/>
      <c r="OT603" s="10"/>
      <c r="OU603" s="10"/>
      <c r="OV603" s="10"/>
      <c r="OW603" s="10"/>
      <c r="OX603" s="10"/>
      <c r="OY603" s="10"/>
      <c r="OZ603" s="10"/>
      <c r="PA603" s="10"/>
      <c r="PB603" s="10"/>
      <c r="PC603" s="10"/>
      <c r="PD603" s="10"/>
      <c r="PE603" s="10"/>
      <c r="PF603" s="10"/>
      <c r="PG603" s="10"/>
      <c r="PH603" s="10"/>
      <c r="PI603" s="10"/>
      <c r="PJ603" s="10"/>
      <c r="PK603" s="10"/>
      <c r="PL603" s="10"/>
      <c r="PM603" s="10"/>
      <c r="PN603" s="10"/>
      <c r="PO603" s="10"/>
      <c r="PP603" s="10"/>
      <c r="PQ603" s="10"/>
      <c r="PR603" s="10"/>
      <c r="PS603" s="10"/>
      <c r="PT603" s="10"/>
      <c r="PU603" s="10"/>
      <c r="PV603" s="10"/>
      <c r="PW603" s="10"/>
      <c r="PX603" s="10"/>
      <c r="PY603" s="10"/>
      <c r="PZ603" s="10"/>
      <c r="QA603" s="10"/>
      <c r="QB603" s="10"/>
      <c r="QC603" s="10"/>
      <c r="QD603" s="10"/>
      <c r="QE603" s="10"/>
      <c r="QF603" s="10"/>
      <c r="QG603" s="10"/>
      <c r="QH603" s="10"/>
      <c r="QI603" s="10"/>
      <c r="QJ603" s="10"/>
      <c r="QK603" s="10"/>
      <c r="QL603" s="10"/>
      <c r="QM603" s="10"/>
      <c r="QN603" s="10"/>
      <c r="QO603" s="10"/>
      <c r="QP603" s="10"/>
      <c r="QQ603" s="10"/>
      <c r="QR603" s="10"/>
      <c r="QS603" s="10"/>
      <c r="QT603" s="10"/>
      <c r="QU603" s="10"/>
      <c r="QV603" s="10"/>
      <c r="QW603" s="10"/>
      <c r="QX603" s="10"/>
      <c r="QY603" s="10"/>
      <c r="QZ603" s="10"/>
      <c r="RA603" s="10"/>
      <c r="RB603" s="10"/>
      <c r="RC603" s="10"/>
      <c r="RD603" s="10"/>
      <c r="RE603" s="10"/>
      <c r="RF603" s="10"/>
      <c r="RG603" s="10"/>
      <c r="RH603" s="10"/>
      <c r="RI603" s="10"/>
      <c r="RJ603" s="10"/>
      <c r="RK603" s="10"/>
      <c r="RL603" s="10"/>
      <c r="RM603" s="10"/>
      <c r="RN603" s="10"/>
      <c r="RO603" s="10"/>
      <c r="RP603" s="10"/>
      <c r="RQ603" s="10"/>
      <c r="RR603" s="10"/>
      <c r="RS603" s="10"/>
      <c r="RT603" s="10"/>
      <c r="RU603" s="10"/>
      <c r="RV603" s="10"/>
      <c r="RW603" s="10"/>
      <c r="RX603" s="10"/>
      <c r="RY603" s="10"/>
      <c r="RZ603" s="10"/>
      <c r="SA603" s="10"/>
      <c r="SB603" s="10"/>
      <c r="SC603" s="10"/>
      <c r="SD603" s="10"/>
      <c r="SE603" s="10"/>
      <c r="SF603" s="10"/>
      <c r="SG603" s="10"/>
      <c r="SH603" s="10"/>
      <c r="SI603" s="10"/>
      <c r="SJ603" s="10"/>
      <c r="SK603" s="10"/>
      <c r="SL603" s="10"/>
      <c r="SM603" s="10"/>
      <c r="SN603" s="10"/>
      <c r="SO603" s="10"/>
      <c r="SP603" s="10"/>
      <c r="SQ603" s="10"/>
      <c r="SR603" s="10"/>
      <c r="SS603" s="10"/>
      <c r="ST603" s="10"/>
      <c r="SU603" s="10"/>
      <c r="SV603" s="10"/>
      <c r="SW603" s="10"/>
      <c r="SX603" s="10"/>
      <c r="SY603" s="10"/>
      <c r="SZ603" s="10"/>
      <c r="TA603" s="10"/>
      <c r="TB603" s="10"/>
      <c r="TC603" s="10"/>
      <c r="TD603" s="10"/>
      <c r="TE603" s="10"/>
      <c r="TF603" s="10"/>
      <c r="TG603" s="11">
        <f t="shared" si="29"/>
        <v>0</v>
      </c>
      <c r="TH603" s="9">
        <f t="shared" si="30"/>
        <v>0</v>
      </c>
    </row>
    <row r="604" spans="1:528" ht="16.2" thickBot="1" x14ac:dyDescent="0.35">
      <c r="A604" s="18"/>
      <c r="B604" s="23" t="s">
        <v>1142</v>
      </c>
      <c r="C604" s="3"/>
      <c r="D604" s="21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1">
        <f t="shared" si="29"/>
        <v>0</v>
      </c>
      <c r="TH604" s="9">
        <f t="shared" si="30"/>
        <v>0</v>
      </c>
    </row>
    <row r="605" spans="1:528" ht="15.6" thickBot="1" x14ac:dyDescent="0.3">
      <c r="A605" s="18"/>
      <c r="B605" s="18" t="s">
        <v>1143</v>
      </c>
      <c r="C605" s="3"/>
      <c r="D605" s="21">
        <f>C605+SUM(E605:TF605)</f>
        <v>0</v>
      </c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>
        <v>121</v>
      </c>
      <c r="ET605" s="10"/>
      <c r="EU605" s="10"/>
      <c r="EV605" s="10"/>
      <c r="EW605" s="10"/>
      <c r="EX605" s="10">
        <v>-121</v>
      </c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10"/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10"/>
      <c r="KO605" s="10"/>
      <c r="KP605" s="10"/>
      <c r="KQ605" s="10"/>
      <c r="KR605" s="10"/>
      <c r="KS605" s="10"/>
      <c r="KT605" s="10"/>
      <c r="KU605" s="10"/>
      <c r="KV605" s="10"/>
      <c r="KW605" s="10"/>
      <c r="KX605" s="10"/>
      <c r="KY605" s="10"/>
      <c r="KZ605" s="10"/>
      <c r="LA605" s="10"/>
      <c r="LB605" s="10"/>
      <c r="LC605" s="10"/>
      <c r="LD605" s="10"/>
      <c r="LE605" s="10"/>
      <c r="LF605" s="10"/>
      <c r="LG605" s="10"/>
      <c r="LH605" s="10"/>
      <c r="LI605" s="10"/>
      <c r="LJ605" s="10"/>
      <c r="LK605" s="10"/>
      <c r="LL605" s="10"/>
      <c r="LM605" s="10"/>
      <c r="LN605" s="10"/>
      <c r="LO605" s="10"/>
      <c r="LP605" s="10"/>
      <c r="LQ605" s="10"/>
      <c r="LR605" s="10"/>
      <c r="LS605" s="10"/>
      <c r="LT605" s="10"/>
      <c r="LU605" s="10"/>
      <c r="LV605" s="10"/>
      <c r="LW605" s="10"/>
      <c r="LX605" s="10"/>
      <c r="LY605" s="10"/>
      <c r="LZ605" s="10"/>
      <c r="MA605" s="10"/>
      <c r="MB605" s="10"/>
      <c r="MC605" s="10"/>
      <c r="MD605" s="10"/>
      <c r="ME605" s="10"/>
      <c r="MF605" s="10"/>
      <c r="MG605" s="10"/>
      <c r="MH605" s="10"/>
      <c r="MI605" s="10"/>
      <c r="MJ605" s="10"/>
      <c r="MK605" s="10"/>
      <c r="ML605" s="10"/>
      <c r="MM605" s="10"/>
      <c r="MN605" s="10"/>
      <c r="MO605" s="10"/>
      <c r="MP605" s="10"/>
      <c r="MQ605" s="10"/>
      <c r="MR605" s="10"/>
      <c r="MS605" s="10"/>
      <c r="MT605" s="10"/>
      <c r="MU605" s="10"/>
      <c r="MV605" s="10"/>
      <c r="MW605" s="10"/>
      <c r="MX605" s="10"/>
      <c r="MY605" s="10"/>
      <c r="MZ605" s="10"/>
      <c r="NA605" s="10"/>
      <c r="NB605" s="10"/>
      <c r="NC605" s="10"/>
      <c r="ND605" s="10"/>
      <c r="NE605" s="10"/>
      <c r="NF605" s="10"/>
      <c r="NG605" s="10"/>
      <c r="NH605" s="10"/>
      <c r="NI605" s="10"/>
      <c r="NJ605" s="10"/>
      <c r="NK605" s="10"/>
      <c r="NL605" s="10"/>
      <c r="NM605" s="10"/>
      <c r="NN605" s="10"/>
      <c r="NO605" s="10"/>
      <c r="NP605" s="10"/>
      <c r="NQ605" s="10"/>
      <c r="NR605" s="10"/>
      <c r="NS605" s="10"/>
      <c r="NT605" s="10"/>
      <c r="NU605" s="10"/>
      <c r="NV605" s="10"/>
      <c r="NW605" s="10"/>
      <c r="NX605" s="10"/>
      <c r="NY605" s="10"/>
      <c r="NZ605" s="10"/>
      <c r="OA605" s="10"/>
      <c r="OB605" s="10"/>
      <c r="OC605" s="10"/>
      <c r="OD605" s="10"/>
      <c r="OE605" s="10"/>
      <c r="OF605" s="10"/>
      <c r="OG605" s="10"/>
      <c r="OH605" s="10"/>
      <c r="OI605" s="10"/>
      <c r="OJ605" s="10"/>
      <c r="OK605" s="10"/>
      <c r="OL605" s="10"/>
      <c r="OM605" s="10"/>
      <c r="ON605" s="10"/>
      <c r="OO605" s="10"/>
      <c r="OP605" s="10"/>
      <c r="OQ605" s="10"/>
      <c r="OR605" s="10"/>
      <c r="OS605" s="10"/>
      <c r="OT605" s="10"/>
      <c r="OU605" s="10"/>
      <c r="OV605" s="10"/>
      <c r="OW605" s="10"/>
      <c r="OX605" s="10"/>
      <c r="OY605" s="10"/>
      <c r="OZ605" s="10"/>
      <c r="PA605" s="10"/>
      <c r="PB605" s="10"/>
      <c r="PC605" s="10"/>
      <c r="PD605" s="10"/>
      <c r="PE605" s="10"/>
      <c r="PF605" s="10"/>
      <c r="PG605" s="10"/>
      <c r="PH605" s="10"/>
      <c r="PI605" s="10"/>
      <c r="PJ605" s="10"/>
      <c r="PK605" s="10"/>
      <c r="PL605" s="10"/>
      <c r="PM605" s="10"/>
      <c r="PN605" s="10"/>
      <c r="PO605" s="10"/>
      <c r="PP605" s="10"/>
      <c r="PQ605" s="10"/>
      <c r="PR605" s="10"/>
      <c r="PS605" s="10"/>
      <c r="PT605" s="10"/>
      <c r="PU605" s="10"/>
      <c r="PV605" s="10"/>
      <c r="PW605" s="10"/>
      <c r="PX605" s="10"/>
      <c r="PY605" s="10"/>
      <c r="PZ605" s="10"/>
      <c r="QA605" s="10"/>
      <c r="QB605" s="10"/>
      <c r="QC605" s="10"/>
      <c r="QD605" s="10"/>
      <c r="QE605" s="10"/>
      <c r="QF605" s="10"/>
      <c r="QG605" s="10"/>
      <c r="QH605" s="10"/>
      <c r="QI605" s="10"/>
      <c r="QJ605" s="10"/>
      <c r="QK605" s="10"/>
      <c r="QL605" s="10"/>
      <c r="QM605" s="10"/>
      <c r="QN605" s="10"/>
      <c r="QO605" s="10"/>
      <c r="QP605" s="10"/>
      <c r="QQ605" s="10"/>
      <c r="QR605" s="10"/>
      <c r="QS605" s="10"/>
      <c r="QT605" s="10"/>
      <c r="QU605" s="10"/>
      <c r="QV605" s="10"/>
      <c r="QW605" s="10"/>
      <c r="QX605" s="10"/>
      <c r="QY605" s="10"/>
      <c r="QZ605" s="10"/>
      <c r="RA605" s="10"/>
      <c r="RB605" s="10"/>
      <c r="RC605" s="10"/>
      <c r="RD605" s="10"/>
      <c r="RE605" s="10"/>
      <c r="RF605" s="10"/>
      <c r="RG605" s="10"/>
      <c r="RH605" s="10"/>
      <c r="RI605" s="10"/>
      <c r="RJ605" s="10"/>
      <c r="RK605" s="10"/>
      <c r="RL605" s="10"/>
      <c r="RM605" s="10"/>
      <c r="RN605" s="10"/>
      <c r="RO605" s="10"/>
      <c r="RP605" s="10"/>
      <c r="RQ605" s="10"/>
      <c r="RR605" s="10"/>
      <c r="RS605" s="10"/>
      <c r="RT605" s="10"/>
      <c r="RU605" s="10"/>
      <c r="RV605" s="10"/>
      <c r="RW605" s="10"/>
      <c r="RX605" s="10"/>
      <c r="RY605" s="10"/>
      <c r="RZ605" s="10"/>
      <c r="SA605" s="10"/>
      <c r="SB605" s="10"/>
      <c r="SC605" s="10"/>
      <c r="SD605" s="10"/>
      <c r="SE605" s="10"/>
      <c r="SF605" s="10"/>
      <c r="SG605" s="10"/>
      <c r="SH605" s="10"/>
      <c r="SI605" s="10"/>
      <c r="SJ605" s="10"/>
      <c r="SK605" s="10"/>
      <c r="SL605" s="10"/>
      <c r="SM605" s="10"/>
      <c r="SN605" s="10"/>
      <c r="SO605" s="10"/>
      <c r="SP605" s="10"/>
      <c r="SQ605" s="10"/>
      <c r="SR605" s="10"/>
      <c r="SS605" s="10"/>
      <c r="ST605" s="10"/>
      <c r="SU605" s="10"/>
      <c r="SV605" s="10"/>
      <c r="SW605" s="10"/>
      <c r="SX605" s="10"/>
      <c r="SY605" s="10"/>
      <c r="SZ605" s="10"/>
      <c r="TA605" s="10"/>
      <c r="TB605" s="10"/>
      <c r="TC605" s="10"/>
      <c r="TD605" s="10"/>
      <c r="TE605" s="10"/>
      <c r="TF605" s="10"/>
      <c r="TG605" s="11">
        <f t="shared" si="29"/>
        <v>0</v>
      </c>
      <c r="TH605" s="9">
        <f t="shared" si="30"/>
        <v>0</v>
      </c>
    </row>
    <row r="606" spans="1:528" ht="15.6" thickBot="1" x14ac:dyDescent="0.3">
      <c r="A606" s="18"/>
      <c r="B606" s="18" t="s">
        <v>1141</v>
      </c>
      <c r="C606" s="3"/>
      <c r="D606" s="21">
        <f>C606+SUM(E606:TF606)</f>
        <v>0</v>
      </c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>
        <f>110+34</f>
        <v>144</v>
      </c>
      <c r="EV606" s="10"/>
      <c r="EW606" s="10"/>
      <c r="EX606" s="10">
        <v>-202</v>
      </c>
      <c r="EY606" s="14">
        <v>58</v>
      </c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1">
        <f t="shared" si="29"/>
        <v>0</v>
      </c>
      <c r="TH606" s="9">
        <f t="shared" si="30"/>
        <v>0</v>
      </c>
    </row>
    <row r="607" spans="1:528" ht="15.6" thickBot="1" x14ac:dyDescent="0.3">
      <c r="A607" s="18"/>
      <c r="B607" s="18" t="s">
        <v>1144</v>
      </c>
      <c r="C607" s="3"/>
      <c r="D607" s="21">
        <f>C607+SUM(E607:TF607)</f>
        <v>0</v>
      </c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>
        <v>104</v>
      </c>
      <c r="ET607" s="10"/>
      <c r="EU607" s="10"/>
      <c r="EV607" s="10"/>
      <c r="EW607" s="10"/>
      <c r="EX607" s="10">
        <v>-104</v>
      </c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10"/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10"/>
      <c r="KO607" s="10"/>
      <c r="KP607" s="10"/>
      <c r="KQ607" s="10"/>
      <c r="KR607" s="10"/>
      <c r="KS607" s="10"/>
      <c r="KT607" s="10"/>
      <c r="KU607" s="10"/>
      <c r="KV607" s="10"/>
      <c r="KW607" s="10"/>
      <c r="KX607" s="10"/>
      <c r="KY607" s="10"/>
      <c r="KZ607" s="10"/>
      <c r="LA607" s="10"/>
      <c r="LB607" s="10"/>
      <c r="LC607" s="10"/>
      <c r="LD607" s="10"/>
      <c r="LE607" s="10"/>
      <c r="LF607" s="10"/>
      <c r="LG607" s="10"/>
      <c r="LH607" s="10"/>
      <c r="LI607" s="10"/>
      <c r="LJ607" s="10"/>
      <c r="LK607" s="10"/>
      <c r="LL607" s="10"/>
      <c r="LM607" s="10"/>
      <c r="LN607" s="10"/>
      <c r="LO607" s="10"/>
      <c r="LP607" s="10"/>
      <c r="LQ607" s="10"/>
      <c r="LR607" s="10"/>
      <c r="LS607" s="10"/>
      <c r="LT607" s="10"/>
      <c r="LU607" s="10"/>
      <c r="LV607" s="10"/>
      <c r="LW607" s="10"/>
      <c r="LX607" s="10"/>
      <c r="LY607" s="10"/>
      <c r="LZ607" s="10"/>
      <c r="MA607" s="10"/>
      <c r="MB607" s="10"/>
      <c r="MC607" s="10"/>
      <c r="MD607" s="10"/>
      <c r="ME607" s="10"/>
      <c r="MF607" s="10"/>
      <c r="MG607" s="10"/>
      <c r="MH607" s="10"/>
      <c r="MI607" s="10"/>
      <c r="MJ607" s="10"/>
      <c r="MK607" s="10"/>
      <c r="ML607" s="10"/>
      <c r="MM607" s="10"/>
      <c r="MN607" s="10"/>
      <c r="MO607" s="10"/>
      <c r="MP607" s="10"/>
      <c r="MQ607" s="10"/>
      <c r="MR607" s="10"/>
      <c r="MS607" s="10"/>
      <c r="MT607" s="10"/>
      <c r="MU607" s="10"/>
      <c r="MV607" s="10"/>
      <c r="MW607" s="10"/>
      <c r="MX607" s="10"/>
      <c r="MY607" s="10"/>
      <c r="MZ607" s="10"/>
      <c r="NA607" s="10"/>
      <c r="NB607" s="10"/>
      <c r="NC607" s="10"/>
      <c r="ND607" s="10"/>
      <c r="NE607" s="10"/>
      <c r="NF607" s="10"/>
      <c r="NG607" s="10"/>
      <c r="NH607" s="10"/>
      <c r="NI607" s="10"/>
      <c r="NJ607" s="10"/>
      <c r="NK607" s="10"/>
      <c r="NL607" s="10"/>
      <c r="NM607" s="10"/>
      <c r="NN607" s="10"/>
      <c r="NO607" s="10"/>
      <c r="NP607" s="10"/>
      <c r="NQ607" s="10"/>
      <c r="NR607" s="10"/>
      <c r="NS607" s="10"/>
      <c r="NT607" s="10"/>
      <c r="NU607" s="10"/>
      <c r="NV607" s="10"/>
      <c r="NW607" s="10"/>
      <c r="NX607" s="10"/>
      <c r="NY607" s="10"/>
      <c r="NZ607" s="10"/>
      <c r="OA607" s="10"/>
      <c r="OB607" s="10"/>
      <c r="OC607" s="10"/>
      <c r="OD607" s="10"/>
      <c r="OE607" s="10"/>
      <c r="OF607" s="10"/>
      <c r="OG607" s="10"/>
      <c r="OH607" s="10"/>
      <c r="OI607" s="10"/>
      <c r="OJ607" s="10"/>
      <c r="OK607" s="10"/>
      <c r="OL607" s="10"/>
      <c r="OM607" s="10"/>
      <c r="ON607" s="10"/>
      <c r="OO607" s="10"/>
      <c r="OP607" s="10"/>
      <c r="OQ607" s="10"/>
      <c r="OR607" s="10"/>
      <c r="OS607" s="10"/>
      <c r="OT607" s="10"/>
      <c r="OU607" s="10"/>
      <c r="OV607" s="10"/>
      <c r="OW607" s="10"/>
      <c r="OX607" s="10"/>
      <c r="OY607" s="10"/>
      <c r="OZ607" s="10"/>
      <c r="PA607" s="10"/>
      <c r="PB607" s="10"/>
      <c r="PC607" s="10"/>
      <c r="PD607" s="10"/>
      <c r="PE607" s="10"/>
      <c r="PF607" s="10"/>
      <c r="PG607" s="10"/>
      <c r="PH607" s="10"/>
      <c r="PI607" s="10"/>
      <c r="PJ607" s="10"/>
      <c r="PK607" s="10"/>
      <c r="PL607" s="10"/>
      <c r="PM607" s="10"/>
      <c r="PN607" s="10"/>
      <c r="PO607" s="10"/>
      <c r="PP607" s="10"/>
      <c r="PQ607" s="10"/>
      <c r="PR607" s="10"/>
      <c r="PS607" s="10"/>
      <c r="PT607" s="10"/>
      <c r="PU607" s="10"/>
      <c r="PV607" s="10"/>
      <c r="PW607" s="10"/>
      <c r="PX607" s="10"/>
      <c r="PY607" s="10"/>
      <c r="PZ607" s="10"/>
      <c r="QA607" s="10"/>
      <c r="QB607" s="10"/>
      <c r="QC607" s="10"/>
      <c r="QD607" s="10"/>
      <c r="QE607" s="10"/>
      <c r="QF607" s="10"/>
      <c r="QG607" s="10"/>
      <c r="QH607" s="10"/>
      <c r="QI607" s="10"/>
      <c r="QJ607" s="10"/>
      <c r="QK607" s="10"/>
      <c r="QL607" s="10"/>
      <c r="QM607" s="10"/>
      <c r="QN607" s="10"/>
      <c r="QO607" s="10"/>
      <c r="QP607" s="10"/>
      <c r="QQ607" s="10"/>
      <c r="QR607" s="10"/>
      <c r="QS607" s="10"/>
      <c r="QT607" s="10"/>
      <c r="QU607" s="10"/>
      <c r="QV607" s="10"/>
      <c r="QW607" s="10"/>
      <c r="QX607" s="10"/>
      <c r="QY607" s="10"/>
      <c r="QZ607" s="10"/>
      <c r="RA607" s="10"/>
      <c r="RB607" s="10"/>
      <c r="RC607" s="10"/>
      <c r="RD607" s="10"/>
      <c r="RE607" s="10"/>
      <c r="RF607" s="10"/>
      <c r="RG607" s="10"/>
      <c r="RH607" s="10"/>
      <c r="RI607" s="10"/>
      <c r="RJ607" s="10"/>
      <c r="RK607" s="10"/>
      <c r="RL607" s="10"/>
      <c r="RM607" s="10"/>
      <c r="RN607" s="10"/>
      <c r="RO607" s="10"/>
      <c r="RP607" s="10"/>
      <c r="RQ607" s="10"/>
      <c r="RR607" s="10"/>
      <c r="RS607" s="10"/>
      <c r="RT607" s="10"/>
      <c r="RU607" s="10"/>
      <c r="RV607" s="10"/>
      <c r="RW607" s="10"/>
      <c r="RX607" s="10"/>
      <c r="RY607" s="10"/>
      <c r="RZ607" s="10"/>
      <c r="SA607" s="10"/>
      <c r="SB607" s="10"/>
      <c r="SC607" s="10"/>
      <c r="SD607" s="10"/>
      <c r="SE607" s="10"/>
      <c r="SF607" s="10"/>
      <c r="SG607" s="10"/>
      <c r="SH607" s="10"/>
      <c r="SI607" s="10"/>
      <c r="SJ607" s="10"/>
      <c r="SK607" s="10"/>
      <c r="SL607" s="10"/>
      <c r="SM607" s="10"/>
      <c r="SN607" s="10"/>
      <c r="SO607" s="10"/>
      <c r="SP607" s="10"/>
      <c r="SQ607" s="10"/>
      <c r="SR607" s="10"/>
      <c r="SS607" s="10"/>
      <c r="ST607" s="10"/>
      <c r="SU607" s="10"/>
      <c r="SV607" s="10"/>
      <c r="SW607" s="10"/>
      <c r="SX607" s="10"/>
      <c r="SY607" s="10"/>
      <c r="SZ607" s="10"/>
      <c r="TA607" s="10"/>
      <c r="TB607" s="10"/>
      <c r="TC607" s="10"/>
      <c r="TD607" s="10"/>
      <c r="TE607" s="10"/>
      <c r="TF607" s="10"/>
      <c r="TG607" s="11">
        <f t="shared" si="29"/>
        <v>0</v>
      </c>
      <c r="TH607" s="9">
        <f t="shared" si="30"/>
        <v>0</v>
      </c>
    </row>
    <row r="608" spans="1:528" ht="16.2" thickBot="1" x14ac:dyDescent="0.35">
      <c r="A608" s="18"/>
      <c r="B608" s="23" t="s">
        <v>1162</v>
      </c>
      <c r="C608" s="3"/>
      <c r="D608" s="21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1">
        <f t="shared" si="29"/>
        <v>0</v>
      </c>
      <c r="TH608" s="9">
        <f t="shared" si="30"/>
        <v>0</v>
      </c>
    </row>
    <row r="609" spans="1:528" ht="15.6" thickBot="1" x14ac:dyDescent="0.3">
      <c r="A609" s="53">
        <v>65853015002006</v>
      </c>
      <c r="B609" s="18" t="s">
        <v>1163</v>
      </c>
      <c r="C609" s="3"/>
      <c r="D609" s="21">
        <f>C609+SUM(E609:TF609)</f>
        <v>0</v>
      </c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>
        <f>5*112+4</f>
        <v>564</v>
      </c>
      <c r="JP609" s="10"/>
      <c r="JQ609" s="10"/>
      <c r="JR609" s="10"/>
      <c r="JS609" s="10"/>
      <c r="JT609" s="10">
        <v>-564</v>
      </c>
      <c r="JU609" s="10"/>
      <c r="JV609" s="10"/>
      <c r="JW609" s="10"/>
      <c r="JX609" s="10"/>
      <c r="JY609" s="10"/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10"/>
      <c r="KO609" s="10"/>
      <c r="KP609" s="10"/>
      <c r="KQ609" s="10"/>
      <c r="KR609" s="10"/>
      <c r="KS609" s="10">
        <f>6*64</f>
        <v>384</v>
      </c>
      <c r="KT609" s="10"/>
      <c r="KU609" s="10">
        <v>64</v>
      </c>
      <c r="KV609" s="10"/>
      <c r="KW609" s="10"/>
      <c r="KX609" s="10"/>
      <c r="KY609" s="10"/>
      <c r="KZ609" s="10"/>
      <c r="LA609" s="10"/>
      <c r="LB609" s="10"/>
      <c r="LC609" s="10"/>
      <c r="LD609" s="10"/>
      <c r="LE609" s="10"/>
      <c r="LF609" s="10"/>
      <c r="LG609" s="10"/>
      <c r="LH609" s="10"/>
      <c r="LI609" s="10"/>
      <c r="LJ609" s="10"/>
      <c r="LK609" s="10"/>
      <c r="LL609" s="10"/>
      <c r="LM609" s="10"/>
      <c r="LN609" s="10"/>
      <c r="LO609" s="10"/>
      <c r="LP609" s="10"/>
      <c r="LQ609" s="10"/>
      <c r="LR609" s="10">
        <v>-448</v>
      </c>
      <c r="LS609" s="10"/>
      <c r="LT609" s="10"/>
      <c r="LU609" s="10"/>
      <c r="LV609" s="10"/>
      <c r="LW609" s="10"/>
      <c r="LX609" s="10"/>
      <c r="LY609" s="10"/>
      <c r="LZ609" s="10"/>
      <c r="MA609" s="10"/>
      <c r="MB609" s="10"/>
      <c r="MC609" s="10"/>
      <c r="MD609" s="10"/>
      <c r="ME609" s="10"/>
      <c r="MF609" s="10"/>
      <c r="MG609" s="10"/>
      <c r="MH609" s="10"/>
      <c r="MI609" s="10"/>
      <c r="MJ609" s="10"/>
      <c r="MK609" s="10"/>
      <c r="ML609" s="10"/>
      <c r="MM609" s="10"/>
      <c r="MN609" s="10"/>
      <c r="MO609" s="10"/>
      <c r="MP609" s="10"/>
      <c r="MQ609" s="10"/>
      <c r="MR609" s="10"/>
      <c r="MS609" s="10"/>
      <c r="MT609" s="10"/>
      <c r="MU609" s="10"/>
      <c r="MV609" s="10"/>
      <c r="MW609" s="10"/>
      <c r="MX609" s="10"/>
      <c r="MY609" s="10"/>
      <c r="MZ609" s="10"/>
      <c r="NA609" s="10"/>
      <c r="NB609" s="10"/>
      <c r="NC609" s="10"/>
      <c r="ND609" s="10"/>
      <c r="NE609" s="10"/>
      <c r="NF609" s="10"/>
      <c r="NG609" s="10"/>
      <c r="NH609" s="10"/>
      <c r="NI609" s="10"/>
      <c r="NJ609" s="10"/>
      <c r="NK609" s="10"/>
      <c r="NL609" s="10"/>
      <c r="NM609" s="10"/>
      <c r="NN609" s="10"/>
      <c r="NO609" s="10"/>
      <c r="NP609" s="10"/>
      <c r="NQ609" s="10"/>
      <c r="NR609" s="10"/>
      <c r="NS609" s="10"/>
      <c r="NT609" s="10"/>
      <c r="NU609" s="10"/>
      <c r="NV609" s="10"/>
      <c r="NW609" s="10"/>
      <c r="NX609" s="10"/>
      <c r="NY609" s="10"/>
      <c r="NZ609" s="10"/>
      <c r="OA609" s="10"/>
      <c r="OB609" s="10"/>
      <c r="OC609" s="10"/>
      <c r="OD609" s="10"/>
      <c r="OE609" s="10"/>
      <c r="OF609" s="10"/>
      <c r="OG609" s="10"/>
      <c r="OH609" s="10"/>
      <c r="OI609" s="10"/>
      <c r="OJ609" s="10"/>
      <c r="OK609" s="10"/>
      <c r="OL609" s="10"/>
      <c r="OM609" s="10"/>
      <c r="ON609" s="10"/>
      <c r="OO609" s="10"/>
      <c r="OP609" s="10"/>
      <c r="OQ609" s="10"/>
      <c r="OR609" s="10"/>
      <c r="OS609" s="10"/>
      <c r="OT609" s="10"/>
      <c r="OU609" s="10"/>
      <c r="OV609" s="10"/>
      <c r="OW609" s="10"/>
      <c r="OX609" s="10"/>
      <c r="OY609" s="10"/>
      <c r="OZ609" s="10"/>
      <c r="PA609" s="10"/>
      <c r="PB609" s="10"/>
      <c r="PC609" s="10"/>
      <c r="PD609" s="10"/>
      <c r="PE609" s="10"/>
      <c r="PF609" s="10"/>
      <c r="PG609" s="10"/>
      <c r="PH609" s="10"/>
      <c r="PI609" s="10"/>
      <c r="PJ609" s="10"/>
      <c r="PK609" s="10"/>
      <c r="PL609" s="10"/>
      <c r="PM609" s="10"/>
      <c r="PN609" s="10"/>
      <c r="PO609" s="10"/>
      <c r="PP609" s="10"/>
      <c r="PQ609" s="10"/>
      <c r="PR609" s="10"/>
      <c r="PS609" s="10"/>
      <c r="PT609" s="10"/>
      <c r="PU609" s="10"/>
      <c r="PV609" s="10"/>
      <c r="PW609" s="10"/>
      <c r="PX609" s="10"/>
      <c r="PY609" s="10"/>
      <c r="PZ609" s="10"/>
      <c r="QA609" s="10"/>
      <c r="QB609" s="10"/>
      <c r="QC609" s="10"/>
      <c r="QD609" s="10"/>
      <c r="QE609" s="10"/>
      <c r="QF609" s="10"/>
      <c r="QG609" s="10"/>
      <c r="QH609" s="10"/>
      <c r="QI609" s="10"/>
      <c r="QJ609" s="10"/>
      <c r="QK609" s="10"/>
      <c r="QL609" s="10"/>
      <c r="QM609" s="10"/>
      <c r="QN609" s="10"/>
      <c r="QO609" s="10"/>
      <c r="QP609" s="10"/>
      <c r="QQ609" s="10"/>
      <c r="QR609" s="10"/>
      <c r="QS609" s="10"/>
      <c r="QT609" s="10"/>
      <c r="QU609" s="10"/>
      <c r="QV609" s="10"/>
      <c r="QW609" s="10"/>
      <c r="QX609" s="10"/>
      <c r="QY609" s="10"/>
      <c r="QZ609" s="10"/>
      <c r="RA609" s="10"/>
      <c r="RB609" s="10"/>
      <c r="RC609" s="10"/>
      <c r="RD609" s="10"/>
      <c r="RE609" s="10"/>
      <c r="RF609" s="10"/>
      <c r="RG609" s="10"/>
      <c r="RH609" s="10"/>
      <c r="RI609" s="10"/>
      <c r="RJ609" s="10"/>
      <c r="RK609" s="10"/>
      <c r="RL609" s="10"/>
      <c r="RM609" s="10"/>
      <c r="RN609" s="10"/>
      <c r="RO609" s="10"/>
      <c r="RP609" s="10"/>
      <c r="RQ609" s="10"/>
      <c r="RR609" s="10"/>
      <c r="RS609" s="10"/>
      <c r="RT609" s="10"/>
      <c r="RU609" s="10"/>
      <c r="RV609" s="10"/>
      <c r="RW609" s="10"/>
      <c r="RX609" s="10"/>
      <c r="RY609" s="10"/>
      <c r="RZ609" s="10"/>
      <c r="SA609" s="10"/>
      <c r="SB609" s="10"/>
      <c r="SC609" s="10"/>
      <c r="SD609" s="10"/>
      <c r="SE609" s="10"/>
      <c r="SF609" s="10"/>
      <c r="SG609" s="10"/>
      <c r="SH609" s="10"/>
      <c r="SI609" s="10"/>
      <c r="SJ609" s="10"/>
      <c r="SK609" s="10"/>
      <c r="SL609" s="10"/>
      <c r="SM609" s="10"/>
      <c r="SN609" s="10"/>
      <c r="SO609" s="10"/>
      <c r="SP609" s="10"/>
      <c r="SQ609" s="10"/>
      <c r="SR609" s="10"/>
      <c r="SS609" s="10"/>
      <c r="ST609" s="10"/>
      <c r="SU609" s="10"/>
      <c r="SV609" s="10"/>
      <c r="SW609" s="10"/>
      <c r="SX609" s="10"/>
      <c r="SY609" s="10"/>
      <c r="SZ609" s="10"/>
      <c r="TA609" s="10"/>
      <c r="TB609" s="10"/>
      <c r="TC609" s="10"/>
      <c r="TD609" s="10"/>
      <c r="TE609" s="10"/>
      <c r="TF609" s="10"/>
      <c r="TG609" s="11">
        <f t="shared" si="29"/>
        <v>0</v>
      </c>
      <c r="TH609" s="9">
        <f t="shared" si="30"/>
        <v>0</v>
      </c>
    </row>
  </sheetData>
  <mergeCells count="261">
    <mergeCell ref="TC2:TD2"/>
    <mergeCell ref="TA2:TB2"/>
    <mergeCell ref="SY2:SZ2"/>
    <mergeCell ref="SW2:SX2"/>
    <mergeCell ref="SU2:SV2"/>
    <mergeCell ref="SS2:ST2"/>
    <mergeCell ref="SQ2:SR2"/>
    <mergeCell ref="SO2:SP2"/>
    <mergeCell ref="SC2:SD2"/>
    <mergeCell ref="SM2:SN2"/>
    <mergeCell ref="SK2:SL2"/>
    <mergeCell ref="SI2:SJ2"/>
    <mergeCell ref="SG2:SH2"/>
    <mergeCell ref="SE2:SF2"/>
    <mergeCell ref="KI2:KJ2"/>
    <mergeCell ref="JE2:JF2"/>
    <mergeCell ref="JC2:JD2"/>
    <mergeCell ref="ME2:MF2"/>
    <mergeCell ref="MA2:MB2"/>
    <mergeCell ref="LO2:LP2"/>
    <mergeCell ref="LM2:LN2"/>
    <mergeCell ref="LK2:LL2"/>
    <mergeCell ref="LI2:LJ2"/>
    <mergeCell ref="OE2:OF2"/>
    <mergeCell ref="OC2:OD2"/>
    <mergeCell ref="LU2:LV2"/>
    <mergeCell ref="MQ2:MR2"/>
    <mergeCell ref="MO2:MP2"/>
    <mergeCell ref="MM2:MN2"/>
    <mergeCell ref="MK2:ML2"/>
    <mergeCell ref="LY2:LZ2"/>
    <mergeCell ref="NU2:NV2"/>
    <mergeCell ref="NS2:NT2"/>
    <mergeCell ref="LW2:LX2"/>
    <mergeCell ref="MS2:MT2"/>
    <mergeCell ref="MC2:MD2"/>
    <mergeCell ref="MY2:MZ2"/>
    <mergeCell ref="MW2:MX2"/>
    <mergeCell ref="MU2:MV2"/>
    <mergeCell ref="OA2:OB2"/>
    <mergeCell ref="NY2:NZ2"/>
    <mergeCell ref="NW2:NX2"/>
    <mergeCell ref="NM2:NN2"/>
    <mergeCell ref="NK2:NL2"/>
    <mergeCell ref="MG2:MH2"/>
    <mergeCell ref="JA2:JB2"/>
    <mergeCell ref="IY2:IZ2"/>
    <mergeCell ref="PM2:PN2"/>
    <mergeCell ref="PK2:PL2"/>
    <mergeCell ref="PI2:PJ2"/>
    <mergeCell ref="PG2:PH2"/>
    <mergeCell ref="NI2:NJ2"/>
    <mergeCell ref="NG2:NH2"/>
    <mergeCell ref="NE2:NF2"/>
    <mergeCell ref="NC2:ND2"/>
    <mergeCell ref="NA2:NB2"/>
    <mergeCell ref="OQ2:OR2"/>
    <mergeCell ref="OO2:OP2"/>
    <mergeCell ref="OM2:ON2"/>
    <mergeCell ref="OK2:OL2"/>
    <mergeCell ref="OI2:OJ2"/>
    <mergeCell ref="NQ2:NR2"/>
    <mergeCell ref="NO2:NP2"/>
    <mergeCell ref="LS2:LT2"/>
    <mergeCell ref="KY2:KZ2"/>
    <mergeCell ref="MI2:MJ2"/>
    <mergeCell ref="JM2:JN2"/>
    <mergeCell ref="LG2:LH2"/>
    <mergeCell ref="LE2:LF2"/>
    <mergeCell ref="HI2:HJ2"/>
    <mergeCell ref="GO2:GP2"/>
    <mergeCell ref="IW2:IX2"/>
    <mergeCell ref="LC2:LD2"/>
    <mergeCell ref="LA2:LB2"/>
    <mergeCell ref="HS2:HT2"/>
    <mergeCell ref="IK2:IL2"/>
    <mergeCell ref="II2:IJ2"/>
    <mergeCell ref="IG2:IH2"/>
    <mergeCell ref="IE2:IF2"/>
    <mergeCell ref="HY2:HZ2"/>
    <mergeCell ref="KW2:KX2"/>
    <mergeCell ref="KU2:KV2"/>
    <mergeCell ref="KS2:KT2"/>
    <mergeCell ref="KQ2:KR2"/>
    <mergeCell ref="IU2:IV2"/>
    <mergeCell ref="IS2:IT2"/>
    <mergeCell ref="IQ2:IR2"/>
    <mergeCell ref="JK2:JL2"/>
    <mergeCell ref="JI2:JJ2"/>
    <mergeCell ref="JG2:JH2"/>
    <mergeCell ref="KK2:KL2"/>
    <mergeCell ref="KO2:KP2"/>
    <mergeCell ref="KM2:KN2"/>
    <mergeCell ref="BQ2:BR2"/>
    <mergeCell ref="BW2:BX2"/>
    <mergeCell ref="IO2:IP2"/>
    <mergeCell ref="HA2:HB2"/>
    <mergeCell ref="IC2:ID2"/>
    <mergeCell ref="IA2:IB2"/>
    <mergeCell ref="GY2:GZ2"/>
    <mergeCell ref="GW2:GX2"/>
    <mergeCell ref="GA2:GB2"/>
    <mergeCell ref="FY2:FZ2"/>
    <mergeCell ref="FW2:FX2"/>
    <mergeCell ref="GS2:GT2"/>
    <mergeCell ref="HM2:HN2"/>
    <mergeCell ref="HK2:HL2"/>
    <mergeCell ref="GM2:GN2"/>
    <mergeCell ref="GK2:GL2"/>
    <mergeCell ref="GI2:GJ2"/>
    <mergeCell ref="GG2:GH2"/>
    <mergeCell ref="GE2:GF2"/>
    <mergeCell ref="HU2:HV2"/>
    <mergeCell ref="IM2:IN2"/>
    <mergeCell ref="HO2:HP2"/>
    <mergeCell ref="GU2:GV2"/>
    <mergeCell ref="HC2:H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AM2:AN2"/>
    <mergeCell ref="AA2:AB2"/>
    <mergeCell ref="AS2:AT2"/>
    <mergeCell ref="CS2:CT2"/>
    <mergeCell ref="CU2:CV2"/>
    <mergeCell ref="CW2:CX2"/>
    <mergeCell ref="CY2:CZ2"/>
    <mergeCell ref="DA2:DB2"/>
    <mergeCell ref="W2:X2"/>
    <mergeCell ref="Y2:Z2"/>
    <mergeCell ref="AC2:AD2"/>
    <mergeCell ref="AE2:AF2"/>
    <mergeCell ref="AG2:AH2"/>
    <mergeCell ref="AI2:AJ2"/>
    <mergeCell ref="AK2:AL2"/>
    <mergeCell ref="AO2:AP2"/>
    <mergeCell ref="AQ2:AR2"/>
    <mergeCell ref="AU2:AV2"/>
    <mergeCell ref="AW2:AX2"/>
    <mergeCell ref="AY2:AZ2"/>
    <mergeCell ref="BM2:BN2"/>
    <mergeCell ref="BU2:BV2"/>
    <mergeCell ref="BS2:BT2"/>
    <mergeCell ref="BO2:BP2"/>
    <mergeCell ref="DY2:DZ2"/>
    <mergeCell ref="CI2:CJ2"/>
    <mergeCell ref="DQ2:DR2"/>
    <mergeCell ref="DS2:DT2"/>
    <mergeCell ref="FU2:FV2"/>
    <mergeCell ref="FS2:FT2"/>
    <mergeCell ref="EY2:EZ2"/>
    <mergeCell ref="FM2:FN2"/>
    <mergeCell ref="FK2:FL2"/>
    <mergeCell ref="DC2:DD2"/>
    <mergeCell ref="DE2:DF2"/>
    <mergeCell ref="DG2:DH2"/>
    <mergeCell ref="EG2:EH2"/>
    <mergeCell ref="EI2:EJ2"/>
    <mergeCell ref="FG2:FH2"/>
    <mergeCell ref="FE2:FF2"/>
    <mergeCell ref="FC2:FD2"/>
    <mergeCell ref="FA2:FB2"/>
    <mergeCell ref="DU2:DV2"/>
    <mergeCell ref="DO2:DP2"/>
    <mergeCell ref="DI2:DJ2"/>
    <mergeCell ref="DK2:DL2"/>
    <mergeCell ref="DM2:DN2"/>
    <mergeCell ref="GQ2:GR2"/>
    <mergeCell ref="GC2:GD2"/>
    <mergeCell ref="FQ2:FR2"/>
    <mergeCell ref="EK2:EL2"/>
    <mergeCell ref="EA2:EB2"/>
    <mergeCell ref="EC2:ED2"/>
    <mergeCell ref="KG2:KH2"/>
    <mergeCell ref="KE2:KF2"/>
    <mergeCell ref="KC2:KD2"/>
    <mergeCell ref="EE2:EF2"/>
    <mergeCell ref="FI2:FJ2"/>
    <mergeCell ref="EM2:EN2"/>
    <mergeCell ref="EW2:EX2"/>
    <mergeCell ref="EU2:EV2"/>
    <mergeCell ref="ES2:ET2"/>
    <mergeCell ref="EQ2:ER2"/>
    <mergeCell ref="EO2:EP2"/>
    <mergeCell ref="KA2:KB2"/>
    <mergeCell ref="JY2:JZ2"/>
    <mergeCell ref="JW2:JX2"/>
    <mergeCell ref="JU2:JV2"/>
    <mergeCell ref="JS2:JT2"/>
    <mergeCell ref="JQ2:JR2"/>
    <mergeCell ref="JO2:JP2"/>
    <mergeCell ref="HW2:HX2"/>
    <mergeCell ref="FO2:FP2"/>
    <mergeCell ref="HQ2:HR2"/>
    <mergeCell ref="HG2:HH2"/>
    <mergeCell ref="HE2:HF2"/>
    <mergeCell ref="OG2:OH2"/>
    <mergeCell ref="TE2:TF2"/>
    <mergeCell ref="BA2:BB2"/>
    <mergeCell ref="BC2:BD2"/>
    <mergeCell ref="BE2:BF2"/>
    <mergeCell ref="BG2:BH2"/>
    <mergeCell ref="BI2:BJ2"/>
    <mergeCell ref="BK2:BL2"/>
    <mergeCell ref="DW2:DX2"/>
    <mergeCell ref="CQ2:CR2"/>
    <mergeCell ref="CO2:CP2"/>
    <mergeCell ref="CM2:CN2"/>
    <mergeCell ref="CK2:CL2"/>
    <mergeCell ref="BY2:BZ2"/>
    <mergeCell ref="CA2:CB2"/>
    <mergeCell ref="CC2:CD2"/>
    <mergeCell ref="CE2:CF2"/>
    <mergeCell ref="CG2:CH2"/>
    <mergeCell ref="LQ2:LR2"/>
    <mergeCell ref="QM2:QN2"/>
    <mergeCell ref="QK2:QL2"/>
    <mergeCell ref="QI2:QJ2"/>
    <mergeCell ref="QG2:QH2"/>
    <mergeCell ref="QE2:QF2"/>
    <mergeCell ref="QC2:QD2"/>
    <mergeCell ref="QA2:QB2"/>
    <mergeCell ref="PY2:PZ2"/>
    <mergeCell ref="OS2:OT2"/>
    <mergeCell ref="PW2:PX2"/>
    <mergeCell ref="PU2:PV2"/>
    <mergeCell ref="PS2:PT2"/>
    <mergeCell ref="PQ2:PR2"/>
    <mergeCell ref="PO2:PP2"/>
    <mergeCell ref="PC2:PD2"/>
    <mergeCell ref="PA2:PB2"/>
    <mergeCell ref="OY2:OZ2"/>
    <mergeCell ref="OW2:OX2"/>
    <mergeCell ref="OU2:OV2"/>
    <mergeCell ref="PE2:PF2"/>
    <mergeCell ref="RE2:RF2"/>
    <mergeCell ref="RC2:RD2"/>
    <mergeCell ref="RA2:RB2"/>
    <mergeCell ref="QY2:QZ2"/>
    <mergeCell ref="QW2:QX2"/>
    <mergeCell ref="QU2:QV2"/>
    <mergeCell ref="QS2:QT2"/>
    <mergeCell ref="QQ2:QR2"/>
    <mergeCell ref="QO2:QP2"/>
    <mergeCell ref="SA2:SB2"/>
    <mergeCell ref="RO2:RP2"/>
    <mergeCell ref="RQ2:RR2"/>
    <mergeCell ref="RS2:RT2"/>
    <mergeCell ref="RU2:RV2"/>
    <mergeCell ref="RG2:RH2"/>
    <mergeCell ref="RI2:RJ2"/>
    <mergeCell ref="RK2:RL2"/>
    <mergeCell ref="RM2:RN2"/>
    <mergeCell ref="RY2:RZ2"/>
    <mergeCell ref="RW2:RX2"/>
  </mergeCells>
  <conditionalFormatting sqref="A3:B3">
    <cfRule type="duplicateValues" dxfId="9" priority="10"/>
    <cfRule type="duplicateValues" dxfId="8" priority="11"/>
    <cfRule type="duplicateValues" dxfId="7" priority="12"/>
    <cfRule type="duplicateValues" dxfId="6" priority="13"/>
  </conditionalFormatting>
  <conditionalFormatting sqref="B216">
    <cfRule type="duplicateValues" dxfId="5" priority="4"/>
    <cfRule type="duplicateValues" dxfId="4" priority="5"/>
  </conditionalFormatting>
  <conditionalFormatting sqref="B217">
    <cfRule type="duplicateValues" dxfId="3" priority="2"/>
    <cfRule type="duplicateValues" dxfId="2" priority="3"/>
  </conditionalFormatting>
  <conditionalFormatting sqref="C1:C1048576">
    <cfRule type="cellIs" dxfId="1" priority="14" operator="lessThan">
      <formula>0</formula>
    </cfRule>
  </conditionalFormatting>
  <conditionalFormatting sqref="D273">
    <cfRule type="cellIs" dxfId="0" priority="1" operator="lessThan">
      <formula>-16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LUGLIO</vt:lpstr>
      <vt:lpstr>AGOSTO</vt:lpstr>
      <vt:lpstr>SETTEMBRE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lineablu1972@outlook.it</dc:creator>
  <cp:lastModifiedBy>Windows User</cp:lastModifiedBy>
  <cp:lastPrinted>2024-11-18T16:42:59Z</cp:lastPrinted>
  <dcterms:created xsi:type="dcterms:W3CDTF">2020-09-03T07:24:50Z</dcterms:created>
  <dcterms:modified xsi:type="dcterms:W3CDTF">2025-05-22T15:47:34Z</dcterms:modified>
</cp:coreProperties>
</file>