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1.4.1\"/>
    </mc:Choice>
  </mc:AlternateContent>
  <xr:revisionPtr revIDLastSave="0" documentId="13_ncr:1_{3FA9E41A-35CD-4096-969B-EB9A7D428E05}" xr6:coauthVersionLast="47" xr6:coauthVersionMax="47" xr10:uidLastSave="{00000000-0000-0000-0000-000000000000}"/>
  <bookViews>
    <workbookView xWindow="-108" yWindow="-108" windowWidth="23256" windowHeight="12576" activeTab="3" xr2:uid="{F4349EF7-3EEF-4F78-9E75-B75FFC543C67}"/>
  </bookViews>
  <sheets>
    <sheet name="подготовка" sheetId="1" r:id="rId1"/>
    <sheet name="Таблица1" sheetId="6" r:id="rId2"/>
    <sheet name="Таблица1 (2)" sheetId="7" r:id="rId3"/>
    <sheet name="гениальная работа гения" sheetId="5" r:id="rId4"/>
    <sheet name="расчёты" sheetId="2" r:id="rId5"/>
    <sheet name="Лист2" sheetId="4" r:id="rId6"/>
    <sheet name="Лист1" sheetId="3" r:id="rId7"/>
  </sheets>
  <definedNames>
    <definedName name="ExternalData_1" localSheetId="2" hidden="1">'Таблица1 (2)'!$A$1:$F$10</definedName>
    <definedName name="ExternalData_2" localSheetId="2" hidden="1">'Таблица1 (2)'!$C$15:$H$24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5" l="1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B23" i="5"/>
  <c r="B22" i="5"/>
  <c r="B21" i="5"/>
  <c r="B20" i="5"/>
  <c r="B19" i="5"/>
  <c r="B18" i="5"/>
  <c r="B17" i="5"/>
  <c r="B16" i="5"/>
  <c r="B15" i="5"/>
  <c r="B27" i="5"/>
  <c r="E27" i="5"/>
  <c r="B28" i="5"/>
  <c r="E28" i="5"/>
  <c r="N16" i="5" s="1"/>
  <c r="F28" i="5"/>
  <c r="B29" i="5"/>
  <c r="E29" i="5"/>
  <c r="F29" i="5"/>
  <c r="B30" i="5"/>
  <c r="E30" i="5"/>
  <c r="H18" i="5" s="1"/>
  <c r="F30" i="5"/>
  <c r="B31" i="5"/>
  <c r="E31" i="5"/>
  <c r="N19" i="5" s="1"/>
  <c r="F31" i="5"/>
  <c r="B32" i="5"/>
  <c r="E32" i="5"/>
  <c r="H20" i="5" s="1"/>
  <c r="F32" i="5"/>
  <c r="B33" i="5"/>
  <c r="E33" i="5"/>
  <c r="F33" i="5"/>
  <c r="B34" i="5"/>
  <c r="E34" i="5"/>
  <c r="F34" i="5"/>
  <c r="B35" i="5"/>
  <c r="E35" i="5"/>
  <c r="F35" i="5"/>
  <c r="O22" i="5"/>
  <c r="D12" i="5"/>
  <c r="O16" i="5"/>
  <c r="P16" i="5" s="1"/>
  <c r="G12" i="5"/>
  <c r="J15" i="5" s="1"/>
  <c r="F12" i="5"/>
  <c r="E12" i="5"/>
  <c r="G15" i="5" s="1"/>
  <c r="K17" i="5"/>
  <c r="H19" i="5"/>
  <c r="H21" i="5"/>
  <c r="H22" i="5"/>
  <c r="H15" i="5"/>
  <c r="I16" i="5"/>
  <c r="I17" i="5"/>
  <c r="I18" i="5"/>
  <c r="I19" i="5"/>
  <c r="I20" i="5"/>
  <c r="I21" i="5"/>
  <c r="I22" i="5"/>
  <c r="I23" i="5"/>
  <c r="I15" i="5"/>
  <c r="H16" i="5"/>
  <c r="K6" i="4"/>
  <c r="J6" i="4"/>
  <c r="I6" i="4"/>
  <c r="H6" i="4"/>
  <c r="G6" i="4"/>
  <c r="F7" i="4"/>
  <c r="F6" i="4"/>
  <c r="Q50" i="2"/>
  <c r="Q49" i="2"/>
  <c r="P50" i="2"/>
  <c r="P49" i="2"/>
  <c r="N48" i="2"/>
  <c r="N47" i="2"/>
  <c r="N46" i="2"/>
  <c r="O33" i="2"/>
  <c r="P33" i="2"/>
  <c r="Q33" i="2"/>
  <c r="R33" i="2"/>
  <c r="S33" i="2"/>
  <c r="T33" i="2"/>
  <c r="U33" i="2"/>
  <c r="V33" i="2"/>
  <c r="W33" i="2"/>
  <c r="N33" i="2"/>
  <c r="O27" i="2"/>
  <c r="P27" i="2"/>
  <c r="Q27" i="2"/>
  <c r="R27" i="2"/>
  <c r="S27" i="2"/>
  <c r="T27" i="2"/>
  <c r="U27" i="2"/>
  <c r="V27" i="2"/>
  <c r="W27" i="2"/>
  <c r="N27" i="2"/>
  <c r="X43" i="2"/>
  <c r="AA40" i="2"/>
  <c r="Z40" i="2"/>
  <c r="X42" i="2"/>
  <c r="X41" i="2"/>
  <c r="X40" i="2"/>
  <c r="X39" i="2"/>
  <c r="X38" i="2"/>
  <c r="X16" i="5" l="1"/>
  <c r="Q16" i="5"/>
  <c r="X19" i="5"/>
  <c r="Q19" i="5"/>
  <c r="P22" i="5"/>
  <c r="O19" i="5"/>
  <c r="P19" i="5" s="1"/>
  <c r="G21" i="5"/>
  <c r="N18" i="5"/>
  <c r="O18" i="5"/>
  <c r="P18" i="5" s="1"/>
  <c r="O20" i="5"/>
  <c r="P20" i="5" s="1"/>
  <c r="G20" i="5"/>
  <c r="G19" i="5"/>
  <c r="O17" i="5"/>
  <c r="P17" i="5" s="1"/>
  <c r="G18" i="5"/>
  <c r="N17" i="5"/>
  <c r="N23" i="5"/>
  <c r="X23" i="5" s="1"/>
  <c r="N22" i="5"/>
  <c r="X22" i="5" s="1"/>
  <c r="O21" i="5"/>
  <c r="P21" i="5" s="1"/>
  <c r="N21" i="5"/>
  <c r="N20" i="5"/>
  <c r="G22" i="5"/>
  <c r="H17" i="5"/>
  <c r="G23" i="5"/>
  <c r="H23" i="5"/>
  <c r="O23" i="5"/>
  <c r="P23" i="5" s="1"/>
  <c r="G16" i="5"/>
  <c r="O25" i="2"/>
  <c r="O26" i="2" s="1"/>
  <c r="P25" i="2"/>
  <c r="Q25" i="2"/>
  <c r="R25" i="2"/>
  <c r="R26" i="2" s="1"/>
  <c r="S25" i="2"/>
  <c r="S26" i="2" s="1"/>
  <c r="T25" i="2"/>
  <c r="U25" i="2"/>
  <c r="U26" i="2" s="1"/>
  <c r="V25" i="2"/>
  <c r="V26" i="2" s="1"/>
  <c r="W25" i="2"/>
  <c r="W26" i="2" s="1"/>
  <c r="N25" i="2"/>
  <c r="N26" i="2" s="1"/>
  <c r="O31" i="2"/>
  <c r="P31" i="2"/>
  <c r="Q31" i="2"/>
  <c r="R31" i="2"/>
  <c r="S31" i="2"/>
  <c r="T31" i="2"/>
  <c r="U31" i="2"/>
  <c r="V31" i="2"/>
  <c r="W31" i="2"/>
  <c r="N31" i="2"/>
  <c r="N30" i="2"/>
  <c r="O30" i="2"/>
  <c r="P30" i="2"/>
  <c r="Q30" i="2"/>
  <c r="R30" i="2"/>
  <c r="S30" i="2"/>
  <c r="T30" i="2"/>
  <c r="U30" i="2"/>
  <c r="V30" i="2"/>
  <c r="W30" i="2"/>
  <c r="P26" i="2"/>
  <c r="Q26" i="2"/>
  <c r="T26" i="2"/>
  <c r="R3" i="2"/>
  <c r="R5" i="2"/>
  <c r="R7" i="2"/>
  <c r="R9" i="2"/>
  <c r="R11" i="2"/>
  <c r="R13" i="2"/>
  <c r="R15" i="2"/>
  <c r="R17" i="2"/>
  <c r="R19" i="2"/>
  <c r="R21" i="2"/>
  <c r="I18" i="3"/>
  <c r="I15" i="3"/>
  <c r="K4" i="3"/>
  <c r="K7" i="3"/>
  <c r="G18" i="3"/>
  <c r="G15" i="3"/>
  <c r="F20" i="3"/>
  <c r="F19" i="3"/>
  <c r="F18" i="3"/>
  <c r="F17" i="3"/>
  <c r="F16" i="3"/>
  <c r="F15" i="3"/>
  <c r="L7" i="3"/>
  <c r="L4" i="3"/>
  <c r="H7" i="3"/>
  <c r="H4" i="3"/>
  <c r="F5" i="3"/>
  <c r="I4" i="3" s="1"/>
  <c r="J4" i="3" s="1"/>
  <c r="F6" i="3"/>
  <c r="F7" i="3"/>
  <c r="I7" i="3" s="1"/>
  <c r="J7" i="3" s="1"/>
  <c r="F8" i="3"/>
  <c r="F9" i="3"/>
  <c r="F4" i="3"/>
  <c r="V22" i="5" l="1"/>
  <c r="Q17" i="5"/>
  <c r="X17" i="5"/>
  <c r="X20" i="5"/>
  <c r="Q20" i="5"/>
  <c r="X18" i="5"/>
  <c r="V15" i="5" s="1"/>
  <c r="Q18" i="5"/>
  <c r="T15" i="5"/>
  <c r="Q21" i="5"/>
  <c r="X21" i="5"/>
  <c r="Q23" i="5"/>
  <c r="S15" i="5"/>
  <c r="R15" i="5"/>
  <c r="Q22" i="5"/>
  <c r="G17" i="5"/>
  <c r="G7" i="3"/>
  <c r="G4" i="3"/>
  <c r="G7" i="2"/>
  <c r="G9" i="2"/>
  <c r="G11" i="2"/>
  <c r="G13" i="2"/>
  <c r="G15" i="2"/>
  <c r="G17" i="2"/>
  <c r="G19" i="2"/>
  <c r="G21" i="2"/>
  <c r="G5" i="2"/>
  <c r="G3" i="2"/>
  <c r="E4" i="2"/>
  <c r="E5" i="2"/>
  <c r="E6" i="2"/>
  <c r="E7" i="2"/>
  <c r="H7" i="2" s="1"/>
  <c r="I7" i="2" s="1"/>
  <c r="E8" i="2"/>
  <c r="E9" i="2"/>
  <c r="E10" i="2"/>
  <c r="F9" i="2" s="1"/>
  <c r="S9" i="2" s="1"/>
  <c r="E11" i="2"/>
  <c r="E12" i="2"/>
  <c r="E13" i="2"/>
  <c r="E14" i="2"/>
  <c r="E15" i="2"/>
  <c r="F15" i="2" s="1"/>
  <c r="S15" i="2" s="1"/>
  <c r="E16" i="2"/>
  <c r="E17" i="2"/>
  <c r="E18" i="2"/>
  <c r="F17" i="2" s="1"/>
  <c r="S17" i="2" s="1"/>
  <c r="E19" i="2"/>
  <c r="H19" i="2" s="1"/>
  <c r="I19" i="2" s="1"/>
  <c r="E20" i="2"/>
  <c r="E21" i="2"/>
  <c r="E22" i="2"/>
  <c r="E3" i="2"/>
  <c r="H3" i="2" s="1"/>
  <c r="I3" i="2" s="1"/>
  <c r="U15" i="5" l="1"/>
  <c r="T19" i="5"/>
  <c r="S19" i="5" s="1"/>
  <c r="V19" i="5" s="1"/>
  <c r="F11" i="2"/>
  <c r="S11" i="2" s="1"/>
  <c r="H17" i="2"/>
  <c r="I17" i="2" s="1"/>
  <c r="J17" i="2" s="1"/>
  <c r="K17" i="2" s="1"/>
  <c r="H9" i="2"/>
  <c r="I9" i="2" s="1"/>
  <c r="J9" i="2" s="1"/>
  <c r="K9" i="2" s="1"/>
  <c r="F13" i="2"/>
  <c r="S13" i="2" s="1"/>
  <c r="H5" i="2"/>
  <c r="I5" i="2" s="1"/>
  <c r="J5" i="2" s="1"/>
  <c r="H15" i="2"/>
  <c r="I15" i="2" s="1"/>
  <c r="J15" i="2" s="1"/>
  <c r="K15" i="2" s="1"/>
  <c r="J7" i="2"/>
  <c r="H21" i="2"/>
  <c r="I21" i="2" s="1"/>
  <c r="J21" i="2" s="1"/>
  <c r="H13" i="2"/>
  <c r="I13" i="2" s="1"/>
  <c r="F21" i="2"/>
  <c r="S21" i="2" s="1"/>
  <c r="F7" i="2"/>
  <c r="S7" i="2" s="1"/>
  <c r="F3" i="2"/>
  <c r="S3" i="2" s="1"/>
  <c r="F5" i="2"/>
  <c r="S5" i="2" s="1"/>
  <c r="J19" i="2"/>
  <c r="J13" i="2"/>
  <c r="J3" i="2"/>
  <c r="F19" i="2"/>
  <c r="S19" i="2" s="1"/>
  <c r="H11" i="2"/>
  <c r="I11" i="2" s="1"/>
  <c r="J11" i="2" s="1"/>
  <c r="K11" i="2" s="1"/>
  <c r="T22" i="5" l="1"/>
  <c r="S22" i="5" s="1"/>
  <c r="K13" i="2"/>
  <c r="K5" i="2"/>
  <c r="K21" i="2"/>
  <c r="K3" i="2"/>
  <c r="K7" i="2"/>
  <c r="K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7D137-6C1F-4E11-BFE2-9FAAB0A36DCB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415A32ED-D1DD-4AC8-A7C4-90AA58DD3E8E}" keepAlive="1" name="Запрос — Таблица1 (2)" description="Соединение с запросом &quot;Таблица1 (2)&quot; в книге." type="5" refreshedVersion="7" background="1" saveData="1">
    <dbPr connection="Provider=Microsoft.Mashup.OleDb.1;Data Source=$Workbook$;Location=&quot;Таблица1 (2)&quot;;Extended Properties=&quot;&quot;" command="SELECT * FROM [Таблица1 (2)]"/>
  </connection>
</connections>
</file>

<file path=xl/sharedStrings.xml><?xml version="1.0" encoding="utf-8"?>
<sst xmlns="http://schemas.openxmlformats.org/spreadsheetml/2006/main" count="174" uniqueCount="94">
  <si>
    <t>№</t>
  </si>
  <si>
    <t>a, см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</si>
  <si>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измерений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</si>
  <si>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общий</t>
    </r>
    <r>
      <rPr>
        <sz val="11"/>
        <color theme="1"/>
        <rFont val="Calibri"/>
        <family val="2"/>
        <charset val="204"/>
        <scheme val="minor"/>
      </rPr>
      <t>, с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</si>
  <si>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пр</t>
    </r>
    <r>
      <rPr>
        <sz val="11"/>
        <color theme="1"/>
        <rFont val="Calibri"/>
        <family val="2"/>
        <charset val="204"/>
        <scheme val="minor"/>
      </rPr>
      <t>, см</t>
    </r>
  </si>
  <si>
    <t>Колебания математического маятника</t>
  </si>
  <si>
    <t>Проверка обратимости маятника</t>
  </si>
  <si>
    <t>Периоды колебаний маятника в зависимости от a</t>
  </si>
  <si>
    <t>Период колебаний маятника в зависимости от начального угола</t>
  </si>
  <si>
    <t>T, с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</si>
  <si>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, с</t>
    </r>
  </si>
  <si>
    <t>системат</t>
  </si>
  <si>
    <t>случайная</t>
  </si>
  <si>
    <t>дисперсия</t>
  </si>
  <si>
    <t>Итоговая</t>
  </si>
  <si>
    <t>Относительная</t>
  </si>
  <si>
    <t>T среднее</t>
  </si>
  <si>
    <t>сигма T</t>
  </si>
  <si>
    <t>т ср</t>
  </si>
  <si>
    <t>сист</t>
  </si>
  <si>
    <t>дисп</t>
  </si>
  <si>
    <t>случ</t>
  </si>
  <si>
    <t>полн</t>
  </si>
  <si>
    <t>отн</t>
  </si>
  <si>
    <t>фи</t>
  </si>
  <si>
    <t>а квадрат</t>
  </si>
  <si>
    <t>т квадрат а</t>
  </si>
  <si>
    <t>абс</t>
  </si>
  <si>
    <t>а</t>
  </si>
  <si>
    <t>т</t>
  </si>
  <si>
    <t>т квадрат</t>
  </si>
  <si>
    <t>отн погр т</t>
  </si>
  <si>
    <t>ков</t>
  </si>
  <si>
    <t>дисп а^2</t>
  </si>
  <si>
    <t>k</t>
  </si>
  <si>
    <t>b</t>
  </si>
  <si>
    <t>сигма k</t>
  </si>
  <si>
    <t>сигма b</t>
  </si>
  <si>
    <t>отн т квадрат а</t>
  </si>
  <si>
    <t>отн а квадрат</t>
  </si>
  <si>
    <t>епсилон сист</t>
  </si>
  <si>
    <t>сист k</t>
  </si>
  <si>
    <t>сист b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</si>
  <si>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мат</t>
    </r>
    <r>
      <rPr>
        <sz val="11"/>
        <color theme="1"/>
        <rFont val="Calibri"/>
        <family val="2"/>
        <charset val="204"/>
        <scheme val="minor"/>
      </rPr>
      <t>, см</t>
    </r>
  </si>
  <si>
    <t>Тср</t>
  </si>
  <si>
    <t>1 (без груза)</t>
  </si>
  <si>
    <t>случайной погрешности нет т.к. использовался электронный прибор счета колебаний</t>
  </si>
  <si>
    <t>σ случ</t>
  </si>
  <si>
    <t>σ сист</t>
  </si>
  <si>
    <t>σ полн</t>
  </si>
  <si>
    <t>ε</t>
  </si>
  <si>
    <t>σT, с</t>
  </si>
  <si>
    <t>εT, %</t>
  </si>
  <si>
    <t>σ шт циркуля, мм</t>
  </si>
  <si>
    <t>σ лин, мм</t>
  </si>
  <si>
    <t>ε max для длины, %</t>
  </si>
  <si>
    <t>масса груза</t>
  </si>
  <si>
    <t>масса призмы</t>
  </si>
  <si>
    <t>масса стержня</t>
  </si>
  <si>
    <t>Xц0</t>
  </si>
  <si>
    <t>J0</t>
  </si>
  <si>
    <t>y, см</t>
  </si>
  <si>
    <t>J призмы</t>
  </si>
  <si>
    <t>g*</t>
  </si>
  <si>
    <t>J стержня</t>
  </si>
  <si>
    <t>График для y^2(T^2*X)</t>
  </si>
  <si>
    <t>График T^2*X (y^2)</t>
  </si>
  <si>
    <t>v = y^2</t>
  </si>
  <si>
    <t>график T^2*X(a^2)</t>
  </si>
  <si>
    <t>Xц, см</t>
  </si>
  <si>
    <t>u = Хц * T^2</t>
  </si>
  <si>
    <t>u^2</t>
  </si>
  <si>
    <t>u * v</t>
  </si>
  <si>
    <t>a</t>
  </si>
  <si>
    <t>v^2</t>
  </si>
  <si>
    <t>σa</t>
  </si>
  <si>
    <t>g по графику</t>
  </si>
  <si>
    <t>σb</t>
  </si>
  <si>
    <t>x^2 ср</t>
  </si>
  <si>
    <t>x ср</t>
  </si>
  <si>
    <t>y ср</t>
  </si>
  <si>
    <t>x*y ср</t>
  </si>
  <si>
    <t>y^2 ср</t>
  </si>
  <si>
    <t>g среднее</t>
  </si>
  <si>
    <t>Lпр</t>
  </si>
  <si>
    <t>Tобщий, с</t>
  </si>
  <si>
    <t>Nизмерений</t>
  </si>
  <si>
    <t>null</t>
  </si>
  <si>
    <t>Хц, см</t>
  </si>
  <si>
    <t>Тобш, с</t>
  </si>
  <si>
    <t>N измерений</t>
  </si>
  <si>
    <t>Т, с</t>
  </si>
  <si>
    <t>Столбец1</t>
  </si>
  <si>
    <t>g, м/с^2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</si>
</sst>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FA7D00"/>
      <name val="Calibri"/>
      <family val="2"/>
      <charset val="20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32" applyNumberFormat="0" applyAlignment="0" applyProtection="0"/>
    <xf numFmtId="0" fontId="3" fillId="2" borderId="31" applyNumberFormat="0" applyAlignment="0" applyProtection="0"/>
  </cellStyleXfs>
  <cellXfs count="7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2" borderId="31" xfId="2" applyAlignment="1">
      <alignment horizontal="center" vertical="center"/>
    </xf>
    <xf numFmtId="0" fontId="2" fillId="2" borderId="32" xfId="1" applyAlignment="1">
      <alignment horizontal="center" vertical="center"/>
    </xf>
    <xf numFmtId="0" fontId="3" fillId="2" borderId="38" xfId="2" applyBorder="1" applyAlignment="1">
      <alignment horizontal="center" vertical="center"/>
    </xf>
    <xf numFmtId="0" fontId="3" fillId="2" borderId="39" xfId="2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2" borderId="38" xfId="2" applyBorder="1" applyAlignment="1">
      <alignment horizontal="center" vertical="center"/>
    </xf>
    <xf numFmtId="0" fontId="3" fillId="2" borderId="39" xfId="2" applyBorder="1" applyAlignment="1">
      <alignment horizontal="center" vertical="center"/>
    </xf>
    <xf numFmtId="0" fontId="3" fillId="2" borderId="38" xfId="2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Border="1"/>
    <xf numFmtId="0" fontId="5" fillId="2" borderId="31" xfId="2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36" xfId="1" applyBorder="1" applyAlignment="1">
      <alignment horizontal="center" vertical="center"/>
    </xf>
    <xf numFmtId="0" fontId="2" fillId="2" borderId="37" xfId="1" applyBorder="1" applyAlignment="1">
      <alignment horizontal="center" vertical="center"/>
    </xf>
    <xf numFmtId="0" fontId="3" fillId="2" borderId="38" xfId="2" applyBorder="1" applyAlignment="1">
      <alignment horizontal="center" vertical="center"/>
    </xf>
    <xf numFmtId="0" fontId="3" fillId="2" borderId="39" xfId="2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6" fillId="0" borderId="0" xfId="0" applyNumberFormat="1" applyFont="1" applyFill="1" applyBorder="1" applyAlignment="1" applyProtection="1"/>
  </cellXfs>
  <cellStyles count="3">
    <cellStyle name="Вывод" xfId="1" builtinId="21"/>
    <cellStyle name="Вычисление" xfId="2" builtinId="22"/>
    <cellStyle name="Обычный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double">
          <color indexed="64"/>
        </bottom>
        <vertical/>
        <horizontal/>
      </border>
    </dxf>
    <dxf>
      <border outline="0">
        <left style="thick">
          <color indexed="64"/>
        </left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3.2407407407407406E-2"/>
          <c:w val="0.8966272965879265"/>
          <c:h val="0.69994276757072038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'гениальная работа гения'!$N$16:$N$23</c:f>
              <c:numCache>
                <c:formatCode>General</c:formatCode>
                <c:ptCount val="8"/>
                <c:pt idx="0">
                  <c:v>44.467471824999997</c:v>
                </c:pt>
                <c:pt idx="1">
                  <c:v>44.997391575000009</c:v>
                </c:pt>
                <c:pt idx="2">
                  <c:v>46.254860799999996</c:v>
                </c:pt>
                <c:pt idx="3">
                  <c:v>55.187603324999998</c:v>
                </c:pt>
                <c:pt idx="4">
                  <c:v>62.709726200000006</c:v>
                </c:pt>
                <c:pt idx="5">
                  <c:v>69.912712450000001</c:v>
                </c:pt>
                <c:pt idx="6">
                  <c:v>81.09103829999998</c:v>
                </c:pt>
                <c:pt idx="7">
                  <c:v>99.424286499999994</c:v>
                </c:pt>
              </c:numCache>
            </c:numRef>
          </c:cat>
          <c:val>
            <c:numRef>
              <c:f>'гениальная работа гения'!$O$16:$O$23</c:f>
              <c:numCache>
                <c:formatCode>General</c:formatCode>
                <c:ptCount val="8"/>
                <c:pt idx="0">
                  <c:v>135.82223389212669</c:v>
                </c:pt>
                <c:pt idx="1">
                  <c:v>189.36891059790682</c:v>
                </c:pt>
                <c:pt idx="2">
                  <c:v>286.33461638404839</c:v>
                </c:pt>
                <c:pt idx="3">
                  <c:v>1070.785578409236</c:v>
                </c:pt>
                <c:pt idx="4">
                  <c:v>1722.3691408163736</c:v>
                </c:pt>
                <c:pt idx="5">
                  <c:v>2354.6072622585593</c:v>
                </c:pt>
                <c:pt idx="6">
                  <c:v>3323.985309837512</c:v>
                </c:pt>
                <c:pt idx="7">
                  <c:v>4990.9004323121553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7A-49DA-8CED-6E52EEA0C4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'гениальная работа гения'!$O$16:$O$23</c:f>
              <c:numCache>
                <c:formatCode>General</c:formatCode>
                <c:ptCount val="8"/>
                <c:pt idx="0">
                  <c:v>135.82223389212669</c:v>
                </c:pt>
                <c:pt idx="1">
                  <c:v>189.36891059790682</c:v>
                </c:pt>
                <c:pt idx="2">
                  <c:v>286.33461638404839</c:v>
                </c:pt>
                <c:pt idx="3">
                  <c:v>1070.785578409236</c:v>
                </c:pt>
                <c:pt idx="4">
                  <c:v>1722.3691408163736</c:v>
                </c:pt>
                <c:pt idx="5">
                  <c:v>2354.6072622585593</c:v>
                </c:pt>
                <c:pt idx="6">
                  <c:v>3323.985309837512</c:v>
                </c:pt>
                <c:pt idx="7">
                  <c:v>4990.9004323121553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7A-49DA-8CED-6E52EEA0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531984"/>
        <c:axId val="191453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'гениальная работа гения'!$N$16:$N$23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44.467471824999997</c:v>
                      </c:pt>
                      <c:pt idx="1">
                        <c:v>44.997391575000009</c:v>
                      </c:pt>
                      <c:pt idx="2">
                        <c:v>46.254860799999996</c:v>
                      </c:pt>
                      <c:pt idx="3">
                        <c:v>55.187603324999998</c:v>
                      </c:pt>
                      <c:pt idx="4">
                        <c:v>62.709726200000006</c:v>
                      </c:pt>
                      <c:pt idx="5">
                        <c:v>69.912712450000001</c:v>
                      </c:pt>
                      <c:pt idx="6">
                        <c:v>81.09103829999998</c:v>
                      </c:pt>
                      <c:pt idx="7">
                        <c:v>99.424286499999994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'гениальная работа гения'!$N$16:$N$23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44.467471824999997</c:v>
                      </c:pt>
                      <c:pt idx="1">
                        <c:v>44.997391575000009</c:v>
                      </c:pt>
                      <c:pt idx="2">
                        <c:v>46.254860799999996</c:v>
                      </c:pt>
                      <c:pt idx="3">
                        <c:v>55.187603324999998</c:v>
                      </c:pt>
                      <c:pt idx="4">
                        <c:v>62.709726200000006</c:v>
                      </c:pt>
                      <c:pt idx="5">
                        <c:v>69.912712450000001</c:v>
                      </c:pt>
                      <c:pt idx="6">
                        <c:v>81.09103829999998</c:v>
                      </c:pt>
                      <c:pt idx="7">
                        <c:v>99.424286499999994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697A-49DA-8CED-6E52EEA0C4B6}"/>
                  </c:ext>
                </c:extLst>
              </c15:ser>
            </c15:filteredLineSeries>
          </c:ext>
        </c:extLst>
      </c:lineChart>
      <c:catAx>
        <c:axId val="19145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3648"/>
        <c:crosses val="autoZero"/>
        <c:auto val="1"/>
        <c:lblAlgn val="ctr"/>
        <c:lblOffset val="100"/>
        <c:noMultiLvlLbl val="0"/>
      </c:catAx>
      <c:valAx>
        <c:axId val="1914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'гениальная работа гения'!$O$16:$O$23</c:f>
              <c:numCache>
                <c:formatCode>General</c:formatCode>
                <c:ptCount val="8"/>
                <c:pt idx="0">
                  <c:v>135.82223389212669</c:v>
                </c:pt>
                <c:pt idx="1">
                  <c:v>189.36891059790682</c:v>
                </c:pt>
                <c:pt idx="2">
                  <c:v>286.33461638404839</c:v>
                </c:pt>
                <c:pt idx="3">
                  <c:v>1070.785578409236</c:v>
                </c:pt>
                <c:pt idx="4">
                  <c:v>1722.3691408163736</c:v>
                </c:pt>
                <c:pt idx="5">
                  <c:v>2354.6072622585593</c:v>
                </c:pt>
                <c:pt idx="6">
                  <c:v>3323.985309837512</c:v>
                </c:pt>
                <c:pt idx="7">
                  <c:v>4990.9004323121553</c:v>
                </c:pt>
              </c:numCache>
            </c:numRef>
          </c:xVal>
          <c:yVal>
            <c:numRef>
              <c:f>'гениальная работа гения'!$N$16:$N$23</c:f>
              <c:numCache>
                <c:formatCode>General</c:formatCode>
                <c:ptCount val="8"/>
                <c:pt idx="0">
                  <c:v>44.467471824999997</c:v>
                </c:pt>
                <c:pt idx="1">
                  <c:v>44.997391575000009</c:v>
                </c:pt>
                <c:pt idx="2">
                  <c:v>46.254860799999996</c:v>
                </c:pt>
                <c:pt idx="3">
                  <c:v>55.187603324999998</c:v>
                </c:pt>
                <c:pt idx="4">
                  <c:v>62.709726200000006</c:v>
                </c:pt>
                <c:pt idx="5">
                  <c:v>69.912712450000001</c:v>
                </c:pt>
                <c:pt idx="6">
                  <c:v>81.09103829999998</c:v>
                </c:pt>
                <c:pt idx="7">
                  <c:v>99.424286499999994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479-90A3-CBAD57F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17951"/>
        <c:axId val="1400044159"/>
      </c:scatterChart>
      <c:valAx>
        <c:axId val="14000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44159"/>
        <c:crosses val="autoZero"/>
        <c:crossBetween val="midCat"/>
      </c:valAx>
      <c:valAx>
        <c:axId val="14000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0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791132030594749E-2"/>
          <c:y val="0.19062499999999999"/>
          <c:w val="0.87722794587083608"/>
          <c:h val="0.726955309254821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'гениальная работа гения'!$F$28:$F$35</c:f>
              <c:numCache>
                <c:formatCode>General</c:formatCode>
                <c:ptCount val="8"/>
                <c:pt idx="0">
                  <c:v>11.654279638490175</c:v>
                </c:pt>
                <c:pt idx="1">
                  <c:v>13.761137692716646</c:v>
                </c:pt>
                <c:pt idx="2">
                  <c:v>16.921424774056362</c:v>
                </c:pt>
                <c:pt idx="3">
                  <c:v>32.722860180754921</c:v>
                </c:pt>
                <c:pt idx="4">
                  <c:v>41.501435406698569</c:v>
                </c:pt>
                <c:pt idx="5">
                  <c:v>48.524295587453501</c:v>
                </c:pt>
                <c:pt idx="6">
                  <c:v>57.654013822434877</c:v>
                </c:pt>
                <c:pt idx="7">
                  <c:v>70.646305156831488</c:v>
                </c:pt>
              </c:numCache>
            </c:numRef>
          </c:xVal>
          <c:yVal>
            <c:numRef>
              <c:f>'гениальная работа гения'!$E$28:$E$35</c:f>
              <c:numCache>
                <c:formatCode>General</c:formatCode>
                <c:ptCount val="8"/>
                <c:pt idx="0">
                  <c:v>1.4315</c:v>
                </c:pt>
                <c:pt idx="1">
                  <c:v>1.4205000000000001</c:v>
                </c:pt>
                <c:pt idx="2">
                  <c:v>1.4119999999999999</c:v>
                </c:pt>
                <c:pt idx="3">
                  <c:v>1.4115</c:v>
                </c:pt>
                <c:pt idx="4">
                  <c:v>1.4410000000000001</c:v>
                </c:pt>
                <c:pt idx="5">
                  <c:v>1.4735</c:v>
                </c:pt>
                <c:pt idx="6">
                  <c:v>1.5265</c:v>
                </c:pt>
                <c:pt idx="7">
                  <c:v>1.607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E-499B-A1C4-96F38129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1807"/>
        <c:axId val="1147442623"/>
      </c:scatterChart>
      <c:valAx>
        <c:axId val="114743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442623"/>
        <c:crosses val="autoZero"/>
        <c:crossBetween val="midCat"/>
      </c:valAx>
      <c:valAx>
        <c:axId val="11474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43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110490</xdr:rowOff>
    </xdr:from>
    <xdr:to>
      <xdr:col>17</xdr:col>
      <xdr:colOff>30480</xdr:colOff>
      <xdr:row>42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7089D3-C9AF-4166-8D43-69301630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213360</xdr:colOff>
      <xdr:row>28</xdr:row>
      <xdr:rowOff>64770</xdr:rowOff>
    </xdr:from>
    <xdr:to>
      <xdr:col>31</xdr:col>
      <xdr:colOff>289560</xdr:colOff>
      <xdr:row>53</xdr:row>
      <xdr:rowOff>15240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19C715F-313A-481E-B24C-14B693B4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746760</xdr:colOff>
      <xdr:row>22</xdr:row>
      <xdr:rowOff>49530</xdr:rowOff>
    </xdr:from>
    <xdr:to>
      <xdr:col>6</xdr:col>
      <xdr:colOff>243840</xdr:colOff>
      <xdr:row>37</xdr:row>
      <xdr:rowOff>19050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1A8D5EF-A02D-4E90-8BB6-561C9042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3F856-669F-4177-BDAD-E86244331CBD}" autoFormatId="16" applyNumberFormats="0" applyBorderFormats="0" applyFontFormats="0" applyPatternFormats="0" applyAlignmentFormats="0" applyWidthHeightFormats="0">
  <queryTableRefresh nextId="7">
    <queryTableFields count="6">
      <queryTableField id="1" name="№" tableColumnId="1"/>
      <queryTableField id="2" name="Xц, см" tableColumnId="2"/>
      <queryTableField id="3" name="Tобщий, с" tableColumnId="3"/>
      <queryTableField id="4" name="Nизмерений" tableColumnId="4"/>
      <queryTableField id="5" name="T, с" tableColumnId="5"/>
      <queryTableField id="6" name="y, см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5EBCF58-5870-45B3-9DA7-30E5E7C45905}" autoFormatId="16" applyNumberFormats="0" applyBorderFormats="0" applyFontFormats="0" applyPatternFormats="0" applyAlignmentFormats="0" applyWidthHeightFormats="0">
  <queryTableRefresh nextId="7">
    <queryTableFields count="6">
      <queryTableField id="1" name="№" tableColumnId="1"/>
      <queryTableField id="2" name="Xц, см" tableColumnId="2"/>
      <queryTableField id="3" name="Tобщий, с" tableColumnId="3"/>
      <queryTableField id="4" name="Nизмерений" tableColumnId="4"/>
      <queryTableField id="5" name="T, с" tableColumnId="5"/>
      <queryTableField id="6" name="y, см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865D4-B22B-409C-A9A2-930BB98753F0}" name="Таблица1_2" displayName="Таблица1_2" ref="A1:F10" totalsRowShown="0">
  <autoFilter ref="A1:F10" xr:uid="{820865D4-B22B-409C-A9A2-930BB98753F0}"/>
  <tableColumns count="6">
    <tableColumn id="1" xr3:uid="{F454067B-FEC3-464E-83A0-557DC81977EC}" name="№"/>
    <tableColumn id="2" xr3:uid="{7F65C0D4-68C0-4F68-8788-5FF5331E59D9}" name="Xц, см"/>
    <tableColumn id="3" xr3:uid="{E4B90E4D-D9E4-4C6A-8A98-1A90ACC1E35B}" name="Tобщий, с"/>
    <tableColumn id="4" xr3:uid="{AF23704D-CB47-4E62-9BBB-2F5135A2E8C0}" name="Nизмерений"/>
    <tableColumn id="5" xr3:uid="{AE8FCCD3-AF34-46A1-ADF5-A7FBEF9C9DCB}" name="T, с"/>
    <tableColumn id="6" xr3:uid="{A32D83CB-8401-4752-8A77-F00048254EC0}" name="y, см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52DEF4-81D0-4A13-B73B-6DA96107FD08}" name="Таблица1_3" displayName="Таблица1_3" ref="A1:F10" tableType="queryTable" totalsRowShown="0">
  <autoFilter ref="A1:F10" xr:uid="{4852DEF4-81D0-4A13-B73B-6DA96107FD08}"/>
  <tableColumns count="6">
    <tableColumn id="1" xr3:uid="{63B32DE8-1EF8-4FC7-AF83-BEB891137CD8}" uniqueName="1" name="№" queryTableFieldId="1"/>
    <tableColumn id="2" xr3:uid="{B15E24F3-8834-46AA-9501-E13DC0BE5139}" uniqueName="2" name="Xц, см" queryTableFieldId="2"/>
    <tableColumn id="3" xr3:uid="{5BECAEDA-3DF9-4558-8D6C-0592081E7565}" uniqueName="3" name="Tобщий, с" queryTableFieldId="3"/>
    <tableColumn id="4" xr3:uid="{48222E75-4CB6-4374-BE94-C773CAC5921A}" uniqueName="4" name="Nизмерений" queryTableFieldId="4"/>
    <tableColumn id="5" xr3:uid="{689303D4-CDAA-4605-ABE4-309F5282C493}" uniqueName="5" name="T, с" queryTableFieldId="5"/>
    <tableColumn id="6" xr3:uid="{EDE7F619-5683-4A2C-9377-05FFEC1DB631}" uniqueName="6" name="y, см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DC3C62-9685-4E36-8245-FFB159176AE4}" name="Таблица1_36" displayName="Таблица1_36" ref="C15:H24" tableType="queryTable" totalsRowShown="0">
  <autoFilter ref="C15:H24" xr:uid="{78DC3C62-9685-4E36-8245-FFB159176AE4}"/>
  <tableColumns count="6">
    <tableColumn id="1" xr3:uid="{FD20C7DF-F3FD-4E58-9D39-34573B68CD84}" uniqueName="1" name="№" queryTableFieldId="1"/>
    <tableColumn id="2" xr3:uid="{D55A5284-2F42-41B6-A2D8-A806315ABFAA}" uniqueName="2" name="Xц, см" queryTableFieldId="2"/>
    <tableColumn id="3" xr3:uid="{70F7C772-CF82-4209-A748-21C3164AC3A8}" uniqueName="3" name="Tобщий, с" queryTableFieldId="3"/>
    <tableColumn id="4" xr3:uid="{FE232B65-CC8D-4F3B-A413-46B91C8A2BB1}" uniqueName="4" name="Nизмерений" queryTableFieldId="4"/>
    <tableColumn id="5" xr3:uid="{E6B4BE40-0A5B-48E1-A101-B0DE63242842}" uniqueName="5" name="T, с" queryTableFieldId="5"/>
    <tableColumn id="6" xr3:uid="{EEFBB2D2-7A63-475D-B80D-E666EFAD1BAF}" uniqueName="6" name="y, см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446A0-1EFE-4F0F-B134-232BC1A8494B}" name="Таблица1" displayName="Таблица1" ref="A26:F35" totalsRowShown="0" headerRowDxfId="5" tableBorderDxfId="4">
  <autoFilter ref="A26:F35" xr:uid="{2AC446A0-1EFE-4F0F-B134-232BC1A8494B}"/>
  <tableColumns count="6">
    <tableColumn id="1" xr3:uid="{14BF4D22-528D-4CCE-B117-02ED0A68962E}" name="Столбец1" dataDxfId="3"/>
    <tableColumn id="2" xr3:uid="{3B47D3F7-1F90-427B-975C-3126773943A3}" name="Xц, см" dataDxfId="2"/>
    <tableColumn id="3" xr3:uid="{A6448D2B-8351-4067-9FBC-861D72ADCB4C}" name="Tобщий, с" dataDxfId="1"/>
    <tableColumn id="4" xr3:uid="{4C54D50F-8F42-4B3E-AAE2-9710F9751255}" name="Nизмерений" dataDxfId="0"/>
    <tableColumn id="5" xr3:uid="{39E642CC-7CE3-4E9D-9DE9-0CC148EF805D}" name="T, с">
      <calculatedColumnFormula>C27/D27</calculatedColumnFormula>
    </tableColumn>
    <tableColumn id="6" xr3:uid="{E5A64057-C879-4E19-8715-76CBD413CD3F}" name="y, см">
      <calculatedColumnFormula>(($A$12 + $B$12 + $C$12) * (B27) - ($B$12 + $C$12) *  $D$12) / $A$12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A0F-3C99-430D-9D68-A2E373C47F2B}">
  <dimension ref="A1:J32"/>
  <sheetViews>
    <sheetView zoomScaleNormal="100" workbookViewId="0">
      <selection activeCell="B3" sqref="B3"/>
    </sheetView>
  </sheetViews>
  <sheetFormatPr defaultRowHeight="14.4" x14ac:dyDescent="0.3"/>
  <cols>
    <col min="1" max="1" width="4.88671875" customWidth="1"/>
    <col min="2" max="2" width="5.6640625" customWidth="1"/>
    <col min="3" max="3" width="9.33203125" customWidth="1"/>
    <col min="5" max="5" width="2.33203125" customWidth="1"/>
    <col min="8" max="9" width="8.33203125" customWidth="1"/>
    <col min="10" max="10" width="8.88671875" customWidth="1"/>
  </cols>
  <sheetData>
    <row r="1" spans="1:10" ht="26.4" customHeight="1" thickBot="1" x14ac:dyDescent="0.35">
      <c r="A1" s="55" t="s">
        <v>7</v>
      </c>
      <c r="B1" s="55"/>
      <c r="C1" s="55"/>
      <c r="D1" s="55"/>
      <c r="F1" s="56" t="s">
        <v>5</v>
      </c>
      <c r="G1" s="56"/>
      <c r="H1" s="56"/>
      <c r="I1" s="56"/>
      <c r="J1" s="56"/>
    </row>
    <row r="2" spans="1:10" ht="16.2" thickTop="1" x14ac:dyDescent="0.3">
      <c r="A2" s="22" t="s">
        <v>0</v>
      </c>
      <c r="B2" s="15" t="s">
        <v>1</v>
      </c>
      <c r="C2" s="15" t="s">
        <v>3</v>
      </c>
      <c r="D2" s="16" t="s">
        <v>2</v>
      </c>
      <c r="F2" s="4" t="s">
        <v>0</v>
      </c>
      <c r="G2" s="5" t="s">
        <v>4</v>
      </c>
      <c r="H2" s="5" t="s">
        <v>3</v>
      </c>
      <c r="I2" s="5" t="s">
        <v>9</v>
      </c>
      <c r="J2" s="27" t="s">
        <v>2</v>
      </c>
    </row>
    <row r="3" spans="1:10" x14ac:dyDescent="0.3">
      <c r="A3" s="18">
        <v>1</v>
      </c>
      <c r="B3" s="2"/>
      <c r="C3" s="2"/>
      <c r="D3" s="8"/>
      <c r="F3" s="7">
        <v>1</v>
      </c>
      <c r="G3" s="2"/>
      <c r="H3" s="2"/>
      <c r="I3" s="2"/>
      <c r="J3" s="23"/>
    </row>
    <row r="4" spans="1:10" x14ac:dyDescent="0.3">
      <c r="A4" s="18">
        <v>2</v>
      </c>
      <c r="B4" s="2"/>
      <c r="C4" s="2"/>
      <c r="D4" s="8"/>
      <c r="F4" s="7">
        <v>2</v>
      </c>
      <c r="G4" s="2"/>
      <c r="H4" s="2"/>
      <c r="I4" s="2"/>
      <c r="J4" s="23"/>
    </row>
    <row r="5" spans="1:10" ht="15" thickBot="1" x14ac:dyDescent="0.35">
      <c r="A5" s="19">
        <v>3</v>
      </c>
      <c r="B5" s="3"/>
      <c r="C5" s="3"/>
      <c r="D5" s="10"/>
      <c r="F5" s="11">
        <v>3</v>
      </c>
      <c r="G5" s="12"/>
      <c r="H5" s="12"/>
      <c r="I5" s="12"/>
      <c r="J5" s="26"/>
    </row>
    <row r="6" spans="1:10" ht="15" thickTop="1" x14ac:dyDescent="0.3">
      <c r="A6" s="17">
        <v>4</v>
      </c>
      <c r="B6" s="1"/>
      <c r="C6" s="1"/>
      <c r="D6" s="14"/>
    </row>
    <row r="7" spans="1:10" ht="15" thickBot="1" x14ac:dyDescent="0.35">
      <c r="A7" s="18">
        <v>5</v>
      </c>
      <c r="B7" s="2"/>
      <c r="C7" s="2"/>
      <c r="D7" s="8"/>
      <c r="F7" s="57" t="s">
        <v>6</v>
      </c>
      <c r="G7" s="57"/>
      <c r="H7" s="57"/>
      <c r="I7" s="57"/>
      <c r="J7" s="57"/>
    </row>
    <row r="8" spans="1:10" ht="16.2" thickBot="1" x14ac:dyDescent="0.35">
      <c r="A8" s="19">
        <v>6</v>
      </c>
      <c r="B8" s="3"/>
      <c r="C8" s="3"/>
      <c r="D8" s="10"/>
      <c r="F8" s="4" t="s">
        <v>0</v>
      </c>
      <c r="G8" s="5" t="s">
        <v>1</v>
      </c>
      <c r="H8" s="5" t="s">
        <v>3</v>
      </c>
      <c r="I8" s="5" t="s">
        <v>9</v>
      </c>
      <c r="J8" s="6" t="s">
        <v>2</v>
      </c>
    </row>
    <row r="9" spans="1:10" ht="15" thickTop="1" x14ac:dyDescent="0.3">
      <c r="A9" s="20">
        <v>7</v>
      </c>
      <c r="B9" s="1"/>
      <c r="C9" s="1"/>
      <c r="D9" s="14"/>
      <c r="F9" s="7">
        <v>1</v>
      </c>
      <c r="G9" s="2"/>
      <c r="H9" s="2"/>
      <c r="I9" s="2"/>
      <c r="J9" s="23"/>
    </row>
    <row r="10" spans="1:10" x14ac:dyDescent="0.3">
      <c r="A10" s="18">
        <v>8</v>
      </c>
      <c r="B10" s="2"/>
      <c r="C10" s="2"/>
      <c r="D10" s="8"/>
      <c r="F10" s="7">
        <v>2</v>
      </c>
      <c r="G10" s="2"/>
      <c r="H10" s="2"/>
      <c r="I10" s="2"/>
      <c r="J10" s="23"/>
    </row>
    <row r="11" spans="1:10" ht="15" thickBot="1" x14ac:dyDescent="0.35">
      <c r="A11" s="19">
        <v>9</v>
      </c>
      <c r="B11" s="3"/>
      <c r="C11" s="3"/>
      <c r="D11" s="10"/>
      <c r="F11" s="9">
        <v>3</v>
      </c>
      <c r="G11" s="3"/>
      <c r="H11" s="3"/>
      <c r="I11" s="3"/>
      <c r="J11" s="24"/>
    </row>
    <row r="12" spans="1:10" ht="15" thickTop="1" x14ac:dyDescent="0.3">
      <c r="A12" s="20">
        <v>10</v>
      </c>
      <c r="B12" s="1"/>
      <c r="C12" s="1"/>
      <c r="D12" s="14"/>
      <c r="F12" s="28">
        <v>1</v>
      </c>
      <c r="G12" s="1"/>
      <c r="H12" s="1"/>
      <c r="I12" s="1"/>
      <c r="J12" s="25"/>
    </row>
    <row r="13" spans="1:10" x14ac:dyDescent="0.3">
      <c r="A13" s="18">
        <v>11</v>
      </c>
      <c r="B13" s="2"/>
      <c r="C13" s="2"/>
      <c r="D13" s="8"/>
      <c r="F13" s="7">
        <v>2</v>
      </c>
      <c r="G13" s="2"/>
      <c r="H13" s="2"/>
      <c r="I13" s="2"/>
      <c r="J13" s="23"/>
    </row>
    <row r="14" spans="1:10" ht="15" thickBot="1" x14ac:dyDescent="0.35">
      <c r="A14" s="19">
        <v>12</v>
      </c>
      <c r="B14" s="3"/>
      <c r="C14" s="3"/>
      <c r="D14" s="10"/>
      <c r="F14" s="11">
        <v>3</v>
      </c>
      <c r="G14" s="12"/>
      <c r="H14" s="12"/>
      <c r="I14" s="12"/>
      <c r="J14" s="26"/>
    </row>
    <row r="15" spans="1:10" ht="15" thickTop="1" x14ac:dyDescent="0.3">
      <c r="A15" s="20">
        <v>13</v>
      </c>
      <c r="B15" s="1"/>
      <c r="C15" s="1"/>
      <c r="D15" s="14"/>
    </row>
    <row r="16" spans="1:10" x14ac:dyDescent="0.3">
      <c r="A16" s="18">
        <v>14</v>
      </c>
      <c r="B16" s="2"/>
      <c r="C16" s="2"/>
      <c r="D16" s="8"/>
      <c r="F16" s="58" t="s">
        <v>8</v>
      </c>
      <c r="G16" s="58"/>
      <c r="H16" s="58"/>
      <c r="I16" s="58"/>
      <c r="J16" s="58"/>
    </row>
    <row r="17" spans="1:10" ht="15" thickBot="1" x14ac:dyDescent="0.35">
      <c r="A17" s="19">
        <v>15</v>
      </c>
      <c r="B17" s="3"/>
      <c r="C17" s="3"/>
      <c r="D17" s="10"/>
      <c r="F17" s="59"/>
      <c r="G17" s="59"/>
      <c r="H17" s="59"/>
      <c r="I17" s="59"/>
      <c r="J17" s="59"/>
    </row>
    <row r="18" spans="1:10" ht="16.2" thickTop="1" x14ac:dyDescent="0.3">
      <c r="A18" s="20">
        <v>16</v>
      </c>
      <c r="B18" s="1"/>
      <c r="C18" s="1"/>
      <c r="D18" s="14"/>
      <c r="F18" s="4" t="s">
        <v>0</v>
      </c>
      <c r="G18" s="5" t="s">
        <v>1</v>
      </c>
      <c r="H18" s="5" t="s">
        <v>3</v>
      </c>
      <c r="I18" s="5" t="s">
        <v>9</v>
      </c>
      <c r="J18" s="6" t="s">
        <v>2</v>
      </c>
    </row>
    <row r="19" spans="1:10" x14ac:dyDescent="0.3">
      <c r="A19" s="18">
        <v>17</v>
      </c>
      <c r="B19" s="2"/>
      <c r="C19" s="2"/>
      <c r="D19" s="8"/>
      <c r="F19" s="7">
        <v>1</v>
      </c>
      <c r="G19" s="2"/>
      <c r="H19" s="2"/>
      <c r="I19" s="2"/>
      <c r="J19" s="23"/>
    </row>
    <row r="20" spans="1:10" ht="15" thickBot="1" x14ac:dyDescent="0.35">
      <c r="A20" s="19">
        <v>18</v>
      </c>
      <c r="B20" s="3"/>
      <c r="C20" s="3"/>
      <c r="D20" s="10"/>
      <c r="F20" s="7">
        <v>2</v>
      </c>
      <c r="G20" s="2"/>
      <c r="H20" s="2"/>
      <c r="I20" s="2"/>
      <c r="J20" s="23"/>
    </row>
    <row r="21" spans="1:10" ht="15.6" thickTop="1" thickBot="1" x14ac:dyDescent="0.35">
      <c r="A21" s="17">
        <v>19</v>
      </c>
      <c r="B21" s="1"/>
      <c r="C21" s="1"/>
      <c r="D21" s="14"/>
      <c r="F21" s="9">
        <v>3</v>
      </c>
      <c r="G21" s="3"/>
      <c r="H21" s="3"/>
      <c r="I21" s="3"/>
      <c r="J21" s="24"/>
    </row>
    <row r="22" spans="1:10" ht="15" thickTop="1" x14ac:dyDescent="0.3">
      <c r="A22" s="18">
        <v>20</v>
      </c>
      <c r="B22" s="2"/>
      <c r="C22" s="2"/>
      <c r="D22" s="8"/>
      <c r="F22" s="28">
        <v>4</v>
      </c>
      <c r="G22" s="1"/>
      <c r="H22" s="1"/>
      <c r="I22" s="1"/>
      <c r="J22" s="25"/>
    </row>
    <row r="23" spans="1:10" ht="15" thickBot="1" x14ac:dyDescent="0.35">
      <c r="A23" s="19">
        <v>21</v>
      </c>
      <c r="B23" s="3"/>
      <c r="C23" s="3"/>
      <c r="D23" s="10"/>
      <c r="F23" s="7">
        <v>5</v>
      </c>
      <c r="G23" s="2"/>
      <c r="H23" s="2"/>
      <c r="I23" s="2"/>
      <c r="J23" s="23"/>
    </row>
    <row r="24" spans="1:10" ht="15.6" thickTop="1" thickBot="1" x14ac:dyDescent="0.35">
      <c r="A24" s="20">
        <v>22</v>
      </c>
      <c r="B24" s="1"/>
      <c r="C24" s="1"/>
      <c r="D24" s="14"/>
      <c r="F24" s="11">
        <v>6</v>
      </c>
      <c r="G24" s="12"/>
      <c r="H24" s="12"/>
      <c r="I24" s="12"/>
      <c r="J24" s="26"/>
    </row>
    <row r="25" spans="1:10" x14ac:dyDescent="0.3">
      <c r="A25" s="18">
        <v>23</v>
      </c>
      <c r="B25" s="2"/>
      <c r="C25" s="2"/>
      <c r="D25" s="8"/>
    </row>
    <row r="26" spans="1:10" ht="15" thickBot="1" x14ac:dyDescent="0.35">
      <c r="A26" s="19">
        <v>24</v>
      </c>
      <c r="B26" s="3"/>
      <c r="C26" s="3"/>
      <c r="D26" s="10"/>
    </row>
    <row r="27" spans="1:10" ht="15" thickTop="1" x14ac:dyDescent="0.3">
      <c r="A27" s="20">
        <v>25</v>
      </c>
      <c r="B27" s="1"/>
      <c r="C27" s="1"/>
      <c r="D27" s="14"/>
    </row>
    <row r="28" spans="1:10" x14ac:dyDescent="0.3">
      <c r="A28" s="18">
        <v>26</v>
      </c>
      <c r="B28" s="2"/>
      <c r="C28" s="2"/>
      <c r="D28" s="8"/>
    </row>
    <row r="29" spans="1:10" ht="15" thickBot="1" x14ac:dyDescent="0.35">
      <c r="A29" s="19">
        <v>27</v>
      </c>
      <c r="B29" s="3"/>
      <c r="C29" s="3"/>
      <c r="D29" s="10"/>
    </row>
    <row r="30" spans="1:10" ht="15" thickTop="1" x14ac:dyDescent="0.3">
      <c r="A30" s="20">
        <v>28</v>
      </c>
      <c r="B30" s="1"/>
      <c r="C30" s="1"/>
      <c r="D30" s="14"/>
    </row>
    <row r="31" spans="1:10" x14ac:dyDescent="0.3">
      <c r="A31" s="18">
        <v>29</v>
      </c>
      <c r="B31" s="2"/>
      <c r="C31" s="2"/>
      <c r="D31" s="8"/>
    </row>
    <row r="32" spans="1:10" ht="15" thickBot="1" x14ac:dyDescent="0.35">
      <c r="A32" s="21">
        <v>30</v>
      </c>
      <c r="B32" s="12"/>
      <c r="C32" s="12"/>
      <c r="D32" s="13"/>
    </row>
  </sheetData>
  <mergeCells count="4">
    <mergeCell ref="A1:D1"/>
    <mergeCell ref="F1:J1"/>
    <mergeCell ref="F7:J7"/>
    <mergeCell ref="F16:J17"/>
  </mergeCells>
  <pageMargins left="0.23622047244094491" right="0.23622047244094491" top="0.74803149606299213" bottom="0.74803149606299213" header="0.31496062992125984" footer="0.31496062992125984"/>
  <pageSetup paperSize="9" scale="133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0F62-FA51-4CBF-998A-CDCD208A8643}">
  <dimension ref="A1:F10"/>
  <sheetViews>
    <sheetView workbookViewId="0">
      <selection activeCell="H9" sqref="H9"/>
    </sheetView>
  </sheetViews>
  <sheetFormatPr defaultRowHeight="14.4" x14ac:dyDescent="0.3"/>
  <cols>
    <col min="1" max="1" width="11.44140625" bestFit="1" customWidth="1"/>
    <col min="2" max="2" width="8.77734375" bestFit="1" customWidth="1"/>
    <col min="3" max="3" width="12.109375" bestFit="1" customWidth="1"/>
    <col min="4" max="4" width="14.44140625" bestFit="1" customWidth="1"/>
    <col min="5" max="5" width="7" bestFit="1" customWidth="1"/>
    <col min="6" max="6" width="12" bestFit="1" customWidth="1"/>
  </cols>
  <sheetData>
    <row r="1" spans="1:6" x14ac:dyDescent="0.3">
      <c r="A1" t="s">
        <v>0</v>
      </c>
      <c r="B1" t="s">
        <v>69</v>
      </c>
      <c r="C1" t="s">
        <v>85</v>
      </c>
      <c r="D1" t="s">
        <v>86</v>
      </c>
      <c r="E1" t="s">
        <v>9</v>
      </c>
      <c r="F1" t="s">
        <v>61</v>
      </c>
    </row>
    <row r="2" spans="1:6" x14ac:dyDescent="0.3">
      <c r="A2" t="s">
        <v>45</v>
      </c>
      <c r="B2">
        <v>25.7</v>
      </c>
      <c r="C2">
        <v>30.57</v>
      </c>
      <c r="D2">
        <v>20</v>
      </c>
      <c r="E2">
        <v>1.5285</v>
      </c>
    </row>
    <row r="3" spans="1:6" x14ac:dyDescent="0.3">
      <c r="A3">
        <v>2</v>
      </c>
      <c r="B3">
        <v>21.7</v>
      </c>
      <c r="C3">
        <v>28.63</v>
      </c>
      <c r="D3">
        <v>20</v>
      </c>
      <c r="E3">
        <v>1.4315</v>
      </c>
      <c r="F3">
        <v>11.654279638490175</v>
      </c>
    </row>
    <row r="4" spans="1:6" x14ac:dyDescent="0.3">
      <c r="A4">
        <v>3</v>
      </c>
      <c r="B4">
        <v>22.3</v>
      </c>
      <c r="C4">
        <v>28.41</v>
      </c>
      <c r="D4">
        <v>20</v>
      </c>
      <c r="E4">
        <v>1.4205000000000001</v>
      </c>
      <c r="F4">
        <v>13.761137692716646</v>
      </c>
    </row>
    <row r="5" spans="1:6" x14ac:dyDescent="0.3">
      <c r="A5">
        <v>4</v>
      </c>
      <c r="B5">
        <v>23.2</v>
      </c>
      <c r="C5">
        <v>28.24</v>
      </c>
      <c r="D5">
        <v>20</v>
      </c>
      <c r="E5">
        <v>1.4119999999999999</v>
      </c>
      <c r="F5">
        <v>16.921424774056362</v>
      </c>
    </row>
    <row r="6" spans="1:6" x14ac:dyDescent="0.3">
      <c r="A6">
        <v>5</v>
      </c>
      <c r="B6">
        <v>27.7</v>
      </c>
      <c r="C6">
        <v>28.23</v>
      </c>
      <c r="D6">
        <v>20</v>
      </c>
      <c r="E6">
        <v>1.4115</v>
      </c>
      <c r="F6">
        <v>32.722860180754921</v>
      </c>
    </row>
    <row r="7" spans="1:6" x14ac:dyDescent="0.3">
      <c r="A7">
        <v>6</v>
      </c>
      <c r="B7">
        <v>30.2</v>
      </c>
      <c r="C7">
        <v>28.82</v>
      </c>
      <c r="D7">
        <v>20</v>
      </c>
      <c r="E7">
        <v>1.4410000000000001</v>
      </c>
      <c r="F7">
        <v>41.501435406698569</v>
      </c>
    </row>
    <row r="8" spans="1:6" x14ac:dyDescent="0.3">
      <c r="A8">
        <v>7</v>
      </c>
      <c r="B8">
        <v>32.200000000000003</v>
      </c>
      <c r="C8">
        <v>29.47</v>
      </c>
      <c r="D8">
        <v>20</v>
      </c>
      <c r="E8">
        <v>1.4735</v>
      </c>
      <c r="F8">
        <v>48.524295587453501</v>
      </c>
    </row>
    <row r="9" spans="1:6" x14ac:dyDescent="0.3">
      <c r="A9">
        <v>8</v>
      </c>
      <c r="B9">
        <v>34.799999999999997</v>
      </c>
      <c r="C9">
        <v>30.53</v>
      </c>
      <c r="D9">
        <v>20</v>
      </c>
      <c r="E9">
        <v>1.5265</v>
      </c>
      <c r="F9">
        <v>57.654013822434877</v>
      </c>
    </row>
    <row r="10" spans="1:6" x14ac:dyDescent="0.3">
      <c r="A10">
        <v>9</v>
      </c>
      <c r="B10">
        <v>38.5</v>
      </c>
      <c r="C10">
        <v>32.14</v>
      </c>
      <c r="D10">
        <v>20</v>
      </c>
      <c r="E10">
        <v>1.607</v>
      </c>
      <c r="F10">
        <v>70.646305156831488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FE4D-A262-4F6A-A6BF-D917698EBB7B}">
  <dimension ref="A1:P24"/>
  <sheetViews>
    <sheetView workbookViewId="0">
      <selection activeCell="C15" sqref="C15:H24"/>
    </sheetView>
  </sheetViews>
  <sheetFormatPr defaultRowHeight="14.4" x14ac:dyDescent="0.3"/>
  <cols>
    <col min="1" max="1" width="11.44140625" bestFit="1" customWidth="1"/>
    <col min="2" max="2" width="8.77734375" bestFit="1" customWidth="1"/>
    <col min="3" max="3" width="12.109375" bestFit="1" customWidth="1"/>
    <col min="4" max="4" width="14.44140625" bestFit="1" customWidth="1"/>
    <col min="5" max="5" width="7" bestFit="1" customWidth="1"/>
    <col min="6" max="6" width="12" bestFit="1" customWidth="1"/>
  </cols>
  <sheetData>
    <row r="1" spans="1:16" x14ac:dyDescent="0.3">
      <c r="A1" t="s">
        <v>0</v>
      </c>
      <c r="B1" t="s">
        <v>69</v>
      </c>
      <c r="C1" t="s">
        <v>85</v>
      </c>
      <c r="D1" t="s">
        <v>86</v>
      </c>
      <c r="E1" t="s">
        <v>9</v>
      </c>
      <c r="F1" t="s">
        <v>61</v>
      </c>
    </row>
    <row r="2" spans="1:16" x14ac:dyDescent="0.3">
      <c r="A2" t="s">
        <v>45</v>
      </c>
      <c r="B2">
        <v>25.7</v>
      </c>
      <c r="C2">
        <v>30.57</v>
      </c>
      <c r="D2">
        <v>20</v>
      </c>
      <c r="E2">
        <v>1.5285</v>
      </c>
    </row>
    <row r="3" spans="1:16" x14ac:dyDescent="0.3">
      <c r="A3">
        <v>2</v>
      </c>
      <c r="B3">
        <v>21.7</v>
      </c>
      <c r="C3">
        <v>28.63</v>
      </c>
      <c r="D3">
        <v>20</v>
      </c>
      <c r="E3">
        <v>1.4315</v>
      </c>
      <c r="F3">
        <v>11.654279638490175</v>
      </c>
    </row>
    <row r="4" spans="1:16" x14ac:dyDescent="0.3">
      <c r="A4">
        <v>3</v>
      </c>
      <c r="B4">
        <v>22.3</v>
      </c>
      <c r="C4">
        <v>28.41</v>
      </c>
      <c r="D4">
        <v>20</v>
      </c>
      <c r="E4">
        <v>1.4205000000000001</v>
      </c>
      <c r="F4">
        <v>13.761137692716646</v>
      </c>
    </row>
    <row r="5" spans="1:16" x14ac:dyDescent="0.3">
      <c r="A5">
        <v>4</v>
      </c>
      <c r="B5">
        <v>23.2</v>
      </c>
      <c r="C5">
        <v>28.24</v>
      </c>
      <c r="D5">
        <v>20</v>
      </c>
      <c r="E5">
        <v>1.4119999999999999</v>
      </c>
      <c r="F5">
        <v>16.921424774056362</v>
      </c>
    </row>
    <row r="6" spans="1:16" x14ac:dyDescent="0.3">
      <c r="A6">
        <v>5</v>
      </c>
      <c r="B6">
        <v>27.7</v>
      </c>
      <c r="C6">
        <v>28.23</v>
      </c>
      <c r="D6">
        <v>20</v>
      </c>
      <c r="E6">
        <v>1.4115</v>
      </c>
      <c r="F6">
        <v>32.722860180754921</v>
      </c>
    </row>
    <row r="7" spans="1:16" x14ac:dyDescent="0.3">
      <c r="A7">
        <v>6</v>
      </c>
      <c r="B7">
        <v>30.2</v>
      </c>
      <c r="C7">
        <v>28.82</v>
      </c>
      <c r="D7">
        <v>20</v>
      </c>
      <c r="E7">
        <v>1.4410000000000001</v>
      </c>
      <c r="F7">
        <v>41.501435406698569</v>
      </c>
    </row>
    <row r="8" spans="1:16" x14ac:dyDescent="0.3">
      <c r="A8">
        <v>7</v>
      </c>
      <c r="B8">
        <v>32.200000000000003</v>
      </c>
      <c r="C8">
        <v>29.47</v>
      </c>
      <c r="D8">
        <v>20</v>
      </c>
      <c r="E8">
        <v>1.4735</v>
      </c>
      <c r="F8">
        <v>48.524295587453501</v>
      </c>
      <c r="K8" s="72" t="s">
        <v>0</v>
      </c>
      <c r="L8" s="72" t="s">
        <v>69</v>
      </c>
      <c r="M8" s="72" t="s">
        <v>85</v>
      </c>
      <c r="N8" s="72" t="s">
        <v>86</v>
      </c>
      <c r="O8" s="72" t="s">
        <v>9</v>
      </c>
      <c r="P8" s="72" t="s">
        <v>61</v>
      </c>
    </row>
    <row r="9" spans="1:16" x14ac:dyDescent="0.3">
      <c r="A9">
        <v>8</v>
      </c>
      <c r="B9">
        <v>34.799999999999997</v>
      </c>
      <c r="C9">
        <v>30.53</v>
      </c>
      <c r="D9">
        <v>20</v>
      </c>
      <c r="E9">
        <v>1.5265</v>
      </c>
      <c r="F9">
        <v>57.654013822434877</v>
      </c>
      <c r="K9" s="72" t="s">
        <v>45</v>
      </c>
      <c r="L9" s="72">
        <v>257</v>
      </c>
      <c r="M9" s="72">
        <v>3057</v>
      </c>
      <c r="N9" s="72">
        <v>20</v>
      </c>
      <c r="O9" s="72">
        <v>15285</v>
      </c>
      <c r="P9" s="72" t="s">
        <v>87</v>
      </c>
    </row>
    <row r="10" spans="1:16" x14ac:dyDescent="0.3">
      <c r="A10">
        <v>9</v>
      </c>
      <c r="B10">
        <v>38.5</v>
      </c>
      <c r="C10">
        <v>32.14</v>
      </c>
      <c r="D10">
        <v>20</v>
      </c>
      <c r="E10">
        <v>1.607</v>
      </c>
      <c r="F10">
        <v>70.646305156831488</v>
      </c>
      <c r="K10" s="72">
        <v>2</v>
      </c>
      <c r="L10" s="72">
        <v>217</v>
      </c>
      <c r="M10" s="72">
        <v>2863</v>
      </c>
      <c r="N10" s="72">
        <v>20</v>
      </c>
      <c r="O10" s="72">
        <v>14315</v>
      </c>
      <c r="P10" s="72">
        <v>1.16542796384901E+16</v>
      </c>
    </row>
    <row r="11" spans="1:16" x14ac:dyDescent="0.3">
      <c r="K11" s="72">
        <v>3</v>
      </c>
      <c r="L11" s="72">
        <v>223</v>
      </c>
      <c r="M11" s="72">
        <v>2841</v>
      </c>
      <c r="N11" s="72">
        <v>20</v>
      </c>
      <c r="O11" s="72">
        <v>14205</v>
      </c>
      <c r="P11" s="72">
        <v>1.37611376927166E+16</v>
      </c>
    </row>
    <row r="12" spans="1:16" x14ac:dyDescent="0.3">
      <c r="K12" s="72">
        <v>4</v>
      </c>
      <c r="L12" s="72">
        <v>232</v>
      </c>
      <c r="M12" s="72">
        <v>2824</v>
      </c>
      <c r="N12" s="72">
        <v>20</v>
      </c>
      <c r="O12" s="72">
        <v>1412</v>
      </c>
      <c r="P12" s="72">
        <v>1.69214247740563E+16</v>
      </c>
    </row>
    <row r="13" spans="1:16" x14ac:dyDescent="0.3">
      <c r="K13" s="72">
        <v>5</v>
      </c>
      <c r="L13" s="72">
        <v>277</v>
      </c>
      <c r="M13" s="72">
        <v>2823</v>
      </c>
      <c r="N13" s="72">
        <v>20</v>
      </c>
      <c r="O13" s="72">
        <v>14115</v>
      </c>
      <c r="P13" s="72">
        <v>3.27228601807549E+16</v>
      </c>
    </row>
    <row r="14" spans="1:16" x14ac:dyDescent="0.3">
      <c r="K14" s="72">
        <v>6</v>
      </c>
      <c r="L14" s="72">
        <v>302</v>
      </c>
      <c r="M14" s="72">
        <v>2882</v>
      </c>
      <c r="N14" s="72">
        <v>20</v>
      </c>
      <c r="O14" s="72">
        <v>1441</v>
      </c>
      <c r="P14" s="72">
        <v>4.1501435406698496E+16</v>
      </c>
    </row>
    <row r="15" spans="1:16" x14ac:dyDescent="0.3">
      <c r="C15" t="s">
        <v>0</v>
      </c>
      <c r="D15" t="s">
        <v>69</v>
      </c>
      <c r="E15" t="s">
        <v>85</v>
      </c>
      <c r="F15" t="s">
        <v>86</v>
      </c>
      <c r="G15" t="s">
        <v>9</v>
      </c>
      <c r="H15" t="s">
        <v>61</v>
      </c>
      <c r="K15" s="72">
        <v>7</v>
      </c>
      <c r="L15" s="72">
        <v>322</v>
      </c>
      <c r="M15" s="72">
        <v>2947</v>
      </c>
      <c r="N15" s="72">
        <v>20</v>
      </c>
      <c r="O15" s="72">
        <v>14735</v>
      </c>
      <c r="P15" s="72">
        <v>485242955874535</v>
      </c>
    </row>
    <row r="16" spans="1:16" x14ac:dyDescent="0.3">
      <c r="C16" t="s">
        <v>45</v>
      </c>
      <c r="D16">
        <v>25.7</v>
      </c>
      <c r="E16">
        <v>30.57</v>
      </c>
      <c r="F16">
        <v>20</v>
      </c>
      <c r="G16">
        <v>1.5285</v>
      </c>
      <c r="K16" s="72">
        <v>8</v>
      </c>
      <c r="L16" s="72">
        <v>348</v>
      </c>
      <c r="M16" s="72">
        <v>3053</v>
      </c>
      <c r="N16" s="72">
        <v>20</v>
      </c>
      <c r="O16" s="72">
        <v>15265</v>
      </c>
      <c r="P16" s="72">
        <v>5.76540138224348E+16</v>
      </c>
    </row>
    <row r="17" spans="3:16" x14ac:dyDescent="0.3">
      <c r="C17">
        <v>2</v>
      </c>
      <c r="D17">
        <v>21.7</v>
      </c>
      <c r="E17">
        <v>28.63</v>
      </c>
      <c r="F17">
        <v>20</v>
      </c>
      <c r="G17">
        <v>1.4315</v>
      </c>
      <c r="H17">
        <v>11.654279638490175</v>
      </c>
      <c r="K17" s="72">
        <v>9</v>
      </c>
      <c r="L17" s="72">
        <v>385</v>
      </c>
      <c r="M17" s="72">
        <v>3214</v>
      </c>
      <c r="N17" s="72">
        <v>20</v>
      </c>
      <c r="O17" s="72">
        <v>1607</v>
      </c>
      <c r="P17" s="72">
        <v>7.06463051568314E+16</v>
      </c>
    </row>
    <row r="18" spans="3:16" x14ac:dyDescent="0.3">
      <c r="C18">
        <v>3</v>
      </c>
      <c r="D18">
        <v>22.3</v>
      </c>
      <c r="E18">
        <v>28.41</v>
      </c>
      <c r="F18">
        <v>20</v>
      </c>
      <c r="G18">
        <v>1.4205000000000001</v>
      </c>
      <c r="H18">
        <v>13.761137692716646</v>
      </c>
    </row>
    <row r="19" spans="3:16" x14ac:dyDescent="0.3">
      <c r="C19">
        <v>4</v>
      </c>
      <c r="D19">
        <v>23.2</v>
      </c>
      <c r="E19">
        <v>28.24</v>
      </c>
      <c r="F19">
        <v>20</v>
      </c>
      <c r="G19">
        <v>1.4119999999999999</v>
      </c>
      <c r="H19">
        <v>16.921424774056362</v>
      </c>
    </row>
    <row r="20" spans="3:16" x14ac:dyDescent="0.3">
      <c r="C20">
        <v>5</v>
      </c>
      <c r="D20">
        <v>27.7</v>
      </c>
      <c r="E20">
        <v>28.23</v>
      </c>
      <c r="F20">
        <v>20</v>
      </c>
      <c r="G20">
        <v>1.4115</v>
      </c>
      <c r="H20">
        <v>32.722860180754921</v>
      </c>
    </row>
    <row r="21" spans="3:16" x14ac:dyDescent="0.3">
      <c r="C21">
        <v>6</v>
      </c>
      <c r="D21">
        <v>30.2</v>
      </c>
      <c r="E21">
        <v>28.82</v>
      </c>
      <c r="F21">
        <v>20</v>
      </c>
      <c r="G21">
        <v>1.4410000000000001</v>
      </c>
      <c r="H21">
        <v>41.501435406698569</v>
      </c>
    </row>
    <row r="22" spans="3:16" x14ac:dyDescent="0.3">
      <c r="C22">
        <v>7</v>
      </c>
      <c r="D22">
        <v>32.200000000000003</v>
      </c>
      <c r="E22">
        <v>29.47</v>
      </c>
      <c r="F22">
        <v>20</v>
      </c>
      <c r="G22">
        <v>1.4735</v>
      </c>
      <c r="H22">
        <v>48.524295587453501</v>
      </c>
    </row>
    <row r="23" spans="3:16" x14ac:dyDescent="0.3">
      <c r="C23">
        <v>8</v>
      </c>
      <c r="D23">
        <v>34.799999999999997</v>
      </c>
      <c r="E23">
        <v>30.53</v>
      </c>
      <c r="F23">
        <v>20</v>
      </c>
      <c r="G23">
        <v>1.5265</v>
      </c>
      <c r="H23">
        <v>57.654013822434877</v>
      </c>
    </row>
    <row r="24" spans="3:16" x14ac:dyDescent="0.3">
      <c r="C24">
        <v>9</v>
      </c>
      <c r="D24">
        <v>38.5</v>
      </c>
      <c r="E24">
        <v>32.14</v>
      </c>
      <c r="F24">
        <v>20</v>
      </c>
      <c r="G24">
        <v>1.607</v>
      </c>
      <c r="H24">
        <v>70.646305156831488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6536-0B24-400B-8AE8-84C7E9783A95}">
  <dimension ref="A1:Z57"/>
  <sheetViews>
    <sheetView tabSelected="1" topLeftCell="A4" zoomScaleNormal="100" workbookViewId="0">
      <selection activeCell="J19" sqref="J19"/>
    </sheetView>
  </sheetViews>
  <sheetFormatPr defaultRowHeight="14.4" x14ac:dyDescent="0.3"/>
  <cols>
    <col min="1" max="1" width="14.5546875" customWidth="1"/>
    <col min="2" max="2" width="15.109375" customWidth="1"/>
    <col min="3" max="3" width="14.5546875" customWidth="1"/>
    <col min="4" max="4" width="12.109375" customWidth="1"/>
    <col min="6" max="6" width="12" bestFit="1" customWidth="1"/>
    <col min="7" max="7" width="11.6640625" customWidth="1"/>
    <col min="8" max="8" width="9.109375" customWidth="1"/>
    <col min="9" max="9" width="20.77734375" customWidth="1"/>
    <col min="11" max="11" width="17.33203125" customWidth="1"/>
    <col min="20" max="20" width="12" bestFit="1" customWidth="1"/>
  </cols>
  <sheetData>
    <row r="1" spans="1:26" ht="15" thickTop="1" x14ac:dyDescent="0.3">
      <c r="A1" s="22"/>
      <c r="B1" s="15"/>
      <c r="C1" s="15"/>
      <c r="D1" s="16"/>
      <c r="E1" s="29"/>
      <c r="F1" s="33"/>
      <c r="G1" s="53"/>
      <c r="H1" s="53"/>
      <c r="I1" s="32"/>
      <c r="J1" s="33"/>
      <c r="K1" s="33"/>
      <c r="L1" t="s">
        <v>46</v>
      </c>
    </row>
    <row r="2" spans="1:26" x14ac:dyDescent="0.3">
      <c r="A2" s="18"/>
      <c r="B2" s="2"/>
      <c r="C2" s="2"/>
      <c r="D2" s="8"/>
      <c r="E2" s="30"/>
      <c r="F2" s="60"/>
      <c r="G2" s="44"/>
      <c r="H2" s="44"/>
      <c r="I2" s="44"/>
      <c r="J2" s="62"/>
      <c r="K2" s="62"/>
      <c r="L2" s="51" t="s">
        <v>47</v>
      </c>
      <c r="M2">
        <v>0</v>
      </c>
    </row>
    <row r="3" spans="1:26" ht="15" thickBot="1" x14ac:dyDescent="0.35">
      <c r="A3" s="19"/>
      <c r="B3" s="2"/>
      <c r="C3" s="2"/>
      <c r="D3" s="8"/>
      <c r="E3" s="3"/>
      <c r="F3" s="61"/>
      <c r="G3" s="44"/>
      <c r="H3" s="46"/>
      <c r="I3" s="45"/>
      <c r="J3" s="63"/>
      <c r="K3" s="63"/>
      <c r="L3" s="51" t="s">
        <v>48</v>
      </c>
      <c r="M3">
        <v>0.01</v>
      </c>
    </row>
    <row r="4" spans="1:26" ht="15" thickTop="1" x14ac:dyDescent="0.3">
      <c r="A4" s="18"/>
      <c r="B4" s="2"/>
      <c r="C4" s="2"/>
      <c r="D4" s="8"/>
      <c r="E4" s="31"/>
      <c r="F4" s="60"/>
      <c r="G4" s="44"/>
      <c r="H4" s="46"/>
      <c r="I4" s="44"/>
      <c r="J4" s="62"/>
      <c r="K4" s="62"/>
      <c r="L4" s="52" t="s">
        <v>49</v>
      </c>
      <c r="M4">
        <v>0.01</v>
      </c>
      <c r="N4" s="51" t="s">
        <v>50</v>
      </c>
    </row>
    <row r="5" spans="1:26" ht="15" thickBot="1" x14ac:dyDescent="0.35">
      <c r="A5" s="19"/>
      <c r="B5" s="2"/>
      <c r="C5" s="2"/>
      <c r="D5" s="8"/>
      <c r="E5" s="3"/>
      <c r="F5" s="61"/>
      <c r="G5" s="44"/>
      <c r="H5" s="46"/>
      <c r="I5" s="45"/>
      <c r="J5" s="63"/>
      <c r="K5" s="63"/>
    </row>
    <row r="6" spans="1:26" ht="15" thickTop="1" x14ac:dyDescent="0.3">
      <c r="A6" s="18"/>
      <c r="B6" s="2"/>
      <c r="C6" s="2"/>
      <c r="D6" s="8"/>
      <c r="E6" s="31"/>
      <c r="F6" s="60"/>
      <c r="G6" s="44"/>
      <c r="H6" s="46"/>
      <c r="I6" s="44"/>
      <c r="J6" s="62"/>
      <c r="K6" s="62"/>
      <c r="T6" t="s">
        <v>68</v>
      </c>
    </row>
    <row r="7" spans="1:26" ht="15" thickBot="1" x14ac:dyDescent="0.35">
      <c r="A7" s="19"/>
      <c r="B7" s="2"/>
      <c r="C7" s="2"/>
      <c r="D7" s="8"/>
      <c r="E7" s="3"/>
      <c r="F7" s="61"/>
      <c r="G7" s="44"/>
      <c r="H7" s="46"/>
      <c r="I7" s="45"/>
      <c r="J7" s="63"/>
      <c r="K7" s="63"/>
    </row>
    <row r="8" spans="1:26" ht="15" thickTop="1" x14ac:dyDescent="0.3">
      <c r="A8" s="18"/>
      <c r="B8" s="2"/>
      <c r="C8" s="2"/>
      <c r="D8" s="8"/>
      <c r="E8" s="31"/>
      <c r="F8" s="60"/>
      <c r="G8" s="44"/>
      <c r="H8" s="46"/>
      <c r="I8" s="44"/>
      <c r="J8" s="62"/>
      <c r="K8" s="62"/>
    </row>
    <row r="9" spans="1:26" ht="15" thickBot="1" x14ac:dyDescent="0.35">
      <c r="A9" s="19"/>
      <c r="B9" s="2"/>
      <c r="C9" s="2"/>
      <c r="D9" s="8"/>
      <c r="E9" s="3"/>
      <c r="F9" s="61"/>
      <c r="G9" s="44"/>
      <c r="H9" s="46"/>
      <c r="I9" s="45"/>
      <c r="J9" s="63"/>
      <c r="K9" s="63"/>
    </row>
    <row r="10" spans="1:26" ht="15" thickTop="1" x14ac:dyDescent="0.3">
      <c r="A10" s="47"/>
      <c r="B10" s="48"/>
      <c r="C10" s="48"/>
      <c r="D10" s="49"/>
      <c r="E10" s="50"/>
      <c r="G10" s="44"/>
      <c r="H10" s="46"/>
    </row>
    <row r="11" spans="1:26" x14ac:dyDescent="0.3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62</v>
      </c>
      <c r="G11" t="s">
        <v>64</v>
      </c>
      <c r="H11" t="s">
        <v>46</v>
      </c>
    </row>
    <row r="12" spans="1:26" x14ac:dyDescent="0.3">
      <c r="A12">
        <v>376.2</v>
      </c>
      <c r="B12">
        <v>74.900000000000006</v>
      </c>
      <c r="C12">
        <v>869.9</v>
      </c>
      <c r="D12">
        <f>47.5 - 21.8</f>
        <v>25.7</v>
      </c>
      <c r="E12">
        <f xml:space="preserve"> (B12 + C12) / 1000 * 1 / 12 + (B12 + C12) * (B27 / 100) * (B27 / 100) / 1000</f>
        <v>0.14113642853333333</v>
      </c>
      <c r="F12">
        <f xml:space="preserve"> B12 / 1000 * 0.015 * 0.015</f>
        <v>1.6852500000000002E-5</v>
      </c>
      <c r="G12">
        <f>C12 / 1000 * ( 1 / 12 + B27 * B27  / 10000)</f>
        <v>0.12994769176666668</v>
      </c>
    </row>
    <row r="14" spans="1:26" x14ac:dyDescent="0.3">
      <c r="A14" t="s">
        <v>0</v>
      </c>
      <c r="B14" t="s">
        <v>88</v>
      </c>
      <c r="C14" t="s">
        <v>89</v>
      </c>
      <c r="D14" t="s">
        <v>90</v>
      </c>
      <c r="E14" t="s">
        <v>91</v>
      </c>
      <c r="F14" t="s">
        <v>61</v>
      </c>
      <c r="G14" s="54" t="s">
        <v>93</v>
      </c>
      <c r="H14" s="54" t="s">
        <v>52</v>
      </c>
      <c r="I14" s="54" t="s">
        <v>51</v>
      </c>
      <c r="J14" s="54" t="s">
        <v>63</v>
      </c>
      <c r="K14" s="54" t="s">
        <v>53</v>
      </c>
      <c r="L14" s="54" t="s">
        <v>54</v>
      </c>
      <c r="N14" s="54" t="s">
        <v>70</v>
      </c>
      <c r="O14" s="54" t="s">
        <v>67</v>
      </c>
      <c r="P14" s="54" t="s">
        <v>74</v>
      </c>
      <c r="Q14" s="54" t="s">
        <v>72</v>
      </c>
      <c r="R14" s="54" t="s">
        <v>80</v>
      </c>
      <c r="S14" s="54" t="s">
        <v>79</v>
      </c>
      <c r="T14" s="54" t="s">
        <v>78</v>
      </c>
      <c r="U14" s="54" t="s">
        <v>81</v>
      </c>
      <c r="V14" s="54" t="s">
        <v>82</v>
      </c>
      <c r="X14" s="54" t="s">
        <v>71</v>
      </c>
      <c r="Z14" s="54" t="s">
        <v>84</v>
      </c>
    </row>
    <row r="15" spans="1:26" x14ac:dyDescent="0.3">
      <c r="A15" t="s">
        <v>45</v>
      </c>
      <c r="B15">
        <f>47.5 - 21.8</f>
        <v>25.7</v>
      </c>
      <c r="C15">
        <v>30.57</v>
      </c>
      <c r="D15">
        <v>20</v>
      </c>
      <c r="E15">
        <f t="shared" ref="E15:E23" si="0">C15/D15</f>
        <v>1.5285</v>
      </c>
      <c r="G15">
        <f xml:space="preserve"> (4 * PI() * PI() * E12) / ( (B12 + C12) / 1000 * E27 * E27 * B27 /  100)</f>
        <v>9.8218877404319311</v>
      </c>
      <c r="H15">
        <f>I15/E27 * 100</f>
        <v>3.271180896303566E-2</v>
      </c>
      <c r="I15" s="41">
        <f>0.01/20</f>
        <v>5.0000000000000001E-4</v>
      </c>
      <c r="J15">
        <f xml:space="preserve"> (4 * PI() * PI() * (F12 + G12) ) / (E27 * E27 * (C12 * B27 + B12 * 1.5) / 100) * 1000</f>
        <v>9.7740430351826646</v>
      </c>
      <c r="K15">
        <v>0.1</v>
      </c>
      <c r="L15">
        <v>0.5</v>
      </c>
      <c r="R15">
        <f xml:space="preserve"> AVERAGE(N16:N23)</f>
        <v>63.005636371874999</v>
      </c>
      <c r="S15">
        <f>AVERAGE(O16:O23)</f>
        <v>1759.2716855634897</v>
      </c>
      <c r="T15">
        <f>AVERAGE(P16:P23)</f>
        <v>5718946.7266220003</v>
      </c>
      <c r="U15">
        <f>AVERAGE(Q16:Q23)</f>
        <v>140660.95602378674</v>
      </c>
      <c r="V15">
        <f xml:space="preserve"> AVERAGE(X16:X23)</f>
        <v>4308.5684210309346</v>
      </c>
      <c r="Z15">
        <f xml:space="preserve"> B15 + 10000 / 12 / B15</f>
        <v>58.125421530479898</v>
      </c>
    </row>
    <row r="16" spans="1:26" x14ac:dyDescent="0.3">
      <c r="A16">
        <v>2</v>
      </c>
      <c r="B16">
        <f>43.5 - 21.8</f>
        <v>21.7</v>
      </c>
      <c r="C16">
        <v>28.63</v>
      </c>
      <c r="D16">
        <v>20</v>
      </c>
      <c r="E16">
        <f t="shared" si="0"/>
        <v>1.4315</v>
      </c>
      <c r="F16">
        <f>(($A$12 + $B$12 + $C$12) * (B16) - ($B$12 + $C$12) *  $D$12) / $A$12</f>
        <v>11.654279638490175</v>
      </c>
      <c r="G16">
        <f xml:space="preserve"> (4 * PI() * PI() * ($E$12 + $A$12 / 1000 * F28 /100  * F28 /100)) / ( ($A$12 + $B$12 + $C$12) / 1000 * B28 / 100 * E28 * E28)</f>
        <v>9.8287583596432455</v>
      </c>
      <c r="H16">
        <f>I16/E28 * 100</f>
        <v>3.4928396786587497E-2</v>
      </c>
      <c r="I16" s="41">
        <f t="shared" ref="I16:I23" si="1">0.01/20</f>
        <v>5.0000000000000001E-4</v>
      </c>
      <c r="K16" s="51" t="s">
        <v>55</v>
      </c>
      <c r="N16">
        <f>E28 * E28 * B28</f>
        <v>44.467471824999997</v>
      </c>
      <c r="O16">
        <f xml:space="preserve"> F28 * F28</f>
        <v>135.82223389212669</v>
      </c>
      <c r="P16">
        <f>O16*O16</f>
        <v>18447.679219447567</v>
      </c>
      <c r="Q16">
        <f xml:space="preserve"> N16 * O16</f>
        <v>6039.6713588067032</v>
      </c>
      <c r="X16">
        <f>N16 * N16</f>
        <v>1977.3560505071684</v>
      </c>
    </row>
    <row r="17" spans="1:24" x14ac:dyDescent="0.3">
      <c r="A17">
        <v>3</v>
      </c>
      <c r="B17">
        <f>44.1 - 21.8</f>
        <v>22.3</v>
      </c>
      <c r="C17">
        <v>28.41</v>
      </c>
      <c r="D17">
        <v>20</v>
      </c>
      <c r="E17">
        <f t="shared" si="0"/>
        <v>1.4205000000000001</v>
      </c>
      <c r="F17">
        <f t="shared" ref="F17:F23" si="2">(($A$12 + $B$12 + $C$12) * (B17) - ($B$12 + $C$12) *  $D$12) / $A$12</f>
        <v>13.761137692716646</v>
      </c>
      <c r="G17">
        <f xml:space="preserve"> (4 * PI() * PI() * ($E$12 + $A$12 / 1000 * F29 /100  * F29 /100)) / ( ($A$12 + $B$12 + $C$12) / 1000 * B29 / 100 * E29 * E29)</f>
        <v>9.8467973959690926</v>
      </c>
      <c r="H17">
        <f>I17/E29 * 100</f>
        <v>3.5198873636043647E-2</v>
      </c>
      <c r="I17" s="41">
        <f t="shared" si="1"/>
        <v>5.0000000000000001E-4</v>
      </c>
      <c r="K17">
        <f xml:space="preserve"> 0.1 / 192 * 100</f>
        <v>5.2083333333333336E-2</v>
      </c>
      <c r="N17">
        <f>E29 * E29 * B29</f>
        <v>44.997391575000009</v>
      </c>
      <c r="O17">
        <f xml:space="preserve"> F29 * F29</f>
        <v>189.36891059790682</v>
      </c>
      <c r="P17">
        <f t="shared" ref="P17:P23" si="3">O17*O17</f>
        <v>35860.584301038027</v>
      </c>
      <c r="Q17">
        <f t="shared" ref="Q17:Q23" si="4" xml:space="preserve"> N17 * O17</f>
        <v>8521.1070223051829</v>
      </c>
      <c r="X17">
        <f t="shared" ref="X17:X23" si="5">N17 * N17</f>
        <v>2024.7652485538817</v>
      </c>
    </row>
    <row r="18" spans="1:24" x14ac:dyDescent="0.3">
      <c r="A18">
        <v>4</v>
      </c>
      <c r="B18">
        <f>45 - 21.8</f>
        <v>23.2</v>
      </c>
      <c r="C18">
        <v>28.24</v>
      </c>
      <c r="D18">
        <v>20</v>
      </c>
      <c r="E18">
        <f t="shared" si="0"/>
        <v>1.4119999999999999</v>
      </c>
      <c r="F18">
        <f t="shared" si="2"/>
        <v>16.921424774056362</v>
      </c>
      <c r="G18">
        <f xml:space="preserve"> (4 * PI() * PI() * ($E$12 + $A$12 / 1000 * F30 /100  * F30 /100)) / ( ($A$12 + $B$12 + $C$12) / 1000 * B30 / 100 * E30 * E30)</f>
        <v>9.814793114980624</v>
      </c>
      <c r="H18">
        <f>I18/E30 * 100</f>
        <v>3.5410764872521247E-2</v>
      </c>
      <c r="I18" s="41">
        <f t="shared" si="1"/>
        <v>5.0000000000000001E-4</v>
      </c>
      <c r="N18">
        <f>E30 * E30 * B30</f>
        <v>46.254860799999996</v>
      </c>
      <c r="O18">
        <f xml:space="preserve"> F30 * F30</f>
        <v>286.33461638404839</v>
      </c>
      <c r="P18">
        <f t="shared" si="3"/>
        <v>81987.512539800155</v>
      </c>
      <c r="Q18">
        <f t="shared" si="4"/>
        <v>13244.367823065557</v>
      </c>
      <c r="S18" t="s">
        <v>73</v>
      </c>
      <c r="T18" t="s">
        <v>35</v>
      </c>
      <c r="V18" t="s">
        <v>76</v>
      </c>
      <c r="X18">
        <f t="shared" si="5"/>
        <v>2139.5121476273762</v>
      </c>
    </row>
    <row r="19" spans="1:24" x14ac:dyDescent="0.3">
      <c r="A19">
        <v>5</v>
      </c>
      <c r="B19">
        <f>49.5 - 21.8</f>
        <v>27.7</v>
      </c>
      <c r="C19">
        <v>28.23</v>
      </c>
      <c r="D19">
        <v>20</v>
      </c>
      <c r="E19">
        <f t="shared" si="0"/>
        <v>1.4115</v>
      </c>
      <c r="F19">
        <f t="shared" si="2"/>
        <v>32.722860180754921</v>
      </c>
      <c r="G19">
        <f xml:space="preserve"> (4 * PI() * PI() * ($E$12 + $A$12 / 1000 * F31 /100  * F31 /100)) / ( ($A$12 + $B$12 + $C$12) / 1000 * B31 / 100 * E31 * E31)</f>
        <v>9.8242423703663562</v>
      </c>
      <c r="H19">
        <f>I19/E31 * 100</f>
        <v>3.5423308537017355E-2</v>
      </c>
      <c r="I19" s="41">
        <f t="shared" si="1"/>
        <v>5.0000000000000001E-4</v>
      </c>
      <c r="N19">
        <f>E31 * E31 * B31</f>
        <v>55.187603324999998</v>
      </c>
      <c r="O19">
        <f xml:space="preserve"> F31 * F31</f>
        <v>1070.785578409236</v>
      </c>
      <c r="P19">
        <f t="shared" si="3"/>
        <v>1146581.7549292021</v>
      </c>
      <c r="Q19">
        <f t="shared" si="4"/>
        <v>59094.089747379599</v>
      </c>
      <c r="S19">
        <f>R15 - T19 * S15</f>
        <v>43.014069302607638</v>
      </c>
      <c r="T19">
        <f xml:space="preserve"> (U15 - R15 * S15) / (T15 - S15 * S15)</f>
        <v>1.1363547332295137E-2</v>
      </c>
      <c r="V19">
        <f xml:space="preserve"> (4 * PI() * PI() * E12) / (S19 * (A12 + B12 + C12) / 1000) * 100</f>
        <v>9.805856015838641</v>
      </c>
      <c r="X19">
        <f t="shared" si="5"/>
        <v>3045.6715607575507</v>
      </c>
    </row>
    <row r="20" spans="1:24" x14ac:dyDescent="0.3">
      <c r="A20">
        <v>6</v>
      </c>
      <c r="B20">
        <f>52 - 21.8</f>
        <v>30.2</v>
      </c>
      <c r="C20">
        <v>28.82</v>
      </c>
      <c r="D20">
        <v>20</v>
      </c>
      <c r="E20">
        <f t="shared" si="0"/>
        <v>1.4410000000000001</v>
      </c>
      <c r="F20">
        <f t="shared" si="2"/>
        <v>41.501435406698569</v>
      </c>
      <c r="G20">
        <f xml:space="preserve"> (4 * PI() * PI() * ($E$12 + $A$12 / 1000 * F32 /100  * F32 /100)) / ( ($A$12 + $B$12 + $C$12) / 1000 * B32 / 100 * E32 * E32)</f>
        <v>9.8139933250769822</v>
      </c>
      <c r="H20">
        <f>I20/E32 * 100</f>
        <v>3.4698126301179737E-2</v>
      </c>
      <c r="I20" s="41">
        <f t="shared" si="1"/>
        <v>5.0000000000000001E-4</v>
      </c>
      <c r="N20">
        <f>E32 * E32 * B32</f>
        <v>62.709726200000006</v>
      </c>
      <c r="O20">
        <f xml:space="preserve"> F32 * F32</f>
        <v>1722.3691408163736</v>
      </c>
      <c r="P20">
        <f t="shared" si="3"/>
        <v>2966555.4572365331</v>
      </c>
      <c r="Q20">
        <f t="shared" si="4"/>
        <v>108009.29723592404</v>
      </c>
      <c r="X20">
        <f t="shared" si="5"/>
        <v>3932.5097600789672</v>
      </c>
    </row>
    <row r="21" spans="1:24" x14ac:dyDescent="0.3">
      <c r="A21">
        <v>7</v>
      </c>
      <c r="B21">
        <f>54 - 21.8</f>
        <v>32.200000000000003</v>
      </c>
      <c r="C21">
        <v>29.47</v>
      </c>
      <c r="D21">
        <v>20</v>
      </c>
      <c r="E21">
        <f t="shared" si="0"/>
        <v>1.4735</v>
      </c>
      <c r="F21">
        <f t="shared" si="2"/>
        <v>48.524295587453501</v>
      </c>
      <c r="G21">
        <f xml:space="preserve"> (4 * PI() * PI() * ($E$12 + $A$12 / 1000 * F33 /100  * F33 /100)) / ( ($A$12 + $B$12 + $C$12) / 1000 * B33 / 100 * E33 * E33)</f>
        <v>9.8195918646652185</v>
      </c>
      <c r="H21">
        <f>I21/E33 * 100</f>
        <v>3.3932813030200203E-2</v>
      </c>
      <c r="I21" s="41">
        <f t="shared" si="1"/>
        <v>5.0000000000000001E-4</v>
      </c>
      <c r="N21">
        <f>E33 * E33 * B33</f>
        <v>69.912712450000001</v>
      </c>
      <c r="O21">
        <f xml:space="preserve"> F33 * F33</f>
        <v>2354.6072622585593</v>
      </c>
      <c r="P21">
        <f t="shared" si="3"/>
        <v>5544175.359480748</v>
      </c>
      <c r="Q21">
        <f t="shared" si="4"/>
        <v>164616.98045896439</v>
      </c>
      <c r="S21" s="51" t="s">
        <v>75</v>
      </c>
      <c r="T21" s="51" t="s">
        <v>77</v>
      </c>
      <c r="V21" t="s">
        <v>83</v>
      </c>
      <c r="X21">
        <f t="shared" si="5"/>
        <v>4887.7873621163853</v>
      </c>
    </row>
    <row r="22" spans="1:24" x14ac:dyDescent="0.3">
      <c r="A22">
        <v>8</v>
      </c>
      <c r="B22">
        <f>56.6 - 21.8</f>
        <v>34.799999999999997</v>
      </c>
      <c r="C22">
        <v>30.53</v>
      </c>
      <c r="D22">
        <v>20</v>
      </c>
      <c r="E22">
        <f t="shared" si="0"/>
        <v>1.5265</v>
      </c>
      <c r="F22">
        <f t="shared" si="2"/>
        <v>57.654013822434877</v>
      </c>
      <c r="G22">
        <f xml:space="preserve"> (4 * PI() * PI() * ($E$12 + $A$12 / 1000 * F34 /100  * F34 /100)) / ( ($A$12 + $B$12 + $C$12) / 1000 * B34 / 100 * E34 * E34)</f>
        <v>9.8099600364262827</v>
      </c>
      <c r="H22">
        <f>I22/E34 * 100</f>
        <v>3.2754667540124474E-2</v>
      </c>
      <c r="I22" s="41">
        <f t="shared" si="1"/>
        <v>5.0000000000000001E-4</v>
      </c>
      <c r="N22">
        <f>E34 * E34 * B34</f>
        <v>81.09103829999998</v>
      </c>
      <c r="O22">
        <f xml:space="preserve"> F34 * F34</f>
        <v>3323.985309837512</v>
      </c>
      <c r="P22">
        <f t="shared" si="3"/>
        <v>11048878.340015581</v>
      </c>
      <c r="Q22">
        <f t="shared" si="4"/>
        <v>269545.420068671</v>
      </c>
      <c r="S22">
        <f xml:space="preserve"> T22 * SQRT(T15 - S15 * S15)</f>
        <v>4.0112400839259682E-2</v>
      </c>
      <c r="T22">
        <f xml:space="preserve"> 1 / SQRT(20) * SQRT( (V15 - R15 * R15) / (T15 - S15*S15 ) - T19 * T19)</f>
        <v>2.4763053759890636E-5</v>
      </c>
      <c r="V22">
        <f xml:space="preserve"> AVERAGE(G15:G23)</f>
        <v>9.8295580338889774</v>
      </c>
      <c r="X22">
        <f t="shared" si="5"/>
        <v>6575.7564925720635</v>
      </c>
    </row>
    <row r="23" spans="1:24" x14ac:dyDescent="0.3">
      <c r="A23">
        <v>9</v>
      </c>
      <c r="B23">
        <f>38.5</f>
        <v>38.5</v>
      </c>
      <c r="C23">
        <v>32.14</v>
      </c>
      <c r="D23">
        <v>20</v>
      </c>
      <c r="E23">
        <f t="shared" si="0"/>
        <v>1.607</v>
      </c>
      <c r="F23">
        <f t="shared" si="2"/>
        <v>70.646305156831488</v>
      </c>
      <c r="G23">
        <f xml:space="preserve"> (4 * PI() * PI() * ($E$12 + $A$12 / 1000 * F35 /100  * F35 /100)) / ( ($A$12 + $B$12 + $C$12) / 1000 * B35 / 100 * E35 * E35)</f>
        <v>9.8859980974410693</v>
      </c>
      <c r="H23">
        <f>I23/E35 * 100</f>
        <v>3.1113876789047916E-2</v>
      </c>
      <c r="I23" s="41">
        <f t="shared" si="1"/>
        <v>5.0000000000000001E-4</v>
      </c>
      <c r="N23">
        <f>E35 * E35 * B35</f>
        <v>99.424286499999994</v>
      </c>
      <c r="O23">
        <f xml:space="preserve"> F35 * F35</f>
        <v>4990.9004323121553</v>
      </c>
      <c r="P23">
        <f t="shared" si="3"/>
        <v>24909087.125253659</v>
      </c>
      <c r="Q23">
        <f t="shared" si="4"/>
        <v>496216.71447517758</v>
      </c>
      <c r="X23">
        <f t="shared" si="5"/>
        <v>9885.1887460340804</v>
      </c>
    </row>
    <row r="25" spans="1:24" ht="15" thickBot="1" x14ac:dyDescent="0.35"/>
    <row r="26" spans="1:24" ht="16.2" thickTop="1" x14ac:dyDescent="0.3">
      <c r="A26" s="68" t="s">
        <v>92</v>
      </c>
      <c r="B26" s="15" t="s">
        <v>69</v>
      </c>
      <c r="C26" s="15" t="s">
        <v>3</v>
      </c>
      <c r="D26" s="16" t="s">
        <v>2</v>
      </c>
      <c r="E26" s="29" t="s">
        <v>9</v>
      </c>
      <c r="F26" s="54" t="s">
        <v>61</v>
      </c>
    </row>
    <row r="27" spans="1:24" x14ac:dyDescent="0.3">
      <c r="A27" s="69" t="s">
        <v>45</v>
      </c>
      <c r="B27" s="2">
        <f>47.5 - 21.8</f>
        <v>25.7</v>
      </c>
      <c r="C27" s="2">
        <v>30.57</v>
      </c>
      <c r="D27" s="8">
        <v>20</v>
      </c>
      <c r="E27" s="30">
        <f t="shared" ref="E27:E35" si="6">C27/D27</f>
        <v>1.5285</v>
      </c>
      <c r="L27" t="s">
        <v>65</v>
      </c>
      <c r="U27" t="s">
        <v>66</v>
      </c>
    </row>
    <row r="28" spans="1:24" ht="15" thickBot="1" x14ac:dyDescent="0.35">
      <c r="A28" s="70">
        <v>2</v>
      </c>
      <c r="B28" s="2">
        <f>43.5 - 21.8</f>
        <v>21.7</v>
      </c>
      <c r="C28" s="2">
        <v>28.63</v>
      </c>
      <c r="D28" s="8">
        <v>20</v>
      </c>
      <c r="E28" s="3">
        <f t="shared" si="6"/>
        <v>1.4315</v>
      </c>
      <c r="F28">
        <f>(($A$12 + $B$12 + $C$12) * (B28) - ($B$12 + $C$12) *  $D$12) / $A$12</f>
        <v>11.654279638490175</v>
      </c>
    </row>
    <row r="29" spans="1:24" ht="15" thickTop="1" x14ac:dyDescent="0.3">
      <c r="A29" s="69">
        <v>3</v>
      </c>
      <c r="B29" s="2">
        <f>44.1 - 21.8</f>
        <v>22.3</v>
      </c>
      <c r="C29" s="2">
        <v>28.41</v>
      </c>
      <c r="D29" s="8">
        <v>20</v>
      </c>
      <c r="E29" s="31">
        <f t="shared" si="6"/>
        <v>1.4205000000000001</v>
      </c>
      <c r="F29">
        <f t="shared" ref="F29:F35" si="7">(($A$12 + $B$12 + $C$12) * (B29) - ($B$12 + $C$12) *  $D$12) / $A$12</f>
        <v>13.761137692716646</v>
      </c>
    </row>
    <row r="30" spans="1:24" ht="15" thickBot="1" x14ac:dyDescent="0.35">
      <c r="A30" s="70">
        <v>4</v>
      </c>
      <c r="B30" s="2">
        <f>45 - 21.8</f>
        <v>23.2</v>
      </c>
      <c r="C30" s="2">
        <v>28.24</v>
      </c>
      <c r="D30" s="8">
        <v>20</v>
      </c>
      <c r="E30" s="3">
        <f t="shared" si="6"/>
        <v>1.4119999999999999</v>
      </c>
      <c r="F30">
        <f t="shared" si="7"/>
        <v>16.921424774056362</v>
      </c>
    </row>
    <row r="31" spans="1:24" ht="15" thickTop="1" x14ac:dyDescent="0.3">
      <c r="A31" s="69">
        <v>5</v>
      </c>
      <c r="B31" s="2">
        <f>49.5 - 21.8</f>
        <v>27.7</v>
      </c>
      <c r="C31" s="2">
        <v>28.23</v>
      </c>
      <c r="D31" s="8">
        <v>20</v>
      </c>
      <c r="E31" s="31">
        <f t="shared" si="6"/>
        <v>1.4115</v>
      </c>
      <c r="F31">
        <f t="shared" si="7"/>
        <v>32.722860180754921</v>
      </c>
    </row>
    <row r="32" spans="1:24" ht="15" thickBot="1" x14ac:dyDescent="0.35">
      <c r="A32" s="70">
        <v>6</v>
      </c>
      <c r="B32" s="2">
        <f>52 - 21.8</f>
        <v>30.2</v>
      </c>
      <c r="C32" s="2">
        <v>28.82</v>
      </c>
      <c r="D32" s="8">
        <v>20</v>
      </c>
      <c r="E32" s="3">
        <f t="shared" si="6"/>
        <v>1.4410000000000001</v>
      </c>
      <c r="F32">
        <f t="shared" si="7"/>
        <v>41.501435406698569</v>
      </c>
    </row>
    <row r="33" spans="1:6" ht="15" thickTop="1" x14ac:dyDescent="0.3">
      <c r="A33" s="69">
        <v>7</v>
      </c>
      <c r="B33" s="2">
        <f>54 - 21.8</f>
        <v>32.200000000000003</v>
      </c>
      <c r="C33" s="2">
        <v>29.47</v>
      </c>
      <c r="D33" s="8">
        <v>20</v>
      </c>
      <c r="E33" s="31">
        <f t="shared" si="6"/>
        <v>1.4735</v>
      </c>
      <c r="F33">
        <f t="shared" si="7"/>
        <v>48.524295587453501</v>
      </c>
    </row>
    <row r="34" spans="1:6" ht="15" thickBot="1" x14ac:dyDescent="0.35">
      <c r="A34" s="70">
        <v>8</v>
      </c>
      <c r="B34" s="2">
        <f>56.6 - 21.8</f>
        <v>34.799999999999997</v>
      </c>
      <c r="C34" s="2">
        <v>30.53</v>
      </c>
      <c r="D34" s="8">
        <v>20</v>
      </c>
      <c r="E34" s="3">
        <f t="shared" si="6"/>
        <v>1.5265</v>
      </c>
      <c r="F34">
        <f t="shared" si="7"/>
        <v>57.654013822434877</v>
      </c>
    </row>
    <row r="35" spans="1:6" ht="15" thickTop="1" x14ac:dyDescent="0.3">
      <c r="A35" s="71">
        <v>9</v>
      </c>
      <c r="B35" s="48">
        <f>38.5</f>
        <v>38.5</v>
      </c>
      <c r="C35" s="48">
        <v>32.14</v>
      </c>
      <c r="D35" s="49">
        <v>20</v>
      </c>
      <c r="E35" s="50">
        <f t="shared" si="6"/>
        <v>1.607</v>
      </c>
      <c r="F35">
        <f t="shared" si="7"/>
        <v>70.646305156831488</v>
      </c>
    </row>
    <row r="47" spans="1:6" ht="15" thickBot="1" x14ac:dyDescent="0.35"/>
    <row r="48" spans="1:6" ht="15" thickTop="1" x14ac:dyDescent="0.3">
      <c r="A48" s="22"/>
      <c r="B48" s="15"/>
      <c r="C48" s="15"/>
      <c r="D48" s="16"/>
      <c r="E48" s="29"/>
      <c r="F48" s="54"/>
    </row>
    <row r="49" spans="1:5" x14ac:dyDescent="0.3">
      <c r="A49" s="18"/>
      <c r="B49" s="2"/>
      <c r="C49" s="2"/>
      <c r="D49" s="8"/>
      <c r="E49" s="30"/>
    </row>
    <row r="50" spans="1:5" ht="15" thickBot="1" x14ac:dyDescent="0.35">
      <c r="A50" s="19"/>
      <c r="B50" s="2"/>
      <c r="C50" s="2"/>
      <c r="D50" s="8"/>
      <c r="E50" s="3"/>
    </row>
    <row r="51" spans="1:5" ht="15" thickTop="1" x14ac:dyDescent="0.3">
      <c r="A51" s="18"/>
      <c r="B51" s="2"/>
      <c r="C51" s="2"/>
      <c r="D51" s="8"/>
      <c r="E51" s="31"/>
    </row>
    <row r="52" spans="1:5" ht="15" thickBot="1" x14ac:dyDescent="0.35">
      <c r="A52" s="19"/>
      <c r="B52" s="2"/>
      <c r="C52" s="2"/>
      <c r="D52" s="8"/>
      <c r="E52" s="3"/>
    </row>
    <row r="53" spans="1:5" ht="15" thickTop="1" x14ac:dyDescent="0.3">
      <c r="A53" s="18"/>
      <c r="B53" s="2"/>
      <c r="C53" s="2"/>
      <c r="D53" s="8"/>
      <c r="E53" s="31"/>
    </row>
    <row r="54" spans="1:5" ht="15" thickBot="1" x14ac:dyDescent="0.35">
      <c r="A54" s="19"/>
      <c r="B54" s="2"/>
      <c r="C54" s="2"/>
      <c r="D54" s="8"/>
      <c r="E54" s="3"/>
    </row>
    <row r="55" spans="1:5" ht="15" thickTop="1" x14ac:dyDescent="0.3">
      <c r="A55" s="18"/>
      <c r="B55" s="2"/>
      <c r="C55" s="2"/>
      <c r="D55" s="8"/>
      <c r="E55" s="31"/>
    </row>
    <row r="56" spans="1:5" ht="15" thickBot="1" x14ac:dyDescent="0.35">
      <c r="A56" s="19"/>
      <c r="B56" s="2"/>
      <c r="C56" s="2"/>
      <c r="D56" s="8"/>
      <c r="E56" s="3"/>
    </row>
    <row r="57" spans="1:5" ht="15" thickTop="1" x14ac:dyDescent="0.3">
      <c r="A57" s="47"/>
      <c r="B57" s="48"/>
      <c r="C57" s="48"/>
      <c r="D57" s="49"/>
      <c r="E57" s="50"/>
    </row>
  </sheetData>
  <mergeCells count="12">
    <mergeCell ref="F2:F3"/>
    <mergeCell ref="J2:J3"/>
    <mergeCell ref="K2:K3"/>
    <mergeCell ref="F4:F5"/>
    <mergeCell ref="J4:J5"/>
    <mergeCell ref="K4:K5"/>
    <mergeCell ref="F6:F7"/>
    <mergeCell ref="J6:J7"/>
    <mergeCell ref="K6:K7"/>
    <mergeCell ref="F8:F9"/>
    <mergeCell ref="J8:J9"/>
    <mergeCell ref="K8:K9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A0F796-9B29-48D7-8B31-6DA704026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'гениальная работа гения'!N16:N16</xm:f>
              <xm:sqref>O16</xm:sqref>
            </x14:sparkline>
            <x14:sparkline>
              <xm:f>'гениальная работа гения'!N17:N17</xm:f>
              <xm:sqref>O17</xm:sqref>
            </x14:sparkline>
            <x14:sparkline>
              <xm:f>'гениальная работа гения'!N18:N18</xm:f>
              <xm:sqref>O18</xm:sqref>
            </x14:sparkline>
            <x14:sparkline>
              <xm:f>'гениальная работа гения'!N19:N19</xm:f>
              <xm:sqref>O19</xm:sqref>
            </x14:sparkline>
            <x14:sparkline>
              <xm:f>'гениальная работа гения'!N20:N20</xm:f>
              <xm:sqref>O20</xm:sqref>
            </x14:sparkline>
            <x14:sparkline>
              <xm:f>'гениальная работа гения'!N21:N21</xm:f>
              <xm:sqref>O21</xm:sqref>
            </x14:sparkline>
            <x14:sparkline>
              <xm:f>'гениальная работа гения'!N22:N22</xm:f>
              <xm:sqref>O22</xm:sqref>
            </x14:sparkline>
            <x14:sparkline>
              <xm:f>'гениальная работа гения'!N23:N23</xm:f>
              <xm:sqref>O23</xm:sqref>
            </x14:sparkline>
          </x14:sparklines>
        </x14:sparklineGroup>
        <x14:sparklineGroup displayEmptyCellsAs="gap" xr2:uid="{5F3B3AD1-2480-4294-B9E3-EAD2174D73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'гениальная работа гения'!N16:N16</xm:f>
              <xm:sqref>K32</xm:sqref>
            </x14:sparkline>
            <x14:sparkline>
              <xm:f>'гениальная работа гения'!N17:N17</xm:f>
              <xm:sqref>K33</xm:sqref>
            </x14:sparkline>
            <x14:sparkline>
              <xm:f>'гениальная работа гения'!N18:N18</xm:f>
              <xm:sqref>K34</xm:sqref>
            </x14:sparkline>
            <x14:sparkline>
              <xm:f>'гениальная работа гения'!N19:N19</xm:f>
              <xm:sqref>K35</xm:sqref>
            </x14:sparkline>
            <x14:sparkline>
              <xm:f>'гениальная работа гения'!N20:N20</xm:f>
              <xm:sqref>K36</xm:sqref>
            </x14:sparkline>
            <x14:sparkline>
              <xm:f>'гениальная работа гения'!N21:N21</xm:f>
              <xm:sqref>K37</xm:sqref>
            </x14:sparkline>
            <x14:sparkline>
              <xm:f>'гениальная работа гения'!N22:N22</xm:f>
              <xm:sqref>K38</xm:sqref>
            </x14:sparkline>
            <x14:sparkline>
              <xm:f>'гениальная работа гения'!N23:N23</xm:f>
              <xm:sqref>K39</xm:sqref>
            </x14:sparkline>
          </x14:sparklines>
        </x14:sparklineGroup>
        <x14:sparklineGroup displayEmptyCellsAs="gap" xr2:uid="{33402D68-4888-44C0-936D-946B6C3CD2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'гениальная работа гения'!N16:N23</xm:f>
              <xm:sqref>K26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B8C1-21A7-4604-A870-B29CBF80DB44}">
  <dimension ref="A1:AI50"/>
  <sheetViews>
    <sheetView workbookViewId="0">
      <selection activeCell="B2" sqref="B2"/>
    </sheetView>
  </sheetViews>
  <sheetFormatPr defaultRowHeight="14.4" x14ac:dyDescent="0.3"/>
  <cols>
    <col min="7" max="7" width="10.33203125" customWidth="1"/>
    <col min="8" max="8" width="10.88671875" customWidth="1"/>
    <col min="9" max="9" width="9.6640625" customWidth="1"/>
    <col min="10" max="10" width="10.33203125" bestFit="1" customWidth="1"/>
    <col min="11" max="11" width="14.21875" bestFit="1" customWidth="1"/>
    <col min="13" max="13" width="15.77734375" customWidth="1"/>
    <col min="24" max="24" width="14.44140625" customWidth="1"/>
    <col min="25" max="25" width="10.5546875" customWidth="1"/>
    <col min="26" max="35" width="9.44140625" bestFit="1" customWidth="1"/>
  </cols>
  <sheetData>
    <row r="1" spans="1:19" ht="15" customHeight="1" thickBot="1" x14ac:dyDescent="0.35">
      <c r="A1" s="55" t="s">
        <v>7</v>
      </c>
      <c r="B1" s="55"/>
      <c r="C1" s="55"/>
      <c r="D1" s="55"/>
      <c r="E1" s="55"/>
    </row>
    <row r="2" spans="1:19" ht="16.2" thickTop="1" x14ac:dyDescent="0.3">
      <c r="A2" s="22" t="s">
        <v>0</v>
      </c>
      <c r="B2" s="15" t="s">
        <v>1</v>
      </c>
      <c r="C2" s="15" t="s">
        <v>3</v>
      </c>
      <c r="D2" s="16" t="s">
        <v>2</v>
      </c>
      <c r="E2" s="29" t="s">
        <v>10</v>
      </c>
      <c r="F2" s="33" t="s">
        <v>16</v>
      </c>
      <c r="G2" s="32" t="s">
        <v>11</v>
      </c>
      <c r="H2" s="32" t="s">
        <v>13</v>
      </c>
      <c r="I2" s="32" t="s">
        <v>12</v>
      </c>
      <c r="J2" s="33" t="s">
        <v>14</v>
      </c>
      <c r="K2" s="33" t="s">
        <v>15</v>
      </c>
      <c r="P2" t="s">
        <v>17</v>
      </c>
    </row>
    <row r="3" spans="1:19" x14ac:dyDescent="0.3">
      <c r="A3" s="18">
        <v>1</v>
      </c>
      <c r="B3" s="2">
        <v>5</v>
      </c>
      <c r="C3" s="2">
        <v>132.47</v>
      </c>
      <c r="D3" s="8">
        <v>50</v>
      </c>
      <c r="E3" s="30">
        <f t="shared" ref="E3:E22" si="0">C3/D3</f>
        <v>2.6494</v>
      </c>
      <c r="F3" s="60">
        <f>AVERAGE(E3:E4)</f>
        <v>2.6503000000000001</v>
      </c>
      <c r="G3" s="34">
        <f>$P$3/D3</f>
        <v>2.0000000000000001E-4</v>
      </c>
      <c r="H3" s="34">
        <f>_xlfn.VAR.P(E3:E4)</f>
        <v>8.1000000000022126E-7</v>
      </c>
      <c r="I3" s="34">
        <f>SQRT(H3/(D3-1))</f>
        <v>1.2857142857144614E-4</v>
      </c>
      <c r="J3" s="62">
        <f>SQRT(G3^2+I3^2)</f>
        <v>2.3776167110134148E-4</v>
      </c>
      <c r="K3" s="62">
        <f>J3/F3</f>
        <v>8.9711229333034546E-5</v>
      </c>
      <c r="P3" s="65">
        <v>0.01</v>
      </c>
      <c r="R3" s="64">
        <f>B3^2</f>
        <v>25</v>
      </c>
      <c r="S3" s="64">
        <f>F3^2*B3</f>
        <v>35.12045045</v>
      </c>
    </row>
    <row r="4" spans="1:19" ht="15" thickBot="1" x14ac:dyDescent="0.35">
      <c r="A4" s="19">
        <v>2</v>
      </c>
      <c r="B4" s="3">
        <v>5</v>
      </c>
      <c r="C4" s="3">
        <v>132.56</v>
      </c>
      <c r="D4" s="10">
        <v>50</v>
      </c>
      <c r="E4" s="3">
        <f t="shared" si="0"/>
        <v>2.6512000000000002</v>
      </c>
      <c r="F4" s="61"/>
      <c r="G4" s="35"/>
      <c r="H4" s="35"/>
      <c r="I4" s="35"/>
      <c r="J4" s="63"/>
      <c r="K4" s="63"/>
      <c r="P4" s="65"/>
      <c r="R4" s="64"/>
      <c r="S4" s="64"/>
    </row>
    <row r="5" spans="1:19" ht="15" thickTop="1" x14ac:dyDescent="0.3">
      <c r="A5" s="18">
        <v>3</v>
      </c>
      <c r="B5" s="1">
        <v>10</v>
      </c>
      <c r="C5" s="1">
        <v>116.72</v>
      </c>
      <c r="D5" s="14">
        <v>60</v>
      </c>
      <c r="E5" s="31">
        <f t="shared" si="0"/>
        <v>1.9453333333333334</v>
      </c>
      <c r="F5" s="60">
        <f>AVERAGE(E5:E6)</f>
        <v>1.9450833333333333</v>
      </c>
      <c r="G5" s="34">
        <f>$P$3/D5</f>
        <v>1.6666666666666666E-4</v>
      </c>
      <c r="H5" s="34">
        <f>_xlfn.VAR.P(E5:E6)</f>
        <v>6.250000000004174E-8</v>
      </c>
      <c r="I5" s="34">
        <f>SQRT(H5/(D5-1))</f>
        <v>3.2547227745216835E-5</v>
      </c>
      <c r="J5" s="62">
        <f t="shared" ref="J5" si="1">SQRT(G5^2+I5^2)</f>
        <v>1.6981489867404684E-4</v>
      </c>
      <c r="K5" s="62">
        <f>J5/F5</f>
        <v>8.7304690634015773E-5</v>
      </c>
      <c r="R5" s="64">
        <f>B5^2</f>
        <v>100</v>
      </c>
      <c r="S5" s="64">
        <f>F5^2*B5</f>
        <v>37.833491736111107</v>
      </c>
    </row>
    <row r="6" spans="1:19" ht="15" thickBot="1" x14ac:dyDescent="0.35">
      <c r="A6" s="19">
        <v>4</v>
      </c>
      <c r="B6" s="3">
        <v>10</v>
      </c>
      <c r="C6" s="3">
        <v>116.69</v>
      </c>
      <c r="D6" s="10">
        <v>60</v>
      </c>
      <c r="E6" s="3">
        <f t="shared" si="0"/>
        <v>1.9448333333333332</v>
      </c>
      <c r="F6" s="61"/>
      <c r="G6" s="35"/>
      <c r="H6" s="35"/>
      <c r="I6" s="35"/>
      <c r="J6" s="63"/>
      <c r="K6" s="63"/>
      <c r="R6" s="64"/>
      <c r="S6" s="64"/>
    </row>
    <row r="7" spans="1:19" ht="15" thickTop="1" x14ac:dyDescent="0.3">
      <c r="A7" s="18">
        <v>5</v>
      </c>
      <c r="B7" s="1">
        <v>15</v>
      </c>
      <c r="C7" s="1">
        <v>118.38</v>
      </c>
      <c r="D7" s="14">
        <v>70</v>
      </c>
      <c r="E7" s="31">
        <f t="shared" si="0"/>
        <v>1.6911428571428571</v>
      </c>
      <c r="F7" s="60">
        <f>AVERAGE(E7:E8)</f>
        <v>1.6908571428571428</v>
      </c>
      <c r="G7" s="34">
        <f>$P$3/D7</f>
        <v>1.4285714285714287E-4</v>
      </c>
      <c r="H7" s="34">
        <f>_xlfn.VAR.P(E7:E8)</f>
        <v>8.1632653061188389E-8</v>
      </c>
      <c r="I7" s="34">
        <f>SQRT(H7/(D7-1))</f>
        <v>3.4395958024497879E-5</v>
      </c>
      <c r="J7" s="62">
        <f t="shared" ref="J7" si="2">SQRT(G7^2+I7^2)</f>
        <v>1.4693959709257797E-4</v>
      </c>
      <c r="K7" s="62">
        <f>J7/F7</f>
        <v>8.6902431534981905E-5</v>
      </c>
      <c r="R7" s="64">
        <f>B7^2</f>
        <v>225</v>
      </c>
      <c r="S7" s="64">
        <f>F7^2*B7</f>
        <v>42.884968163265306</v>
      </c>
    </row>
    <row r="8" spans="1:19" ht="15" thickBot="1" x14ac:dyDescent="0.35">
      <c r="A8" s="19">
        <v>6</v>
      </c>
      <c r="B8" s="3">
        <v>15</v>
      </c>
      <c r="C8" s="3">
        <v>118.34</v>
      </c>
      <c r="D8" s="10">
        <v>70</v>
      </c>
      <c r="E8" s="3">
        <f t="shared" si="0"/>
        <v>1.6905714285714286</v>
      </c>
      <c r="F8" s="61"/>
      <c r="G8" s="35"/>
      <c r="H8" s="35"/>
      <c r="I8" s="35"/>
      <c r="J8" s="63"/>
      <c r="K8" s="63"/>
      <c r="R8" s="64"/>
      <c r="S8" s="64"/>
    </row>
    <row r="9" spans="1:19" ht="15" thickTop="1" x14ac:dyDescent="0.3">
      <c r="A9" s="18">
        <v>7</v>
      </c>
      <c r="B9" s="1">
        <v>20</v>
      </c>
      <c r="C9" s="1">
        <v>126.32</v>
      </c>
      <c r="D9" s="14">
        <v>80</v>
      </c>
      <c r="E9" s="31">
        <f t="shared" si="0"/>
        <v>1.579</v>
      </c>
      <c r="F9" s="60">
        <f>AVERAGE(E9:E10)</f>
        <v>1.5793124999999999</v>
      </c>
      <c r="G9" s="34">
        <f>$P$3/D9</f>
        <v>1.25E-4</v>
      </c>
      <c r="H9" s="34">
        <f>_xlfn.VAR.P(E9:E10)</f>
        <v>9.7656250000030538E-8</v>
      </c>
      <c r="I9" s="34">
        <f>SQRT(H9/(D9-1))</f>
        <v>3.5158996903943745E-5</v>
      </c>
      <c r="J9" s="62">
        <f t="shared" ref="J9" si="3">SQRT(G9^2+I9^2)</f>
        <v>1.2985051044678847E-4</v>
      </c>
      <c r="K9" s="62">
        <f>J9/F9</f>
        <v>8.2219643323780742E-5</v>
      </c>
      <c r="R9" s="64">
        <f>B9^2</f>
        <v>400</v>
      </c>
      <c r="S9" s="64">
        <f>F9^2*B9</f>
        <v>49.884559453124993</v>
      </c>
    </row>
    <row r="10" spans="1:19" ht="15" thickBot="1" x14ac:dyDescent="0.35">
      <c r="A10" s="19">
        <v>8</v>
      </c>
      <c r="B10" s="3">
        <v>20</v>
      </c>
      <c r="C10" s="3">
        <v>126.37</v>
      </c>
      <c r="D10" s="10">
        <v>80</v>
      </c>
      <c r="E10" s="3">
        <f t="shared" si="0"/>
        <v>1.5796250000000001</v>
      </c>
      <c r="F10" s="61"/>
      <c r="G10" s="35"/>
      <c r="H10" s="35"/>
      <c r="I10" s="35"/>
      <c r="J10" s="63"/>
      <c r="K10" s="63"/>
      <c r="R10" s="64"/>
      <c r="S10" s="64"/>
    </row>
    <row r="11" spans="1:19" ht="15" thickTop="1" x14ac:dyDescent="0.3">
      <c r="A11" s="18">
        <v>9</v>
      </c>
      <c r="B11" s="1">
        <v>25</v>
      </c>
      <c r="C11" s="1">
        <v>138.19</v>
      </c>
      <c r="D11" s="14">
        <v>90</v>
      </c>
      <c r="E11" s="31">
        <f t="shared" si="0"/>
        <v>1.5354444444444444</v>
      </c>
      <c r="F11" s="60">
        <f>AVERAGE(E11:E12)</f>
        <v>1.5353888888888889</v>
      </c>
      <c r="G11" s="34">
        <f>$P$3/D11</f>
        <v>1.1111111111111112E-4</v>
      </c>
      <c r="H11" s="34">
        <f>_xlfn.VAR.P(E11:E12)</f>
        <v>3.0864197530775161E-9</v>
      </c>
      <c r="I11" s="34">
        <f>SQRT(H11/(D11-1))</f>
        <v>5.8888771111379505E-6</v>
      </c>
      <c r="J11" s="62">
        <f t="shared" ref="J11" si="4">SQRT(G11^2+I11^2)</f>
        <v>1.1126705660695696E-4</v>
      </c>
      <c r="K11" s="62">
        <f>J11/F11</f>
        <v>7.2468322137903007E-5</v>
      </c>
      <c r="R11" s="64">
        <f>B11^2</f>
        <v>625</v>
      </c>
      <c r="S11" s="64">
        <f>F11^2*B11</f>
        <v>58.935476003086421</v>
      </c>
    </row>
    <row r="12" spans="1:19" ht="15" thickBot="1" x14ac:dyDescent="0.35">
      <c r="A12" s="19">
        <v>10</v>
      </c>
      <c r="B12" s="3">
        <v>25</v>
      </c>
      <c r="C12" s="3">
        <v>138.18</v>
      </c>
      <c r="D12" s="10">
        <v>90</v>
      </c>
      <c r="E12" s="3">
        <f t="shared" si="0"/>
        <v>1.5353333333333334</v>
      </c>
      <c r="F12" s="61"/>
      <c r="G12" s="35"/>
      <c r="H12" s="35"/>
      <c r="I12" s="35"/>
      <c r="J12" s="63"/>
      <c r="K12" s="63"/>
      <c r="R12" s="64"/>
      <c r="S12" s="64"/>
    </row>
    <row r="13" spans="1:19" ht="15" thickTop="1" x14ac:dyDescent="0.3">
      <c r="A13" s="18">
        <v>11</v>
      </c>
      <c r="B13" s="1">
        <v>28</v>
      </c>
      <c r="C13" s="1">
        <v>137.59</v>
      </c>
      <c r="D13" s="14">
        <v>90</v>
      </c>
      <c r="E13" s="31">
        <f t="shared" si="0"/>
        <v>1.5287777777777778</v>
      </c>
      <c r="F13" s="60">
        <f>AVERAGE(E13:E14)</f>
        <v>1.528111111111111</v>
      </c>
      <c r="G13" s="34">
        <f>$P$3/D13</f>
        <v>1.1111111111111112E-4</v>
      </c>
      <c r="H13" s="34">
        <f>_xlfn.VAR.P(E13:E14)</f>
        <v>4.4444444444449457E-7</v>
      </c>
      <c r="I13" s="34">
        <f>SQRT(H13/(D13-1))</f>
        <v>7.0666525333761319E-5</v>
      </c>
      <c r="J13" s="62">
        <f t="shared" ref="J13" si="5">SQRT(G13^2+I13^2)</f>
        <v>1.3167929531666248E-4</v>
      </c>
      <c r="K13" s="62">
        <f>J13/F13</f>
        <v>8.6171283200026349E-5</v>
      </c>
      <c r="R13" s="64">
        <f>B13^2</f>
        <v>784</v>
      </c>
      <c r="S13" s="64">
        <f>F13^2*B13</f>
        <v>65.383459901234559</v>
      </c>
    </row>
    <row r="14" spans="1:19" ht="15" thickBot="1" x14ac:dyDescent="0.35">
      <c r="A14" s="19">
        <v>12</v>
      </c>
      <c r="B14" s="3">
        <v>28</v>
      </c>
      <c r="C14" s="3">
        <v>137.47</v>
      </c>
      <c r="D14" s="10">
        <v>90</v>
      </c>
      <c r="E14" s="3">
        <f t="shared" si="0"/>
        <v>1.5274444444444444</v>
      </c>
      <c r="F14" s="61"/>
      <c r="G14" s="35"/>
      <c r="H14" s="35"/>
      <c r="I14" s="35"/>
      <c r="J14" s="63"/>
      <c r="K14" s="63"/>
      <c r="R14" s="64"/>
      <c r="S14" s="64"/>
    </row>
    <row r="15" spans="1:19" ht="15" thickTop="1" x14ac:dyDescent="0.3">
      <c r="A15" s="18">
        <v>13</v>
      </c>
      <c r="B15" s="1">
        <v>30</v>
      </c>
      <c r="C15" s="1">
        <v>152.84</v>
      </c>
      <c r="D15" s="14">
        <v>100</v>
      </c>
      <c r="E15" s="31">
        <f t="shared" si="0"/>
        <v>1.5284</v>
      </c>
      <c r="F15" s="60">
        <f>AVERAGE(E15:E16)</f>
        <v>1.5281</v>
      </c>
      <c r="G15" s="34">
        <f>$P$3/D15</f>
        <v>1E-4</v>
      </c>
      <c r="H15" s="34">
        <f>_xlfn.VAR.P(E15:E16)</f>
        <v>8.9999999999980173E-8</v>
      </c>
      <c r="I15" s="34">
        <f>SQRT(H15/(D15-1))</f>
        <v>3.015113445777304E-5</v>
      </c>
      <c r="J15" s="62">
        <f t="shared" ref="J15" si="6">SQRT(G15^2+I15^2)</f>
        <v>1.0444659357341775E-4</v>
      </c>
      <c r="K15" s="62">
        <f>J15/F15</f>
        <v>6.835062729757068E-5</v>
      </c>
      <c r="R15" s="64">
        <f>B15^2</f>
        <v>900</v>
      </c>
      <c r="S15" s="64">
        <f>F15^2*B15</f>
        <v>70.052688300000014</v>
      </c>
    </row>
    <row r="16" spans="1:19" ht="15" thickBot="1" x14ac:dyDescent="0.35">
      <c r="A16" s="19">
        <v>14</v>
      </c>
      <c r="B16" s="3">
        <v>30</v>
      </c>
      <c r="C16" s="3">
        <v>152.78</v>
      </c>
      <c r="D16" s="10">
        <v>100</v>
      </c>
      <c r="E16" s="3">
        <f t="shared" si="0"/>
        <v>1.5278</v>
      </c>
      <c r="F16" s="61"/>
      <c r="G16" s="35"/>
      <c r="H16" s="35"/>
      <c r="I16" s="35"/>
      <c r="J16" s="63"/>
      <c r="K16" s="63"/>
      <c r="R16" s="64"/>
      <c r="S16" s="64"/>
    </row>
    <row r="17" spans="1:35" ht="15" thickTop="1" x14ac:dyDescent="0.3">
      <c r="A17" s="18">
        <v>15</v>
      </c>
      <c r="B17" s="1">
        <v>33</v>
      </c>
      <c r="C17" s="1">
        <v>153.31</v>
      </c>
      <c r="D17" s="14">
        <v>100</v>
      </c>
      <c r="E17" s="31">
        <f t="shared" si="0"/>
        <v>1.5331000000000001</v>
      </c>
      <c r="F17" s="60">
        <f>AVERAGE(E17:E18)</f>
        <v>1.5337499999999999</v>
      </c>
      <c r="G17" s="34">
        <f>$P$3/D17</f>
        <v>1E-4</v>
      </c>
      <c r="H17" s="34">
        <f>_xlfn.VAR.P(E17:E18)</f>
        <v>4.2249999999990691E-7</v>
      </c>
      <c r="I17" s="34">
        <f>SQRT(H17/(D17-1))</f>
        <v>6.5327457991841588E-5</v>
      </c>
      <c r="J17" s="62">
        <f t="shared" ref="J17" si="7">SQRT(G17^2+I17^2)</f>
        <v>1.1944738074849456E-4</v>
      </c>
      <c r="K17" s="62">
        <f>J17/F17</f>
        <v>7.7879302851504201E-5</v>
      </c>
      <c r="R17" s="64">
        <f>B17^2</f>
        <v>1089</v>
      </c>
      <c r="S17" s="64">
        <f>F17^2*B17</f>
        <v>77.628839062499992</v>
      </c>
    </row>
    <row r="18" spans="1:35" ht="15" thickBot="1" x14ac:dyDescent="0.35">
      <c r="A18" s="19">
        <v>16</v>
      </c>
      <c r="B18" s="3">
        <v>33</v>
      </c>
      <c r="C18" s="3">
        <v>153.44</v>
      </c>
      <c r="D18" s="10">
        <v>100</v>
      </c>
      <c r="E18" s="3">
        <f t="shared" si="0"/>
        <v>1.5344</v>
      </c>
      <c r="F18" s="61"/>
      <c r="G18" s="35"/>
      <c r="H18" s="35"/>
      <c r="I18" s="35"/>
      <c r="J18" s="63"/>
      <c r="K18" s="63"/>
      <c r="R18" s="64"/>
      <c r="S18" s="64"/>
    </row>
    <row r="19" spans="1:35" ht="15" thickTop="1" x14ac:dyDescent="0.3">
      <c r="A19" s="18">
        <v>17</v>
      </c>
      <c r="B19" s="1">
        <v>35</v>
      </c>
      <c r="C19" s="1">
        <v>123.35</v>
      </c>
      <c r="D19" s="14">
        <v>80</v>
      </c>
      <c r="E19" s="31">
        <f t="shared" si="0"/>
        <v>1.5418749999999999</v>
      </c>
      <c r="F19" s="60">
        <f>AVERAGE(E19:E20)</f>
        <v>1.5421874999999998</v>
      </c>
      <c r="G19" s="34">
        <f>$P$3/D19</f>
        <v>1.25E-4</v>
      </c>
      <c r="H19" s="34">
        <f>_xlfn.VAR.P(E19:E20)</f>
        <v>9.7656250000030538E-8</v>
      </c>
      <c r="I19" s="34">
        <f>SQRT(H19/(D19-1))</f>
        <v>3.5158996903943745E-5</v>
      </c>
      <c r="J19" s="62">
        <f t="shared" ref="J19" si="8">SQRT(G19^2+I19^2)</f>
        <v>1.2985051044678847E-4</v>
      </c>
      <c r="K19" s="62">
        <f>J19/F19</f>
        <v>8.4198912549082709E-5</v>
      </c>
      <c r="R19" s="64">
        <f>B19^2</f>
        <v>1225</v>
      </c>
      <c r="S19" s="64">
        <f>F19^2*B19</f>
        <v>83.241979980468727</v>
      </c>
    </row>
    <row r="20" spans="1:35" ht="15" thickBot="1" x14ac:dyDescent="0.35">
      <c r="A20" s="19">
        <v>18</v>
      </c>
      <c r="B20" s="3">
        <v>35</v>
      </c>
      <c r="C20" s="3">
        <v>123.4</v>
      </c>
      <c r="D20" s="10">
        <v>80</v>
      </c>
      <c r="E20" s="3">
        <f t="shared" si="0"/>
        <v>1.5425</v>
      </c>
      <c r="F20" s="61"/>
      <c r="G20" s="35"/>
      <c r="H20" s="35"/>
      <c r="I20" s="35"/>
      <c r="J20" s="63"/>
      <c r="K20" s="63"/>
      <c r="R20" s="64"/>
      <c r="S20" s="64"/>
    </row>
    <row r="21" spans="1:35" ht="15" thickTop="1" x14ac:dyDescent="0.3">
      <c r="A21" s="18">
        <v>19</v>
      </c>
      <c r="B21" s="1">
        <v>37</v>
      </c>
      <c r="C21" s="1">
        <v>93.04</v>
      </c>
      <c r="D21" s="14">
        <v>60</v>
      </c>
      <c r="E21" s="31">
        <f t="shared" si="0"/>
        <v>1.5506666666666669</v>
      </c>
      <c r="F21" s="60">
        <f>AVERAGE(E21:E22)</f>
        <v>1.5505833333333334</v>
      </c>
      <c r="G21" s="34">
        <f>$P$3/D21</f>
        <v>1.6666666666666666E-4</v>
      </c>
      <c r="H21" s="34">
        <f>_xlfn.VAR.P(E21:E22)</f>
        <v>6.9444444444614189E-9</v>
      </c>
      <c r="I21" s="34">
        <f>SQRT(H21/(D21-1))</f>
        <v>1.0849075915081915E-5</v>
      </c>
      <c r="J21" s="62">
        <f t="shared" ref="J21" si="9">SQRT(G21^2+I21^2)</f>
        <v>1.6701940074730537E-4</v>
      </c>
      <c r="K21" s="62">
        <f>J21/F21</f>
        <v>1.0771391460029367E-4</v>
      </c>
      <c r="R21" s="64">
        <f>B21^2</f>
        <v>1369</v>
      </c>
      <c r="S21" s="64">
        <f>F21^2*B21</f>
        <v>88.95942092361112</v>
      </c>
    </row>
    <row r="22" spans="1:35" ht="15" thickBot="1" x14ac:dyDescent="0.35">
      <c r="A22" s="19">
        <v>20</v>
      </c>
      <c r="B22" s="12">
        <v>37</v>
      </c>
      <c r="C22" s="12">
        <v>93.03</v>
      </c>
      <c r="D22" s="13">
        <v>60</v>
      </c>
      <c r="E22" s="12">
        <f t="shared" si="0"/>
        <v>1.5505</v>
      </c>
      <c r="F22" s="61"/>
      <c r="G22" s="35"/>
      <c r="H22" s="35"/>
      <c r="I22" s="35"/>
      <c r="J22" s="63"/>
      <c r="K22" s="63"/>
      <c r="R22" s="64"/>
      <c r="S22" s="64"/>
    </row>
    <row r="23" spans="1:35" ht="15" thickTop="1" x14ac:dyDescent="0.3"/>
    <row r="24" spans="1:35" x14ac:dyDescent="0.3">
      <c r="M24" t="s">
        <v>28</v>
      </c>
      <c r="N24">
        <v>5</v>
      </c>
      <c r="O24">
        <v>10</v>
      </c>
      <c r="P24">
        <v>15</v>
      </c>
      <c r="Q24">
        <v>20</v>
      </c>
      <c r="R24">
        <v>25</v>
      </c>
      <c r="S24">
        <v>28</v>
      </c>
      <c r="T24">
        <v>30</v>
      </c>
      <c r="U24">
        <v>33</v>
      </c>
      <c r="V24">
        <v>35</v>
      </c>
      <c r="W24">
        <v>37</v>
      </c>
      <c r="Y24" t="s">
        <v>28</v>
      </c>
      <c r="Z24">
        <v>5</v>
      </c>
      <c r="AA24">
        <v>10</v>
      </c>
      <c r="AB24">
        <v>15</v>
      </c>
      <c r="AC24">
        <v>20</v>
      </c>
      <c r="AD24">
        <v>25</v>
      </c>
      <c r="AE24">
        <v>28</v>
      </c>
      <c r="AF24">
        <v>30</v>
      </c>
      <c r="AG24">
        <v>33</v>
      </c>
      <c r="AH24">
        <v>35</v>
      </c>
      <c r="AI24">
        <v>37</v>
      </c>
    </row>
    <row r="25" spans="1:35" x14ac:dyDescent="0.3">
      <c r="F25">
        <v>25</v>
      </c>
      <c r="G25">
        <v>35.12045045</v>
      </c>
      <c r="H25">
        <v>2.6503000000000001</v>
      </c>
      <c r="I25">
        <v>8.9711229333034546E-5</v>
      </c>
      <c r="M25" t="s">
        <v>25</v>
      </c>
      <c r="N25">
        <f>N24*N24</f>
        <v>25</v>
      </c>
      <c r="O25">
        <f t="shared" ref="O25:W25" si="10">O24*O24</f>
        <v>100</v>
      </c>
      <c r="P25">
        <f t="shared" si="10"/>
        <v>225</v>
      </c>
      <c r="Q25">
        <f t="shared" si="10"/>
        <v>400</v>
      </c>
      <c r="R25">
        <f t="shared" si="10"/>
        <v>625</v>
      </c>
      <c r="S25">
        <f t="shared" si="10"/>
        <v>784</v>
      </c>
      <c r="T25">
        <f t="shared" si="10"/>
        <v>900</v>
      </c>
      <c r="U25">
        <f t="shared" si="10"/>
        <v>1089</v>
      </c>
      <c r="V25">
        <f t="shared" si="10"/>
        <v>1225</v>
      </c>
      <c r="W25">
        <f t="shared" si="10"/>
        <v>1369</v>
      </c>
      <c r="Y25" t="s">
        <v>25</v>
      </c>
      <c r="Z25">
        <v>25</v>
      </c>
      <c r="AA25">
        <v>100</v>
      </c>
      <c r="AB25">
        <v>225</v>
      </c>
      <c r="AC25">
        <v>400</v>
      </c>
      <c r="AD25">
        <v>625</v>
      </c>
      <c r="AE25">
        <v>784</v>
      </c>
      <c r="AF25">
        <v>900</v>
      </c>
      <c r="AG25">
        <v>1089</v>
      </c>
      <c r="AH25">
        <v>1225</v>
      </c>
      <c r="AI25">
        <v>1369</v>
      </c>
    </row>
    <row r="26" spans="1:35" x14ac:dyDescent="0.3">
      <c r="F26">
        <v>100</v>
      </c>
      <c r="G26">
        <v>37.833491736111107</v>
      </c>
      <c r="H26">
        <v>1.9450833333333333</v>
      </c>
      <c r="I26">
        <v>8.7304690634015773E-5</v>
      </c>
      <c r="M26" t="s">
        <v>27</v>
      </c>
      <c r="N26">
        <f>N25*2*0.05/N24</f>
        <v>0.5</v>
      </c>
      <c r="O26">
        <f t="shared" ref="O26:W26" si="11">O25*2*0.05/O24</f>
        <v>1</v>
      </c>
      <c r="P26">
        <f t="shared" si="11"/>
        <v>1.5</v>
      </c>
      <c r="Q26">
        <f t="shared" si="11"/>
        <v>2</v>
      </c>
      <c r="R26">
        <f t="shared" si="11"/>
        <v>2.5</v>
      </c>
      <c r="S26">
        <f t="shared" si="11"/>
        <v>2.8000000000000003</v>
      </c>
      <c r="T26">
        <f t="shared" si="11"/>
        <v>3</v>
      </c>
      <c r="U26">
        <f t="shared" si="11"/>
        <v>3.3000000000000003</v>
      </c>
      <c r="V26">
        <f t="shared" si="11"/>
        <v>3.5</v>
      </c>
      <c r="W26">
        <f t="shared" si="11"/>
        <v>3.7</v>
      </c>
      <c r="Y26" t="s">
        <v>27</v>
      </c>
      <c r="Z26">
        <v>0.5</v>
      </c>
      <c r="AA26">
        <v>1</v>
      </c>
      <c r="AB26">
        <v>1.5</v>
      </c>
      <c r="AC26">
        <v>2</v>
      </c>
      <c r="AD26">
        <v>2.5</v>
      </c>
      <c r="AE26">
        <v>2.8000000000000003</v>
      </c>
      <c r="AF26">
        <v>3</v>
      </c>
      <c r="AG26">
        <v>3.3000000000000003</v>
      </c>
      <c r="AH26">
        <v>3.5</v>
      </c>
      <c r="AI26">
        <v>3.7</v>
      </c>
    </row>
    <row r="27" spans="1:35" x14ac:dyDescent="0.3">
      <c r="F27">
        <v>225</v>
      </c>
      <c r="G27">
        <v>42.884968163265306</v>
      </c>
      <c r="H27">
        <v>1.6908571428571428</v>
      </c>
      <c r="I27">
        <v>8.6902431534981905E-5</v>
      </c>
      <c r="M27" t="s">
        <v>39</v>
      </c>
      <c r="N27">
        <f>N26/N25*100</f>
        <v>2</v>
      </c>
      <c r="O27">
        <f t="shared" ref="O27:W27" si="12">O26/O25*100</f>
        <v>1</v>
      </c>
      <c r="P27">
        <f t="shared" si="12"/>
        <v>0.66666666666666674</v>
      </c>
      <c r="Q27">
        <f t="shared" si="12"/>
        <v>0.5</v>
      </c>
      <c r="R27">
        <f t="shared" si="12"/>
        <v>0.4</v>
      </c>
      <c r="S27">
        <f t="shared" si="12"/>
        <v>0.35714285714285715</v>
      </c>
      <c r="T27">
        <f t="shared" si="12"/>
        <v>0.33333333333333337</v>
      </c>
      <c r="U27">
        <f t="shared" si="12"/>
        <v>0.30303030303030309</v>
      </c>
      <c r="V27">
        <f t="shared" si="12"/>
        <v>0.2857142857142857</v>
      </c>
      <c r="W27">
        <f t="shared" si="12"/>
        <v>0.27027027027027029</v>
      </c>
      <c r="Y27" t="s">
        <v>29</v>
      </c>
      <c r="Z27" s="43">
        <v>2.6503000000000001</v>
      </c>
      <c r="AA27" s="43">
        <v>1.9450833333333333</v>
      </c>
      <c r="AB27" s="43">
        <v>1.6908571428571428</v>
      </c>
      <c r="AC27" s="43">
        <v>1.5793124999999999</v>
      </c>
      <c r="AD27" s="43">
        <v>1.5353888888888889</v>
      </c>
      <c r="AE27" s="43">
        <v>1.528111111111111</v>
      </c>
      <c r="AF27" s="43">
        <v>1.5281</v>
      </c>
      <c r="AG27" s="43">
        <v>1.5337499999999999</v>
      </c>
      <c r="AH27" s="43">
        <v>1.5421874999999998</v>
      </c>
      <c r="AI27" s="43">
        <v>1.5505833333333334</v>
      </c>
    </row>
    <row r="28" spans="1:35" x14ac:dyDescent="0.3">
      <c r="F28">
        <v>400</v>
      </c>
      <c r="G28">
        <v>49.884559453124993</v>
      </c>
      <c r="H28">
        <v>1.5793124999999999</v>
      </c>
      <c r="I28">
        <v>8.2219643323780742E-5</v>
      </c>
      <c r="M28" t="s">
        <v>29</v>
      </c>
      <c r="N28">
        <v>2.6503000000000001</v>
      </c>
      <c r="O28">
        <v>1.9450833333333333</v>
      </c>
      <c r="P28">
        <v>1.6908571428571428</v>
      </c>
      <c r="Q28">
        <v>1.5793124999999999</v>
      </c>
      <c r="R28">
        <v>1.5353888888888889</v>
      </c>
      <c r="S28">
        <v>1.528111111111111</v>
      </c>
      <c r="T28">
        <v>1.5281</v>
      </c>
      <c r="U28">
        <v>1.5337499999999999</v>
      </c>
      <c r="V28">
        <v>1.5421874999999998</v>
      </c>
      <c r="W28">
        <v>1.5505833333333334</v>
      </c>
      <c r="Y28" t="s">
        <v>30</v>
      </c>
      <c r="Z28" s="43">
        <v>7.0240900900000005</v>
      </c>
      <c r="AA28" s="43">
        <v>3.7833491736111107</v>
      </c>
      <c r="AB28" s="43">
        <v>2.8589978775510203</v>
      </c>
      <c r="AC28" s="43">
        <v>2.4942279726562497</v>
      </c>
      <c r="AD28" s="43">
        <v>2.3574190401234567</v>
      </c>
      <c r="AE28" s="43">
        <v>2.3351235679012343</v>
      </c>
      <c r="AF28" s="43">
        <v>2.3350896100000003</v>
      </c>
      <c r="AG28" s="43">
        <v>2.3523890624999999</v>
      </c>
      <c r="AH28" s="43">
        <v>2.3783422851562492</v>
      </c>
      <c r="AI28" s="43">
        <v>2.4043086736111112</v>
      </c>
    </row>
    <row r="29" spans="1:35" x14ac:dyDescent="0.3">
      <c r="F29">
        <v>625</v>
      </c>
      <c r="G29">
        <v>58.935476003086421</v>
      </c>
      <c r="H29">
        <v>1.5353888888888889</v>
      </c>
      <c r="I29">
        <v>7.2468322137903007E-5</v>
      </c>
      <c r="M29" t="s">
        <v>31</v>
      </c>
      <c r="N29">
        <v>8.9711229333034546E-5</v>
      </c>
      <c r="O29">
        <v>8.7304690634015773E-5</v>
      </c>
      <c r="P29">
        <v>8.6902431534981905E-5</v>
      </c>
      <c r="Q29">
        <v>8.2219643323780742E-5</v>
      </c>
      <c r="R29">
        <v>7.2468322137903007E-5</v>
      </c>
      <c r="S29">
        <v>8.6171283200026349E-5</v>
      </c>
      <c r="T29">
        <v>6.835062729757068E-5</v>
      </c>
      <c r="U29">
        <v>7.7879302851504201E-5</v>
      </c>
      <c r="V29">
        <v>8.4198912549082709E-5</v>
      </c>
      <c r="W29">
        <v>1.0771391460029367E-4</v>
      </c>
      <c r="Y29" t="s">
        <v>27</v>
      </c>
      <c r="Z29" s="43">
        <v>0.35126103056333424</v>
      </c>
      <c r="AA29" s="43">
        <v>0.18928277193330731</v>
      </c>
      <c r="AB29" s="43">
        <v>0.14314408318672275</v>
      </c>
      <c r="AC29" s="43">
        <v>0.1249808859479261</v>
      </c>
      <c r="AD29" s="43">
        <v>0.11818005565809891</v>
      </c>
      <c r="AE29" s="43">
        <v>0.11729868276775726</v>
      </c>
      <c r="AF29" s="43">
        <v>0.11714654947643911</v>
      </c>
      <c r="AG29" s="43">
        <v>0.11823931974456904</v>
      </c>
      <c r="AH29" s="43">
        <v>0.11974046055497398</v>
      </c>
      <c r="AI29" s="43">
        <v>0.12173340637870519</v>
      </c>
    </row>
    <row r="30" spans="1:35" x14ac:dyDescent="0.3">
      <c r="F30">
        <v>784</v>
      </c>
      <c r="G30">
        <v>65.383459901234559</v>
      </c>
      <c r="H30">
        <v>1.528111111111111</v>
      </c>
      <c r="I30">
        <v>8.6171283200026349E-5</v>
      </c>
      <c r="M30" t="s">
        <v>30</v>
      </c>
      <c r="N30">
        <f t="shared" ref="N30:W30" si="13">N28*N28</f>
        <v>7.0240900900000005</v>
      </c>
      <c r="O30">
        <f t="shared" si="13"/>
        <v>3.7833491736111107</v>
      </c>
      <c r="P30">
        <f t="shared" si="13"/>
        <v>2.8589978775510203</v>
      </c>
      <c r="Q30">
        <f t="shared" si="13"/>
        <v>2.4942279726562497</v>
      </c>
      <c r="R30">
        <f t="shared" si="13"/>
        <v>2.3574190401234567</v>
      </c>
      <c r="S30">
        <f t="shared" si="13"/>
        <v>2.3351235679012343</v>
      </c>
      <c r="T30">
        <f t="shared" si="13"/>
        <v>2.3350896100000003</v>
      </c>
      <c r="U30">
        <f t="shared" si="13"/>
        <v>2.3523890624999999</v>
      </c>
      <c r="V30">
        <f t="shared" si="13"/>
        <v>2.3783422851562492</v>
      </c>
      <c r="W30">
        <f t="shared" si="13"/>
        <v>2.4043086736111112</v>
      </c>
      <c r="Y30" t="s">
        <v>26</v>
      </c>
      <c r="Z30" s="43">
        <v>35.12045045</v>
      </c>
      <c r="AA30" s="43">
        <v>37.833491736111107</v>
      </c>
      <c r="AB30" s="43">
        <v>42.884968163265306</v>
      </c>
      <c r="AC30" s="43">
        <v>49.884559453124993</v>
      </c>
      <c r="AD30" s="43">
        <v>58.935476003086421</v>
      </c>
      <c r="AE30" s="43">
        <v>65.383459901234559</v>
      </c>
      <c r="AF30" s="43">
        <v>70.052688300000014</v>
      </c>
      <c r="AG30" s="43">
        <v>77.628839062499992</v>
      </c>
      <c r="AH30" s="43">
        <v>83.241979980468727</v>
      </c>
      <c r="AI30" s="43">
        <v>88.95942092361112</v>
      </c>
    </row>
    <row r="31" spans="1:35" x14ac:dyDescent="0.3">
      <c r="F31">
        <v>900</v>
      </c>
      <c r="G31">
        <v>70.052688300000014</v>
      </c>
      <c r="H31">
        <v>1.5281</v>
      </c>
      <c r="I31">
        <v>6.835062729757068E-5</v>
      </c>
      <c r="M31" t="s">
        <v>27</v>
      </c>
      <c r="N31">
        <f>N32*SQRT(4*N29^2+(0.05/N24)^2)</f>
        <v>0.35126103056333424</v>
      </c>
      <c r="O31">
        <f t="shared" ref="O31:W31" si="14">O32*SQRT(4*O29^2+(0.05/O24)^2)</f>
        <v>0.18928277193330731</v>
      </c>
      <c r="P31">
        <f t="shared" si="14"/>
        <v>0.14314408318672275</v>
      </c>
      <c r="Q31">
        <f t="shared" si="14"/>
        <v>0.1249808859479261</v>
      </c>
      <c r="R31">
        <f t="shared" si="14"/>
        <v>0.11818005565809891</v>
      </c>
      <c r="S31">
        <f t="shared" si="14"/>
        <v>0.11729868276775726</v>
      </c>
      <c r="T31">
        <f t="shared" si="14"/>
        <v>0.11714654947643911</v>
      </c>
      <c r="U31">
        <f t="shared" si="14"/>
        <v>0.11823931974456904</v>
      </c>
      <c r="V31">
        <f t="shared" si="14"/>
        <v>0.11974046055497398</v>
      </c>
      <c r="W31">
        <f t="shared" si="14"/>
        <v>0.12173340637870519</v>
      </c>
    </row>
    <row r="32" spans="1:35" x14ac:dyDescent="0.3">
      <c r="F32">
        <v>1089</v>
      </c>
      <c r="G32">
        <v>77.628839062499992</v>
      </c>
      <c r="H32">
        <v>1.5337499999999999</v>
      </c>
      <c r="I32">
        <v>7.7879302851504201E-5</v>
      </c>
      <c r="M32" t="s">
        <v>26</v>
      </c>
      <c r="N32">
        <v>35.12045045</v>
      </c>
      <c r="O32">
        <v>37.833491736111107</v>
      </c>
      <c r="P32">
        <v>42.884968163265306</v>
      </c>
      <c r="Q32">
        <v>49.884559453124993</v>
      </c>
      <c r="R32">
        <v>58.935476003086421</v>
      </c>
      <c r="S32">
        <v>65.383459901234559</v>
      </c>
      <c r="T32">
        <v>70.052688300000014</v>
      </c>
      <c r="U32">
        <v>77.628839062499992</v>
      </c>
      <c r="V32">
        <v>83.241979980468727</v>
      </c>
      <c r="W32">
        <v>88.95942092361112</v>
      </c>
    </row>
    <row r="33" spans="1:34" x14ac:dyDescent="0.3">
      <c r="F33">
        <v>1225</v>
      </c>
      <c r="G33">
        <v>83.241979980468727</v>
      </c>
      <c r="H33">
        <v>1.5421874999999998</v>
      </c>
      <c r="I33">
        <v>8.4198912549082709E-5</v>
      </c>
      <c r="M33" t="s">
        <v>38</v>
      </c>
      <c r="N33">
        <f>N31/N32*100</f>
        <v>1.0001609491410559</v>
      </c>
      <c r="O33">
        <f t="shared" ref="O33:W33" si="15">O31/O32*100</f>
        <v>0.50030479146243256</v>
      </c>
      <c r="P33">
        <f t="shared" si="15"/>
        <v>0.3337861477284203</v>
      </c>
      <c r="Q33">
        <f t="shared" si="15"/>
        <v>0.25054022190045971</v>
      </c>
      <c r="R33">
        <f t="shared" si="15"/>
        <v>0.20052447807821197</v>
      </c>
      <c r="S33">
        <f t="shared" si="15"/>
        <v>0.17940115580445515</v>
      </c>
      <c r="T33">
        <f t="shared" si="15"/>
        <v>0.16722634394094921</v>
      </c>
      <c r="U33">
        <f t="shared" si="15"/>
        <v>0.15231365195268864</v>
      </c>
      <c r="V33">
        <f t="shared" si="15"/>
        <v>0.14384624270478547</v>
      </c>
      <c r="W33">
        <f t="shared" si="15"/>
        <v>0.13684150044460933</v>
      </c>
    </row>
    <row r="34" spans="1:34" x14ac:dyDescent="0.3">
      <c r="F34">
        <v>1369</v>
      </c>
      <c r="G34">
        <v>88.95942092361112</v>
      </c>
      <c r="H34">
        <v>1.5505833333333334</v>
      </c>
      <c r="I34">
        <v>1.0771391460029367E-4</v>
      </c>
    </row>
    <row r="35" spans="1:34" x14ac:dyDescent="0.3">
      <c r="N35">
        <v>25</v>
      </c>
      <c r="O35">
        <v>35.12045045</v>
      </c>
      <c r="P35">
        <v>0.5</v>
      </c>
      <c r="Q35">
        <v>0.35126103056333424</v>
      </c>
    </row>
    <row r="36" spans="1:34" x14ac:dyDescent="0.3">
      <c r="N36">
        <v>100</v>
      </c>
      <c r="O36">
        <v>37.833491736111107</v>
      </c>
      <c r="P36">
        <v>1</v>
      </c>
      <c r="Q36">
        <v>0.18928277193330731</v>
      </c>
      <c r="Y36">
        <v>25</v>
      </c>
      <c r="Z36">
        <v>100</v>
      </c>
      <c r="AA36">
        <v>225</v>
      </c>
      <c r="AB36">
        <v>400</v>
      </c>
      <c r="AC36">
        <v>625</v>
      </c>
      <c r="AD36">
        <v>784</v>
      </c>
      <c r="AE36">
        <v>900</v>
      </c>
      <c r="AF36">
        <v>1089</v>
      </c>
      <c r="AG36">
        <v>1225</v>
      </c>
      <c r="AH36">
        <v>1369</v>
      </c>
    </row>
    <row r="37" spans="1:34" x14ac:dyDescent="0.3">
      <c r="A37">
        <v>25</v>
      </c>
      <c r="B37">
        <v>100</v>
      </c>
      <c r="C37">
        <v>225</v>
      </c>
      <c r="D37">
        <v>400</v>
      </c>
      <c r="E37">
        <v>625</v>
      </c>
      <c r="F37">
        <v>784</v>
      </c>
      <c r="G37">
        <v>900</v>
      </c>
      <c r="H37">
        <v>1089</v>
      </c>
      <c r="I37">
        <v>1225</v>
      </c>
      <c r="J37">
        <v>1369</v>
      </c>
      <c r="N37">
        <v>225</v>
      </c>
      <c r="O37">
        <v>42.884968163265306</v>
      </c>
      <c r="P37">
        <v>1.5</v>
      </c>
      <c r="Q37">
        <v>0.14314408318672275</v>
      </c>
      <c r="Y37">
        <v>35.12045045</v>
      </c>
      <c r="Z37">
        <v>37.833491736111107</v>
      </c>
      <c r="AA37">
        <v>42.884968163265306</v>
      </c>
      <c r="AB37">
        <v>49.884559453124993</v>
      </c>
      <c r="AC37">
        <v>58.935476003086421</v>
      </c>
      <c r="AD37">
        <v>65.383459901234559</v>
      </c>
      <c r="AE37">
        <v>70.052688300000014</v>
      </c>
      <c r="AF37">
        <v>77.628839062499992</v>
      </c>
      <c r="AG37">
        <v>83.241979980468727</v>
      </c>
      <c r="AH37">
        <v>88.95942092361112</v>
      </c>
    </row>
    <row r="38" spans="1:34" x14ac:dyDescent="0.3">
      <c r="A38">
        <v>35.12045045</v>
      </c>
      <c r="B38">
        <v>37.833491736111107</v>
      </c>
      <c r="C38">
        <v>42.884968163265306</v>
      </c>
      <c r="D38">
        <v>49.884559453124993</v>
      </c>
      <c r="E38">
        <v>58.935476003086421</v>
      </c>
      <c r="F38">
        <v>65.383459901234559</v>
      </c>
      <c r="G38">
        <v>70.052688300000014</v>
      </c>
      <c r="H38">
        <v>77.628839062499992</v>
      </c>
      <c r="I38">
        <v>83.241979980468727</v>
      </c>
      <c r="J38">
        <v>88.95942092361112</v>
      </c>
      <c r="N38">
        <v>400</v>
      </c>
      <c r="O38">
        <v>49.884559453124993</v>
      </c>
      <c r="P38">
        <v>2</v>
      </c>
      <c r="Q38">
        <v>0.1249808859479261</v>
      </c>
      <c r="W38" t="s">
        <v>32</v>
      </c>
      <c r="X38">
        <f>_xlfn.COVARIANCE.P(Y36:AH36,Y37:AH37)</f>
        <v>8249.0044882035254</v>
      </c>
    </row>
    <row r="39" spans="1:34" x14ac:dyDescent="0.3">
      <c r="A39">
        <v>0.5</v>
      </c>
      <c r="B39">
        <v>1</v>
      </c>
      <c r="C39">
        <v>1.5</v>
      </c>
      <c r="D39">
        <v>2</v>
      </c>
      <c r="E39">
        <v>2.5</v>
      </c>
      <c r="F39">
        <v>2.8000000000000003</v>
      </c>
      <c r="G39">
        <v>3</v>
      </c>
      <c r="H39">
        <v>3.3000000000000003</v>
      </c>
      <c r="I39">
        <v>3.5</v>
      </c>
      <c r="J39">
        <v>3.7</v>
      </c>
      <c r="N39">
        <v>625</v>
      </c>
      <c r="O39">
        <v>58.935476003086421</v>
      </c>
      <c r="P39">
        <v>2.5</v>
      </c>
      <c r="Q39">
        <v>0.11818005565809891</v>
      </c>
      <c r="W39" t="s">
        <v>33</v>
      </c>
      <c r="X39">
        <f>_xlfn.VAR.P(Y36:AH36)</f>
        <v>205178.16</v>
      </c>
    </row>
    <row r="40" spans="1:34" x14ac:dyDescent="0.3">
      <c r="A40">
        <v>0.35126103056333424</v>
      </c>
      <c r="B40">
        <v>0.18928277193330731</v>
      </c>
      <c r="C40">
        <v>0.14314408318672275</v>
      </c>
      <c r="D40">
        <v>0.1249808859479261</v>
      </c>
      <c r="E40">
        <v>0.11818005565809891</v>
      </c>
      <c r="F40">
        <v>0.11729868276775726</v>
      </c>
      <c r="G40">
        <v>0.11714654947643911</v>
      </c>
      <c r="H40">
        <v>0.11823931974456904</v>
      </c>
      <c r="I40">
        <v>0.11974046055497398</v>
      </c>
      <c r="J40">
        <v>0.12173340637870519</v>
      </c>
      <c r="N40">
        <v>784</v>
      </c>
      <c r="O40">
        <v>65.383459901234559</v>
      </c>
      <c r="P40">
        <v>2.8000000000000003</v>
      </c>
      <c r="Q40">
        <v>0.11729868276775726</v>
      </c>
      <c r="W40" t="s">
        <v>34</v>
      </c>
      <c r="X40">
        <f>X38/X39</f>
        <v>4.0204105974064319E-2</v>
      </c>
      <c r="Z40">
        <f>_xlfn.VAR.P(Y37:AH37)</f>
        <v>331.65263554454839</v>
      </c>
      <c r="AA40">
        <f>_xlfn.VAR.P(Y36:AH36)</f>
        <v>205178.16</v>
      </c>
    </row>
    <row r="41" spans="1:34" x14ac:dyDescent="0.3">
      <c r="N41">
        <v>900</v>
      </c>
      <c r="O41">
        <v>70.052688300000014</v>
      </c>
      <c r="P41">
        <v>3</v>
      </c>
      <c r="Q41">
        <v>0.11714654947643911</v>
      </c>
      <c r="W41" t="s">
        <v>35</v>
      </c>
      <c r="X41">
        <f>AVERAGE(Y37:AH37)-X40*AVERAGE(Y36:AH36)</f>
        <v>33.886925149626066</v>
      </c>
    </row>
    <row r="42" spans="1:34" x14ac:dyDescent="0.3">
      <c r="N42">
        <v>1089</v>
      </c>
      <c r="O42">
        <v>77.628839062499992</v>
      </c>
      <c r="P42">
        <v>3.3000000000000003</v>
      </c>
      <c r="Q42">
        <v>0.11823931974456904</v>
      </c>
      <c r="W42" t="s">
        <v>36</v>
      </c>
      <c r="X42">
        <f>SQRT((_xlfn.VAR.P(Y37:AH37)/_xlfn.VAR.P(Y36:AH36)-X40^2)/(8))</f>
        <v>7.3157415360890069E-5</v>
      </c>
    </row>
    <row r="43" spans="1:34" x14ac:dyDescent="0.3">
      <c r="N43">
        <v>1225</v>
      </c>
      <c r="O43">
        <v>83.241979980468727</v>
      </c>
      <c r="P43">
        <v>3.5</v>
      </c>
      <c r="Q43">
        <v>0.11974046055497398</v>
      </c>
      <c r="W43" t="s">
        <v>37</v>
      </c>
      <c r="X43">
        <f>X42*SQRT(_xlfn.VAR.P(Y36:AH36))</f>
        <v>3.3137818805874089E-2</v>
      </c>
    </row>
    <row r="44" spans="1:34" x14ac:dyDescent="0.3">
      <c r="N44">
        <v>1369</v>
      </c>
      <c r="O44">
        <v>88.95942092361112</v>
      </c>
      <c r="P44">
        <v>3.7</v>
      </c>
      <c r="Q44">
        <v>0.12173340637870519</v>
      </c>
    </row>
    <row r="46" spans="1:34" x14ac:dyDescent="0.3">
      <c r="M46" t="s">
        <v>40</v>
      </c>
      <c r="N46">
        <f>SQRT(W27^2/10000+W33^2/10000)</f>
        <v>3.0293830268867776E-3</v>
      </c>
    </row>
    <row r="47" spans="1:34" x14ac:dyDescent="0.3">
      <c r="M47" t="s">
        <v>41</v>
      </c>
      <c r="N47">
        <f>X40*N46</f>
        <v>1.2179363624898774E-4</v>
      </c>
    </row>
    <row r="48" spans="1:34" x14ac:dyDescent="0.3">
      <c r="M48" t="s">
        <v>42</v>
      </c>
      <c r="N48">
        <f>X41*N46</f>
        <v>0.10265647588165988</v>
      </c>
    </row>
    <row r="49" spans="16:17" x14ac:dyDescent="0.3">
      <c r="P49">
        <f>SQRT(N47^2+X42^2)</f>
        <v>1.4207637823732887E-4</v>
      </c>
      <c r="Q49">
        <f>P49/X40</f>
        <v>3.533877319122141E-3</v>
      </c>
    </row>
    <row r="50" spans="16:17" x14ac:dyDescent="0.3">
      <c r="P50">
        <f>SQRT(N48^2+X43^2)</f>
        <v>0.10787245744699042</v>
      </c>
      <c r="Q50">
        <f>P50/X41</f>
        <v>3.1833061563032007E-3</v>
      </c>
    </row>
  </sheetData>
  <mergeCells count="52">
    <mergeCell ref="J19:J20"/>
    <mergeCell ref="K19:K20"/>
    <mergeCell ref="J17:J18"/>
    <mergeCell ref="K17:K18"/>
    <mergeCell ref="J21:J22"/>
    <mergeCell ref="K21:K22"/>
    <mergeCell ref="J11:J12"/>
    <mergeCell ref="K11:K12"/>
    <mergeCell ref="J9:J10"/>
    <mergeCell ref="K9:K10"/>
    <mergeCell ref="J15:J16"/>
    <mergeCell ref="K15:K16"/>
    <mergeCell ref="J13:J14"/>
    <mergeCell ref="K13:K14"/>
    <mergeCell ref="J3:J4"/>
    <mergeCell ref="K3:K4"/>
    <mergeCell ref="K5:K6"/>
    <mergeCell ref="J7:J8"/>
    <mergeCell ref="K7:K8"/>
    <mergeCell ref="J5:J6"/>
    <mergeCell ref="F21:F22"/>
    <mergeCell ref="A1:E1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P3:P4"/>
    <mergeCell ref="S3:S4"/>
    <mergeCell ref="S5:S6"/>
    <mergeCell ref="S7:S8"/>
    <mergeCell ref="S9:S10"/>
    <mergeCell ref="S21:S22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S11:S12"/>
    <mergeCell ref="S13:S14"/>
    <mergeCell ref="S15:S16"/>
    <mergeCell ref="S17:S18"/>
    <mergeCell ref="S19:S2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B7FA-35B1-4E46-848B-4B9FD410601C}">
  <dimension ref="B4:K7"/>
  <sheetViews>
    <sheetView workbookViewId="0">
      <selection activeCell="B10" sqref="B10:L11"/>
    </sheetView>
  </sheetViews>
  <sheetFormatPr defaultRowHeight="14.4" x14ac:dyDescent="0.3"/>
  <sheetData>
    <row r="4" spans="2:11" ht="15" thickBot="1" x14ac:dyDescent="0.35"/>
    <row r="5" spans="2:11" ht="15.6" x14ac:dyDescent="0.3">
      <c r="B5" s="4" t="s">
        <v>0</v>
      </c>
      <c r="C5" s="5" t="s">
        <v>43</v>
      </c>
      <c r="D5" s="5" t="s">
        <v>3</v>
      </c>
      <c r="E5" s="27" t="s">
        <v>2</v>
      </c>
      <c r="F5" s="5" t="s">
        <v>9</v>
      </c>
      <c r="G5" s="41" t="s">
        <v>44</v>
      </c>
      <c r="H5" s="41" t="s">
        <v>19</v>
      </c>
      <c r="I5" s="41" t="s">
        <v>21</v>
      </c>
      <c r="J5" s="41" t="s">
        <v>27</v>
      </c>
      <c r="K5" s="41" t="s">
        <v>23</v>
      </c>
    </row>
    <row r="6" spans="2:11" x14ac:dyDescent="0.3">
      <c r="B6" s="7">
        <v>1</v>
      </c>
      <c r="C6" s="2">
        <v>58</v>
      </c>
      <c r="D6" s="2">
        <v>122.44</v>
      </c>
      <c r="E6" s="23">
        <v>80</v>
      </c>
      <c r="F6" s="2">
        <f>D6/E6</f>
        <v>1.5305</v>
      </c>
      <c r="G6" s="66">
        <f>AVERAGE(F6:F7)</f>
        <v>1.5298750000000001</v>
      </c>
      <c r="H6" s="64">
        <f>0.01/80</f>
        <v>1.25E-4</v>
      </c>
      <c r="I6" s="64">
        <f>SQRT(_xlfn.VAR.P(F6:F7)/1)</f>
        <v>6.2499999999998668E-4</v>
      </c>
      <c r="J6" s="64">
        <f>SQRT(H6^2+I6^2)</f>
        <v>6.3737743919908504E-4</v>
      </c>
      <c r="K6" s="64">
        <f>J6/G6</f>
        <v>4.1662059919868289E-4</v>
      </c>
    </row>
    <row r="7" spans="2:11" x14ac:dyDescent="0.3">
      <c r="B7" s="7">
        <v>2</v>
      </c>
      <c r="C7" s="2">
        <v>58</v>
      </c>
      <c r="D7" s="2">
        <v>122.34</v>
      </c>
      <c r="E7" s="23">
        <v>80</v>
      </c>
      <c r="F7" s="2">
        <f>D7/E7</f>
        <v>1.52925</v>
      </c>
      <c r="G7" s="66"/>
      <c r="H7" s="64"/>
      <c r="I7" s="64"/>
      <c r="J7" s="64"/>
      <c r="K7" s="64"/>
    </row>
  </sheetData>
  <mergeCells count="5">
    <mergeCell ref="G6:G7"/>
    <mergeCell ref="H6:H7"/>
    <mergeCell ref="I6:I7"/>
    <mergeCell ref="J6:J7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05A-07D7-419A-8593-B77357E65BE7}">
  <dimension ref="B1:L20"/>
  <sheetViews>
    <sheetView workbookViewId="0">
      <selection activeCell="C15" sqref="C15"/>
    </sheetView>
  </sheetViews>
  <sheetFormatPr defaultRowHeight="14.4" x14ac:dyDescent="0.3"/>
  <cols>
    <col min="9" max="9" width="12" bestFit="1" customWidth="1"/>
  </cols>
  <sheetData>
    <row r="1" spans="2:12" x14ac:dyDescent="0.3">
      <c r="I1">
        <v>0.01</v>
      </c>
    </row>
    <row r="2" spans="2:12" ht="15" thickBot="1" x14ac:dyDescent="0.35"/>
    <row r="3" spans="2:12" ht="15.6" x14ac:dyDescent="0.3">
      <c r="B3" s="4" t="s">
        <v>0</v>
      </c>
      <c r="C3" s="5" t="s">
        <v>1</v>
      </c>
      <c r="D3" s="5" t="s">
        <v>3</v>
      </c>
      <c r="E3" s="36" t="s">
        <v>2</v>
      </c>
      <c r="F3" s="6" t="s">
        <v>9</v>
      </c>
      <c r="G3" s="41" t="s">
        <v>18</v>
      </c>
      <c r="H3" s="42" t="s">
        <v>19</v>
      </c>
      <c r="I3" s="42" t="s">
        <v>20</v>
      </c>
      <c r="J3" s="42" t="s">
        <v>21</v>
      </c>
      <c r="K3" s="42" t="s">
        <v>22</v>
      </c>
      <c r="L3" s="41" t="s">
        <v>23</v>
      </c>
    </row>
    <row r="4" spans="2:12" x14ac:dyDescent="0.3">
      <c r="B4" s="7">
        <v>1</v>
      </c>
      <c r="C4" s="2">
        <v>10</v>
      </c>
      <c r="D4" s="2">
        <v>152.94</v>
      </c>
      <c r="E4" s="37">
        <v>100</v>
      </c>
      <c r="F4" s="8">
        <f>D4/E4</f>
        <v>1.5293999999999999</v>
      </c>
      <c r="G4" s="67">
        <f>AVERAGE(F4:F6)</f>
        <v>1.5291333333333332</v>
      </c>
      <c r="H4" s="65">
        <f>$I$1/E4</f>
        <v>1E-4</v>
      </c>
      <c r="I4" s="65">
        <f>_xlfn.VAR.P(F4:F6)</f>
        <v>4.2222222222212923E-8</v>
      </c>
      <c r="J4" s="65">
        <f>SQRT(I4/2)</f>
        <v>1.4529663145133978E-4</v>
      </c>
      <c r="K4" s="65">
        <f>SQRT(H4^2+J4^2)</f>
        <v>1.763834207376262E-4</v>
      </c>
      <c r="L4" s="65">
        <f>K4/G4</f>
        <v>1.1534862061579078E-4</v>
      </c>
    </row>
    <row r="5" spans="2:12" x14ac:dyDescent="0.3">
      <c r="B5" s="7">
        <v>2</v>
      </c>
      <c r="C5" s="2">
        <v>10</v>
      </c>
      <c r="D5" s="2">
        <v>152.88999999999999</v>
      </c>
      <c r="E5" s="37">
        <v>100</v>
      </c>
      <c r="F5" s="8">
        <f t="shared" ref="F5:F9" si="0">D5/E5</f>
        <v>1.5288999999999999</v>
      </c>
      <c r="G5" s="67"/>
      <c r="H5" s="65"/>
      <c r="I5" s="65"/>
      <c r="J5" s="65"/>
      <c r="K5" s="65"/>
      <c r="L5" s="65"/>
    </row>
    <row r="6" spans="2:12" ht="15" thickBot="1" x14ac:dyDescent="0.35">
      <c r="B6" s="9">
        <v>3</v>
      </c>
      <c r="C6" s="3">
        <v>10</v>
      </c>
      <c r="D6" s="3">
        <v>152.91</v>
      </c>
      <c r="E6" s="38">
        <v>100</v>
      </c>
      <c r="F6" s="8">
        <f t="shared" si="0"/>
        <v>1.5290999999999999</v>
      </c>
      <c r="G6" s="67"/>
      <c r="H6" s="65"/>
      <c r="I6" s="65"/>
      <c r="J6" s="65"/>
      <c r="K6" s="65"/>
      <c r="L6" s="65"/>
    </row>
    <row r="7" spans="2:12" ht="15" thickTop="1" x14ac:dyDescent="0.3">
      <c r="B7" s="28">
        <v>4</v>
      </c>
      <c r="C7" s="1">
        <v>5</v>
      </c>
      <c r="D7" s="1">
        <v>152.84</v>
      </c>
      <c r="E7" s="39">
        <v>100</v>
      </c>
      <c r="F7" s="8">
        <f t="shared" si="0"/>
        <v>1.5284</v>
      </c>
      <c r="G7" s="67">
        <f>AVERAGE(F7:F9)</f>
        <v>1.5284333333333333</v>
      </c>
      <c r="H7" s="65">
        <f>$I$1/E7</f>
        <v>1E-4</v>
      </c>
      <c r="I7" s="65">
        <f>_xlfn.VAR.P(F7:F9)</f>
        <v>8.2222222222204116E-8</v>
      </c>
      <c r="J7" s="65">
        <f>SQRT(I7/2)</f>
        <v>2.0275875100991833E-4</v>
      </c>
      <c r="K7" s="65">
        <f>SQRT(H7^2+J7^2)</f>
        <v>2.260776661041556E-4</v>
      </c>
      <c r="L7" s="65">
        <f>K7/G7</f>
        <v>1.4791463989541944E-4</v>
      </c>
    </row>
    <row r="8" spans="2:12" x14ac:dyDescent="0.3">
      <c r="B8" s="7">
        <v>5</v>
      </c>
      <c r="C8" s="2">
        <v>5</v>
      </c>
      <c r="D8" s="2">
        <v>152.81</v>
      </c>
      <c r="E8" s="37">
        <v>100</v>
      </c>
      <c r="F8" s="8">
        <f t="shared" si="0"/>
        <v>1.5281</v>
      </c>
      <c r="G8" s="67"/>
      <c r="H8" s="65"/>
      <c r="I8" s="65"/>
      <c r="J8" s="65"/>
      <c r="K8" s="65"/>
      <c r="L8" s="65"/>
    </row>
    <row r="9" spans="2:12" ht="15" thickBot="1" x14ac:dyDescent="0.35">
      <c r="B9" s="11">
        <v>6</v>
      </c>
      <c r="C9" s="12">
        <v>5</v>
      </c>
      <c r="D9" s="12">
        <v>152.88</v>
      </c>
      <c r="E9" s="40">
        <v>100</v>
      </c>
      <c r="F9" s="8">
        <f t="shared" si="0"/>
        <v>1.5287999999999999</v>
      </c>
      <c r="G9" s="67"/>
      <c r="H9" s="65"/>
      <c r="I9" s="65"/>
      <c r="J9" s="65"/>
      <c r="K9" s="65"/>
      <c r="L9" s="65"/>
    </row>
    <row r="13" spans="2:12" ht="15" thickBot="1" x14ac:dyDescent="0.35"/>
    <row r="14" spans="2:12" ht="15.6" x14ac:dyDescent="0.3">
      <c r="B14" s="4" t="s">
        <v>0</v>
      </c>
      <c r="C14" s="5" t="s">
        <v>24</v>
      </c>
      <c r="D14" s="5" t="s">
        <v>3</v>
      </c>
      <c r="E14" s="36" t="s">
        <v>2</v>
      </c>
      <c r="F14" s="6" t="s">
        <v>9</v>
      </c>
      <c r="G14" s="41" t="s">
        <v>18</v>
      </c>
      <c r="H14" s="42" t="s">
        <v>22</v>
      </c>
      <c r="I14" s="42" t="s">
        <v>23</v>
      </c>
    </row>
    <row r="15" spans="2:12" x14ac:dyDescent="0.3">
      <c r="B15" s="7">
        <v>1</v>
      </c>
      <c r="C15" s="2">
        <v>10</v>
      </c>
      <c r="D15" s="2">
        <v>152.94</v>
      </c>
      <c r="E15" s="37">
        <v>100</v>
      </c>
      <c r="F15" s="8">
        <f>D15/E15</f>
        <v>1.5293999999999999</v>
      </c>
      <c r="G15" s="67">
        <f>AVERAGE(F15:F17)</f>
        <v>1.5291333333333332</v>
      </c>
      <c r="H15" s="65">
        <v>1.763834207376262E-4</v>
      </c>
      <c r="I15" s="65">
        <f>H15/G15</f>
        <v>1.1534862061579078E-4</v>
      </c>
    </row>
    <row r="16" spans="2:12" x14ac:dyDescent="0.3">
      <c r="B16" s="7">
        <v>2</v>
      </c>
      <c r="C16" s="2">
        <v>10</v>
      </c>
      <c r="D16" s="2">
        <v>152.88999999999999</v>
      </c>
      <c r="E16" s="37">
        <v>100</v>
      </c>
      <c r="F16" s="8">
        <f t="shared" ref="F16:F20" si="1">D16/E16</f>
        <v>1.5288999999999999</v>
      </c>
      <c r="G16" s="67"/>
      <c r="H16" s="65"/>
      <c r="I16" s="65"/>
    </row>
    <row r="17" spans="2:9" ht="15" thickBot="1" x14ac:dyDescent="0.35">
      <c r="B17" s="9">
        <v>3</v>
      </c>
      <c r="C17" s="3">
        <v>10</v>
      </c>
      <c r="D17" s="3">
        <v>152.91</v>
      </c>
      <c r="E17" s="38">
        <v>100</v>
      </c>
      <c r="F17" s="8">
        <f t="shared" si="1"/>
        <v>1.5290999999999999</v>
      </c>
      <c r="G17" s="67"/>
      <c r="H17" s="65"/>
      <c r="I17" s="65"/>
    </row>
    <row r="18" spans="2:9" ht="15" thickTop="1" x14ac:dyDescent="0.3">
      <c r="B18" s="28">
        <v>4</v>
      </c>
      <c r="C18" s="1">
        <v>5</v>
      </c>
      <c r="D18" s="1">
        <v>152.84</v>
      </c>
      <c r="E18" s="39">
        <v>100</v>
      </c>
      <c r="F18" s="8">
        <f t="shared" si="1"/>
        <v>1.5284</v>
      </c>
      <c r="G18" s="67">
        <f>AVERAGE(F18:F20)</f>
        <v>1.5284333333333333</v>
      </c>
      <c r="H18" s="65">
        <v>2.260776661041556E-4</v>
      </c>
      <c r="I18" s="65">
        <f>H18/G18</f>
        <v>1.4791463989541944E-4</v>
      </c>
    </row>
    <row r="19" spans="2:9" x14ac:dyDescent="0.3">
      <c r="B19" s="7">
        <v>5</v>
      </c>
      <c r="C19" s="2">
        <v>5</v>
      </c>
      <c r="D19" s="2">
        <v>152.81</v>
      </c>
      <c r="E19" s="37">
        <v>100</v>
      </c>
      <c r="F19" s="8">
        <f t="shared" si="1"/>
        <v>1.5281</v>
      </c>
      <c r="G19" s="67"/>
      <c r="H19" s="65"/>
      <c r="I19" s="65"/>
    </row>
    <row r="20" spans="2:9" ht="15" thickBot="1" x14ac:dyDescent="0.35">
      <c r="B20" s="11">
        <v>6</v>
      </c>
      <c r="C20" s="12">
        <v>5</v>
      </c>
      <c r="D20" s="12">
        <v>152.88</v>
      </c>
      <c r="E20" s="40">
        <v>100</v>
      </c>
      <c r="F20" s="8">
        <f t="shared" si="1"/>
        <v>1.5287999999999999</v>
      </c>
      <c r="G20" s="67"/>
      <c r="H20" s="65"/>
      <c r="I20" s="65"/>
    </row>
  </sheetData>
  <mergeCells count="18">
    <mergeCell ref="G4:G6"/>
    <mergeCell ref="G7:G9"/>
    <mergeCell ref="H4:H6"/>
    <mergeCell ref="H7:H9"/>
    <mergeCell ref="I4:I6"/>
    <mergeCell ref="I7:I9"/>
    <mergeCell ref="J4:J6"/>
    <mergeCell ref="J7:J9"/>
    <mergeCell ref="K4:K6"/>
    <mergeCell ref="K7:K9"/>
    <mergeCell ref="L4:L6"/>
    <mergeCell ref="L7:L9"/>
    <mergeCell ref="G15:G17"/>
    <mergeCell ref="G18:G20"/>
    <mergeCell ref="H15:H17"/>
    <mergeCell ref="H18:H20"/>
    <mergeCell ref="I15:I17"/>
    <mergeCell ref="I18:I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3 2 8 5 9 3 - b d f e - 4 8 a 3 - a 6 5 f - 8 2 2 1 0 0 e f a 4 b 7 "   x m l n s = " h t t p : / / s c h e m a s . m i c r o s o f t . c o m / D a t a M a s h u p " > A A A A A C c E A A B Q S w M E F A A C A A g A R o 9 F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R o 9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P R V M / j 2 3 9 I Q E A A E o D A A A T A B w A R m 9 y b X V s Y X M v U 2 V j d G l v b j E u b S C i G A A o o B Q A A A A A A A A A A A A A A A A A A A A A A A A A A A A r T k 0 u y c z P U w i G 0 I b W v F y 8 X M U Z i U W p K Q o X F l 3 Y c G H j h d 0 X d l x s u 7 D B U M F W I S e 1 h J d L A Q g u z L j Y e L H p w r 6 L 7 R f 2 X t h x Y R d Q z r U i O T V H z 7 m 0 q C g 1 r y Q 8 v y g 7 K T 8 / W 0 O z O t o v M T f V V g n N M K X Y 2 m j n / L w S o N p Y H Y i Z y k o X Z l z Y f m H P h a 1 A M 0 F 4 7 8 X u C z s V g N b s u L B f C W h D S G J S T q p e S F F i X n F a f l G u c 3 5 O a W 5 e S G V B a r E G u n t 0 q q u V H r V M U 9 J R K A H K K y T m V d b q K F Q r R V x s 0 1 G 4 2 H h h D 0 w i r z Q 3 K b U I L B d y Y d + F j R c 7 g b p 3 g t R g U e E H l A O 7 7 2 I D 2 H 1 A l U B V n n k l Z i Z 6 I G d A j M G h u R K r x b W a v F y Z e c T 4 H z l i l N F D U 0 H D S F N p N H 4 G N H 4 A U E s B A i 0 A F A A C A A g A R o 9 F U 8 s y x J e k A A A A 9 Q A A A B I A A A A A A A A A A A A A A A A A A A A A A E N v b m Z p Z y 9 Q Y W N r Y W d l L n h t b F B L A Q I t A B Q A A g A I A E a P R V M P y u m r p A A A A O k A A A A T A A A A A A A A A A A A A A A A A P A A A A B b Q 2 9 u d G V u d F 9 U e X B l c 1 0 u e G 1 s U E s B A i 0 A F A A C A A g A R o 9 F U z + P b f 0 h A Q A A S g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g A A A A A A A D 6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V U M T Q 6 N T c 6 M D k u M D A 2 N j U 3 N F o i I C 8 + P E V u d H J 5 I F R 5 c G U 9 I k Z p b G x D b 2 x 1 b W 5 U e X B l c y I g V m F s d W U 9 I n N B Q V V G Q X d V R i I g L z 4 8 R W 5 0 c n k g V H l w Z T 0 i R m l s b E N v b H V t b k 5 h b W V z I i B W Y W x 1 Z T 0 i c 1 s m c X V v d D v i h J Y m c X V v d D s s J n F 1 b 3 Q 7 W N G G L C D R g d C 8 J n F 1 b 3 Q 7 L C Z x d W 9 0 O 1 T Q v t C x 0 Y n Q u N C 5 L C D R g S Z x d W 9 0 O y w m c X V v d D t O 0 L j Q t 9 C 8 0 L X R g N C 1 0 L 3 Q u N C 5 J n F 1 b 3 Q 7 L C Z x d W 9 0 O 1 Q s I N G B J n F 1 b 3 Q 7 L C Z x d W 9 0 O 3 k s I N G B 0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v i h J Y s M H 0 m c X V v d D s s J n F 1 b 3 Q 7 U 2 V j d G l v b j E v 0 K L Q s N C x 0 L v Q u N G G 0 L A x L 9 C Y 0 L f Q v N C 1 0 L 3 Q t d C 9 0 L 3 R i 9 C 5 I N G C 0 L j Q v y 5 7 W N G G L C D R g d C 8 L D F 9 J n F 1 b 3 Q 7 L C Z x d W 9 0 O 1 N l Y 3 R p b 2 4 x L 9 C i 0 L D Q s d C 7 0 L j R h t C w M S / Q m N C 3 0 L z Q t d C 9 0 L X Q v d C 9 0 Y v Q u S D R g t C 4 0 L 8 u e 1 T Q v t C x 0 Y n Q u N C 5 L C D R g S w y f S Z x d W 9 0 O y w m c X V v d D t T Z W N 0 a W 9 u M S / Q o t C w 0 L H Q u 9 C 4 0 Y b Q s D E v 0 J j Q t 9 C 8 0 L X Q v d C 1 0 L 3 Q v d G L 0 L k g 0 Y L Q u N C / L n t O 0 L j Q t 9 C 8 0 L X R g N C 1 0 L 3 Q u N C 5 L D N 9 J n F 1 b 3 Q 7 L C Z x d W 9 0 O 1 N l Y 3 R p b 2 4 x L 9 C i 0 L D Q s d C 7 0 L j R h t C w M S / Q m N C 3 0 L z Q t d C 9 0 L X Q v d C 9 0 Y v Q u S D R g t C 4 0 L 8 u e 1 Q s I N G B L D R 9 J n F 1 b 3 Q 7 L C Z x d W 9 0 O 1 N l Y 3 R p b 2 4 x L 9 C i 0 L D Q s d C 7 0 L j R h t C w M S / Q m N C 3 0 L z Q t d C 9 0 L X Q v d C 9 0 Y v Q u S D R g t C 4 0 L 8 u e 3 k s I N G B 0 L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y 5 7 4 o S W L D B 9 J n F 1 b 3 Q 7 L C Z x d W 9 0 O 1 N l Y 3 R p b 2 4 x L 9 C i 0 L D Q s d C 7 0 L j R h t C w M S / Q m N C 3 0 L z Q t d C 9 0 L X Q v d C 9 0 Y v Q u S D R g t C 4 0 L 8 u e 1 j R h i w g 0 Y H Q v C w x f S Z x d W 9 0 O y w m c X V v d D t T Z W N 0 a W 9 u M S / Q o t C w 0 L H Q u 9 C 4 0 Y b Q s D E v 0 J j Q t 9 C 8 0 L X Q v d C 1 0 L 3 Q v d G L 0 L k g 0 Y L Q u N C / L n t U 0 L 7 Q s d G J 0 L j Q u S w g 0 Y E s M n 0 m c X V v d D s s J n F 1 b 3 Q 7 U 2 V j d G l v b j E v 0 K L Q s N C x 0 L v Q u N G G 0 L A x L 9 C Y 0 L f Q v N C 1 0 L 3 Q t d C 9 0 L 3 R i 9 C 5 I N G C 0 L j Q v y 5 7 T t C 4 0 L f Q v N C 1 0 Y D Q t d C 9 0 L j Q u S w z f S Z x d W 9 0 O y w m c X V v d D t T Z W N 0 a W 9 u M S / Q o t C w 0 L H Q u 9 C 4 0 Y b Q s D E v 0 J j Q t 9 C 8 0 L X Q v d C 1 0 L 3 Q v d G L 0 L k g 0 Y L Q u N C / L n t U L C D R g S w 0 f S Z x d W 9 0 O y w m c X V v d D t T Z W N 0 a W 9 u M S / Q o t C w 0 L H Q u 9 C 4 0 Y b Q s D E v 0 J j Q t 9 C 8 0 L X Q v d C 1 0 L 3 Q v d G L 0 L k g 0 Y L Q u N C / L n t 5 L C D R g d C 8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i 0 L D Q s d C 7 0 L j R h t C w M V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V U M T Q 6 N T c 6 M D k u M D A 2 N j U 3 N F o i I C 8 + P E V u d H J 5 I F R 5 c G U 9 I k Z p b G x D b 2 x 1 b W 5 U e X B l c y I g V m F s d W U 9 I n N B Q V V G Q X d V R i I g L z 4 8 R W 5 0 c n k g V H l w Z T 0 i R m l s b E N v b H V t b k 5 h b W V z I i B W Y W x 1 Z T 0 i c 1 s m c X V v d D v i h J Y m c X V v d D s s J n F 1 b 3 Q 7 W N G G L C D R g d C 8 J n F 1 b 3 Q 7 L C Z x d W 9 0 O 1 T Q v t C x 0 Y n Q u N C 5 L C D R g S Z x d W 9 0 O y w m c X V v d D t O 0 L j Q t 9 C 8 0 L X R g N C 1 0 L 3 Q u N C 5 J n F 1 b 3 Q 7 L C Z x d W 9 0 O 1 Q s I N G B J n F 1 b 3 Q 7 L C Z x d W 9 0 O 3 k s I N G B 0 L w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4 o S W L D B 9 J n F 1 b 3 Q 7 L C Z x d W 9 0 O 1 N l Y 3 R p b 2 4 x L 9 C i 0 L D Q s d C 7 0 L j R h t C w M S / Q m N C 3 0 L z Q t d C 9 0 L X Q v d C 9 0 Y v Q u S D R g t C 4 0 L 8 u e 1 j R h i w g 0 Y H Q v C w x f S Z x d W 9 0 O y w m c X V v d D t T Z W N 0 a W 9 u M S / Q o t C w 0 L H Q u 9 C 4 0 Y b Q s D E v 0 J j Q t 9 C 8 0 L X Q v d C 1 0 L 3 Q v d G L 0 L k g 0 Y L Q u N C / L n t U 0 L 7 Q s d G J 0 L j Q u S w g 0 Y E s M n 0 m c X V v d D s s J n F 1 b 3 Q 7 U 2 V j d G l v b j E v 0 K L Q s N C x 0 L v Q u N G G 0 L A x L 9 C Y 0 L f Q v N C 1 0 L 3 Q t d C 9 0 L 3 R i 9 C 5 I N G C 0 L j Q v y 5 7 T t C 4 0 L f Q v N C 1 0 Y D Q t d C 9 0 L j Q u S w z f S Z x d W 9 0 O y w m c X V v d D t T Z W N 0 a W 9 u M S / Q o t C w 0 L H Q u 9 C 4 0 Y b Q s D E v 0 J j Q t 9 C 8 0 L X Q v d C 1 0 L 3 Q v d G L 0 L k g 0 Y L Q u N C / L n t U L C D R g S w 0 f S Z x d W 9 0 O y w m c X V v d D t T Z W N 0 a W 9 u M S / Q o t C w 0 L H Q u 9 C 4 0 Y b Q s D E v 0 J j Q t 9 C 8 0 L X Q v d C 1 0 L 3 Q v d G L 0 L k g 0 Y L Q u N C / L n t 5 L C D R g d C 8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+ K E l i w w f S Z x d W 9 0 O y w m c X V v d D t T Z W N 0 a W 9 u M S / Q o t C w 0 L H Q u 9 C 4 0 Y b Q s D E v 0 J j Q t 9 C 8 0 L X Q v d C 1 0 L 3 Q v d G L 0 L k g 0 Y L Q u N C / L n t Y 0 Y Y s I N G B 0 L w s M X 0 m c X V v d D s s J n F 1 b 3 Q 7 U 2 V j d G l v b j E v 0 K L Q s N C x 0 L v Q u N G G 0 L A x L 9 C Y 0 L f Q v N C 1 0 L 3 Q t d C 9 0 L 3 R i 9 C 5 I N G C 0 L j Q v y 5 7 V N C + 0 L H R i d C 4 0 L k s I N G B L D J 9 J n F 1 b 3 Q 7 L C Z x d W 9 0 O 1 N l Y 3 R p b 2 4 x L 9 C i 0 L D Q s d C 7 0 L j R h t C w M S / Q m N C 3 0 L z Q t d C 9 0 L X Q v d C 9 0 Y v Q u S D R g t C 4 0 L 8 u e 0 7 Q u N C 3 0 L z Q t d G A 0 L X Q v d C 4 0 L k s M 3 0 m c X V v d D s s J n F 1 b 3 Q 7 U 2 V j d G l v b j E v 0 K L Q s N C x 0 L v Q u N G G 0 L A x L 9 C Y 0 L f Q v N C 1 0 L 3 Q t d C 9 0 L 3 R i 9 C 5 I N G C 0 L j Q v y 5 7 V C w g 0 Y E s N H 0 m c X V v d D s s J n F 1 b 3 Q 7 U 2 V j d G l v b j E v 0 K L Q s N C x 0 L v Q u N G G 0 L A x L 9 C Y 0 L f Q v N C 1 0 L 3 Q t d C 9 0 L 3 R i 9 C 5 I N G C 0 L j Q v y 5 7 e S w g 0 Y H Q v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S f c 5 V d 8 U C D 5 v M f G D m l m A A A A A A C A A A A A A A Q Z g A A A A E A A C A A A A A / S B N i J 4 6 0 d 8 x 3 w 1 F l Y Y + Z O N / p N Q p R 4 T X 0 i 4 V 9 h n R a Y A A A A A A O g A A A A A I A A C A A A A D s Q X r b j E / p 0 c I 4 8 k / h 2 l Z G l G M B E 2 H e B j L + s v 6 T 6 R G q o V A A A A C 5 1 z N 5 q 9 W r J W S A V 7 H A R a l 1 9 f W F h R r d s f c M N D p m I S k Q 6 K n Y + R o K 3 e I p U T j C x 5 1 a b H X O 8 w 0 o v d 8 0 3 2 V D m k t c / U 2 B w B j L P f + x u E g e r a x Y u H N Z z E A A A A D X Y Y a b G p h z 5 y 3 F i H n H h G Q H z I u M M r w p I Y m 8 W V j 3 y v 1 z z 0 K R E y K u O d 7 c b a N y J a T k W g 1 Q u l + 0 O b Z 5 x C D a P k T h 6 M w + < / D a t a M a s h u p > 
</file>

<file path=customXml/itemProps1.xml><?xml version="1.0" encoding="utf-8"?>
<ds:datastoreItem xmlns:ds="http://schemas.openxmlformats.org/officeDocument/2006/customXml" ds:itemID="{29601BD9-7176-4E10-80E8-BF8F71ACE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подготовка</vt:lpstr>
      <vt:lpstr>Таблица1</vt:lpstr>
      <vt:lpstr>Таблица1 (2)</vt:lpstr>
      <vt:lpstr>гениальная работа гения</vt:lpstr>
      <vt:lpstr>расчёты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Кисло водск</cp:lastModifiedBy>
  <cp:lastPrinted>2020-10-08T09:09:04Z</cp:lastPrinted>
  <dcterms:created xsi:type="dcterms:W3CDTF">2020-10-08T08:39:35Z</dcterms:created>
  <dcterms:modified xsi:type="dcterms:W3CDTF">2021-10-05T18:47:41Z</dcterms:modified>
</cp:coreProperties>
</file>